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omments15.xml" ContentType="application/vnd.openxmlformats-officedocument.spreadsheetml.comments+xml"/>
  <Override PartName="/xl/drawings/drawing61.xml" ContentType="application/vnd.openxmlformats-officedocument.drawing+xml"/>
  <Override PartName="/xl/comments16.xml" ContentType="application/vnd.openxmlformats-officedocument.spreadsheetml.comment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fileSharing userName="s349016" algorithmName="SHA-512" hashValue="QZhzxfjrRPOqg7+wuR7bs06l0FcDnLL+KdG6EtEZ86X/TlzQIanub6JAfW6bRrW7CS+tEhfaE31rFFWYs3SQzg==" saltValue="c4sA63Obrv10utUzPMay/g==" spinCount="10000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FORMULA RATES SPP\Annual Update Transmission Rates AEP West SPP OpCos and Transcos\Projected\2023 Projection\Filed Documents 10-31-22\"/>
    </mc:Choice>
  </mc:AlternateContent>
  <xr:revisionPtr revIDLastSave="0" documentId="13_ncr:10001_{D19A0AEB-E0EB-49B2-8752-5305713770DD}" xr6:coauthVersionLast="47" xr6:coauthVersionMax="47" xr10:uidLastSave="{00000000-0000-0000-0000-000000000000}"/>
  <bookViews>
    <workbookView xWindow="-28920" yWindow="-1155" windowWidth="29040" windowHeight="15840" tabRatio="838" xr2:uid="{00000000-000D-0000-FFFF-FFFF00000000}"/>
  </bookViews>
  <sheets>
    <sheet name="SWE.Sch.11.Rates" sheetId="36" r:id="rId1"/>
    <sheet name="SWE.WS.F.BPU.ATRR.Projected" sheetId="1" r:id="rId2"/>
    <sheet name="SWE.WS.G.BPU.ATRR.True-up" sheetId="2" r:id="rId3"/>
    <sheet name="S.001" sheetId="3" r:id="rId4"/>
    <sheet name="S.002" sheetId="17" r:id="rId5"/>
    <sheet name="S.003" sheetId="18" r:id="rId6"/>
    <sheet name="S.004" sheetId="19" r:id="rId7"/>
    <sheet name="S.005" sheetId="20" r:id="rId8"/>
    <sheet name="S.006" sheetId="21" r:id="rId9"/>
    <sheet name="S.007" sheetId="22" r:id="rId10"/>
    <sheet name="S.008" sheetId="23" r:id="rId11"/>
    <sheet name="S.009" sheetId="24" r:id="rId12"/>
    <sheet name="S.010" sheetId="25" r:id="rId13"/>
    <sheet name="S.011" sheetId="26" r:id="rId14"/>
    <sheet name="S.012" sheetId="27" r:id="rId15"/>
    <sheet name="S.013" sheetId="28" r:id="rId16"/>
    <sheet name="S.014" sheetId="29" r:id="rId17"/>
    <sheet name="S.015" sheetId="30" r:id="rId18"/>
    <sheet name="S.016" sheetId="31" r:id="rId19"/>
    <sheet name="S.017" sheetId="32" r:id="rId20"/>
    <sheet name="S.018" sheetId="33" r:id="rId21"/>
    <sheet name="S.019" sheetId="34" r:id="rId22"/>
    <sheet name="S.020" sheetId="35" r:id="rId23"/>
    <sheet name="S.021" sheetId="39" r:id="rId24"/>
    <sheet name="S.022" sheetId="41" r:id="rId25"/>
    <sheet name="S.023" sheetId="42" r:id="rId26"/>
    <sheet name="S.024" sheetId="43" r:id="rId27"/>
    <sheet name="S.025" sheetId="44" r:id="rId28"/>
    <sheet name="S.026" sheetId="45" r:id="rId29"/>
    <sheet name="S.027" sheetId="46" r:id="rId30"/>
    <sheet name="S.028" sheetId="53" r:id="rId31"/>
    <sheet name="S.029" sheetId="54" r:id="rId32"/>
    <sheet name="S.030" sheetId="55" r:id="rId33"/>
    <sheet name="S.031" sheetId="56" r:id="rId34"/>
    <sheet name="S.032" sheetId="57" r:id="rId35"/>
    <sheet name="S.033" sheetId="58" r:id="rId36"/>
    <sheet name="S.034" sheetId="59" r:id="rId37"/>
    <sheet name="S.035" sheetId="61" r:id="rId38"/>
    <sheet name="S.036" sheetId="63" r:id="rId39"/>
    <sheet name="S.037" sheetId="62" r:id="rId40"/>
    <sheet name="S.038" sheetId="60" r:id="rId41"/>
    <sheet name="S.039" sheetId="64" r:id="rId42"/>
    <sheet name="S.040" sheetId="65" r:id="rId43"/>
    <sheet name="S.041" sheetId="66" r:id="rId44"/>
    <sheet name="S.042" sheetId="67" r:id="rId45"/>
    <sheet name="S.043" sheetId="68" r:id="rId46"/>
    <sheet name="S.044" sheetId="69" r:id="rId47"/>
    <sheet name="S.045" sheetId="70" r:id="rId48"/>
    <sheet name="S.046" sheetId="71" r:id="rId49"/>
    <sheet name="S.047" sheetId="72" r:id="rId50"/>
    <sheet name="S.048" sheetId="73" r:id="rId51"/>
    <sheet name="S.049" sheetId="74" r:id="rId52"/>
    <sheet name="S.050" sheetId="75" r:id="rId53"/>
    <sheet name="S.051" sheetId="76" r:id="rId54"/>
    <sheet name="S.052" sheetId="77" r:id="rId55"/>
    <sheet name="S.053" sheetId="78" r:id="rId56"/>
    <sheet name="S.054" sheetId="79" r:id="rId57"/>
    <sheet name="S.055" sheetId="80" r:id="rId58"/>
    <sheet name="S.056" sheetId="81" r:id="rId59"/>
    <sheet name="S.057" sheetId="82" r:id="rId60"/>
    <sheet name="S.058" sheetId="83" r:id="rId61"/>
    <sheet name="S.059" sheetId="84" r:id="rId62"/>
    <sheet name="S.060" sheetId="85" r:id="rId63"/>
    <sheet name="S.061" sheetId="86" r:id="rId64"/>
    <sheet name="S.062" sheetId="87" r:id="rId65"/>
    <sheet name="S.063" sheetId="88" r:id="rId66"/>
    <sheet name="S.064" sheetId="89" r:id="rId67"/>
    <sheet name="S.065" sheetId="90" r:id="rId68"/>
    <sheet name="S.066" sheetId="91" r:id="rId69"/>
    <sheet name="S.067" sheetId="92" r:id="rId70"/>
    <sheet name="S.068" sheetId="93" r:id="rId71"/>
    <sheet name="S.069" sheetId="94" r:id="rId72"/>
    <sheet name="S.070" sheetId="95" r:id="rId73"/>
    <sheet name="S.071" sheetId="96" r:id="rId74"/>
    <sheet name="S.072" sheetId="97" r:id="rId75"/>
    <sheet name="S.073" sheetId="98" r:id="rId76"/>
    <sheet name="S.074" sheetId="99" r:id="rId77"/>
    <sheet name="S.xyz - blank" sheetId="13" r:id="rId78"/>
  </sheets>
  <externalReferences>
    <externalReference r:id="rId79"/>
  </externalReference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'[1]SWP TCOS 2008 13 Month'!$I$317:$J$328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S.001!$A$1:$P$165</definedName>
    <definedName name="_xlnm.Print_Area" localSheetId="4">S.002!$A$1:$P$165</definedName>
    <definedName name="_xlnm.Print_Area" localSheetId="5">S.003!$A$1:$P$165</definedName>
    <definedName name="_xlnm.Print_Area" localSheetId="6">S.004!$A$1:$P$165</definedName>
    <definedName name="_xlnm.Print_Area" localSheetId="7">S.005!$A$1:$P$165</definedName>
    <definedName name="_xlnm.Print_Area" localSheetId="8">S.006!$A$1:$P$165</definedName>
    <definedName name="_xlnm.Print_Area" localSheetId="9">S.007!$A$1:$P$165</definedName>
    <definedName name="_xlnm.Print_Area" localSheetId="10">S.008!$A$1:$P$165</definedName>
    <definedName name="_xlnm.Print_Area" localSheetId="11">S.009!$A$1:$P$165</definedName>
    <definedName name="_xlnm.Print_Area" localSheetId="12">S.010!$A$1:$P$165</definedName>
    <definedName name="_xlnm.Print_Area" localSheetId="13">S.011!$A$1:$P$165</definedName>
    <definedName name="_xlnm.Print_Area" localSheetId="14">S.012!$A$1:$P$165</definedName>
    <definedName name="_xlnm.Print_Area" localSheetId="15">S.013!$A$1:$P$165</definedName>
    <definedName name="_xlnm.Print_Area" localSheetId="16">S.014!$A$1:$P$165</definedName>
    <definedName name="_xlnm.Print_Area" localSheetId="17">S.015!$A$1:$P$165</definedName>
    <definedName name="_xlnm.Print_Area" localSheetId="18">S.016!$A$1:$P$165</definedName>
    <definedName name="_xlnm.Print_Area" localSheetId="19">S.017!$A$1:$P$165</definedName>
    <definedName name="_xlnm.Print_Area" localSheetId="20">S.018!$A$1:$P$165</definedName>
    <definedName name="_xlnm.Print_Area" localSheetId="21">S.019!$A$1:$P$165</definedName>
    <definedName name="_xlnm.Print_Area" localSheetId="22">S.020!$A$1:$P$165</definedName>
    <definedName name="_xlnm.Print_Area" localSheetId="23">S.021!$A$1:$P$165</definedName>
    <definedName name="_xlnm.Print_Area" localSheetId="24">S.022!$A$1:$P$165</definedName>
    <definedName name="_xlnm.Print_Area" localSheetId="25">S.023!$A$1:$P$165</definedName>
    <definedName name="_xlnm.Print_Area" localSheetId="26">S.024!$A$1:$P$165</definedName>
    <definedName name="_xlnm.Print_Area" localSheetId="27">S.025!$A$1:$P$165</definedName>
    <definedName name="_xlnm.Print_Area" localSheetId="28">S.026!$A$1:$P$165</definedName>
    <definedName name="_xlnm.Print_Area" localSheetId="29">S.027!$A$1:$P$165</definedName>
    <definedName name="_xlnm.Print_Area" localSheetId="30">S.028!$A$1:$P$165</definedName>
    <definedName name="_xlnm.Print_Area" localSheetId="31">S.029!$A$1:$P$165</definedName>
    <definedName name="_xlnm.Print_Area" localSheetId="32">S.030!$A$1:$P$165</definedName>
    <definedName name="_xlnm.Print_Area" localSheetId="33">S.031!$A$1:$P$165</definedName>
    <definedName name="_xlnm.Print_Area" localSheetId="34">S.032!$A$1:$P$165</definedName>
    <definedName name="_xlnm.Print_Area" localSheetId="35">S.033!$A$1:$P$165</definedName>
    <definedName name="_xlnm.Print_Area" localSheetId="36">S.034!$A$1:$P$165</definedName>
    <definedName name="_xlnm.Print_Area" localSheetId="37">S.035!$A$1:$P$165</definedName>
    <definedName name="_xlnm.Print_Area" localSheetId="38">S.036!$A$1:$P$165</definedName>
    <definedName name="_xlnm.Print_Area" localSheetId="39">S.037!$A$1:$P$165</definedName>
    <definedName name="_xlnm.Print_Area" localSheetId="40">S.038!$A$1:$P$165</definedName>
    <definedName name="_xlnm.Print_Area" localSheetId="41">S.039!$A$1:$P$165</definedName>
    <definedName name="_xlnm.Print_Area" localSheetId="42">S.040!$A$1:$P$165</definedName>
    <definedName name="_xlnm.Print_Area" localSheetId="43">S.041!$A$1:$P$165</definedName>
    <definedName name="_xlnm.Print_Area" localSheetId="44">S.042!$A$1:$P$165</definedName>
    <definedName name="_xlnm.Print_Area" localSheetId="45">S.043!$A$1:$P$165</definedName>
    <definedName name="_xlnm.Print_Area" localSheetId="46">S.044!$A$1:$P$165</definedName>
    <definedName name="_xlnm.Print_Area" localSheetId="47">S.045!$A$1:$P$165</definedName>
    <definedName name="_xlnm.Print_Area" localSheetId="48">S.046!$A$1:$P$165</definedName>
    <definedName name="_xlnm.Print_Area" localSheetId="49">S.047!$A$1:$P$165</definedName>
    <definedName name="_xlnm.Print_Area" localSheetId="50">S.048!$A$1:$P$165</definedName>
    <definedName name="_xlnm.Print_Area" localSheetId="51">S.049!$A$1:$P$165</definedName>
    <definedName name="_xlnm.Print_Area" localSheetId="52">S.050!$A$1:$P$165</definedName>
    <definedName name="_xlnm.Print_Area" localSheetId="53">S.051!$A$1:$P$165</definedName>
    <definedName name="_xlnm.Print_Area" localSheetId="54">S.052!$A$1:$P$165</definedName>
    <definedName name="_xlnm.Print_Area" localSheetId="55">S.053!$A$1:$P$165</definedName>
    <definedName name="_xlnm.Print_Area" localSheetId="56">S.054!$A$1:$P$165</definedName>
    <definedName name="_xlnm.Print_Area" localSheetId="57">S.055!$A$1:$P$165</definedName>
    <definedName name="_xlnm.Print_Area" localSheetId="58">S.056!$A$1:$P$165</definedName>
    <definedName name="_xlnm.Print_Area" localSheetId="59">S.057!$A$1:$P$165</definedName>
    <definedName name="_xlnm.Print_Area" localSheetId="60">S.058!$A$1:$P$165</definedName>
    <definedName name="_xlnm.Print_Area" localSheetId="61">S.059!$A$1:$P$165</definedName>
    <definedName name="_xlnm.Print_Area" localSheetId="62">S.060!$A$1:$P$165</definedName>
    <definedName name="_xlnm.Print_Area" localSheetId="63">S.061!$A$1:$P$165</definedName>
    <definedName name="_xlnm.Print_Area" localSheetId="64">S.062!$A$1:$P$165</definedName>
    <definedName name="_xlnm.Print_Area" localSheetId="65">S.063!$A$1:$P$165</definedName>
    <definedName name="_xlnm.Print_Area" localSheetId="66">S.064!$A$1:$P$165</definedName>
    <definedName name="_xlnm.Print_Area" localSheetId="67">S.065!$A$1:$P$165</definedName>
    <definedName name="_xlnm.Print_Area" localSheetId="68">S.066!$A$1:$P$165</definedName>
    <definedName name="_xlnm.Print_Area" localSheetId="69">S.067!$A$1:$P$165</definedName>
    <definedName name="_xlnm.Print_Area" localSheetId="77">'S.xyz - blank'!$A$1:$P$165</definedName>
    <definedName name="_xlnm.Print_Area" localSheetId="0">'SWE.Sch.11.Rates'!$A$1:$T$98</definedName>
    <definedName name="_xlnm.Print_Area" localSheetId="1">'SWE.WS.F.BPU.ATRR.Projected'!$A$1:$O$93</definedName>
    <definedName name="_xlnm.Print_Area" localSheetId="2">'SWE.WS.G.BPU.ATRR.True-up'!$A$1:$P$96</definedName>
    <definedName name="_xlnm.Print_Titles" localSheetId="36">S.034!#REF!</definedName>
    <definedName name="_xlnm.Print_Titles" localSheetId="37">S.035!#REF!</definedName>
    <definedName name="_xlnm.Print_Titles" localSheetId="38">S.036!#REF!</definedName>
    <definedName name="_xlnm.Print_Titles" localSheetId="39">S.037!#REF!</definedName>
    <definedName name="_xlnm.Print_Titles" localSheetId="40">S.038!#REF!</definedName>
    <definedName name="_xlnm.Print_Titles" localSheetId="41">S.039!#REF!</definedName>
    <definedName name="_xlnm.Print_Titles" localSheetId="42">S.040!#REF!</definedName>
    <definedName name="_xlnm.Print_Titles" localSheetId="43">S.041!#REF!</definedName>
    <definedName name="_xlnm.Print_Titles" localSheetId="44">S.042!#REF!</definedName>
    <definedName name="_xlnm.Print_Titles" localSheetId="45">S.043!#REF!</definedName>
    <definedName name="_xlnm.Print_Titles" localSheetId="46">S.044!#REF!</definedName>
    <definedName name="_xlnm.Print_Titles" localSheetId="47">S.045!#REF!</definedName>
    <definedName name="_xlnm.Print_Titles" localSheetId="48">S.046!#REF!</definedName>
    <definedName name="_xlnm.Print_Titles" localSheetId="49">S.047!#REF!</definedName>
    <definedName name="_xlnm.Print_Titles" localSheetId="50">S.048!#REF!</definedName>
    <definedName name="_xlnm.Print_Titles" localSheetId="51">S.049!#REF!</definedName>
    <definedName name="_xlnm.Print_Titles" localSheetId="52">S.050!#REF!</definedName>
    <definedName name="_xlnm.Print_Titles" localSheetId="53">S.051!#REF!</definedName>
    <definedName name="_xlnm.Print_Titles" localSheetId="54">S.052!#REF!</definedName>
    <definedName name="_xlnm.Print_Titles" localSheetId="55">S.053!#REF!</definedName>
    <definedName name="_xlnm.Print_Titles" localSheetId="56">S.054!#REF!</definedName>
    <definedName name="_xlnm.Print_Titles" localSheetId="57">S.055!#REF!</definedName>
    <definedName name="_xlnm.Print_Titles" localSheetId="58">S.056!#REF!</definedName>
    <definedName name="_xlnm.Print_Titles" localSheetId="59">S.057!#REF!</definedName>
    <definedName name="_xlnm.Print_Titles" localSheetId="60">S.058!#REF!</definedName>
    <definedName name="_xlnm.Print_Titles" localSheetId="61">S.059!#REF!</definedName>
    <definedName name="_xlnm.Print_Titles" localSheetId="62">S.060!#REF!</definedName>
    <definedName name="_xlnm.Print_Titles" localSheetId="63">S.061!#REF!</definedName>
    <definedName name="_xlnm.Print_Titles" localSheetId="64">S.062!#REF!</definedName>
    <definedName name="_xlnm.Print_Titles" localSheetId="65">S.063!#REF!</definedName>
    <definedName name="_xlnm.Print_Titles" localSheetId="66">S.064!#REF!</definedName>
    <definedName name="_xlnm.Print_Titles" localSheetId="67">S.065!#REF!</definedName>
    <definedName name="_xlnm.Print_Titles" localSheetId="68">S.066!#REF!</definedName>
    <definedName name="_xlnm.Print_Titles" localSheetId="69">S.067!#REF!</definedName>
    <definedName name="_xlnm.Print_Titles" localSheetId="77">'S.xyz - blank'!#REF!</definedName>
    <definedName name="_xlnm.Print_Titles" localSheetId="0">'SWE.Sch.11.Rates'!$1:$17</definedName>
    <definedName name="_xlnm.Print_Titles" localSheetId="1">'SWE.WS.F.BPU.ATRR.Projected'!$1:$6</definedName>
    <definedName name="_xlnm.Print_Titles" localSheetId="2">'SWE.WS.G.BPU.ATRR.True-up'!$1:$5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03" i="86" l="1"/>
  <c r="L103" i="86"/>
  <c r="M103" i="86" s="1"/>
  <c r="M20" i="99" l="1"/>
  <c r="K20" i="99"/>
  <c r="L20" i="99" s="1"/>
  <c r="M20" i="98"/>
  <c r="L20" i="98"/>
  <c r="K20" i="98"/>
  <c r="M20" i="97"/>
  <c r="K20" i="97"/>
  <c r="L20" i="97" s="1"/>
  <c r="M21" i="96"/>
  <c r="K21" i="96"/>
  <c r="L21" i="96" s="1"/>
  <c r="M21" i="95"/>
  <c r="K21" i="95"/>
  <c r="L21" i="95" s="1"/>
  <c r="M22" i="94"/>
  <c r="K22" i="94"/>
  <c r="L22" i="94" s="1"/>
  <c r="M21" i="93"/>
  <c r="K21" i="93"/>
  <c r="L21" i="93" s="1"/>
  <c r="M22" i="92"/>
  <c r="K22" i="92"/>
  <c r="L22" i="92" s="1"/>
  <c r="M22" i="91"/>
  <c r="K22" i="91"/>
  <c r="L22" i="91" s="1"/>
  <c r="M22" i="90"/>
  <c r="K22" i="90"/>
  <c r="L22" i="90" s="1"/>
  <c r="M22" i="89"/>
  <c r="L22" i="89"/>
  <c r="K22" i="89"/>
  <c r="M22" i="88"/>
  <c r="K22" i="88"/>
  <c r="L22" i="88" s="1"/>
  <c r="M22" i="87"/>
  <c r="K22" i="87"/>
  <c r="L22" i="87" s="1"/>
  <c r="M23" i="86"/>
  <c r="K23" i="86"/>
  <c r="L23" i="86" s="1"/>
  <c r="M23" i="85" l="1"/>
  <c r="K23" i="85"/>
  <c r="L23" i="85" s="1"/>
  <c r="M23" i="84"/>
  <c r="K23" i="84"/>
  <c r="L23" i="84" s="1"/>
  <c r="M23" i="83"/>
  <c r="K23" i="83"/>
  <c r="L23" i="83" s="1"/>
  <c r="M23" i="82"/>
  <c r="K23" i="82"/>
  <c r="L23" i="82" s="1"/>
  <c r="M23" i="81"/>
  <c r="K23" i="81"/>
  <c r="L23" i="81" s="1"/>
  <c r="M23" i="80"/>
  <c r="K23" i="80"/>
  <c r="L23" i="80" s="1"/>
  <c r="M24" i="79"/>
  <c r="K24" i="79"/>
  <c r="L24" i="79" s="1"/>
  <c r="M24" i="78"/>
  <c r="K24" i="78"/>
  <c r="L24" i="78" s="1"/>
  <c r="M24" i="77"/>
  <c r="K24" i="77"/>
  <c r="L24" i="77" s="1"/>
  <c r="M24" i="76"/>
  <c r="K24" i="76"/>
  <c r="L24" i="76" s="1"/>
  <c r="M24" i="75"/>
  <c r="K24" i="75"/>
  <c r="L24" i="75" s="1"/>
  <c r="M29" i="74"/>
  <c r="K29" i="74"/>
  <c r="L29" i="74" s="1"/>
  <c r="M29" i="73"/>
  <c r="K29" i="73"/>
  <c r="L29" i="73" s="1"/>
  <c r="M27" i="72"/>
  <c r="K27" i="72"/>
  <c r="L27" i="72" s="1"/>
  <c r="M31" i="71"/>
  <c r="K31" i="71"/>
  <c r="L31" i="71" s="1"/>
  <c r="M32" i="70"/>
  <c r="K32" i="70"/>
  <c r="L32" i="70" s="1"/>
  <c r="M32" i="69"/>
  <c r="K32" i="69"/>
  <c r="L32" i="69" s="1"/>
  <c r="M25" i="68"/>
  <c r="K25" i="68"/>
  <c r="L25" i="68" s="1"/>
  <c r="M25" i="67"/>
  <c r="L25" i="67"/>
  <c r="K25" i="67"/>
  <c r="M25" i="66"/>
  <c r="K25" i="66"/>
  <c r="L25" i="66" s="1"/>
  <c r="M25" i="65"/>
  <c r="K25" i="65"/>
  <c r="L25" i="65" s="1"/>
  <c r="M26" i="64"/>
  <c r="K26" i="64"/>
  <c r="L26" i="64" s="1"/>
  <c r="M26" i="60"/>
  <c r="K26" i="60"/>
  <c r="L26" i="60" s="1"/>
  <c r="M26" i="62"/>
  <c r="K26" i="62"/>
  <c r="L26" i="62" s="1"/>
  <c r="M26" i="63"/>
  <c r="K26" i="63"/>
  <c r="L26" i="63" s="1"/>
  <c r="M26" i="61"/>
  <c r="K26" i="61"/>
  <c r="L26" i="61" s="1"/>
  <c r="M26" i="59"/>
  <c r="K26" i="59"/>
  <c r="L26" i="59" s="1"/>
  <c r="M27" i="58"/>
  <c r="K27" i="58"/>
  <c r="L27" i="58" s="1"/>
  <c r="M27" i="57"/>
  <c r="K27" i="57"/>
  <c r="L27" i="57" s="1"/>
  <c r="M27" i="56"/>
  <c r="K27" i="56"/>
  <c r="L27" i="56" s="1"/>
  <c r="M27" i="55"/>
  <c r="K27" i="55"/>
  <c r="L27" i="55" s="1"/>
  <c r="M27" i="54"/>
  <c r="K27" i="54"/>
  <c r="L27" i="54" s="1"/>
  <c r="M27" i="53"/>
  <c r="K27" i="53"/>
  <c r="L27" i="53" s="1"/>
  <c r="M27" i="46"/>
  <c r="K27" i="46"/>
  <c r="L27" i="46" s="1"/>
  <c r="M28" i="45"/>
  <c r="K28" i="45"/>
  <c r="L28" i="45" s="1"/>
  <c r="M29" i="44"/>
  <c r="K29" i="44"/>
  <c r="L29" i="44" s="1"/>
  <c r="M29" i="43"/>
  <c r="K29" i="43"/>
  <c r="L29" i="43" s="1"/>
  <c r="M29" i="42"/>
  <c r="K29" i="42"/>
  <c r="L29" i="42" s="1"/>
  <c r="M29" i="41"/>
  <c r="K29" i="41"/>
  <c r="L29" i="41" s="1"/>
  <c r="M29" i="39"/>
  <c r="K29" i="39"/>
  <c r="L29" i="39" s="1"/>
  <c r="M31" i="34"/>
  <c r="K31" i="34"/>
  <c r="L31" i="34" s="1"/>
  <c r="M31" i="32"/>
  <c r="K31" i="32"/>
  <c r="L31" i="32" s="1"/>
  <c r="M31" i="31"/>
  <c r="K31" i="31"/>
  <c r="L31" i="31" s="1"/>
  <c r="M32" i="30"/>
  <c r="K32" i="30"/>
  <c r="L32" i="30" s="1"/>
  <c r="M32" i="29"/>
  <c r="K32" i="29"/>
  <c r="L32" i="29" s="1"/>
  <c r="M33" i="28"/>
  <c r="K33" i="28"/>
  <c r="L33" i="28" s="1"/>
  <c r="M32" i="27"/>
  <c r="K32" i="27"/>
  <c r="L32" i="27" s="1"/>
  <c r="M31" i="24"/>
  <c r="K31" i="24"/>
  <c r="L31" i="24" s="1"/>
  <c r="M31" i="23"/>
  <c r="K31" i="23"/>
  <c r="L31" i="23" s="1"/>
  <c r="M30" i="22"/>
  <c r="K30" i="22"/>
  <c r="L30" i="22" s="1"/>
  <c r="M30" i="21"/>
  <c r="K30" i="21"/>
  <c r="L30" i="21" s="1"/>
  <c r="M30" i="20"/>
  <c r="K30" i="20"/>
  <c r="L30" i="20" s="1"/>
  <c r="M30" i="19"/>
  <c r="K30" i="19"/>
  <c r="L30" i="19" s="1"/>
  <c r="M30" i="18"/>
  <c r="K30" i="18"/>
  <c r="L30" i="18" s="1"/>
  <c r="M30" i="17"/>
  <c r="K30" i="17"/>
  <c r="L30" i="17" s="1"/>
  <c r="M30" i="3"/>
  <c r="K30" i="3"/>
  <c r="L30" i="3" s="1"/>
  <c r="N100" i="99"/>
  <c r="L100" i="99"/>
  <c r="M100" i="99" s="1"/>
  <c r="N99" i="99"/>
  <c r="L99" i="99"/>
  <c r="M99" i="99" s="1"/>
  <c r="N100" i="98"/>
  <c r="L100" i="98"/>
  <c r="M100" i="98" s="1"/>
  <c r="N99" i="98"/>
  <c r="L99" i="98"/>
  <c r="M99" i="98" s="1"/>
  <c r="N100" i="97"/>
  <c r="L100" i="97"/>
  <c r="M100" i="97" s="1"/>
  <c r="N99" i="97"/>
  <c r="L99" i="97"/>
  <c r="M99" i="97" s="1"/>
  <c r="N101" i="96"/>
  <c r="L101" i="96"/>
  <c r="M101" i="96" s="1"/>
  <c r="N100" i="96"/>
  <c r="M100" i="96"/>
  <c r="L100" i="96"/>
  <c r="N101" i="95"/>
  <c r="L101" i="95"/>
  <c r="M101" i="95" s="1"/>
  <c r="N100" i="95"/>
  <c r="L100" i="95"/>
  <c r="M100" i="95" s="1"/>
  <c r="N102" i="94"/>
  <c r="L102" i="94"/>
  <c r="M102" i="94" s="1"/>
  <c r="N101" i="94"/>
  <c r="L101" i="94"/>
  <c r="M101" i="94" s="1"/>
  <c r="N100" i="94"/>
  <c r="L100" i="94"/>
  <c r="M100" i="94" s="1"/>
  <c r="N101" i="93"/>
  <c r="L101" i="93"/>
  <c r="M101" i="93" s="1"/>
  <c r="N100" i="93"/>
  <c r="L100" i="93"/>
  <c r="M100" i="93" s="1"/>
  <c r="N102" i="92"/>
  <c r="L102" i="92"/>
  <c r="M102" i="92" s="1"/>
  <c r="N101" i="92"/>
  <c r="L101" i="92"/>
  <c r="M101" i="92" s="1"/>
  <c r="N102" i="91"/>
  <c r="L102" i="91"/>
  <c r="M102" i="91" s="1"/>
  <c r="N101" i="91"/>
  <c r="L101" i="91"/>
  <c r="M101" i="91" s="1"/>
  <c r="N102" i="90"/>
  <c r="L102" i="90"/>
  <c r="M102" i="90" s="1"/>
  <c r="N101" i="90"/>
  <c r="L101" i="90"/>
  <c r="M101" i="90" s="1"/>
  <c r="N102" i="89"/>
  <c r="L102" i="89"/>
  <c r="M102" i="89" s="1"/>
  <c r="N101" i="89"/>
  <c r="L101" i="89"/>
  <c r="M101" i="89" s="1"/>
  <c r="N102" i="88"/>
  <c r="L102" i="88"/>
  <c r="M102" i="88" s="1"/>
  <c r="N101" i="88"/>
  <c r="L101" i="88"/>
  <c r="M101" i="88" s="1"/>
  <c r="N102" i="87"/>
  <c r="L102" i="87"/>
  <c r="M102" i="87" s="1"/>
  <c r="N101" i="87"/>
  <c r="L101" i="87"/>
  <c r="M101" i="87" s="1"/>
  <c r="N102" i="86"/>
  <c r="L102" i="86"/>
  <c r="M102" i="86" s="1"/>
  <c r="N101" i="86"/>
  <c r="L101" i="86"/>
  <c r="M101" i="86" s="1"/>
  <c r="N103" i="85"/>
  <c r="L103" i="85"/>
  <c r="M103" i="85" s="1"/>
  <c r="N102" i="85"/>
  <c r="L102" i="85"/>
  <c r="M102" i="85" s="1"/>
  <c r="N102" i="84"/>
  <c r="L102" i="84"/>
  <c r="M102" i="84" s="1"/>
  <c r="N101" i="84"/>
  <c r="L101" i="84"/>
  <c r="M101" i="84" s="1"/>
  <c r="N103" i="83"/>
  <c r="L103" i="83"/>
  <c r="M103" i="83" s="1"/>
  <c r="N102" i="83"/>
  <c r="L102" i="83"/>
  <c r="M102" i="83" s="1"/>
  <c r="N103" i="82"/>
  <c r="L103" i="82"/>
  <c r="M103" i="82" s="1"/>
  <c r="N102" i="82"/>
  <c r="L102" i="82"/>
  <c r="M102" i="82" s="1"/>
  <c r="N103" i="81"/>
  <c r="L103" i="81"/>
  <c r="M103" i="81" s="1"/>
  <c r="N102" i="81"/>
  <c r="L102" i="81"/>
  <c r="M102" i="81" s="1"/>
  <c r="N103" i="80"/>
  <c r="L103" i="80"/>
  <c r="M103" i="80" s="1"/>
  <c r="N102" i="80"/>
  <c r="L102" i="80"/>
  <c r="M102" i="80" s="1"/>
  <c r="N104" i="79"/>
  <c r="L104" i="79"/>
  <c r="M104" i="79" s="1"/>
  <c r="N103" i="79"/>
  <c r="L103" i="79"/>
  <c r="M103" i="79" s="1"/>
  <c r="N104" i="78"/>
  <c r="L104" i="78"/>
  <c r="M104" i="78" s="1"/>
  <c r="N103" i="78"/>
  <c r="L103" i="78"/>
  <c r="M103" i="78" s="1"/>
  <c r="N104" i="77"/>
  <c r="L104" i="77"/>
  <c r="M104" i="77" s="1"/>
  <c r="N103" i="77"/>
  <c r="L103" i="77"/>
  <c r="M103" i="77" s="1"/>
  <c r="N104" i="76"/>
  <c r="L104" i="76"/>
  <c r="M104" i="76" s="1"/>
  <c r="N103" i="76"/>
  <c r="L103" i="76"/>
  <c r="M103" i="76" s="1"/>
  <c r="N104" i="75"/>
  <c r="L104" i="75"/>
  <c r="M104" i="75" s="1"/>
  <c r="N103" i="75"/>
  <c r="L103" i="75"/>
  <c r="M103" i="75" s="1"/>
  <c r="N109" i="74"/>
  <c r="L109" i="74"/>
  <c r="M109" i="74" s="1"/>
  <c r="N108" i="74"/>
  <c r="L108" i="74"/>
  <c r="M108" i="74" s="1"/>
  <c r="N107" i="74"/>
  <c r="L107" i="74"/>
  <c r="M107" i="74" s="1"/>
  <c r="N109" i="73"/>
  <c r="L109" i="73"/>
  <c r="M109" i="73" s="1"/>
  <c r="N108" i="73"/>
  <c r="L108" i="73"/>
  <c r="M108" i="73" s="1"/>
  <c r="N107" i="72"/>
  <c r="L107" i="72"/>
  <c r="M107" i="72" s="1"/>
  <c r="N106" i="72"/>
  <c r="L106" i="72"/>
  <c r="M106" i="72" s="1"/>
  <c r="N111" i="71"/>
  <c r="L111" i="71"/>
  <c r="M111" i="71" s="1"/>
  <c r="N110" i="71"/>
  <c r="L110" i="71"/>
  <c r="M110" i="71" s="1"/>
  <c r="N112" i="70"/>
  <c r="L112" i="70"/>
  <c r="M112" i="70" s="1"/>
  <c r="N111" i="70"/>
  <c r="L111" i="70"/>
  <c r="M111" i="70" s="1"/>
  <c r="N112" i="69"/>
  <c r="L112" i="69"/>
  <c r="M112" i="69" s="1"/>
  <c r="N111" i="69"/>
  <c r="L111" i="69"/>
  <c r="M111" i="69" s="1"/>
  <c r="N105" i="68"/>
  <c r="L105" i="68"/>
  <c r="M105" i="68" s="1"/>
  <c r="N104" i="68"/>
  <c r="L104" i="68"/>
  <c r="M104" i="68" s="1"/>
  <c r="N105" i="67"/>
  <c r="L105" i="67"/>
  <c r="M105" i="67" s="1"/>
  <c r="N104" i="67"/>
  <c r="L104" i="67"/>
  <c r="M104" i="67" s="1"/>
  <c r="N105" i="66"/>
  <c r="L105" i="66"/>
  <c r="M105" i="66" s="1"/>
  <c r="N104" i="66"/>
  <c r="L104" i="66"/>
  <c r="M104" i="66" s="1"/>
  <c r="N105" i="65"/>
  <c r="L105" i="65"/>
  <c r="M105" i="65" s="1"/>
  <c r="N104" i="65"/>
  <c r="L104" i="65"/>
  <c r="M104" i="65" s="1"/>
  <c r="N106" i="64"/>
  <c r="L106" i="64"/>
  <c r="M106" i="64" s="1"/>
  <c r="N105" i="64"/>
  <c r="L105" i="64"/>
  <c r="M105" i="64" s="1"/>
  <c r="N106" i="60"/>
  <c r="L106" i="60"/>
  <c r="M106" i="60" s="1"/>
  <c r="N105" i="60"/>
  <c r="L105" i="60"/>
  <c r="M105" i="60" s="1"/>
  <c r="N106" i="62"/>
  <c r="L106" i="62"/>
  <c r="M106" i="62" s="1"/>
  <c r="N105" i="62"/>
  <c r="L105" i="62"/>
  <c r="M105" i="62" s="1"/>
  <c r="N106" i="63"/>
  <c r="L106" i="63"/>
  <c r="M106" i="63" s="1"/>
  <c r="N105" i="63"/>
  <c r="L105" i="63"/>
  <c r="M105" i="63" s="1"/>
  <c r="N106" i="61"/>
  <c r="L106" i="61"/>
  <c r="M106" i="61" s="1"/>
  <c r="N105" i="61"/>
  <c r="L105" i="61"/>
  <c r="M105" i="61" s="1"/>
  <c r="N106" i="59"/>
  <c r="L106" i="59"/>
  <c r="M106" i="59" s="1"/>
  <c r="N105" i="59"/>
  <c r="L105" i="59"/>
  <c r="M105" i="59" s="1"/>
  <c r="N107" i="58"/>
  <c r="L107" i="58"/>
  <c r="M107" i="58" s="1"/>
  <c r="N106" i="58"/>
  <c r="L106" i="58"/>
  <c r="M106" i="58" s="1"/>
  <c r="N107" i="57"/>
  <c r="L107" i="57"/>
  <c r="M107" i="57" s="1"/>
  <c r="N106" i="57"/>
  <c r="L106" i="57"/>
  <c r="M106" i="57" s="1"/>
  <c r="N107" i="56"/>
  <c r="L107" i="56"/>
  <c r="M107" i="56" s="1"/>
  <c r="N106" i="56"/>
  <c r="L106" i="56"/>
  <c r="M106" i="56" s="1"/>
  <c r="N107" i="55"/>
  <c r="L107" i="55"/>
  <c r="M107" i="55" s="1"/>
  <c r="N106" i="55"/>
  <c r="L106" i="55"/>
  <c r="M106" i="55" s="1"/>
  <c r="N107" i="54"/>
  <c r="L107" i="54"/>
  <c r="M107" i="54" s="1"/>
  <c r="N106" i="54"/>
  <c r="L106" i="54"/>
  <c r="M106" i="54" s="1"/>
  <c r="N107" i="53"/>
  <c r="L107" i="53"/>
  <c r="M107" i="53" s="1"/>
  <c r="N106" i="53"/>
  <c r="L106" i="53"/>
  <c r="M106" i="53" s="1"/>
  <c r="N107" i="46"/>
  <c r="L107" i="46"/>
  <c r="M107" i="46" s="1"/>
  <c r="N106" i="46"/>
  <c r="L106" i="46"/>
  <c r="M106" i="46" s="1"/>
  <c r="N108" i="45"/>
  <c r="L108" i="45"/>
  <c r="M108" i="45" s="1"/>
  <c r="N107" i="45"/>
  <c r="L107" i="45"/>
  <c r="M107" i="45" s="1"/>
  <c r="N109" i="44"/>
  <c r="L109" i="44"/>
  <c r="M109" i="44" s="1"/>
  <c r="N108" i="44"/>
  <c r="L108" i="44"/>
  <c r="M108" i="44" s="1"/>
  <c r="N109" i="43"/>
  <c r="L109" i="43"/>
  <c r="M109" i="43" s="1"/>
  <c r="N108" i="43"/>
  <c r="L108" i="43"/>
  <c r="M108" i="43" s="1"/>
  <c r="N109" i="42"/>
  <c r="L109" i="42"/>
  <c r="M109" i="42" s="1"/>
  <c r="N108" i="42"/>
  <c r="L108" i="42"/>
  <c r="M108" i="42" s="1"/>
  <c r="N109" i="41"/>
  <c r="L109" i="41"/>
  <c r="M109" i="41" s="1"/>
  <c r="N108" i="41"/>
  <c r="L108" i="41"/>
  <c r="M108" i="41" s="1"/>
  <c r="N109" i="39"/>
  <c r="L109" i="39"/>
  <c r="M109" i="39" s="1"/>
  <c r="N108" i="39"/>
  <c r="L108" i="39"/>
  <c r="M108" i="39" s="1"/>
  <c r="N111" i="34"/>
  <c r="L111" i="34"/>
  <c r="M111" i="34" s="1"/>
  <c r="N110" i="34"/>
  <c r="L110" i="34"/>
  <c r="M110" i="34" s="1"/>
  <c r="N111" i="32"/>
  <c r="L111" i="32"/>
  <c r="M111" i="32" s="1"/>
  <c r="N110" i="32"/>
  <c r="L110" i="32"/>
  <c r="M110" i="32" s="1"/>
  <c r="N111" i="31"/>
  <c r="L111" i="31"/>
  <c r="M111" i="31" s="1"/>
  <c r="N110" i="31"/>
  <c r="L110" i="31"/>
  <c r="M110" i="31" s="1"/>
  <c r="N112" i="30"/>
  <c r="L112" i="30"/>
  <c r="M112" i="30" s="1"/>
  <c r="N111" i="30"/>
  <c r="L111" i="30"/>
  <c r="M111" i="30" s="1"/>
  <c r="N112" i="29"/>
  <c r="L112" i="29"/>
  <c r="M112" i="29" s="1"/>
  <c r="N111" i="29"/>
  <c r="L111" i="29"/>
  <c r="M111" i="29" s="1"/>
  <c r="N113" i="28"/>
  <c r="L113" i="28"/>
  <c r="M113" i="28" s="1"/>
  <c r="N112" i="28"/>
  <c r="L112" i="28"/>
  <c r="M112" i="28" s="1"/>
  <c r="N112" i="27"/>
  <c r="L112" i="27"/>
  <c r="M112" i="27" s="1"/>
  <c r="N111" i="27"/>
  <c r="L111" i="27"/>
  <c r="M111" i="27" s="1"/>
  <c r="N111" i="24"/>
  <c r="L111" i="24"/>
  <c r="M111" i="24" s="1"/>
  <c r="N110" i="24"/>
  <c r="L110" i="24"/>
  <c r="M110" i="24" s="1"/>
  <c r="N111" i="23"/>
  <c r="L111" i="23"/>
  <c r="M111" i="23" s="1"/>
  <c r="N110" i="23"/>
  <c r="L110" i="23"/>
  <c r="M110" i="23" s="1"/>
  <c r="N110" i="22"/>
  <c r="L110" i="22"/>
  <c r="M110" i="22" s="1"/>
  <c r="N109" i="22"/>
  <c r="L109" i="22"/>
  <c r="M109" i="22" s="1"/>
  <c r="N110" i="21"/>
  <c r="L110" i="21"/>
  <c r="M110" i="21" s="1"/>
  <c r="N109" i="21"/>
  <c r="L109" i="21"/>
  <c r="M109" i="21" s="1"/>
  <c r="M19" i="99"/>
  <c r="K19" i="99"/>
  <c r="L19" i="99" s="1"/>
  <c r="M19" i="98"/>
  <c r="K19" i="98"/>
  <c r="L19" i="98" s="1"/>
  <c r="M19" i="97"/>
  <c r="K19" i="97"/>
  <c r="L19" i="97" s="1"/>
  <c r="M20" i="96"/>
  <c r="K20" i="96"/>
  <c r="L20" i="96" s="1"/>
  <c r="M20" i="95"/>
  <c r="K20" i="95"/>
  <c r="L20" i="95" s="1"/>
  <c r="M21" i="94"/>
  <c r="K21" i="94"/>
  <c r="L21" i="94" s="1"/>
  <c r="M20" i="93"/>
  <c r="K20" i="93"/>
  <c r="L20" i="93" s="1"/>
  <c r="M21" i="92"/>
  <c r="K21" i="92"/>
  <c r="L21" i="92" s="1"/>
  <c r="M21" i="91"/>
  <c r="K21" i="91"/>
  <c r="L21" i="91" s="1"/>
  <c r="M21" i="90"/>
  <c r="K21" i="90"/>
  <c r="L21" i="90" s="1"/>
  <c r="M21" i="89"/>
  <c r="K21" i="89"/>
  <c r="L21" i="89" s="1"/>
  <c r="M21" i="88"/>
  <c r="K21" i="88"/>
  <c r="L21" i="88" s="1"/>
  <c r="M21" i="87"/>
  <c r="K21" i="87"/>
  <c r="L21" i="87" s="1"/>
  <c r="M22" i="86"/>
  <c r="K22" i="86"/>
  <c r="L22" i="86" s="1"/>
  <c r="M22" i="85"/>
  <c r="K22" i="85"/>
  <c r="L22" i="85" s="1"/>
  <c r="M22" i="84"/>
  <c r="K22" i="84"/>
  <c r="L22" i="84" s="1"/>
  <c r="M22" i="83"/>
  <c r="K22" i="83"/>
  <c r="L22" i="83" s="1"/>
  <c r="M22" i="82"/>
  <c r="K22" i="82"/>
  <c r="L22" i="82" s="1"/>
  <c r="M22" i="81"/>
  <c r="K22" i="81"/>
  <c r="L22" i="81" s="1"/>
  <c r="M22" i="80"/>
  <c r="K22" i="80"/>
  <c r="L22" i="80" s="1"/>
  <c r="M23" i="79"/>
  <c r="K23" i="79"/>
  <c r="L23" i="79" s="1"/>
  <c r="M23" i="78"/>
  <c r="K23" i="78"/>
  <c r="L23" i="78" s="1"/>
  <c r="M23" i="77"/>
  <c r="K23" i="77"/>
  <c r="L23" i="77" s="1"/>
  <c r="M23" i="76"/>
  <c r="K23" i="76"/>
  <c r="L23" i="76" s="1"/>
  <c r="M23" i="75"/>
  <c r="K23" i="75"/>
  <c r="L23" i="75" s="1"/>
  <c r="M28" i="74"/>
  <c r="K28" i="74"/>
  <c r="L28" i="74" s="1"/>
  <c r="M28" i="73"/>
  <c r="K28" i="73"/>
  <c r="L28" i="73" s="1"/>
  <c r="M26" i="72"/>
  <c r="K26" i="72"/>
  <c r="L26" i="72" s="1"/>
  <c r="M30" i="71"/>
  <c r="K30" i="71"/>
  <c r="L30" i="71" s="1"/>
  <c r="M31" i="70"/>
  <c r="K31" i="70"/>
  <c r="L31" i="70" s="1"/>
  <c r="M31" i="69"/>
  <c r="K31" i="69"/>
  <c r="L31" i="69" s="1"/>
  <c r="M24" i="68"/>
  <c r="K24" i="68"/>
  <c r="L24" i="68" s="1"/>
  <c r="M24" i="67"/>
  <c r="K24" i="67"/>
  <c r="L24" i="67" s="1"/>
  <c r="M24" i="66"/>
  <c r="K24" i="66"/>
  <c r="L24" i="66" s="1"/>
  <c r="M24" i="65"/>
  <c r="K24" i="65"/>
  <c r="L24" i="65" s="1"/>
  <c r="M25" i="64"/>
  <c r="K25" i="64"/>
  <c r="L25" i="64" s="1"/>
  <c r="M25" i="60"/>
  <c r="K25" i="60"/>
  <c r="L25" i="60" s="1"/>
  <c r="M25" i="62"/>
  <c r="K25" i="62"/>
  <c r="L25" i="62" s="1"/>
  <c r="M25" i="63"/>
  <c r="K25" i="63"/>
  <c r="L25" i="63" s="1"/>
  <c r="M25" i="61"/>
  <c r="K25" i="61"/>
  <c r="L25" i="61" s="1"/>
  <c r="M25" i="59"/>
  <c r="K25" i="59"/>
  <c r="L25" i="59" s="1"/>
  <c r="M26" i="58"/>
  <c r="K26" i="58"/>
  <c r="L26" i="58" s="1"/>
  <c r="M26" i="57"/>
  <c r="K26" i="57"/>
  <c r="L26" i="57" s="1"/>
  <c r="M26" i="56"/>
  <c r="K26" i="56"/>
  <c r="L26" i="56" s="1"/>
  <c r="M26" i="55"/>
  <c r="K26" i="55"/>
  <c r="L26" i="55" s="1"/>
  <c r="M26" i="54"/>
  <c r="K26" i="54"/>
  <c r="L26" i="54" s="1"/>
  <c r="M26" i="53"/>
  <c r="K26" i="53"/>
  <c r="L26" i="53" s="1"/>
  <c r="M26" i="46"/>
  <c r="K26" i="46"/>
  <c r="L26" i="46" s="1"/>
  <c r="M27" i="45"/>
  <c r="K27" i="45"/>
  <c r="L27" i="45" s="1"/>
  <c r="M28" i="44"/>
  <c r="K28" i="44"/>
  <c r="L28" i="44" s="1"/>
  <c r="M28" i="43"/>
  <c r="K28" i="43"/>
  <c r="L28" i="43" s="1"/>
  <c r="M28" i="42"/>
  <c r="K28" i="42"/>
  <c r="L28" i="42" s="1"/>
  <c r="M28" i="41"/>
  <c r="K28" i="41"/>
  <c r="L28" i="41" s="1"/>
  <c r="M28" i="39"/>
  <c r="K28" i="39"/>
  <c r="L28" i="39" s="1"/>
  <c r="M30" i="34"/>
  <c r="K30" i="34"/>
  <c r="L30" i="34" s="1"/>
  <c r="M30" i="32"/>
  <c r="K30" i="32"/>
  <c r="L30" i="32" s="1"/>
  <c r="M30" i="31"/>
  <c r="K30" i="31"/>
  <c r="L30" i="31" s="1"/>
  <c r="M31" i="30"/>
  <c r="K31" i="30"/>
  <c r="L31" i="30" s="1"/>
  <c r="M31" i="29"/>
  <c r="K31" i="29"/>
  <c r="L31" i="29" s="1"/>
  <c r="M32" i="28"/>
  <c r="K32" i="28"/>
  <c r="L32" i="28" s="1"/>
  <c r="M31" i="27"/>
  <c r="K31" i="27"/>
  <c r="L31" i="27" s="1"/>
  <c r="M30" i="24"/>
  <c r="K30" i="24"/>
  <c r="L30" i="24" s="1"/>
  <c r="M30" i="23"/>
  <c r="K30" i="23"/>
  <c r="L30" i="23" s="1"/>
  <c r="M29" i="22"/>
  <c r="K29" i="22"/>
  <c r="L29" i="22" s="1"/>
  <c r="I27" i="3"/>
  <c r="I28" i="3"/>
  <c r="I29" i="3"/>
  <c r="M29" i="21" l="1"/>
  <c r="K29" i="21"/>
  <c r="L29" i="21" s="1"/>
  <c r="N110" i="20"/>
  <c r="L110" i="20"/>
  <c r="M110" i="20" s="1"/>
  <c r="N109" i="20"/>
  <c r="L109" i="20"/>
  <c r="M109" i="20" s="1"/>
  <c r="M29" i="20"/>
  <c r="K29" i="20"/>
  <c r="L29" i="20" s="1"/>
  <c r="N110" i="19"/>
  <c r="L110" i="19"/>
  <c r="M110" i="19" s="1"/>
  <c r="N109" i="19"/>
  <c r="L109" i="19"/>
  <c r="M109" i="19" s="1"/>
  <c r="M29" i="19"/>
  <c r="K29" i="19"/>
  <c r="L29" i="19" s="1"/>
  <c r="N110" i="18"/>
  <c r="L110" i="18"/>
  <c r="M110" i="18" s="1"/>
  <c r="N109" i="18"/>
  <c r="L109" i="18"/>
  <c r="M109" i="18" s="1"/>
  <c r="M29" i="18"/>
  <c r="K29" i="18"/>
  <c r="L29" i="18" s="1"/>
  <c r="N110" i="17"/>
  <c r="L110" i="17"/>
  <c r="M110" i="17" s="1"/>
  <c r="N109" i="17"/>
  <c r="L109" i="17"/>
  <c r="M109" i="17" s="1"/>
  <c r="M29" i="17"/>
  <c r="K29" i="17"/>
  <c r="L29" i="17" s="1"/>
  <c r="M29" i="3"/>
  <c r="K29" i="3"/>
  <c r="L29" i="3" s="1"/>
  <c r="N110" i="3"/>
  <c r="L110" i="3"/>
  <c r="M110" i="3" s="1"/>
  <c r="N109" i="3"/>
  <c r="L109" i="3"/>
  <c r="M109" i="3" s="1"/>
  <c r="T14" i="36" l="1"/>
  <c r="I17" i="99" l="1"/>
  <c r="M20" i="94" l="1"/>
  <c r="K20" i="94"/>
  <c r="L20" i="94" s="1"/>
  <c r="M21" i="86"/>
  <c r="K21" i="86"/>
  <c r="L21" i="86" s="1"/>
  <c r="M27" i="74"/>
  <c r="K27" i="74"/>
  <c r="L27" i="74" s="1"/>
  <c r="M26" i="74"/>
  <c r="K26" i="74"/>
  <c r="L26" i="74" s="1"/>
  <c r="M18" i="99" l="1"/>
  <c r="K18" i="99"/>
  <c r="L18" i="99" s="1"/>
  <c r="M17" i="99"/>
  <c r="K17" i="99"/>
  <c r="L17" i="99" s="1"/>
  <c r="M18" i="97"/>
  <c r="K18" i="97"/>
  <c r="L18" i="97" s="1"/>
  <c r="M19" i="96"/>
  <c r="K19" i="96"/>
  <c r="L19" i="96" s="1"/>
  <c r="M19" i="95"/>
  <c r="K19" i="95"/>
  <c r="L19" i="95" s="1"/>
  <c r="M19" i="94"/>
  <c r="K19" i="94"/>
  <c r="L19" i="94" s="1"/>
  <c r="M19" i="93"/>
  <c r="K19" i="93"/>
  <c r="L19" i="93" s="1"/>
  <c r="M20" i="92"/>
  <c r="K20" i="92"/>
  <c r="L20" i="92" s="1"/>
  <c r="M20" i="91"/>
  <c r="K20" i="91"/>
  <c r="L20" i="91" s="1"/>
  <c r="M20" i="90"/>
  <c r="K20" i="90"/>
  <c r="L20" i="90" s="1"/>
  <c r="M20" i="89"/>
  <c r="K20" i="89"/>
  <c r="L20" i="89" s="1"/>
  <c r="M20" i="88"/>
  <c r="K20" i="88"/>
  <c r="L20" i="88" s="1"/>
  <c r="M20" i="87"/>
  <c r="K20" i="87"/>
  <c r="L20" i="87" s="1"/>
  <c r="M20" i="86"/>
  <c r="K20" i="86"/>
  <c r="L20" i="86" s="1"/>
  <c r="M21" i="85"/>
  <c r="K21" i="85"/>
  <c r="L21" i="85" s="1"/>
  <c r="M21" i="84"/>
  <c r="K21" i="84"/>
  <c r="L21" i="84" s="1"/>
  <c r="M21" i="83"/>
  <c r="K21" i="83"/>
  <c r="L21" i="83" s="1"/>
  <c r="M21" i="82"/>
  <c r="K21" i="82"/>
  <c r="L21" i="82" s="1"/>
  <c r="M21" i="81"/>
  <c r="K21" i="81"/>
  <c r="L21" i="81" s="1"/>
  <c r="M21" i="80"/>
  <c r="K21" i="80"/>
  <c r="L21" i="80" s="1"/>
  <c r="M22" i="79"/>
  <c r="K22" i="79"/>
  <c r="L22" i="79" s="1"/>
  <c r="M22" i="78"/>
  <c r="K22" i="78"/>
  <c r="L22" i="78" s="1"/>
  <c r="M22" i="77"/>
  <c r="K22" i="77"/>
  <c r="L22" i="77" s="1"/>
  <c r="M22" i="76" l="1"/>
  <c r="K22" i="76"/>
  <c r="L22" i="76" s="1"/>
  <c r="M22" i="75"/>
  <c r="K22" i="75"/>
  <c r="L22" i="75" s="1"/>
  <c r="M27" i="73"/>
  <c r="K27" i="73"/>
  <c r="L27" i="73" s="1"/>
  <c r="M25" i="72"/>
  <c r="K25" i="72"/>
  <c r="L25" i="72" s="1"/>
  <c r="K23" i="66"/>
  <c r="L23" i="66" s="1"/>
  <c r="M23" i="66"/>
  <c r="K24" i="63"/>
  <c r="L24" i="63" s="1"/>
  <c r="M24" i="63"/>
  <c r="M25" i="55"/>
  <c r="M25" i="53"/>
  <c r="M26" i="45"/>
  <c r="M27" i="41"/>
  <c r="K30" i="29"/>
  <c r="L30" i="29" s="1"/>
  <c r="M30" i="29"/>
  <c r="M30" i="27"/>
  <c r="M29" i="24"/>
  <c r="M28" i="18"/>
  <c r="M29" i="71"/>
  <c r="K29" i="71"/>
  <c r="L29" i="71" s="1"/>
  <c r="M28" i="22"/>
  <c r="K28" i="22"/>
  <c r="L28" i="22" s="1"/>
  <c r="M30" i="70" l="1"/>
  <c r="K30" i="70"/>
  <c r="L30" i="70" s="1"/>
  <c r="M30" i="69"/>
  <c r="K30" i="69"/>
  <c r="L30" i="69" s="1"/>
  <c r="M23" i="68"/>
  <c r="K23" i="68"/>
  <c r="L23" i="68" s="1"/>
  <c r="M23" i="67"/>
  <c r="K23" i="67"/>
  <c r="L23" i="67" s="1"/>
  <c r="M23" i="65"/>
  <c r="K23" i="65"/>
  <c r="L23" i="65" s="1"/>
  <c r="M24" i="64"/>
  <c r="K24" i="64"/>
  <c r="L24" i="64" s="1"/>
  <c r="M24" i="60"/>
  <c r="K24" i="60"/>
  <c r="L24" i="60" s="1"/>
  <c r="M24" i="62"/>
  <c r="K24" i="62"/>
  <c r="L24" i="62" s="1"/>
  <c r="M24" i="61"/>
  <c r="K24" i="61"/>
  <c r="L24" i="61" s="1"/>
  <c r="M24" i="59"/>
  <c r="K24" i="59"/>
  <c r="L24" i="59" s="1"/>
  <c r="M25" i="58"/>
  <c r="K25" i="58"/>
  <c r="L25" i="58" s="1"/>
  <c r="M25" i="57"/>
  <c r="K25" i="57"/>
  <c r="L25" i="57" s="1"/>
  <c r="M25" i="56"/>
  <c r="K25" i="56"/>
  <c r="L25" i="56" s="1"/>
  <c r="K25" i="55"/>
  <c r="L25" i="55" s="1"/>
  <c r="M25" i="54"/>
  <c r="K25" i="54"/>
  <c r="L25" i="54" s="1"/>
  <c r="K25" i="53"/>
  <c r="L25" i="53" s="1"/>
  <c r="M25" i="46"/>
  <c r="K25" i="46"/>
  <c r="L25" i="46" s="1"/>
  <c r="K26" i="45"/>
  <c r="L26" i="45" s="1"/>
  <c r="M27" i="44"/>
  <c r="K27" i="44"/>
  <c r="L27" i="44" s="1"/>
  <c r="M27" i="43"/>
  <c r="K27" i="43"/>
  <c r="L27" i="43" s="1"/>
  <c r="M27" i="42"/>
  <c r="K27" i="42"/>
  <c r="L27" i="42" s="1"/>
  <c r="K27" i="41"/>
  <c r="L27" i="41" s="1"/>
  <c r="M27" i="39"/>
  <c r="K27" i="39"/>
  <c r="L27" i="39" s="1"/>
  <c r="M29" i="34"/>
  <c r="K29" i="34"/>
  <c r="L29" i="34" s="1"/>
  <c r="M29" i="32"/>
  <c r="K29" i="32"/>
  <c r="L29" i="32" s="1"/>
  <c r="M29" i="31"/>
  <c r="M30" i="30"/>
  <c r="K30" i="30"/>
  <c r="L30" i="30" s="1"/>
  <c r="M31" i="28"/>
  <c r="K31" i="28"/>
  <c r="L31" i="28" s="1"/>
  <c r="K30" i="27"/>
  <c r="L30" i="27" s="1"/>
  <c r="K29" i="24"/>
  <c r="L29" i="24" s="1"/>
  <c r="M29" i="23"/>
  <c r="K29" i="23"/>
  <c r="L29" i="23" s="1"/>
  <c r="M28" i="21"/>
  <c r="K28" i="21"/>
  <c r="L28" i="21" s="1"/>
  <c r="M28" i="20"/>
  <c r="K28" i="20"/>
  <c r="L28" i="20" s="1"/>
  <c r="M28" i="19"/>
  <c r="K28" i="19"/>
  <c r="L28" i="19" s="1"/>
  <c r="K28" i="18"/>
  <c r="L28" i="18" s="1"/>
  <c r="K28" i="17"/>
  <c r="L28" i="17" s="1"/>
  <c r="M28" i="17"/>
  <c r="M28" i="3"/>
  <c r="K28" i="3"/>
  <c r="L28" i="3" s="1"/>
  <c r="K29" i="31" l="1"/>
  <c r="L29" i="31" s="1"/>
  <c r="I13" i="36" l="1"/>
  <c r="W91" i="36" l="1"/>
  <c r="W90" i="36"/>
  <c r="W89" i="36"/>
  <c r="P91" i="36"/>
  <c r="P1" i="99"/>
  <c r="P83" i="99" s="1"/>
  <c r="P154" i="99"/>
  <c r="O154" i="99"/>
  <c r="M154" i="99"/>
  <c r="J154" i="99"/>
  <c r="P153" i="99"/>
  <c r="O153" i="99"/>
  <c r="M153" i="99"/>
  <c r="J153" i="99"/>
  <c r="P152" i="99"/>
  <c r="O152" i="99"/>
  <c r="M152" i="99"/>
  <c r="J152" i="99"/>
  <c r="P151" i="99"/>
  <c r="O151" i="99"/>
  <c r="M151" i="99"/>
  <c r="J151" i="99"/>
  <c r="P150" i="99"/>
  <c r="O150" i="99"/>
  <c r="M150" i="99"/>
  <c r="J150" i="99"/>
  <c r="P149" i="99"/>
  <c r="O149" i="99"/>
  <c r="M149" i="99"/>
  <c r="J149" i="99"/>
  <c r="P148" i="99"/>
  <c r="O148" i="99"/>
  <c r="M148" i="99"/>
  <c r="J148" i="99"/>
  <c r="P147" i="99"/>
  <c r="O147" i="99"/>
  <c r="M147" i="99"/>
  <c r="J147" i="99"/>
  <c r="P146" i="99"/>
  <c r="O146" i="99"/>
  <c r="M146" i="99"/>
  <c r="J146" i="99"/>
  <c r="P145" i="99"/>
  <c r="O145" i="99"/>
  <c r="M145" i="99"/>
  <c r="J145" i="99"/>
  <c r="P144" i="99"/>
  <c r="O144" i="99"/>
  <c r="M144" i="99"/>
  <c r="J144" i="99"/>
  <c r="P143" i="99"/>
  <c r="O143" i="99"/>
  <c r="M143" i="99"/>
  <c r="J143" i="99"/>
  <c r="P142" i="99"/>
  <c r="O142" i="99"/>
  <c r="M142" i="99"/>
  <c r="J142" i="99"/>
  <c r="P141" i="99"/>
  <c r="O141" i="99"/>
  <c r="M141" i="99"/>
  <c r="J141" i="99"/>
  <c r="P140" i="99"/>
  <c r="O140" i="99"/>
  <c r="M140" i="99"/>
  <c r="J140" i="99"/>
  <c r="P139" i="99"/>
  <c r="O139" i="99"/>
  <c r="M139" i="99"/>
  <c r="J139" i="99"/>
  <c r="P138" i="99"/>
  <c r="O138" i="99"/>
  <c r="M138" i="99"/>
  <c r="J138" i="99"/>
  <c r="P137" i="99"/>
  <c r="O137" i="99"/>
  <c r="M137" i="99"/>
  <c r="J137" i="99"/>
  <c r="P136" i="99"/>
  <c r="O136" i="99"/>
  <c r="M136" i="99"/>
  <c r="J136" i="99"/>
  <c r="P135" i="99"/>
  <c r="O135" i="99"/>
  <c r="M135" i="99"/>
  <c r="J135" i="99"/>
  <c r="P134" i="99"/>
  <c r="O134" i="99"/>
  <c r="M134" i="99"/>
  <c r="J134" i="99"/>
  <c r="P133" i="99"/>
  <c r="O133" i="99"/>
  <c r="M133" i="99"/>
  <c r="J133" i="99"/>
  <c r="P132" i="99"/>
  <c r="O132" i="99"/>
  <c r="M132" i="99"/>
  <c r="J132" i="99"/>
  <c r="P131" i="99"/>
  <c r="O131" i="99"/>
  <c r="M131" i="99"/>
  <c r="J131" i="99"/>
  <c r="O130" i="99"/>
  <c r="M130" i="99"/>
  <c r="O129" i="99"/>
  <c r="M129" i="99"/>
  <c r="O128" i="99"/>
  <c r="M128" i="99"/>
  <c r="O127" i="99"/>
  <c r="M127" i="99"/>
  <c r="O126" i="99"/>
  <c r="M126" i="99"/>
  <c r="O125" i="99"/>
  <c r="M125" i="99"/>
  <c r="O124" i="99"/>
  <c r="M124" i="99"/>
  <c r="O123" i="99"/>
  <c r="M123" i="99"/>
  <c r="O122" i="99"/>
  <c r="M122" i="99"/>
  <c r="O121" i="99"/>
  <c r="M121" i="99"/>
  <c r="O120" i="99"/>
  <c r="M120" i="99"/>
  <c r="O119" i="99"/>
  <c r="M119" i="99"/>
  <c r="O118" i="99"/>
  <c r="M118" i="99"/>
  <c r="O117" i="99"/>
  <c r="M117" i="99"/>
  <c r="O116" i="99"/>
  <c r="M116" i="99"/>
  <c r="O115" i="99"/>
  <c r="M115" i="99"/>
  <c r="O114" i="99"/>
  <c r="M114" i="99"/>
  <c r="O113" i="99"/>
  <c r="M113" i="99"/>
  <c r="O112" i="99"/>
  <c r="M112" i="99"/>
  <c r="O111" i="99"/>
  <c r="M111" i="99"/>
  <c r="O110" i="99"/>
  <c r="M110" i="99"/>
  <c r="O109" i="99"/>
  <c r="M109" i="99"/>
  <c r="O108" i="99"/>
  <c r="M108" i="99"/>
  <c r="O107" i="99"/>
  <c r="M107" i="99"/>
  <c r="O106" i="99"/>
  <c r="M106" i="99"/>
  <c r="O105" i="99"/>
  <c r="M105" i="99"/>
  <c r="O104" i="99"/>
  <c r="M104" i="99"/>
  <c r="O103" i="99"/>
  <c r="M103" i="99"/>
  <c r="O102" i="99"/>
  <c r="M102" i="99"/>
  <c r="O101" i="99"/>
  <c r="M101" i="99"/>
  <c r="O100" i="99"/>
  <c r="O99" i="99"/>
  <c r="D96" i="99"/>
  <c r="L93" i="99"/>
  <c r="J93" i="99"/>
  <c r="D93" i="99"/>
  <c r="D91" i="99"/>
  <c r="D89" i="99"/>
  <c r="N72" i="99"/>
  <c r="L72" i="99"/>
  <c r="N71" i="99"/>
  <c r="L71" i="99"/>
  <c r="N70" i="99"/>
  <c r="L70" i="99"/>
  <c r="N69" i="99"/>
  <c r="L69" i="99"/>
  <c r="N68" i="99"/>
  <c r="L68" i="99"/>
  <c r="N67" i="99"/>
  <c r="L67" i="99"/>
  <c r="N66" i="99"/>
  <c r="L66" i="99"/>
  <c r="N65" i="99"/>
  <c r="L65" i="99"/>
  <c r="N64" i="99"/>
  <c r="L64" i="99"/>
  <c r="N63" i="99"/>
  <c r="L63" i="99"/>
  <c r="N62" i="99"/>
  <c r="L62" i="99"/>
  <c r="N61" i="99"/>
  <c r="L61" i="99"/>
  <c r="N60" i="99"/>
  <c r="L60" i="99"/>
  <c r="N59" i="99"/>
  <c r="L59" i="99"/>
  <c r="N58" i="99"/>
  <c r="L58" i="99"/>
  <c r="N57" i="99"/>
  <c r="L57" i="99"/>
  <c r="N56" i="99"/>
  <c r="L56" i="99"/>
  <c r="N55" i="99"/>
  <c r="L55" i="99"/>
  <c r="N54" i="99"/>
  <c r="L54" i="99"/>
  <c r="N53" i="99"/>
  <c r="L53" i="99"/>
  <c r="N52" i="99"/>
  <c r="L52" i="99"/>
  <c r="N51" i="99"/>
  <c r="L51" i="99"/>
  <c r="N50" i="99"/>
  <c r="L50" i="99"/>
  <c r="N49" i="99"/>
  <c r="L49" i="99"/>
  <c r="N48" i="99"/>
  <c r="L48" i="99"/>
  <c r="N47" i="99"/>
  <c r="L47" i="99"/>
  <c r="N46" i="99"/>
  <c r="L46" i="99"/>
  <c r="N45" i="99"/>
  <c r="L45" i="99"/>
  <c r="N44" i="99"/>
  <c r="L44" i="99"/>
  <c r="N43" i="99"/>
  <c r="L43" i="99"/>
  <c r="N42" i="99"/>
  <c r="L42" i="99"/>
  <c r="N41" i="99"/>
  <c r="L41" i="99"/>
  <c r="N40" i="99"/>
  <c r="L40" i="99"/>
  <c r="N39" i="99"/>
  <c r="L39" i="99"/>
  <c r="N38" i="99"/>
  <c r="L38" i="99"/>
  <c r="N37" i="99"/>
  <c r="L37" i="99"/>
  <c r="N36" i="99"/>
  <c r="L36" i="99"/>
  <c r="N35" i="99"/>
  <c r="L35" i="99"/>
  <c r="N34" i="99"/>
  <c r="L34" i="99"/>
  <c r="N33" i="99"/>
  <c r="L33" i="99"/>
  <c r="N32" i="99"/>
  <c r="L32" i="99"/>
  <c r="N31" i="99"/>
  <c r="L31" i="99"/>
  <c r="N30" i="99"/>
  <c r="L30" i="99"/>
  <c r="N29" i="99"/>
  <c r="L29" i="99"/>
  <c r="N28" i="99"/>
  <c r="L28" i="99"/>
  <c r="N27" i="99"/>
  <c r="L27" i="99"/>
  <c r="N26" i="99"/>
  <c r="L26" i="99"/>
  <c r="N25" i="99"/>
  <c r="L25" i="99"/>
  <c r="N24" i="99"/>
  <c r="L24" i="99"/>
  <c r="N23" i="99"/>
  <c r="L23" i="99"/>
  <c r="N22" i="99"/>
  <c r="L22" i="99"/>
  <c r="N21" i="99"/>
  <c r="L21" i="99"/>
  <c r="N20" i="99"/>
  <c r="N19" i="99"/>
  <c r="N18" i="99"/>
  <c r="N17" i="99"/>
  <c r="C17" i="99"/>
  <c r="C18" i="99" s="1"/>
  <c r="C19" i="99" s="1"/>
  <c r="C20" i="99" s="1"/>
  <c r="C21" i="99" s="1"/>
  <c r="C22" i="99" s="1"/>
  <c r="C23" i="99" s="1"/>
  <c r="C24" i="99" s="1"/>
  <c r="C25" i="99" s="1"/>
  <c r="C26" i="99" s="1"/>
  <c r="C27" i="99" s="1"/>
  <c r="C28" i="99" s="1"/>
  <c r="C29" i="99" s="1"/>
  <c r="C30" i="99" s="1"/>
  <c r="C31" i="99" s="1"/>
  <c r="C32" i="99" s="1"/>
  <c r="C33" i="99" s="1"/>
  <c r="C34" i="99" s="1"/>
  <c r="C35" i="99" s="1"/>
  <c r="C36" i="99" s="1"/>
  <c r="C37" i="99" s="1"/>
  <c r="C38" i="99" s="1"/>
  <c r="C39" i="99" s="1"/>
  <c r="C40" i="99" s="1"/>
  <c r="C41" i="99" s="1"/>
  <c r="C42" i="99" s="1"/>
  <c r="C43" i="99" s="1"/>
  <c r="C44" i="99" s="1"/>
  <c r="K11" i="99"/>
  <c r="I11" i="99"/>
  <c r="D8" i="99"/>
  <c r="D90" i="99" s="1"/>
  <c r="D93" i="74"/>
  <c r="O23" i="99" l="1"/>
  <c r="O22" i="99"/>
  <c r="O26" i="99"/>
  <c r="O28" i="99"/>
  <c r="O30" i="99"/>
  <c r="O53" i="99"/>
  <c r="O55" i="99"/>
  <c r="O57" i="99"/>
  <c r="O61" i="99"/>
  <c r="O65" i="99"/>
  <c r="O69" i="99"/>
  <c r="O71" i="99"/>
  <c r="O34" i="99"/>
  <c r="O38" i="99"/>
  <c r="O44" i="99"/>
  <c r="O46" i="99"/>
  <c r="O19" i="99"/>
  <c r="O31" i="99"/>
  <c r="O43" i="99"/>
  <c r="O49" i="99"/>
  <c r="O32" i="99"/>
  <c r="O48" i="99"/>
  <c r="P106" i="99"/>
  <c r="P108" i="99"/>
  <c r="P112" i="99"/>
  <c r="P116" i="99"/>
  <c r="P104" i="99"/>
  <c r="P99" i="99"/>
  <c r="P113" i="99"/>
  <c r="P115" i="99"/>
  <c r="P100" i="99"/>
  <c r="O27" i="99"/>
  <c r="O58" i="99"/>
  <c r="O62" i="99"/>
  <c r="O18" i="99"/>
  <c r="O20" i="99"/>
  <c r="O37" i="99"/>
  <c r="O41" i="99"/>
  <c r="O45" i="99"/>
  <c r="O51" i="99"/>
  <c r="O25" i="99"/>
  <c r="O60" i="99"/>
  <c r="O64" i="99"/>
  <c r="O42" i="99"/>
  <c r="P101" i="99"/>
  <c r="P103" i="99"/>
  <c r="P110" i="99"/>
  <c r="P117" i="99"/>
  <c r="P121" i="99"/>
  <c r="P123" i="99"/>
  <c r="P125" i="99"/>
  <c r="P127" i="99"/>
  <c r="P129" i="99"/>
  <c r="P105" i="99"/>
  <c r="P107" i="99"/>
  <c r="P114" i="99"/>
  <c r="P102" i="99"/>
  <c r="P109" i="99"/>
  <c r="P111" i="99"/>
  <c r="P118" i="99"/>
  <c r="P122" i="99"/>
  <c r="P124" i="99"/>
  <c r="P126" i="99"/>
  <c r="P128" i="99"/>
  <c r="P130" i="99"/>
  <c r="O21" i="99"/>
  <c r="O24" i="99"/>
  <c r="O29" i="99"/>
  <c r="O36" i="99"/>
  <c r="O50" i="99"/>
  <c r="O52" i="99"/>
  <c r="O68" i="99"/>
  <c r="O33" i="99"/>
  <c r="O35" i="99"/>
  <c r="O40" i="99"/>
  <c r="O54" i="99"/>
  <c r="O56" i="99"/>
  <c r="O70" i="99"/>
  <c r="O72" i="99"/>
  <c r="O66" i="99"/>
  <c r="O39" i="99"/>
  <c r="O67" i="99"/>
  <c r="C45" i="99"/>
  <c r="C46" i="99" s="1"/>
  <c r="C47" i="99" s="1"/>
  <c r="C48" i="99" s="1"/>
  <c r="C49" i="99" s="1"/>
  <c r="C50" i="99" s="1"/>
  <c r="C51" i="99" s="1"/>
  <c r="C52" i="99" s="1"/>
  <c r="C53" i="99" s="1"/>
  <c r="C54" i="99" s="1"/>
  <c r="C55" i="99" s="1"/>
  <c r="C56" i="99" s="1"/>
  <c r="C57" i="99" s="1"/>
  <c r="C58" i="99" s="1"/>
  <c r="C59" i="99" s="1"/>
  <c r="C60" i="99" s="1"/>
  <c r="C61" i="99" s="1"/>
  <c r="C62" i="99" s="1"/>
  <c r="C63" i="99" s="1"/>
  <c r="C64" i="99" s="1"/>
  <c r="C65" i="99" s="1"/>
  <c r="C66" i="99" s="1"/>
  <c r="C67" i="99" s="1"/>
  <c r="C68" i="99" s="1"/>
  <c r="C69" i="99" s="1"/>
  <c r="C70" i="99" s="1"/>
  <c r="C71" i="99" s="1"/>
  <c r="C72" i="99" s="1"/>
  <c r="O17" i="99"/>
  <c r="O47" i="99"/>
  <c r="O59" i="99"/>
  <c r="B18" i="99"/>
  <c r="O63" i="99"/>
  <c r="C99" i="99"/>
  <c r="P119" i="99"/>
  <c r="P120" i="99"/>
  <c r="M18" i="96"/>
  <c r="K18" i="96"/>
  <c r="L18" i="96" s="1"/>
  <c r="M18" i="95"/>
  <c r="K18" i="95"/>
  <c r="L18" i="95" s="1"/>
  <c r="M18" i="94"/>
  <c r="K18" i="94"/>
  <c r="L18" i="94" s="1"/>
  <c r="M18" i="93"/>
  <c r="K18" i="93"/>
  <c r="L18" i="93" s="1"/>
  <c r="M19" i="92"/>
  <c r="K19" i="92"/>
  <c r="L19" i="92" s="1"/>
  <c r="M19" i="91"/>
  <c r="K19" i="91"/>
  <c r="L19" i="91" s="1"/>
  <c r="M19" i="90"/>
  <c r="K19" i="90"/>
  <c r="L19" i="90" s="1"/>
  <c r="M19" i="89"/>
  <c r="K19" i="89"/>
  <c r="L19" i="89" s="1"/>
  <c r="M19" i="88"/>
  <c r="K19" i="88"/>
  <c r="L19" i="88" s="1"/>
  <c r="M19" i="87"/>
  <c r="K19" i="87"/>
  <c r="L19" i="87" s="1"/>
  <c r="M19" i="86"/>
  <c r="K19" i="86"/>
  <c r="L19" i="86" s="1"/>
  <c r="M20" i="85"/>
  <c r="K20" i="85"/>
  <c r="L20" i="85" s="1"/>
  <c r="M20" i="84"/>
  <c r="K20" i="84"/>
  <c r="L20" i="84" s="1"/>
  <c r="M20" i="83"/>
  <c r="K20" i="83"/>
  <c r="L20" i="83" s="1"/>
  <c r="M20" i="82"/>
  <c r="K20" i="82"/>
  <c r="L20" i="82" s="1"/>
  <c r="M20" i="81"/>
  <c r="K20" i="81"/>
  <c r="L20" i="81" s="1"/>
  <c r="M20" i="80"/>
  <c r="K20" i="80"/>
  <c r="L20" i="80" s="1"/>
  <c r="M21" i="79"/>
  <c r="K21" i="79"/>
  <c r="L21" i="79" s="1"/>
  <c r="M21" i="78"/>
  <c r="K21" i="78"/>
  <c r="L21" i="78" s="1"/>
  <c r="M21" i="77"/>
  <c r="K21" i="77"/>
  <c r="L21" i="77" s="1"/>
  <c r="M21" i="76"/>
  <c r="K21" i="76"/>
  <c r="L21" i="76" s="1"/>
  <c r="M21" i="75"/>
  <c r="K21" i="75"/>
  <c r="L21" i="75" s="1"/>
  <c r="M25" i="74"/>
  <c r="K25" i="74"/>
  <c r="L25" i="74" s="1"/>
  <c r="M26" i="73"/>
  <c r="K26" i="73"/>
  <c r="L26" i="73" s="1"/>
  <c r="M24" i="72"/>
  <c r="K24" i="72"/>
  <c r="L24" i="72" s="1"/>
  <c r="M28" i="71"/>
  <c r="K28" i="71"/>
  <c r="L28" i="71" s="1"/>
  <c r="M29" i="70"/>
  <c r="K29" i="70"/>
  <c r="L29" i="70" s="1"/>
  <c r="M29" i="69"/>
  <c r="K29" i="69"/>
  <c r="L29" i="69" s="1"/>
  <c r="M22" i="68"/>
  <c r="K22" i="68"/>
  <c r="L22" i="68" s="1"/>
  <c r="M22" i="67"/>
  <c r="K22" i="67"/>
  <c r="L22" i="67" s="1"/>
  <c r="M22" i="66"/>
  <c r="K22" i="66"/>
  <c r="L22" i="66" s="1"/>
  <c r="M22" i="65"/>
  <c r="K22" i="65"/>
  <c r="L22" i="65" s="1"/>
  <c r="M23" i="64"/>
  <c r="K23" i="64"/>
  <c r="L23" i="64" s="1"/>
  <c r="M23" i="60"/>
  <c r="K23" i="60"/>
  <c r="L23" i="60" s="1"/>
  <c r="M23" i="62"/>
  <c r="K23" i="62"/>
  <c r="L23" i="62" s="1"/>
  <c r="M23" i="63"/>
  <c r="K23" i="63"/>
  <c r="L23" i="63" s="1"/>
  <c r="M23" i="61"/>
  <c r="K23" i="61"/>
  <c r="L23" i="61" s="1"/>
  <c r="M23" i="59"/>
  <c r="K23" i="59"/>
  <c r="L23" i="59" s="1"/>
  <c r="M24" i="58"/>
  <c r="K24" i="58"/>
  <c r="L24" i="58" s="1"/>
  <c r="M24" i="57"/>
  <c r="K24" i="57"/>
  <c r="L24" i="57" s="1"/>
  <c r="M24" i="56"/>
  <c r="K24" i="56"/>
  <c r="L24" i="56" s="1"/>
  <c r="M24" i="55"/>
  <c r="K24" i="55"/>
  <c r="L24" i="55" s="1"/>
  <c r="M24" i="54"/>
  <c r="K24" i="54"/>
  <c r="L24" i="54" s="1"/>
  <c r="M24" i="53"/>
  <c r="K24" i="53"/>
  <c r="L24" i="53" s="1"/>
  <c r="M24" i="46"/>
  <c r="K24" i="46"/>
  <c r="L24" i="46" s="1"/>
  <c r="M25" i="45"/>
  <c r="K25" i="45"/>
  <c r="L25" i="45" s="1"/>
  <c r="M26" i="44"/>
  <c r="K26" i="44"/>
  <c r="L26" i="44" s="1"/>
  <c r="M26" i="43"/>
  <c r="K26" i="43"/>
  <c r="L26" i="43" s="1"/>
  <c r="M26" i="42"/>
  <c r="K26" i="42"/>
  <c r="L26" i="42" s="1"/>
  <c r="L1048576" i="42"/>
  <c r="M1048576" i="42"/>
  <c r="M26" i="41"/>
  <c r="K26" i="41"/>
  <c r="L26" i="41" s="1"/>
  <c r="M26" i="39"/>
  <c r="K26" i="39"/>
  <c r="L26" i="39" s="1"/>
  <c r="M28" i="34"/>
  <c r="K28" i="34"/>
  <c r="L28" i="34" s="1"/>
  <c r="M28" i="32"/>
  <c r="K28" i="32"/>
  <c r="L28" i="32" s="1"/>
  <c r="M28" i="31"/>
  <c r="K28" i="31"/>
  <c r="L28" i="31" s="1"/>
  <c r="M29" i="30"/>
  <c r="K29" i="30"/>
  <c r="L29" i="30" s="1"/>
  <c r="M29" i="29"/>
  <c r="N29" i="29" s="1"/>
  <c r="K29" i="29"/>
  <c r="L29" i="29" s="1"/>
  <c r="M30" i="28"/>
  <c r="K30" i="28"/>
  <c r="L30" i="28" s="1"/>
  <c r="M29" i="27"/>
  <c r="K29" i="27"/>
  <c r="L29" i="27" s="1"/>
  <c r="M28" i="24"/>
  <c r="K28" i="24"/>
  <c r="L28" i="24" s="1"/>
  <c r="M28" i="23"/>
  <c r="K28" i="23"/>
  <c r="L28" i="23" s="1"/>
  <c r="M27" i="22"/>
  <c r="K27" i="22"/>
  <c r="L27" i="22" s="1"/>
  <c r="M27" i="21"/>
  <c r="K27" i="21"/>
  <c r="L27" i="21" s="1"/>
  <c r="M27" i="20"/>
  <c r="K27" i="20"/>
  <c r="L27" i="20" s="1"/>
  <c r="M27" i="19"/>
  <c r="K27" i="19"/>
  <c r="L27" i="19" s="1"/>
  <c r="M27" i="18"/>
  <c r="K27" i="18"/>
  <c r="L27" i="18" s="1"/>
  <c r="M27" i="17"/>
  <c r="K27" i="17"/>
  <c r="L27" i="17" s="1"/>
  <c r="M27" i="3"/>
  <c r="K27" i="3"/>
  <c r="L27" i="3" s="1"/>
  <c r="M16" i="2"/>
  <c r="J92" i="99" s="1"/>
  <c r="L86" i="99" s="1"/>
  <c r="D94" i="97"/>
  <c r="D93" i="98"/>
  <c r="D93" i="97"/>
  <c r="N99" i="96"/>
  <c r="L99" i="96"/>
  <c r="M99" i="96" s="1"/>
  <c r="N99" i="95"/>
  <c r="L99" i="95"/>
  <c r="M99" i="95" s="1"/>
  <c r="N99" i="94"/>
  <c r="L99" i="94"/>
  <c r="M99" i="94" s="1"/>
  <c r="N99" i="93"/>
  <c r="L99" i="93"/>
  <c r="M99" i="93" s="1"/>
  <c r="N100" i="92"/>
  <c r="L100" i="92"/>
  <c r="M100" i="92" s="1"/>
  <c r="N100" i="91"/>
  <c r="L100" i="91"/>
  <c r="M100" i="91" s="1"/>
  <c r="N100" i="90"/>
  <c r="L100" i="90"/>
  <c r="M100" i="90" s="1"/>
  <c r="N100" i="89"/>
  <c r="L100" i="89"/>
  <c r="M100" i="89" s="1"/>
  <c r="N100" i="88"/>
  <c r="L100" i="88"/>
  <c r="M100" i="88" s="1"/>
  <c r="N100" i="87"/>
  <c r="L100" i="87"/>
  <c r="M100" i="87" s="1"/>
  <c r="N100" i="86"/>
  <c r="L100" i="86"/>
  <c r="M100" i="86" s="1"/>
  <c r="N101" i="85"/>
  <c r="L101" i="85"/>
  <c r="M101" i="85" s="1"/>
  <c r="N100" i="84"/>
  <c r="O100" i="84" s="1"/>
  <c r="L100" i="84"/>
  <c r="M100" i="84" s="1"/>
  <c r="N101" i="83"/>
  <c r="L101" i="83"/>
  <c r="M101" i="83" s="1"/>
  <c r="N101" i="82"/>
  <c r="O101" i="82" s="1"/>
  <c r="L101" i="82"/>
  <c r="M101" i="82" s="1"/>
  <c r="N101" i="81"/>
  <c r="O101" i="81" s="1"/>
  <c r="L101" i="81"/>
  <c r="M101" i="81" s="1"/>
  <c r="N101" i="80"/>
  <c r="O101" i="80" s="1"/>
  <c r="L101" i="80"/>
  <c r="M101" i="80" s="1"/>
  <c r="N102" i="79"/>
  <c r="O102" i="79" s="1"/>
  <c r="L102" i="79"/>
  <c r="M102" i="79" s="1"/>
  <c r="N102" i="78"/>
  <c r="O102" i="78" s="1"/>
  <c r="L102" i="78"/>
  <c r="M102" i="78" s="1"/>
  <c r="N102" i="77"/>
  <c r="O102" i="77" s="1"/>
  <c r="L102" i="77"/>
  <c r="M102" i="77" s="1"/>
  <c r="N102" i="76"/>
  <c r="O102" i="76" s="1"/>
  <c r="L102" i="76"/>
  <c r="M102" i="76" s="1"/>
  <c r="N102" i="75"/>
  <c r="O102" i="75" s="1"/>
  <c r="L102" i="75"/>
  <c r="M102" i="75" s="1"/>
  <c r="N106" i="74"/>
  <c r="O106" i="74" s="1"/>
  <c r="L106" i="74"/>
  <c r="M106" i="74" s="1"/>
  <c r="N107" i="73"/>
  <c r="O107" i="73" s="1"/>
  <c r="L107" i="73"/>
  <c r="M107" i="73" s="1"/>
  <c r="N105" i="72"/>
  <c r="O105" i="72" s="1"/>
  <c r="L105" i="72"/>
  <c r="M105" i="72" s="1"/>
  <c r="N109" i="71"/>
  <c r="O109" i="71" s="1"/>
  <c r="L109" i="71"/>
  <c r="M109" i="71" s="1"/>
  <c r="N110" i="70"/>
  <c r="O110" i="70" s="1"/>
  <c r="L110" i="70"/>
  <c r="M110" i="70" s="1"/>
  <c r="N110" i="69"/>
  <c r="O110" i="69" s="1"/>
  <c r="L110" i="69"/>
  <c r="M110" i="69" s="1"/>
  <c r="N103" i="68"/>
  <c r="O103" i="68" s="1"/>
  <c r="L103" i="68"/>
  <c r="M103" i="68" s="1"/>
  <c r="N103" i="67"/>
  <c r="L103" i="67"/>
  <c r="M103" i="67" s="1"/>
  <c r="N103" i="66"/>
  <c r="O103" i="66" s="1"/>
  <c r="L103" i="66"/>
  <c r="M103" i="66" s="1"/>
  <c r="N103" i="65"/>
  <c r="O103" i="65" s="1"/>
  <c r="L103" i="65"/>
  <c r="M103" i="65" s="1"/>
  <c r="N104" i="64"/>
  <c r="L104" i="64"/>
  <c r="M104" i="64" s="1"/>
  <c r="N104" i="60"/>
  <c r="L104" i="60"/>
  <c r="M104" i="60" s="1"/>
  <c r="N104" i="62"/>
  <c r="L104" i="62"/>
  <c r="M104" i="62" s="1"/>
  <c r="N104" i="63"/>
  <c r="L104" i="63"/>
  <c r="M104" i="63" s="1"/>
  <c r="N104" i="61"/>
  <c r="L104" i="61"/>
  <c r="M104" i="61" s="1"/>
  <c r="N104" i="59"/>
  <c r="L104" i="59"/>
  <c r="M104" i="59" s="1"/>
  <c r="N105" i="58"/>
  <c r="L105" i="58"/>
  <c r="M105" i="58" s="1"/>
  <c r="N105" i="57"/>
  <c r="L105" i="57"/>
  <c r="M105" i="57" s="1"/>
  <c r="N105" i="56"/>
  <c r="L105" i="56"/>
  <c r="M105" i="56" s="1"/>
  <c r="N105" i="55"/>
  <c r="L105" i="55"/>
  <c r="M105" i="55" s="1"/>
  <c r="N105" i="54"/>
  <c r="L105" i="54"/>
  <c r="M105" i="54" s="1"/>
  <c r="N105" i="53"/>
  <c r="L105" i="53"/>
  <c r="M105" i="53" s="1"/>
  <c r="N105" i="46"/>
  <c r="L105" i="46"/>
  <c r="M105" i="46" s="1"/>
  <c r="N106" i="45"/>
  <c r="L106" i="45"/>
  <c r="M106" i="45" s="1"/>
  <c r="N107" i="44"/>
  <c r="L107" i="44"/>
  <c r="M107" i="44" s="1"/>
  <c r="N107" i="43"/>
  <c r="L107" i="43"/>
  <c r="M107" i="43" s="1"/>
  <c r="N107" i="42"/>
  <c r="L107" i="42"/>
  <c r="M107" i="42" s="1"/>
  <c r="N1048576" i="42"/>
  <c r="N107" i="41"/>
  <c r="L107" i="41"/>
  <c r="M107" i="41" s="1"/>
  <c r="N107" i="39"/>
  <c r="L107" i="39"/>
  <c r="M107" i="39" s="1"/>
  <c r="N109" i="34"/>
  <c r="O109" i="34" s="1"/>
  <c r="L109" i="34"/>
  <c r="M109" i="34" s="1"/>
  <c r="N109" i="32"/>
  <c r="O109" i="32" s="1"/>
  <c r="L109" i="32"/>
  <c r="M109" i="32" s="1"/>
  <c r="N109" i="31"/>
  <c r="O109" i="31" s="1"/>
  <c r="L109" i="31"/>
  <c r="M109" i="31" s="1"/>
  <c r="N110" i="30"/>
  <c r="O110" i="30" s="1"/>
  <c r="L110" i="30"/>
  <c r="M110" i="30" s="1"/>
  <c r="N110" i="29"/>
  <c r="O110" i="29" s="1"/>
  <c r="M110" i="29"/>
  <c r="L110" i="29"/>
  <c r="N111" i="28"/>
  <c r="O111" i="28" s="1"/>
  <c r="L111" i="28"/>
  <c r="M111" i="28" s="1"/>
  <c r="N110" i="27"/>
  <c r="O110" i="27" s="1"/>
  <c r="L110" i="27"/>
  <c r="M110" i="27" s="1"/>
  <c r="N109" i="24"/>
  <c r="O109" i="24" s="1"/>
  <c r="L109" i="24"/>
  <c r="M109" i="24" s="1"/>
  <c r="N109" i="23"/>
  <c r="O109" i="23" s="1"/>
  <c r="L109" i="23"/>
  <c r="M109" i="23" s="1"/>
  <c r="N108" i="22"/>
  <c r="O108" i="22" s="1"/>
  <c r="L108" i="22"/>
  <c r="M108" i="22" s="1"/>
  <c r="N108" i="21"/>
  <c r="O108" i="21" s="1"/>
  <c r="L108" i="21"/>
  <c r="M108" i="21" s="1"/>
  <c r="N108" i="20"/>
  <c r="O108" i="20" s="1"/>
  <c r="L108" i="20"/>
  <c r="M108" i="20" s="1"/>
  <c r="N108" i="19"/>
  <c r="O108" i="19" s="1"/>
  <c r="L108" i="19"/>
  <c r="M108" i="19" s="1"/>
  <c r="N108" i="18"/>
  <c r="O108" i="18" s="1"/>
  <c r="L108" i="18"/>
  <c r="M108" i="18" s="1"/>
  <c r="N108" i="17"/>
  <c r="O108" i="17" s="1"/>
  <c r="L108" i="17"/>
  <c r="M108" i="17" s="1"/>
  <c r="N108" i="3"/>
  <c r="O108" i="3" s="1"/>
  <c r="L108" i="3"/>
  <c r="M108" i="3" s="1"/>
  <c r="P90" i="36"/>
  <c r="P89" i="36"/>
  <c r="P109" i="24" l="1"/>
  <c r="P110" i="30"/>
  <c r="P102" i="75"/>
  <c r="P100" i="84"/>
  <c r="P109" i="23"/>
  <c r="P110" i="29"/>
  <c r="P109" i="34"/>
  <c r="P108" i="17"/>
  <c r="P108" i="22"/>
  <c r="P111" i="28"/>
  <c r="P109" i="32"/>
  <c r="P103" i="66"/>
  <c r="P110" i="69"/>
  <c r="P108" i="19"/>
  <c r="P110" i="27"/>
  <c r="P109" i="31"/>
  <c r="P103" i="65"/>
  <c r="P103" i="68"/>
  <c r="P109" i="71"/>
  <c r="P101" i="82"/>
  <c r="M87" i="99"/>
  <c r="N87" i="99"/>
  <c r="P108" i="18"/>
  <c r="C100" i="99"/>
  <c r="C101" i="99" s="1"/>
  <c r="C102" i="99" s="1"/>
  <c r="C103" i="99" s="1"/>
  <c r="C104" i="99" s="1"/>
  <c r="C105" i="99" s="1"/>
  <c r="C106" i="99" s="1"/>
  <c r="C107" i="99" s="1"/>
  <c r="C108" i="99" s="1"/>
  <c r="C109" i="99" s="1"/>
  <c r="C110" i="99" s="1"/>
  <c r="C111" i="99" s="1"/>
  <c r="C112" i="99" s="1"/>
  <c r="C113" i="99" s="1"/>
  <c r="C114" i="99" s="1"/>
  <c r="C115" i="99" s="1"/>
  <c r="C116" i="99" s="1"/>
  <c r="C117" i="99" s="1"/>
  <c r="C118" i="99" s="1"/>
  <c r="C119" i="99" s="1"/>
  <c r="C120" i="99" s="1"/>
  <c r="C121" i="99" s="1"/>
  <c r="C122" i="99" s="1"/>
  <c r="C123" i="99" s="1"/>
  <c r="C124" i="99" s="1"/>
  <c r="C125" i="99" s="1"/>
  <c r="C126" i="99" s="1"/>
  <c r="I17" i="97"/>
  <c r="O87" i="99" l="1"/>
  <c r="C127" i="99"/>
  <c r="C128" i="99" s="1"/>
  <c r="C129" i="99" s="1"/>
  <c r="C130" i="99" s="1"/>
  <c r="C131" i="99" s="1"/>
  <c r="C132" i="99" s="1"/>
  <c r="C133" i="99" s="1"/>
  <c r="C134" i="99" s="1"/>
  <c r="C135" i="99" s="1"/>
  <c r="C136" i="99" s="1"/>
  <c r="C137" i="99" s="1"/>
  <c r="C138" i="99" s="1"/>
  <c r="C139" i="99" s="1"/>
  <c r="C140" i="99" s="1"/>
  <c r="C141" i="99" s="1"/>
  <c r="C142" i="99" s="1"/>
  <c r="C143" i="99" s="1"/>
  <c r="C144" i="99" s="1"/>
  <c r="C145" i="99" s="1"/>
  <c r="C146" i="99" s="1"/>
  <c r="C147" i="99" s="1"/>
  <c r="C148" i="99" s="1"/>
  <c r="C149" i="99" s="1"/>
  <c r="C150" i="99" s="1"/>
  <c r="C151" i="99" s="1"/>
  <c r="C152" i="99" s="1"/>
  <c r="C153" i="99" s="1"/>
  <c r="C154" i="99" s="1"/>
  <c r="P154" i="98"/>
  <c r="O154" i="98"/>
  <c r="M154" i="98"/>
  <c r="J154" i="98"/>
  <c r="P153" i="98"/>
  <c r="O153" i="98"/>
  <c r="M153" i="98"/>
  <c r="J153" i="98"/>
  <c r="P152" i="98"/>
  <c r="O152" i="98"/>
  <c r="M152" i="98"/>
  <c r="J152" i="98"/>
  <c r="P151" i="98"/>
  <c r="O151" i="98"/>
  <c r="M151" i="98"/>
  <c r="J151" i="98"/>
  <c r="P150" i="98"/>
  <c r="O150" i="98"/>
  <c r="M150" i="98"/>
  <c r="J150" i="98"/>
  <c r="P149" i="98"/>
  <c r="O149" i="98"/>
  <c r="M149" i="98"/>
  <c r="J149" i="98"/>
  <c r="P148" i="98"/>
  <c r="O148" i="98"/>
  <c r="M148" i="98"/>
  <c r="J148" i="98"/>
  <c r="P147" i="98"/>
  <c r="O147" i="98"/>
  <c r="M147" i="98"/>
  <c r="J147" i="98"/>
  <c r="P146" i="98"/>
  <c r="O146" i="98"/>
  <c r="M146" i="98"/>
  <c r="J146" i="98"/>
  <c r="P145" i="98"/>
  <c r="O145" i="98"/>
  <c r="M145" i="98"/>
  <c r="J145" i="98"/>
  <c r="P144" i="98"/>
  <c r="O144" i="98"/>
  <c r="M144" i="98"/>
  <c r="J144" i="98"/>
  <c r="P143" i="98"/>
  <c r="O143" i="98"/>
  <c r="M143" i="98"/>
  <c r="J143" i="98"/>
  <c r="P142" i="98"/>
  <c r="O142" i="98"/>
  <c r="M142" i="98"/>
  <c r="J142" i="98"/>
  <c r="P141" i="98"/>
  <c r="O141" i="98"/>
  <c r="M141" i="98"/>
  <c r="J141" i="98"/>
  <c r="P140" i="98"/>
  <c r="O140" i="98"/>
  <c r="M140" i="98"/>
  <c r="J140" i="98"/>
  <c r="P139" i="98"/>
  <c r="O139" i="98"/>
  <c r="M139" i="98"/>
  <c r="J139" i="98"/>
  <c r="P138" i="98"/>
  <c r="O138" i="98"/>
  <c r="M138" i="98"/>
  <c r="J138" i="98"/>
  <c r="P137" i="98"/>
  <c r="O137" i="98"/>
  <c r="M137" i="98"/>
  <c r="J137" i="98"/>
  <c r="P136" i="98"/>
  <c r="O136" i="98"/>
  <c r="M136" i="98"/>
  <c r="J136" i="98"/>
  <c r="P135" i="98"/>
  <c r="O135" i="98"/>
  <c r="M135" i="98"/>
  <c r="J135" i="98"/>
  <c r="P134" i="98"/>
  <c r="O134" i="98"/>
  <c r="M134" i="98"/>
  <c r="J134" i="98"/>
  <c r="P133" i="98"/>
  <c r="O133" i="98"/>
  <c r="M133" i="98"/>
  <c r="J133" i="98"/>
  <c r="P132" i="98"/>
  <c r="O132" i="98"/>
  <c r="M132" i="98"/>
  <c r="J132" i="98"/>
  <c r="P131" i="98"/>
  <c r="O131" i="98"/>
  <c r="M131" i="98"/>
  <c r="J131" i="98"/>
  <c r="O130" i="98"/>
  <c r="M130" i="98"/>
  <c r="O129" i="98"/>
  <c r="M129" i="98"/>
  <c r="O128" i="98"/>
  <c r="M128" i="98"/>
  <c r="O127" i="98"/>
  <c r="M127" i="98"/>
  <c r="O126" i="98"/>
  <c r="M126" i="98"/>
  <c r="O125" i="98"/>
  <c r="M125" i="98"/>
  <c r="O124" i="98"/>
  <c r="M124" i="98"/>
  <c r="O123" i="98"/>
  <c r="M123" i="98"/>
  <c r="O122" i="98"/>
  <c r="M122" i="98"/>
  <c r="O121" i="98"/>
  <c r="M121" i="98"/>
  <c r="O120" i="98"/>
  <c r="M120" i="98"/>
  <c r="O119" i="98"/>
  <c r="M119" i="98"/>
  <c r="O118" i="98"/>
  <c r="M118" i="98"/>
  <c r="O117" i="98"/>
  <c r="M117" i="98"/>
  <c r="O116" i="98"/>
  <c r="M116" i="98"/>
  <c r="O115" i="98"/>
  <c r="M115" i="98"/>
  <c r="O114" i="98"/>
  <c r="M114" i="98"/>
  <c r="O113" i="98"/>
  <c r="M113" i="98"/>
  <c r="O112" i="98"/>
  <c r="M112" i="98"/>
  <c r="O111" i="98"/>
  <c r="M111" i="98"/>
  <c r="O110" i="98"/>
  <c r="M110" i="98"/>
  <c r="O109" i="98"/>
  <c r="M109" i="98"/>
  <c r="O108" i="98"/>
  <c r="M108" i="98"/>
  <c r="O107" i="98"/>
  <c r="M107" i="98"/>
  <c r="O106" i="98"/>
  <c r="M106" i="98"/>
  <c r="O105" i="98"/>
  <c r="M105" i="98"/>
  <c r="O104" i="98"/>
  <c r="M104" i="98"/>
  <c r="O103" i="98"/>
  <c r="M103" i="98"/>
  <c r="O102" i="98"/>
  <c r="M102" i="98"/>
  <c r="O101" i="98"/>
  <c r="M101" i="98"/>
  <c r="O100" i="98"/>
  <c r="O99" i="98"/>
  <c r="C99" i="98"/>
  <c r="C100" i="98" s="1"/>
  <c r="C101" i="98" s="1"/>
  <c r="C102" i="98" s="1"/>
  <c r="C103" i="98" s="1"/>
  <c r="C104" i="98" s="1"/>
  <c r="C105" i="98" s="1"/>
  <c r="C106" i="98" s="1"/>
  <c r="C107" i="98" s="1"/>
  <c r="C108" i="98" s="1"/>
  <c r="C109" i="98" s="1"/>
  <c r="C110" i="98" s="1"/>
  <c r="C111" i="98" s="1"/>
  <c r="C112" i="98" s="1"/>
  <c r="C113" i="98" s="1"/>
  <c r="C114" i="98" s="1"/>
  <c r="C115" i="98" s="1"/>
  <c r="C116" i="98" s="1"/>
  <c r="C117" i="98" s="1"/>
  <c r="C118" i="98" s="1"/>
  <c r="C119" i="98" s="1"/>
  <c r="C120" i="98" s="1"/>
  <c r="C121" i="98" s="1"/>
  <c r="C122" i="98" s="1"/>
  <c r="C123" i="98" s="1"/>
  <c r="C124" i="98" s="1"/>
  <c r="C125" i="98" s="1"/>
  <c r="C126" i="98" s="1"/>
  <c r="D96" i="98"/>
  <c r="L93" i="98"/>
  <c r="J93" i="98"/>
  <c r="J92" i="98"/>
  <c r="L86" i="98" s="1"/>
  <c r="D91" i="98"/>
  <c r="D89" i="98"/>
  <c r="N72" i="98"/>
  <c r="L72" i="98"/>
  <c r="N71" i="98"/>
  <c r="L71" i="98"/>
  <c r="N70" i="98"/>
  <c r="L70" i="98"/>
  <c r="N69" i="98"/>
  <c r="L69" i="98"/>
  <c r="N68" i="98"/>
  <c r="L68" i="98"/>
  <c r="N67" i="98"/>
  <c r="L67" i="98"/>
  <c r="N66" i="98"/>
  <c r="L66" i="98"/>
  <c r="N65" i="98"/>
  <c r="L65" i="98"/>
  <c r="N64" i="98"/>
  <c r="L64" i="98"/>
  <c r="N63" i="98"/>
  <c r="L63" i="98"/>
  <c r="N62" i="98"/>
  <c r="L62" i="98"/>
  <c r="N61" i="98"/>
  <c r="L61" i="98"/>
  <c r="N60" i="98"/>
  <c r="L60" i="98"/>
  <c r="N59" i="98"/>
  <c r="L59" i="98"/>
  <c r="N58" i="98"/>
  <c r="L58" i="98"/>
  <c r="N57" i="98"/>
  <c r="L57" i="98"/>
  <c r="N56" i="98"/>
  <c r="L56" i="98"/>
  <c r="N55" i="98"/>
  <c r="L55" i="98"/>
  <c r="N54" i="98"/>
  <c r="L54" i="98"/>
  <c r="N53" i="98"/>
  <c r="L53" i="98"/>
  <c r="N52" i="98"/>
  <c r="L52" i="98"/>
  <c r="N51" i="98"/>
  <c r="L51" i="98"/>
  <c r="N50" i="98"/>
  <c r="L50" i="98"/>
  <c r="N49" i="98"/>
  <c r="L49" i="98"/>
  <c r="N48" i="98"/>
  <c r="L48" i="98"/>
  <c r="N47" i="98"/>
  <c r="L47" i="98"/>
  <c r="N46" i="98"/>
  <c r="L46" i="98"/>
  <c r="N45" i="98"/>
  <c r="L45" i="98"/>
  <c r="N44" i="98"/>
  <c r="L44" i="98"/>
  <c r="N43" i="98"/>
  <c r="L43" i="98"/>
  <c r="N42" i="98"/>
  <c r="L42" i="98"/>
  <c r="N41" i="98"/>
  <c r="L41" i="98"/>
  <c r="N40" i="98"/>
  <c r="L40" i="98"/>
  <c r="N39" i="98"/>
  <c r="L39" i="98"/>
  <c r="N38" i="98"/>
  <c r="L38" i="98"/>
  <c r="N37" i="98"/>
  <c r="L37" i="98"/>
  <c r="N36" i="98"/>
  <c r="L36" i="98"/>
  <c r="N35" i="98"/>
  <c r="L35" i="98"/>
  <c r="N34" i="98"/>
  <c r="L34" i="98"/>
  <c r="N33" i="98"/>
  <c r="L33" i="98"/>
  <c r="N32" i="98"/>
  <c r="L32" i="98"/>
  <c r="N31" i="98"/>
  <c r="L31" i="98"/>
  <c r="N30" i="98"/>
  <c r="L30" i="98"/>
  <c r="N29" i="98"/>
  <c r="L29" i="98"/>
  <c r="N28" i="98"/>
  <c r="L28" i="98"/>
  <c r="N27" i="98"/>
  <c r="L27" i="98"/>
  <c r="N26" i="98"/>
  <c r="L26" i="98"/>
  <c r="N25" i="98"/>
  <c r="L25" i="98"/>
  <c r="N24" i="98"/>
  <c r="L24" i="98"/>
  <c r="N23" i="98"/>
  <c r="L23" i="98"/>
  <c r="N22" i="98"/>
  <c r="L22" i="98"/>
  <c r="N21" i="98"/>
  <c r="L21" i="98"/>
  <c r="N20" i="98"/>
  <c r="N19" i="98"/>
  <c r="M17" i="98"/>
  <c r="N17" i="98" s="1"/>
  <c r="K17" i="98"/>
  <c r="L17" i="98" s="1"/>
  <c r="I17" i="98"/>
  <c r="C17" i="98"/>
  <c r="C18" i="98" s="1"/>
  <c r="C19" i="98" s="1"/>
  <c r="C20" i="98" s="1"/>
  <c r="C21" i="98" s="1"/>
  <c r="C22" i="98" s="1"/>
  <c r="C23" i="98" s="1"/>
  <c r="C24" i="98" s="1"/>
  <c r="C25" i="98" s="1"/>
  <c r="C26" i="98" s="1"/>
  <c r="C27" i="98" s="1"/>
  <c r="C28" i="98" s="1"/>
  <c r="C29" i="98" s="1"/>
  <c r="C30" i="98" s="1"/>
  <c r="C31" i="98" s="1"/>
  <c r="C32" i="98" s="1"/>
  <c r="C33" i="98" s="1"/>
  <c r="C34" i="98" s="1"/>
  <c r="C35" i="98" s="1"/>
  <c r="C36" i="98" s="1"/>
  <c r="C37" i="98" s="1"/>
  <c r="C38" i="98" s="1"/>
  <c r="C39" i="98" s="1"/>
  <c r="C40" i="98" s="1"/>
  <c r="C41" i="98" s="1"/>
  <c r="C42" i="98" s="1"/>
  <c r="C43" i="98" s="1"/>
  <c r="C44" i="98" s="1"/>
  <c r="K11" i="98"/>
  <c r="I11" i="98"/>
  <c r="D8" i="98"/>
  <c r="D90" i="98" s="1"/>
  <c r="P1" i="98"/>
  <c r="P83" i="98" s="1"/>
  <c r="P154" i="97"/>
  <c r="O154" i="97"/>
  <c r="M154" i="97"/>
  <c r="J154" i="97"/>
  <c r="P153" i="97"/>
  <c r="O153" i="97"/>
  <c r="M153" i="97"/>
  <c r="J153" i="97"/>
  <c r="P152" i="97"/>
  <c r="O152" i="97"/>
  <c r="M152" i="97"/>
  <c r="J152" i="97"/>
  <c r="P151" i="97"/>
  <c r="O151" i="97"/>
  <c r="M151" i="97"/>
  <c r="J151" i="97"/>
  <c r="P150" i="97"/>
  <c r="O150" i="97"/>
  <c r="M150" i="97"/>
  <c r="J150" i="97"/>
  <c r="P149" i="97"/>
  <c r="O149" i="97"/>
  <c r="M149" i="97"/>
  <c r="J149" i="97"/>
  <c r="P148" i="97"/>
  <c r="O148" i="97"/>
  <c r="M148" i="97"/>
  <c r="J148" i="97"/>
  <c r="P147" i="97"/>
  <c r="O147" i="97"/>
  <c r="M147" i="97"/>
  <c r="J147" i="97"/>
  <c r="P146" i="97"/>
  <c r="O146" i="97"/>
  <c r="M146" i="97"/>
  <c r="J146" i="97"/>
  <c r="P145" i="97"/>
  <c r="O145" i="97"/>
  <c r="M145" i="97"/>
  <c r="J145" i="97"/>
  <c r="P144" i="97"/>
  <c r="O144" i="97"/>
  <c r="M144" i="97"/>
  <c r="J144" i="97"/>
  <c r="P143" i="97"/>
  <c r="O143" i="97"/>
  <c r="M143" i="97"/>
  <c r="J143" i="97"/>
  <c r="P142" i="97"/>
  <c r="O142" i="97"/>
  <c r="M142" i="97"/>
  <c r="J142" i="97"/>
  <c r="P141" i="97"/>
  <c r="O141" i="97"/>
  <c r="M141" i="97"/>
  <c r="J141" i="97"/>
  <c r="P140" i="97"/>
  <c r="O140" i="97"/>
  <c r="M140" i="97"/>
  <c r="J140" i="97"/>
  <c r="P139" i="97"/>
  <c r="O139" i="97"/>
  <c r="M139" i="97"/>
  <c r="J139" i="97"/>
  <c r="P138" i="97"/>
  <c r="O138" i="97"/>
  <c r="M138" i="97"/>
  <c r="J138" i="97"/>
  <c r="P137" i="97"/>
  <c r="O137" i="97"/>
  <c r="M137" i="97"/>
  <c r="J137" i="97"/>
  <c r="P136" i="97"/>
  <c r="O136" i="97"/>
  <c r="M136" i="97"/>
  <c r="J136" i="97"/>
  <c r="P135" i="97"/>
  <c r="O135" i="97"/>
  <c r="M135" i="97"/>
  <c r="J135" i="97"/>
  <c r="P134" i="97"/>
  <c r="O134" i="97"/>
  <c r="M134" i="97"/>
  <c r="J134" i="97"/>
  <c r="P133" i="97"/>
  <c r="O133" i="97"/>
  <c r="M133" i="97"/>
  <c r="J133" i="97"/>
  <c r="P132" i="97"/>
  <c r="O132" i="97"/>
  <c r="M132" i="97"/>
  <c r="J132" i="97"/>
  <c r="P131" i="97"/>
  <c r="O131" i="97"/>
  <c r="M131" i="97"/>
  <c r="J131" i="97"/>
  <c r="O130" i="97"/>
  <c r="M130" i="97"/>
  <c r="O129" i="97"/>
  <c r="M129" i="97"/>
  <c r="O128" i="97"/>
  <c r="M128" i="97"/>
  <c r="O127" i="97"/>
  <c r="M127" i="97"/>
  <c r="O126" i="97"/>
  <c r="M126" i="97"/>
  <c r="O125" i="97"/>
  <c r="M125" i="97"/>
  <c r="O124" i="97"/>
  <c r="M124" i="97"/>
  <c r="O123" i="97"/>
  <c r="M123" i="97"/>
  <c r="O122" i="97"/>
  <c r="M122" i="97"/>
  <c r="O121" i="97"/>
  <c r="M121" i="97"/>
  <c r="O120" i="97"/>
  <c r="M120" i="97"/>
  <c r="O119" i="97"/>
  <c r="M119" i="97"/>
  <c r="O118" i="97"/>
  <c r="M118" i="97"/>
  <c r="O117" i="97"/>
  <c r="M117" i="97"/>
  <c r="O116" i="97"/>
  <c r="M116" i="97"/>
  <c r="O115" i="97"/>
  <c r="M115" i="97"/>
  <c r="O114" i="97"/>
  <c r="M114" i="97"/>
  <c r="O113" i="97"/>
  <c r="M113" i="97"/>
  <c r="O112" i="97"/>
  <c r="M112" i="97"/>
  <c r="O111" i="97"/>
  <c r="M111" i="97"/>
  <c r="O110" i="97"/>
  <c r="M110" i="97"/>
  <c r="O109" i="97"/>
  <c r="M109" i="97"/>
  <c r="O108" i="97"/>
  <c r="M108" i="97"/>
  <c r="O107" i="97"/>
  <c r="M107" i="97"/>
  <c r="O106" i="97"/>
  <c r="M106" i="97"/>
  <c r="O105" i="97"/>
  <c r="M105" i="97"/>
  <c r="O104" i="97"/>
  <c r="M104" i="97"/>
  <c r="O103" i="97"/>
  <c r="M103" i="97"/>
  <c r="O102" i="97"/>
  <c r="M102" i="97"/>
  <c r="O101" i="97"/>
  <c r="M101" i="97"/>
  <c r="O100" i="97"/>
  <c r="O99" i="97"/>
  <c r="C99" i="97"/>
  <c r="D96" i="97"/>
  <c r="L93" i="97"/>
  <c r="J93" i="97"/>
  <c r="J92" i="97"/>
  <c r="L86" i="97" s="1"/>
  <c r="D91" i="97"/>
  <c r="D89" i="97"/>
  <c r="N72" i="97"/>
  <c r="L72" i="97"/>
  <c r="N71" i="97"/>
  <c r="L71" i="97"/>
  <c r="N70" i="97"/>
  <c r="L70" i="97"/>
  <c r="N69" i="97"/>
  <c r="L69" i="97"/>
  <c r="N68" i="97"/>
  <c r="L68" i="97"/>
  <c r="N67" i="97"/>
  <c r="L67" i="97"/>
  <c r="N66" i="97"/>
  <c r="L66" i="97"/>
  <c r="N65" i="97"/>
  <c r="L65" i="97"/>
  <c r="N64" i="97"/>
  <c r="L64" i="97"/>
  <c r="N63" i="97"/>
  <c r="L63" i="97"/>
  <c r="N62" i="97"/>
  <c r="L62" i="97"/>
  <c r="N61" i="97"/>
  <c r="L61" i="97"/>
  <c r="N60" i="97"/>
  <c r="L60" i="97"/>
  <c r="N59" i="97"/>
  <c r="L59" i="97"/>
  <c r="N58" i="97"/>
  <c r="L58" i="97"/>
  <c r="N57" i="97"/>
  <c r="L57" i="97"/>
  <c r="N56" i="97"/>
  <c r="L56" i="97"/>
  <c r="N55" i="97"/>
  <c r="L55" i="97"/>
  <c r="N54" i="97"/>
  <c r="L54" i="97"/>
  <c r="N53" i="97"/>
  <c r="L53" i="97"/>
  <c r="N52" i="97"/>
  <c r="L52" i="97"/>
  <c r="N51" i="97"/>
  <c r="L51" i="97"/>
  <c r="N50" i="97"/>
  <c r="L50" i="97"/>
  <c r="N49" i="97"/>
  <c r="L49" i="97"/>
  <c r="N48" i="97"/>
  <c r="L48" i="97"/>
  <c r="N47" i="97"/>
  <c r="L47" i="97"/>
  <c r="N46" i="97"/>
  <c r="L46" i="97"/>
  <c r="N45" i="97"/>
  <c r="L45" i="97"/>
  <c r="N44" i="97"/>
  <c r="L44" i="97"/>
  <c r="N43" i="97"/>
  <c r="L43" i="97"/>
  <c r="N42" i="97"/>
  <c r="L42" i="97"/>
  <c r="N41" i="97"/>
  <c r="L41" i="97"/>
  <c r="N40" i="97"/>
  <c r="L40" i="97"/>
  <c r="N39" i="97"/>
  <c r="L39" i="97"/>
  <c r="N38" i="97"/>
  <c r="L38" i="97"/>
  <c r="N37" i="97"/>
  <c r="L37" i="97"/>
  <c r="N36" i="97"/>
  <c r="L36" i="97"/>
  <c r="N35" i="97"/>
  <c r="L35" i="97"/>
  <c r="N34" i="97"/>
  <c r="L34" i="97"/>
  <c r="N33" i="97"/>
  <c r="L33" i="97"/>
  <c r="N32" i="97"/>
  <c r="L32" i="97"/>
  <c r="N31" i="97"/>
  <c r="L31" i="97"/>
  <c r="N30" i="97"/>
  <c r="L30" i="97"/>
  <c r="N29" i="97"/>
  <c r="L29" i="97"/>
  <c r="N28" i="97"/>
  <c r="L28" i="97"/>
  <c r="N27" i="97"/>
  <c r="L27" i="97"/>
  <c r="N26" i="97"/>
  <c r="L26" i="97"/>
  <c r="N25" i="97"/>
  <c r="L25" i="97"/>
  <c r="N24" i="97"/>
  <c r="L24" i="97"/>
  <c r="N23" i="97"/>
  <c r="L23" i="97"/>
  <c r="N22" i="97"/>
  <c r="L22" i="97"/>
  <c r="N21" i="97"/>
  <c r="L21" i="97"/>
  <c r="N20" i="97"/>
  <c r="N19" i="97"/>
  <c r="M17" i="97"/>
  <c r="N17" i="97" s="1"/>
  <c r="K17" i="97"/>
  <c r="L17" i="97" s="1"/>
  <c r="C17" i="97"/>
  <c r="C18" i="97" s="1"/>
  <c r="C19" i="97" s="1"/>
  <c r="C20" i="97" s="1"/>
  <c r="C21" i="97" s="1"/>
  <c r="C22" i="97" s="1"/>
  <c r="C23" i="97" s="1"/>
  <c r="C24" i="97" s="1"/>
  <c r="C25" i="97" s="1"/>
  <c r="C26" i="97" s="1"/>
  <c r="C27" i="97" s="1"/>
  <c r="C28" i="97" s="1"/>
  <c r="C29" i="97" s="1"/>
  <c r="C30" i="97" s="1"/>
  <c r="C31" i="97" s="1"/>
  <c r="C32" i="97" s="1"/>
  <c r="C33" i="97" s="1"/>
  <c r="C34" i="97" s="1"/>
  <c r="C35" i="97" s="1"/>
  <c r="C36" i="97" s="1"/>
  <c r="C37" i="97" s="1"/>
  <c r="C38" i="97" s="1"/>
  <c r="C39" i="97" s="1"/>
  <c r="C40" i="97" s="1"/>
  <c r="C41" i="97" s="1"/>
  <c r="C42" i="97" s="1"/>
  <c r="C43" i="97" s="1"/>
  <c r="C44" i="97" s="1"/>
  <c r="K11" i="97"/>
  <c r="I11" i="97"/>
  <c r="D8" i="97"/>
  <c r="D90" i="97" s="1"/>
  <c r="P1" i="97"/>
  <c r="P83" i="97" s="1"/>
  <c r="O71" i="98" l="1"/>
  <c r="J96" i="36"/>
  <c r="P101" i="98"/>
  <c r="P105" i="98"/>
  <c r="B19" i="99"/>
  <c r="I18" i="99"/>
  <c r="O34" i="98"/>
  <c r="O52" i="98"/>
  <c r="O42" i="98"/>
  <c r="O23" i="98"/>
  <c r="O27" i="98"/>
  <c r="O58" i="98"/>
  <c r="O60" i="98"/>
  <c r="O68" i="98"/>
  <c r="O32" i="98"/>
  <c r="O39" i="98"/>
  <c r="O43" i="98"/>
  <c r="O45" i="98"/>
  <c r="O47" i="98"/>
  <c r="O23" i="97"/>
  <c r="O40" i="98"/>
  <c r="O51" i="98"/>
  <c r="O64" i="98"/>
  <c r="O20" i="98"/>
  <c r="O22" i="98"/>
  <c r="O35" i="98"/>
  <c r="O46" i="98"/>
  <c r="O53" i="98"/>
  <c r="O55" i="98"/>
  <c r="O59" i="98"/>
  <c r="O72" i="98"/>
  <c r="O19" i="98"/>
  <c r="O30" i="98"/>
  <c r="O36" i="98"/>
  <c r="O50" i="98"/>
  <c r="O56" i="98"/>
  <c r="O61" i="98"/>
  <c r="O63" i="98"/>
  <c r="O67" i="98"/>
  <c r="O21" i="98"/>
  <c r="O24" i="98"/>
  <c r="O26" i="98"/>
  <c r="O28" i="98"/>
  <c r="O31" i="98"/>
  <c r="O48" i="98"/>
  <c r="O66" i="98"/>
  <c r="O69" i="98"/>
  <c r="O25" i="98"/>
  <c r="O44" i="98"/>
  <c r="O48" i="97"/>
  <c r="O50" i="97"/>
  <c r="O56" i="97"/>
  <c r="O60" i="97"/>
  <c r="O64" i="97"/>
  <c r="O68" i="97"/>
  <c r="O25" i="97"/>
  <c r="O27" i="97"/>
  <c r="O31" i="97"/>
  <c r="O35" i="97"/>
  <c r="O39" i="97"/>
  <c r="O19" i="97"/>
  <c r="O72" i="97"/>
  <c r="O41" i="97"/>
  <c r="O43" i="97"/>
  <c r="O47" i="97"/>
  <c r="O61" i="97"/>
  <c r="O63" i="97"/>
  <c r="O17" i="97"/>
  <c r="O32" i="97"/>
  <c r="O34" i="97"/>
  <c r="O58" i="97"/>
  <c r="O62" i="97"/>
  <c r="O66" i="97"/>
  <c r="O71" i="97"/>
  <c r="O20" i="97"/>
  <c r="O22" i="97"/>
  <c r="O29" i="97"/>
  <c r="O36" i="97"/>
  <c r="O38" i="97"/>
  <c r="O45" i="97"/>
  <c r="O65" i="97"/>
  <c r="O67" i="97"/>
  <c r="O24" i="97"/>
  <c r="O26" i="97"/>
  <c r="O40" i="97"/>
  <c r="O42" i="97"/>
  <c r="O49" i="97"/>
  <c r="O51" i="97"/>
  <c r="O53" i="97"/>
  <c r="O55" i="97"/>
  <c r="O69" i="97"/>
  <c r="O28" i="97"/>
  <c r="O30" i="97"/>
  <c r="O44" i="97"/>
  <c r="O46" i="97"/>
  <c r="O52" i="97"/>
  <c r="O54" i="97"/>
  <c r="O57" i="97"/>
  <c r="O59" i="97"/>
  <c r="O70" i="97"/>
  <c r="C100" i="97"/>
  <c r="C101" i="97" s="1"/>
  <c r="C102" i="97" s="1"/>
  <c r="C103" i="97" s="1"/>
  <c r="C104" i="97" s="1"/>
  <c r="C105" i="97" s="1"/>
  <c r="C106" i="97" s="1"/>
  <c r="C107" i="97" s="1"/>
  <c r="C108" i="97" s="1"/>
  <c r="C109" i="97" s="1"/>
  <c r="C110" i="97" s="1"/>
  <c r="C111" i="97" s="1"/>
  <c r="C112" i="97" s="1"/>
  <c r="C113" i="97" s="1"/>
  <c r="C114" i="97" s="1"/>
  <c r="C115" i="97" s="1"/>
  <c r="C116" i="97" s="1"/>
  <c r="C117" i="97" s="1"/>
  <c r="C118" i="97" s="1"/>
  <c r="C119" i="97" s="1"/>
  <c r="C120" i="97" s="1"/>
  <c r="C121" i="97" s="1"/>
  <c r="C122" i="97" s="1"/>
  <c r="C123" i="97" s="1"/>
  <c r="C124" i="97" s="1"/>
  <c r="C125" i="97" s="1"/>
  <c r="C126" i="97" s="1"/>
  <c r="P99" i="98"/>
  <c r="P103" i="97"/>
  <c r="P105" i="97"/>
  <c r="P107" i="97"/>
  <c r="P109" i="97"/>
  <c r="P111" i="97"/>
  <c r="P119" i="97"/>
  <c r="P123" i="97"/>
  <c r="P100" i="98"/>
  <c r="P102" i="98"/>
  <c r="P104" i="98"/>
  <c r="P106" i="98"/>
  <c r="P110" i="98"/>
  <c r="P114" i="98"/>
  <c r="P116" i="98"/>
  <c r="P118" i="98"/>
  <c r="P104" i="97"/>
  <c r="P106" i="97"/>
  <c r="P108" i="97"/>
  <c r="P110" i="97"/>
  <c r="P122" i="97"/>
  <c r="P107" i="98"/>
  <c r="P109" i="98"/>
  <c r="P111" i="98"/>
  <c r="P113" i="98"/>
  <c r="P115" i="98"/>
  <c r="P117" i="98"/>
  <c r="P122" i="98"/>
  <c r="P126" i="98"/>
  <c r="P130" i="98"/>
  <c r="P108" i="98"/>
  <c r="P112" i="98"/>
  <c r="P113" i="97"/>
  <c r="P115" i="97"/>
  <c r="P117" i="97"/>
  <c r="P126" i="97"/>
  <c r="P130" i="97"/>
  <c r="P99" i="97"/>
  <c r="P112" i="97"/>
  <c r="P114" i="97"/>
  <c r="P116" i="97"/>
  <c r="P118" i="97"/>
  <c r="P127" i="97"/>
  <c r="P127" i="98"/>
  <c r="P103" i="98"/>
  <c r="O17" i="98"/>
  <c r="C45" i="98"/>
  <c r="C46" i="98" s="1"/>
  <c r="C47" i="98" s="1"/>
  <c r="C48" i="98" s="1"/>
  <c r="C49" i="98" s="1"/>
  <c r="C50" i="98" s="1"/>
  <c r="C51" i="98" s="1"/>
  <c r="C52" i="98" s="1"/>
  <c r="C53" i="98" s="1"/>
  <c r="C54" i="98" s="1"/>
  <c r="C55" i="98" s="1"/>
  <c r="C56" i="98" s="1"/>
  <c r="C57" i="98" s="1"/>
  <c r="C58" i="98" s="1"/>
  <c r="C59" i="98" s="1"/>
  <c r="C60" i="98" s="1"/>
  <c r="C61" i="98" s="1"/>
  <c r="C62" i="98" s="1"/>
  <c r="C63" i="98" s="1"/>
  <c r="C64" i="98" s="1"/>
  <c r="C65" i="98" s="1"/>
  <c r="C66" i="98" s="1"/>
  <c r="C67" i="98" s="1"/>
  <c r="C68" i="98" s="1"/>
  <c r="C69" i="98" s="1"/>
  <c r="C70" i="98" s="1"/>
  <c r="C71" i="98" s="1"/>
  <c r="C72" i="98" s="1"/>
  <c r="O37" i="98"/>
  <c r="C127" i="98"/>
  <c r="C128" i="98" s="1"/>
  <c r="C129" i="98" s="1"/>
  <c r="C130" i="98" s="1"/>
  <c r="C131" i="98" s="1"/>
  <c r="C132" i="98" s="1"/>
  <c r="C133" i="98" s="1"/>
  <c r="C134" i="98" s="1"/>
  <c r="C135" i="98" s="1"/>
  <c r="C136" i="98" s="1"/>
  <c r="C137" i="98" s="1"/>
  <c r="C138" i="98" s="1"/>
  <c r="C139" i="98" s="1"/>
  <c r="C140" i="98" s="1"/>
  <c r="C141" i="98" s="1"/>
  <c r="C142" i="98" s="1"/>
  <c r="C143" i="98" s="1"/>
  <c r="C144" i="98" s="1"/>
  <c r="C145" i="98" s="1"/>
  <c r="C146" i="98" s="1"/>
  <c r="C147" i="98" s="1"/>
  <c r="C148" i="98" s="1"/>
  <c r="C149" i="98" s="1"/>
  <c r="C150" i="98" s="1"/>
  <c r="C151" i="98" s="1"/>
  <c r="C152" i="98" s="1"/>
  <c r="C153" i="98" s="1"/>
  <c r="C154" i="98" s="1"/>
  <c r="B18" i="98"/>
  <c r="O29" i="98"/>
  <c r="O38" i="98"/>
  <c r="O33" i="98"/>
  <c r="O49" i="98"/>
  <c r="O54" i="98"/>
  <c r="O57" i="98"/>
  <c r="O62" i="98"/>
  <c r="O65" i="98"/>
  <c r="O70" i="98"/>
  <c r="P119" i="98"/>
  <c r="O41" i="98"/>
  <c r="P123" i="98"/>
  <c r="P120" i="98"/>
  <c r="P124" i="98"/>
  <c r="P128" i="98"/>
  <c r="P121" i="98"/>
  <c r="P125" i="98"/>
  <c r="P129" i="98"/>
  <c r="M87" i="97"/>
  <c r="N87" i="97"/>
  <c r="C45" i="97"/>
  <c r="C46" i="97" s="1"/>
  <c r="C47" i="97" s="1"/>
  <c r="C48" i="97" s="1"/>
  <c r="C49" i="97" s="1"/>
  <c r="C50" i="97" s="1"/>
  <c r="C51" i="97" s="1"/>
  <c r="C52" i="97" s="1"/>
  <c r="C53" i="97" s="1"/>
  <c r="C54" i="97" s="1"/>
  <c r="C55" i="97" s="1"/>
  <c r="C56" i="97" s="1"/>
  <c r="C57" i="97" s="1"/>
  <c r="C58" i="97" s="1"/>
  <c r="C59" i="97" s="1"/>
  <c r="C60" i="97" s="1"/>
  <c r="C61" i="97" s="1"/>
  <c r="C62" i="97" s="1"/>
  <c r="C63" i="97" s="1"/>
  <c r="C64" i="97" s="1"/>
  <c r="C65" i="97" s="1"/>
  <c r="C66" i="97" s="1"/>
  <c r="C67" i="97" s="1"/>
  <c r="C68" i="97" s="1"/>
  <c r="C69" i="97" s="1"/>
  <c r="C70" i="97" s="1"/>
  <c r="C71" i="97" s="1"/>
  <c r="C72" i="97" s="1"/>
  <c r="O21" i="97"/>
  <c r="O37" i="97"/>
  <c r="O33" i="97"/>
  <c r="C127" i="97"/>
  <c r="C128" i="97" s="1"/>
  <c r="C129" i="97" s="1"/>
  <c r="C130" i="97" s="1"/>
  <c r="C131" i="97" s="1"/>
  <c r="C132" i="97" s="1"/>
  <c r="C133" i="97" s="1"/>
  <c r="C134" i="97" s="1"/>
  <c r="C135" i="97" s="1"/>
  <c r="C136" i="97" s="1"/>
  <c r="C137" i="97" s="1"/>
  <c r="C138" i="97" s="1"/>
  <c r="C139" i="97" s="1"/>
  <c r="C140" i="97" s="1"/>
  <c r="C141" i="97" s="1"/>
  <c r="C142" i="97" s="1"/>
  <c r="C143" i="97" s="1"/>
  <c r="C144" i="97" s="1"/>
  <c r="C145" i="97" s="1"/>
  <c r="C146" i="97" s="1"/>
  <c r="C147" i="97" s="1"/>
  <c r="C148" i="97" s="1"/>
  <c r="C149" i="97" s="1"/>
  <c r="C150" i="97" s="1"/>
  <c r="C151" i="97" s="1"/>
  <c r="C152" i="97" s="1"/>
  <c r="C153" i="97" s="1"/>
  <c r="C154" i="97" s="1"/>
  <c r="B18" i="97"/>
  <c r="P102" i="97"/>
  <c r="P101" i="97"/>
  <c r="P100" i="97"/>
  <c r="P120" i="97"/>
  <c r="P124" i="97"/>
  <c r="P128" i="97"/>
  <c r="P121" i="97"/>
  <c r="P125" i="97"/>
  <c r="P129" i="97"/>
  <c r="B19" i="98" l="1"/>
  <c r="K18" i="98"/>
  <c r="M18" i="98"/>
  <c r="N18" i="97"/>
  <c r="O18" i="97" s="1"/>
  <c r="O87" i="97"/>
  <c r="N18" i="98" l="1"/>
  <c r="N87" i="98"/>
  <c r="L18" i="98"/>
  <c r="O18" i="98" s="1"/>
  <c r="M87" i="98"/>
  <c r="I18" i="98"/>
  <c r="B19" i="97"/>
  <c r="I18" i="97"/>
  <c r="O87" i="98" l="1"/>
  <c r="E36" i="1"/>
  <c r="E35" i="1"/>
  <c r="C36" i="1"/>
  <c r="C35" i="1"/>
  <c r="I103" i="36"/>
  <c r="C36" i="2" l="1"/>
  <c r="C35" i="2"/>
  <c r="E36" i="2" l="1"/>
  <c r="E35" i="2"/>
  <c r="M17" i="96" l="1"/>
  <c r="N17" i="96" s="1"/>
  <c r="K17" i="96"/>
  <c r="M17" i="95"/>
  <c r="N17" i="95" s="1"/>
  <c r="K17" i="95"/>
  <c r="L17" i="95" s="1"/>
  <c r="M17" i="94"/>
  <c r="K17" i="94"/>
  <c r="L17" i="94" s="1"/>
  <c r="M17" i="93"/>
  <c r="K17" i="93"/>
  <c r="L17" i="93" s="1"/>
  <c r="N99" i="92"/>
  <c r="L99" i="92"/>
  <c r="M99" i="92"/>
  <c r="M18" i="92"/>
  <c r="N18" i="92" s="1"/>
  <c r="K18" i="92"/>
  <c r="L18" i="92" s="1"/>
  <c r="N99" i="91"/>
  <c r="L99" i="91"/>
  <c r="M18" i="91"/>
  <c r="K18" i="91"/>
  <c r="L18" i="91" s="1"/>
  <c r="N99" i="90"/>
  <c r="O99" i="90" s="1"/>
  <c r="L99" i="90"/>
  <c r="M18" i="90"/>
  <c r="K18" i="90"/>
  <c r="N99" i="89"/>
  <c r="L99" i="89"/>
  <c r="M18" i="89"/>
  <c r="K18" i="89"/>
  <c r="L18" i="89" s="1"/>
  <c r="N99" i="88"/>
  <c r="L99" i="88"/>
  <c r="M18" i="88"/>
  <c r="N18" i="88" s="1"/>
  <c r="K18" i="88"/>
  <c r="N99" i="87"/>
  <c r="L99" i="87"/>
  <c r="M18" i="87"/>
  <c r="N18" i="87" s="1"/>
  <c r="K18" i="87"/>
  <c r="N99" i="86"/>
  <c r="O99" i="86" s="1"/>
  <c r="L99" i="86"/>
  <c r="M18" i="86"/>
  <c r="K18" i="86"/>
  <c r="L18" i="86" s="1"/>
  <c r="N100" i="85"/>
  <c r="L100" i="85"/>
  <c r="M19" i="85"/>
  <c r="N19" i="85" s="1"/>
  <c r="K19" i="85"/>
  <c r="L19" i="85" s="1"/>
  <c r="N99" i="84"/>
  <c r="L99" i="84"/>
  <c r="M19" i="84"/>
  <c r="N19" i="84" s="1"/>
  <c r="K19" i="84"/>
  <c r="L19" i="84" s="1"/>
  <c r="N100" i="83"/>
  <c r="L100" i="83"/>
  <c r="M19" i="83"/>
  <c r="N19" i="83" s="1"/>
  <c r="K19" i="83"/>
  <c r="L19" i="83" s="1"/>
  <c r="N100" i="82"/>
  <c r="L100" i="82"/>
  <c r="M19" i="82"/>
  <c r="N19" i="82" s="1"/>
  <c r="K19" i="82"/>
  <c r="L19" i="82" s="1"/>
  <c r="N100" i="81"/>
  <c r="O100" i="81" s="1"/>
  <c r="L100" i="81"/>
  <c r="M100" i="81" s="1"/>
  <c r="M19" i="81"/>
  <c r="N19" i="81" s="1"/>
  <c r="K19" i="81"/>
  <c r="L19" i="81" s="1"/>
  <c r="N100" i="80"/>
  <c r="L100" i="80"/>
  <c r="M19" i="80"/>
  <c r="N19" i="80" s="1"/>
  <c r="K19" i="80"/>
  <c r="L19" i="80" s="1"/>
  <c r="N101" i="79"/>
  <c r="O101" i="79" s="1"/>
  <c r="L101" i="79"/>
  <c r="M101" i="79" s="1"/>
  <c r="M20" i="79"/>
  <c r="N20" i="79" s="1"/>
  <c r="K20" i="79"/>
  <c r="L20" i="79" s="1"/>
  <c r="N101" i="78"/>
  <c r="O101" i="78" s="1"/>
  <c r="L101" i="78"/>
  <c r="M101" i="78" s="1"/>
  <c r="M20" i="78"/>
  <c r="N20" i="78" s="1"/>
  <c r="K20" i="78"/>
  <c r="L20" i="78" s="1"/>
  <c r="N101" i="77"/>
  <c r="O101" i="77" s="1"/>
  <c r="P101" i="77" s="1"/>
  <c r="L101" i="77"/>
  <c r="M101" i="77" s="1"/>
  <c r="M20" i="77"/>
  <c r="N20" i="77" s="1"/>
  <c r="K20" i="77"/>
  <c r="L20" i="77" s="1"/>
  <c r="M20" i="76"/>
  <c r="N20" i="76" s="1"/>
  <c r="K20" i="76"/>
  <c r="L20" i="76" s="1"/>
  <c r="N101" i="76"/>
  <c r="O101" i="76" s="1"/>
  <c r="L101" i="76"/>
  <c r="M101" i="76" s="1"/>
  <c r="N101" i="75"/>
  <c r="O101" i="75" s="1"/>
  <c r="L101" i="75"/>
  <c r="M101" i="75" s="1"/>
  <c r="M20" i="75"/>
  <c r="N20" i="75" s="1"/>
  <c r="K20" i="75"/>
  <c r="L20" i="75" s="1"/>
  <c r="N105" i="74"/>
  <c r="O105" i="74" s="1"/>
  <c r="L105" i="74"/>
  <c r="M105" i="74" s="1"/>
  <c r="M24" i="74"/>
  <c r="N24" i="74" s="1"/>
  <c r="K24" i="74"/>
  <c r="L24" i="74" s="1"/>
  <c r="N106" i="73"/>
  <c r="O106" i="73"/>
  <c r="L106" i="73"/>
  <c r="M106" i="73" s="1"/>
  <c r="M25" i="73"/>
  <c r="N25" i="73" s="1"/>
  <c r="K25" i="73"/>
  <c r="L25" i="73" s="1"/>
  <c r="N104" i="72"/>
  <c r="O104" i="72" s="1"/>
  <c r="L104" i="72"/>
  <c r="M104" i="72" s="1"/>
  <c r="M23" i="72"/>
  <c r="N23" i="72" s="1"/>
  <c r="K23" i="72"/>
  <c r="L23" i="72" s="1"/>
  <c r="N108" i="71"/>
  <c r="O108" i="71" s="1"/>
  <c r="P108" i="71" s="1"/>
  <c r="L108" i="71"/>
  <c r="M108" i="71" s="1"/>
  <c r="M27" i="71"/>
  <c r="N27" i="71" s="1"/>
  <c r="K27" i="71"/>
  <c r="L27" i="71" s="1"/>
  <c r="N109" i="70"/>
  <c r="O109" i="70" s="1"/>
  <c r="L109" i="70"/>
  <c r="M109" i="70" s="1"/>
  <c r="M28" i="70"/>
  <c r="N28" i="70" s="1"/>
  <c r="O28" i="70" s="1"/>
  <c r="K28" i="70"/>
  <c r="L28" i="70" s="1"/>
  <c r="N109" i="69"/>
  <c r="O109" i="69" s="1"/>
  <c r="P109" i="69" s="1"/>
  <c r="L109" i="69"/>
  <c r="M109" i="69" s="1"/>
  <c r="M28" i="69"/>
  <c r="N28" i="69" s="1"/>
  <c r="K28" i="69"/>
  <c r="L28" i="69" s="1"/>
  <c r="N102" i="68"/>
  <c r="O102" i="68" s="1"/>
  <c r="L102" i="68"/>
  <c r="M102" i="68" s="1"/>
  <c r="M21" i="68"/>
  <c r="N21" i="68" s="1"/>
  <c r="K21" i="68"/>
  <c r="L21" i="68" s="1"/>
  <c r="N102" i="67"/>
  <c r="O102" i="67" s="1"/>
  <c r="P102" i="67" s="1"/>
  <c r="L102" i="67"/>
  <c r="M102" i="67" s="1"/>
  <c r="M21" i="67"/>
  <c r="N21" i="67" s="1"/>
  <c r="K21" i="67"/>
  <c r="L21" i="67" s="1"/>
  <c r="N102" i="66"/>
  <c r="O102" i="66" s="1"/>
  <c r="L102" i="66"/>
  <c r="M102" i="66" s="1"/>
  <c r="M21" i="66"/>
  <c r="N21" i="66" s="1"/>
  <c r="K21" i="66"/>
  <c r="L21" i="66" s="1"/>
  <c r="N102" i="65"/>
  <c r="O102" i="65" s="1"/>
  <c r="P102" i="65" s="1"/>
  <c r="L102" i="65"/>
  <c r="M102" i="65" s="1"/>
  <c r="M21" i="65"/>
  <c r="N21" i="65" s="1"/>
  <c r="K21" i="65"/>
  <c r="L21" i="65" s="1"/>
  <c r="N103" i="64"/>
  <c r="O103" i="64" s="1"/>
  <c r="P103" i="64" s="1"/>
  <c r="L103" i="64"/>
  <c r="M103" i="64" s="1"/>
  <c r="M22" i="64"/>
  <c r="N22" i="64" s="1"/>
  <c r="K22" i="64"/>
  <c r="L22" i="64" s="1"/>
  <c r="N103" i="60"/>
  <c r="O103" i="60" s="1"/>
  <c r="P103" i="60" s="1"/>
  <c r="L103" i="60"/>
  <c r="M103" i="60" s="1"/>
  <c r="M22" i="60"/>
  <c r="N22" i="60" s="1"/>
  <c r="K22" i="60"/>
  <c r="L22" i="60" s="1"/>
  <c r="N103" i="62"/>
  <c r="O103" i="62" s="1"/>
  <c r="P103" i="62" s="1"/>
  <c r="L103" i="62"/>
  <c r="M103" i="62" s="1"/>
  <c r="M22" i="62"/>
  <c r="N22" i="62" s="1"/>
  <c r="K22" i="62"/>
  <c r="L22" i="62" s="1"/>
  <c r="N103" i="63"/>
  <c r="O103" i="63" s="1"/>
  <c r="P103" i="63" s="1"/>
  <c r="L103" i="63"/>
  <c r="M103" i="63" s="1"/>
  <c r="M22" i="63"/>
  <c r="N22" i="63" s="1"/>
  <c r="K22" i="63"/>
  <c r="L22" i="63" s="1"/>
  <c r="N103" i="61"/>
  <c r="O103" i="61" s="1"/>
  <c r="L103" i="61"/>
  <c r="M103" i="61" s="1"/>
  <c r="M22" i="61"/>
  <c r="N22" i="61" s="1"/>
  <c r="K22" i="61"/>
  <c r="L22" i="61" s="1"/>
  <c r="N103" i="59"/>
  <c r="O103" i="59" s="1"/>
  <c r="L103" i="59"/>
  <c r="M103" i="59" s="1"/>
  <c r="M22" i="59"/>
  <c r="N22" i="59" s="1"/>
  <c r="O22" i="59" s="1"/>
  <c r="K22" i="59"/>
  <c r="L22" i="59" s="1"/>
  <c r="N104" i="58"/>
  <c r="O104" i="58"/>
  <c r="L104" i="58"/>
  <c r="M104" i="58" s="1"/>
  <c r="M23" i="58"/>
  <c r="N23" i="58" s="1"/>
  <c r="K23" i="58"/>
  <c r="L23" i="58" s="1"/>
  <c r="N104" i="57"/>
  <c r="O104" i="57" s="1"/>
  <c r="M104" i="57"/>
  <c r="P104" i="57" s="1"/>
  <c r="L104" i="57"/>
  <c r="M23" i="57"/>
  <c r="N23" i="57" s="1"/>
  <c r="K23" i="57"/>
  <c r="L23" i="57" s="1"/>
  <c r="N104" i="56"/>
  <c r="O104" i="56" s="1"/>
  <c r="P104" i="56" s="1"/>
  <c r="L104" i="56"/>
  <c r="M104" i="56" s="1"/>
  <c r="M23" i="56"/>
  <c r="N23" i="56" s="1"/>
  <c r="K23" i="56"/>
  <c r="L23" i="56" s="1"/>
  <c r="N104" i="55"/>
  <c r="O104" i="55" s="1"/>
  <c r="L104" i="55"/>
  <c r="M104" i="55" s="1"/>
  <c r="M23" i="55"/>
  <c r="N23" i="55" s="1"/>
  <c r="K23" i="55"/>
  <c r="L23" i="55" s="1"/>
  <c r="N104" i="54"/>
  <c r="O104" i="54" s="1"/>
  <c r="L104" i="54"/>
  <c r="M104" i="54" s="1"/>
  <c r="M23" i="54"/>
  <c r="N23" i="54" s="1"/>
  <c r="K23" i="54"/>
  <c r="L23" i="54" s="1"/>
  <c r="N104" i="53"/>
  <c r="O104" i="53" s="1"/>
  <c r="L104" i="53"/>
  <c r="M104" i="53" s="1"/>
  <c r="P104" i="53" s="1"/>
  <c r="M23" i="53"/>
  <c r="N23" i="53" s="1"/>
  <c r="K23" i="53"/>
  <c r="L23" i="53" s="1"/>
  <c r="N104" i="46"/>
  <c r="O104" i="46" s="1"/>
  <c r="P104" i="46" s="1"/>
  <c r="L104" i="46"/>
  <c r="M104" i="46" s="1"/>
  <c r="M23" i="46"/>
  <c r="N23" i="46" s="1"/>
  <c r="K23" i="46"/>
  <c r="L23" i="46" s="1"/>
  <c r="N105" i="45"/>
  <c r="O105" i="45" s="1"/>
  <c r="L105" i="45"/>
  <c r="M105" i="45" s="1"/>
  <c r="M24" i="45"/>
  <c r="N24" i="45" s="1"/>
  <c r="K24" i="45"/>
  <c r="L24" i="45" s="1"/>
  <c r="N106" i="44"/>
  <c r="O106" i="44" s="1"/>
  <c r="P106" i="44" s="1"/>
  <c r="L106" i="44"/>
  <c r="M106" i="44" s="1"/>
  <c r="M25" i="44"/>
  <c r="N25" i="44" s="1"/>
  <c r="K25" i="44"/>
  <c r="L25" i="44" s="1"/>
  <c r="N106" i="43"/>
  <c r="O106" i="43" s="1"/>
  <c r="L106" i="43"/>
  <c r="M106" i="43" s="1"/>
  <c r="M25" i="43"/>
  <c r="N25" i="43" s="1"/>
  <c r="K25" i="43"/>
  <c r="L25" i="43" s="1"/>
  <c r="N106" i="42"/>
  <c r="O106" i="42" s="1"/>
  <c r="L106" i="42"/>
  <c r="M106" i="42" s="1"/>
  <c r="M25" i="42"/>
  <c r="N25" i="42" s="1"/>
  <c r="K25" i="42"/>
  <c r="L25" i="42" s="1"/>
  <c r="N106" i="41"/>
  <c r="O106" i="41" s="1"/>
  <c r="P106" i="41" s="1"/>
  <c r="L106" i="41"/>
  <c r="M106" i="41" s="1"/>
  <c r="M25" i="41"/>
  <c r="N25" i="41" s="1"/>
  <c r="O25" i="41" s="1"/>
  <c r="K25" i="41"/>
  <c r="L25" i="41" s="1"/>
  <c r="N106" i="39"/>
  <c r="O106" i="39" s="1"/>
  <c r="L106" i="39"/>
  <c r="M106" i="39" s="1"/>
  <c r="M25" i="39"/>
  <c r="N25" i="39" s="1"/>
  <c r="K25" i="39"/>
  <c r="L25" i="39" s="1"/>
  <c r="N108" i="34"/>
  <c r="O108" i="34"/>
  <c r="L108" i="34"/>
  <c r="M108" i="34" s="1"/>
  <c r="P108" i="34" s="1"/>
  <c r="M27" i="34"/>
  <c r="N27" i="34" s="1"/>
  <c r="K27" i="34"/>
  <c r="L27" i="34" s="1"/>
  <c r="N108" i="32"/>
  <c r="O108" i="32" s="1"/>
  <c r="L108" i="32"/>
  <c r="M108" i="32" s="1"/>
  <c r="M27" i="32"/>
  <c r="N27" i="32" s="1"/>
  <c r="K27" i="32"/>
  <c r="L27" i="32" s="1"/>
  <c r="N108" i="31"/>
  <c r="O108" i="31"/>
  <c r="L108" i="31"/>
  <c r="M108" i="31" s="1"/>
  <c r="P108" i="31" s="1"/>
  <c r="M27" i="31"/>
  <c r="N27" i="31" s="1"/>
  <c r="K27" i="31"/>
  <c r="L27" i="31" s="1"/>
  <c r="N109" i="30"/>
  <c r="O109" i="30" s="1"/>
  <c r="L109" i="30"/>
  <c r="M109" i="30" s="1"/>
  <c r="M28" i="30"/>
  <c r="N28" i="30" s="1"/>
  <c r="K28" i="30"/>
  <c r="L28" i="30" s="1"/>
  <c r="N109" i="29"/>
  <c r="O109" i="29" s="1"/>
  <c r="L109" i="29"/>
  <c r="M109" i="29" s="1"/>
  <c r="M28" i="29"/>
  <c r="N28" i="29" s="1"/>
  <c r="K28" i="29"/>
  <c r="L28" i="29" s="1"/>
  <c r="N110" i="28"/>
  <c r="O110" i="28" s="1"/>
  <c r="L110" i="28"/>
  <c r="M110" i="28" s="1"/>
  <c r="M29" i="28"/>
  <c r="N29" i="28" s="1"/>
  <c r="K29" i="28"/>
  <c r="L29" i="28" s="1"/>
  <c r="N109" i="27"/>
  <c r="O109" i="27" s="1"/>
  <c r="L109" i="27"/>
  <c r="M109" i="27" s="1"/>
  <c r="M28" i="27"/>
  <c r="N28" i="27" s="1"/>
  <c r="K28" i="27"/>
  <c r="L28" i="27" s="1"/>
  <c r="N108" i="24"/>
  <c r="O108" i="24" s="1"/>
  <c r="L108" i="24"/>
  <c r="M108" i="24" s="1"/>
  <c r="M27" i="24"/>
  <c r="N27" i="24" s="1"/>
  <c r="K27" i="24"/>
  <c r="L27" i="24" s="1"/>
  <c r="N108" i="23"/>
  <c r="O108" i="23"/>
  <c r="P108" i="23" s="1"/>
  <c r="L108" i="23"/>
  <c r="M108" i="23" s="1"/>
  <c r="M27" i="23"/>
  <c r="N27" i="23" s="1"/>
  <c r="K27" i="23"/>
  <c r="L27" i="23" s="1"/>
  <c r="N107" i="22"/>
  <c r="O107" i="22" s="1"/>
  <c r="L107" i="22"/>
  <c r="M107" i="22" s="1"/>
  <c r="M26" i="22"/>
  <c r="N26" i="22" s="1"/>
  <c r="K26" i="22"/>
  <c r="L26" i="22" s="1"/>
  <c r="N107" i="21"/>
  <c r="O107" i="21" s="1"/>
  <c r="P107" i="21" s="1"/>
  <c r="L107" i="21"/>
  <c r="M107" i="21" s="1"/>
  <c r="M26" i="21"/>
  <c r="N26" i="21" s="1"/>
  <c r="K26" i="21"/>
  <c r="L26" i="21" s="1"/>
  <c r="N107" i="20"/>
  <c r="O107" i="20" s="1"/>
  <c r="L107" i="20"/>
  <c r="M107" i="20" s="1"/>
  <c r="P107" i="20" s="1"/>
  <c r="M26" i="20"/>
  <c r="N26" i="20" s="1"/>
  <c r="K26" i="20"/>
  <c r="L26" i="20" s="1"/>
  <c r="N107" i="19"/>
  <c r="O107" i="19"/>
  <c r="L107" i="19"/>
  <c r="M107" i="19" s="1"/>
  <c r="M26" i="19"/>
  <c r="N26" i="19" s="1"/>
  <c r="O26" i="19" s="1"/>
  <c r="K26" i="19"/>
  <c r="L26" i="19" s="1"/>
  <c r="N107" i="18"/>
  <c r="O107" i="18" s="1"/>
  <c r="L107" i="18"/>
  <c r="M107" i="18" s="1"/>
  <c r="M26" i="18"/>
  <c r="N26" i="18" s="1"/>
  <c r="K26" i="18"/>
  <c r="L26" i="18" s="1"/>
  <c r="N107" i="17"/>
  <c r="O107" i="17" s="1"/>
  <c r="P107" i="17" s="1"/>
  <c r="L107" i="17"/>
  <c r="M107" i="17" s="1"/>
  <c r="M26" i="17"/>
  <c r="N26" i="17" s="1"/>
  <c r="K26" i="17"/>
  <c r="L26" i="17" s="1"/>
  <c r="N107" i="3"/>
  <c r="O107" i="3" s="1"/>
  <c r="L107" i="3"/>
  <c r="M107" i="3" s="1"/>
  <c r="M26" i="3"/>
  <c r="N26" i="3" s="1"/>
  <c r="K26" i="3"/>
  <c r="L26" i="3" s="1"/>
  <c r="W88" i="36"/>
  <c r="P88" i="36"/>
  <c r="W87" i="36"/>
  <c r="P87" i="36"/>
  <c r="W86" i="36"/>
  <c r="P86" i="36"/>
  <c r="W85" i="36"/>
  <c r="P85" i="36"/>
  <c r="P154" i="96"/>
  <c r="O154" i="96"/>
  <c r="M154" i="96"/>
  <c r="J154" i="96"/>
  <c r="P153" i="96"/>
  <c r="O153" i="96"/>
  <c r="M153" i="96"/>
  <c r="J153" i="96"/>
  <c r="P152" i="96"/>
  <c r="O152" i="96"/>
  <c r="M152" i="96"/>
  <c r="J152" i="96"/>
  <c r="P151" i="96"/>
  <c r="O151" i="96"/>
  <c r="M151" i="96"/>
  <c r="J151" i="96"/>
  <c r="P150" i="96"/>
  <c r="O150" i="96"/>
  <c r="M150" i="96"/>
  <c r="J150" i="96"/>
  <c r="P149" i="96"/>
  <c r="O149" i="96"/>
  <c r="M149" i="96"/>
  <c r="J149" i="96"/>
  <c r="P148" i="96"/>
  <c r="O148" i="96"/>
  <c r="M148" i="96"/>
  <c r="J148" i="96"/>
  <c r="P147" i="96"/>
  <c r="O147" i="96"/>
  <c r="M147" i="96"/>
  <c r="J147" i="96"/>
  <c r="P146" i="96"/>
  <c r="O146" i="96"/>
  <c r="M146" i="96"/>
  <c r="J146" i="96"/>
  <c r="P145" i="96"/>
  <c r="O145" i="96"/>
  <c r="M145" i="96"/>
  <c r="J145" i="96"/>
  <c r="P144" i="96"/>
  <c r="O144" i="96"/>
  <c r="M144" i="96"/>
  <c r="J144" i="96"/>
  <c r="P143" i="96"/>
  <c r="O143" i="96"/>
  <c r="M143" i="96"/>
  <c r="J143" i="96"/>
  <c r="P142" i="96"/>
  <c r="O142" i="96"/>
  <c r="M142" i="96"/>
  <c r="J142" i="96"/>
  <c r="P141" i="96"/>
  <c r="O141" i="96"/>
  <c r="M141" i="96"/>
  <c r="J141" i="96"/>
  <c r="P140" i="96"/>
  <c r="O140" i="96"/>
  <c r="M140" i="96"/>
  <c r="J140" i="96"/>
  <c r="P139" i="96"/>
  <c r="O139" i="96"/>
  <c r="M139" i="96"/>
  <c r="J139" i="96"/>
  <c r="P138" i="96"/>
  <c r="O138" i="96"/>
  <c r="M138" i="96"/>
  <c r="J138" i="96"/>
  <c r="P137" i="96"/>
  <c r="O137" i="96"/>
  <c r="M137" i="96"/>
  <c r="J137" i="96"/>
  <c r="P136" i="96"/>
  <c r="O136" i="96"/>
  <c r="M136" i="96"/>
  <c r="J136" i="96"/>
  <c r="P135" i="96"/>
  <c r="O135" i="96"/>
  <c r="M135" i="96"/>
  <c r="J135" i="96"/>
  <c r="P134" i="96"/>
  <c r="O134" i="96"/>
  <c r="M134" i="96"/>
  <c r="J134" i="96"/>
  <c r="P133" i="96"/>
  <c r="O133" i="96"/>
  <c r="M133" i="96"/>
  <c r="J133" i="96"/>
  <c r="P132" i="96"/>
  <c r="O132" i="96"/>
  <c r="M132" i="96"/>
  <c r="J132" i="96"/>
  <c r="P131" i="96"/>
  <c r="O131" i="96"/>
  <c r="M131" i="96"/>
  <c r="J131" i="96"/>
  <c r="O130" i="96"/>
  <c r="M130" i="96"/>
  <c r="O129" i="96"/>
  <c r="M129" i="96"/>
  <c r="O128" i="96"/>
  <c r="M128" i="96"/>
  <c r="O127" i="96"/>
  <c r="M127" i="96"/>
  <c r="O126" i="96"/>
  <c r="M126" i="96"/>
  <c r="O125" i="96"/>
  <c r="M125" i="96"/>
  <c r="O124" i="96"/>
  <c r="M124" i="96"/>
  <c r="O123" i="96"/>
  <c r="M123" i="96"/>
  <c r="O122" i="96"/>
  <c r="M122" i="96"/>
  <c r="O121" i="96"/>
  <c r="M121" i="96"/>
  <c r="O120" i="96"/>
  <c r="M120" i="96"/>
  <c r="O119" i="96"/>
  <c r="M119" i="96"/>
  <c r="O118" i="96"/>
  <c r="M118" i="96"/>
  <c r="O117" i="96"/>
  <c r="M117" i="96"/>
  <c r="O116" i="96"/>
  <c r="M116" i="96"/>
  <c r="O115" i="96"/>
  <c r="M115" i="96"/>
  <c r="O114" i="96"/>
  <c r="M114" i="96"/>
  <c r="O113" i="96"/>
  <c r="M113" i="96"/>
  <c r="O112" i="96"/>
  <c r="M112" i="96"/>
  <c r="O111" i="96"/>
  <c r="M111" i="96"/>
  <c r="O110" i="96"/>
  <c r="M110" i="96"/>
  <c r="O109" i="96"/>
  <c r="M109" i="96"/>
  <c r="O108" i="96"/>
  <c r="M108" i="96"/>
  <c r="O107" i="96"/>
  <c r="M107" i="96"/>
  <c r="O106" i="96"/>
  <c r="M106" i="96"/>
  <c r="O105" i="96"/>
  <c r="M105" i="96"/>
  <c r="O104" i="96"/>
  <c r="M104" i="96"/>
  <c r="O103" i="96"/>
  <c r="M103" i="96"/>
  <c r="O102" i="96"/>
  <c r="M102" i="96"/>
  <c r="O101" i="96"/>
  <c r="O100" i="96"/>
  <c r="O99" i="96"/>
  <c r="D96" i="96"/>
  <c r="L93" i="96"/>
  <c r="J93" i="96"/>
  <c r="D91" i="96"/>
  <c r="D89" i="96"/>
  <c r="N72" i="96"/>
  <c r="L72" i="96"/>
  <c r="N71" i="96"/>
  <c r="L71" i="96"/>
  <c r="N70" i="96"/>
  <c r="L70" i="96"/>
  <c r="N69" i="96"/>
  <c r="L69" i="96"/>
  <c r="N68" i="96"/>
  <c r="L68" i="96"/>
  <c r="N67" i="96"/>
  <c r="L67" i="96"/>
  <c r="N66" i="96"/>
  <c r="L66" i="96"/>
  <c r="N65" i="96"/>
  <c r="L65" i="96"/>
  <c r="N64" i="96"/>
  <c r="L64" i="96"/>
  <c r="N63" i="96"/>
  <c r="L63" i="96"/>
  <c r="N62" i="96"/>
  <c r="L62" i="96"/>
  <c r="N61" i="96"/>
  <c r="L61" i="96"/>
  <c r="N60" i="96"/>
  <c r="L60" i="96"/>
  <c r="N59" i="96"/>
  <c r="L59" i="96"/>
  <c r="N58" i="96"/>
  <c r="L58" i="96"/>
  <c r="N57" i="96"/>
  <c r="L57" i="96"/>
  <c r="N56" i="96"/>
  <c r="L56" i="96"/>
  <c r="N55" i="96"/>
  <c r="L55" i="96"/>
  <c r="N54" i="96"/>
  <c r="L54" i="96"/>
  <c r="N53" i="96"/>
  <c r="L53" i="96"/>
  <c r="N52" i="96"/>
  <c r="L52" i="96"/>
  <c r="N51" i="96"/>
  <c r="L51" i="96"/>
  <c r="N50" i="96"/>
  <c r="L50" i="96"/>
  <c r="N49" i="96"/>
  <c r="L49" i="96"/>
  <c r="N48" i="96"/>
  <c r="L48" i="96"/>
  <c r="N47" i="96"/>
  <c r="L47" i="96"/>
  <c r="N46" i="96"/>
  <c r="L46" i="96"/>
  <c r="N45" i="96"/>
  <c r="L45" i="96"/>
  <c r="N44" i="96"/>
  <c r="L44" i="96"/>
  <c r="N43" i="96"/>
  <c r="L43" i="96"/>
  <c r="N42" i="96"/>
  <c r="L42" i="96"/>
  <c r="N41" i="96"/>
  <c r="L41" i="96"/>
  <c r="N40" i="96"/>
  <c r="L40" i="96"/>
  <c r="N39" i="96"/>
  <c r="L39" i="96"/>
  <c r="N38" i="96"/>
  <c r="L38" i="96"/>
  <c r="N37" i="96"/>
  <c r="L37" i="96"/>
  <c r="N36" i="96"/>
  <c r="L36" i="96"/>
  <c r="N35" i="96"/>
  <c r="L35" i="96"/>
  <c r="N34" i="96"/>
  <c r="L34" i="96"/>
  <c r="N33" i="96"/>
  <c r="L33" i="96"/>
  <c r="N32" i="96"/>
  <c r="L32" i="96"/>
  <c r="N31" i="96"/>
  <c r="L31" i="96"/>
  <c r="N30" i="96"/>
  <c r="L30" i="96"/>
  <c r="N29" i="96"/>
  <c r="L29" i="96"/>
  <c r="N28" i="96"/>
  <c r="L28" i="96"/>
  <c r="O28" i="96" s="1"/>
  <c r="N27" i="96"/>
  <c r="L27" i="96"/>
  <c r="N26" i="96"/>
  <c r="L26" i="96"/>
  <c r="N25" i="96"/>
  <c r="L25" i="96"/>
  <c r="N24" i="96"/>
  <c r="L24" i="96"/>
  <c r="N23" i="96"/>
  <c r="L23" i="96"/>
  <c r="N22" i="96"/>
  <c r="L22" i="96"/>
  <c r="N21" i="96"/>
  <c r="N20" i="96"/>
  <c r="N19" i="96"/>
  <c r="N18" i="96"/>
  <c r="O18" i="96" s="1"/>
  <c r="L17" i="96"/>
  <c r="C17" i="96"/>
  <c r="C18" i="96"/>
  <c r="C19" i="96" s="1"/>
  <c r="C20" i="96" s="1"/>
  <c r="C21" i="96" s="1"/>
  <c r="C22" i="96" s="1"/>
  <c r="C23" i="96" s="1"/>
  <c r="C24" i="96" s="1"/>
  <c r="C25" i="96" s="1"/>
  <c r="C26" i="96" s="1"/>
  <c r="C27" i="96" s="1"/>
  <c r="C28" i="96" s="1"/>
  <c r="C29" i="96" s="1"/>
  <c r="C30" i="96" s="1"/>
  <c r="C31" i="96" s="1"/>
  <c r="C32" i="96" s="1"/>
  <c r="C33" i="96" s="1"/>
  <c r="C34" i="96" s="1"/>
  <c r="C35" i="96" s="1"/>
  <c r="C36" i="96" s="1"/>
  <c r="C37" i="96" s="1"/>
  <c r="C38" i="96" s="1"/>
  <c r="C39" i="96" s="1"/>
  <c r="C40" i="96" s="1"/>
  <c r="C41" i="96" s="1"/>
  <c r="C42" i="96" s="1"/>
  <c r="C43" i="96" s="1"/>
  <c r="C44" i="96" s="1"/>
  <c r="K11" i="96"/>
  <c r="I11" i="96"/>
  <c r="D8" i="96"/>
  <c r="D90" i="96" s="1"/>
  <c r="P1" i="96"/>
  <c r="P83" i="96" s="1"/>
  <c r="P154" i="95"/>
  <c r="O154" i="95"/>
  <c r="M154" i="95"/>
  <c r="J154" i="95"/>
  <c r="P153" i="95"/>
  <c r="O153" i="95"/>
  <c r="M153" i="95"/>
  <c r="J153" i="95"/>
  <c r="P152" i="95"/>
  <c r="O152" i="95"/>
  <c r="M152" i="95"/>
  <c r="J152" i="95"/>
  <c r="P151" i="95"/>
  <c r="O151" i="95"/>
  <c r="M151" i="95"/>
  <c r="J151" i="95"/>
  <c r="P150" i="95"/>
  <c r="O150" i="95"/>
  <c r="M150" i="95"/>
  <c r="J150" i="95"/>
  <c r="P149" i="95"/>
  <c r="O149" i="95"/>
  <c r="M149" i="95"/>
  <c r="J149" i="95"/>
  <c r="P148" i="95"/>
  <c r="O148" i="95"/>
  <c r="M148" i="95"/>
  <c r="J148" i="95"/>
  <c r="P147" i="95"/>
  <c r="O147" i="95"/>
  <c r="M147" i="95"/>
  <c r="J147" i="95"/>
  <c r="P146" i="95"/>
  <c r="O146" i="95"/>
  <c r="M146" i="95"/>
  <c r="J146" i="95"/>
  <c r="P145" i="95"/>
  <c r="O145" i="95"/>
  <c r="M145" i="95"/>
  <c r="J145" i="95"/>
  <c r="P144" i="95"/>
  <c r="O144" i="95"/>
  <c r="M144" i="95"/>
  <c r="J144" i="95"/>
  <c r="P143" i="95"/>
  <c r="O143" i="95"/>
  <c r="M143" i="95"/>
  <c r="J143" i="95"/>
  <c r="P142" i="95"/>
  <c r="O142" i="95"/>
  <c r="M142" i="95"/>
  <c r="J142" i="95"/>
  <c r="P141" i="95"/>
  <c r="O141" i="95"/>
  <c r="M141" i="95"/>
  <c r="J141" i="95"/>
  <c r="P140" i="95"/>
  <c r="O140" i="95"/>
  <c r="M140" i="95"/>
  <c r="J140" i="95"/>
  <c r="P139" i="95"/>
  <c r="O139" i="95"/>
  <c r="M139" i="95"/>
  <c r="J139" i="95"/>
  <c r="P138" i="95"/>
  <c r="O138" i="95"/>
  <c r="M138" i="95"/>
  <c r="J138" i="95"/>
  <c r="P137" i="95"/>
  <c r="O137" i="95"/>
  <c r="M137" i="95"/>
  <c r="J137" i="95"/>
  <c r="P136" i="95"/>
  <c r="O136" i="95"/>
  <c r="M136" i="95"/>
  <c r="J136" i="95"/>
  <c r="P135" i="95"/>
  <c r="O135" i="95"/>
  <c r="M135" i="95"/>
  <c r="J135" i="95"/>
  <c r="P134" i="95"/>
  <c r="O134" i="95"/>
  <c r="M134" i="95"/>
  <c r="J134" i="95"/>
  <c r="P133" i="95"/>
  <c r="O133" i="95"/>
  <c r="M133" i="95"/>
  <c r="J133" i="95"/>
  <c r="P132" i="95"/>
  <c r="O132" i="95"/>
  <c r="M132" i="95"/>
  <c r="J132" i="95"/>
  <c r="P131" i="95"/>
  <c r="O131" i="95"/>
  <c r="M131" i="95"/>
  <c r="J131" i="95"/>
  <c r="O130" i="95"/>
  <c r="M130" i="95"/>
  <c r="O129" i="95"/>
  <c r="M129" i="95"/>
  <c r="O128" i="95"/>
  <c r="M128" i="95"/>
  <c r="O127" i="95"/>
  <c r="M127" i="95"/>
  <c r="O126" i="95"/>
  <c r="M126" i="95"/>
  <c r="O125" i="95"/>
  <c r="M125" i="95"/>
  <c r="O124" i="95"/>
  <c r="M124" i="95"/>
  <c r="O123" i="95"/>
  <c r="M123" i="95"/>
  <c r="O122" i="95"/>
  <c r="M122" i="95"/>
  <c r="O121" i="95"/>
  <c r="M121" i="95"/>
  <c r="O120" i="95"/>
  <c r="M120" i="95"/>
  <c r="O119" i="95"/>
  <c r="M119" i="95"/>
  <c r="O118" i="95"/>
  <c r="M118" i="95"/>
  <c r="O117" i="95"/>
  <c r="M117" i="95"/>
  <c r="O116" i="95"/>
  <c r="M116" i="95"/>
  <c r="O115" i="95"/>
  <c r="M115" i="95"/>
  <c r="O114" i="95"/>
  <c r="M114" i="95"/>
  <c r="O113" i="95"/>
  <c r="M113" i="95"/>
  <c r="O112" i="95"/>
  <c r="M112" i="95"/>
  <c r="O111" i="95"/>
  <c r="M111" i="95"/>
  <c r="O110" i="95"/>
  <c r="M110" i="95"/>
  <c r="O109" i="95"/>
  <c r="M109" i="95"/>
  <c r="O108" i="95"/>
  <c r="M108" i="95"/>
  <c r="O107" i="95"/>
  <c r="M107" i="95"/>
  <c r="O106" i="95"/>
  <c r="M106" i="95"/>
  <c r="O105" i="95"/>
  <c r="M105" i="95"/>
  <c r="O104" i="95"/>
  <c r="M104" i="95"/>
  <c r="O103" i="95"/>
  <c r="M103" i="95"/>
  <c r="O102" i="95"/>
  <c r="M102" i="95"/>
  <c r="O101" i="95"/>
  <c r="O100" i="95"/>
  <c r="O99" i="95"/>
  <c r="P99" i="95" s="1"/>
  <c r="D96" i="95"/>
  <c r="L93" i="95"/>
  <c r="J93" i="95"/>
  <c r="D91" i="95"/>
  <c r="D89" i="95"/>
  <c r="N72" i="95"/>
  <c r="L72" i="95"/>
  <c r="N71" i="95"/>
  <c r="L71" i="95"/>
  <c r="N70" i="95"/>
  <c r="L70" i="95"/>
  <c r="N69" i="95"/>
  <c r="L69" i="95"/>
  <c r="N68" i="95"/>
  <c r="L68" i="95"/>
  <c r="N67" i="95"/>
  <c r="L67" i="95"/>
  <c r="N66" i="95"/>
  <c r="L66" i="95"/>
  <c r="N65" i="95"/>
  <c r="L65" i="95"/>
  <c r="N64" i="95"/>
  <c r="L64" i="95"/>
  <c r="N63" i="95"/>
  <c r="L63" i="95"/>
  <c r="N62" i="95"/>
  <c r="L62" i="95"/>
  <c r="N61" i="95"/>
  <c r="L61" i="95"/>
  <c r="N60" i="95"/>
  <c r="L60" i="95"/>
  <c r="N59" i="95"/>
  <c r="L59" i="95"/>
  <c r="N58" i="95"/>
  <c r="L58" i="95"/>
  <c r="N57" i="95"/>
  <c r="L57" i="95"/>
  <c r="N56" i="95"/>
  <c r="L56" i="95"/>
  <c r="N55" i="95"/>
  <c r="L55" i="95"/>
  <c r="N54" i="95"/>
  <c r="L54" i="95"/>
  <c r="N53" i="95"/>
  <c r="L53" i="95"/>
  <c r="N52" i="95"/>
  <c r="L52" i="95"/>
  <c r="N51" i="95"/>
  <c r="L51" i="95"/>
  <c r="N50" i="95"/>
  <c r="L50" i="95"/>
  <c r="N49" i="95"/>
  <c r="L49" i="95"/>
  <c r="N48" i="95"/>
  <c r="L48" i="95"/>
  <c r="N47" i="95"/>
  <c r="L47" i="95"/>
  <c r="N46" i="95"/>
  <c r="L46" i="95"/>
  <c r="N45" i="95"/>
  <c r="L45" i="95"/>
  <c r="N44" i="95"/>
  <c r="L44" i="95"/>
  <c r="N43" i="95"/>
  <c r="L43" i="95"/>
  <c r="N42" i="95"/>
  <c r="L42" i="95"/>
  <c r="N41" i="95"/>
  <c r="L41" i="95"/>
  <c r="N40" i="95"/>
  <c r="L40" i="95"/>
  <c r="N39" i="95"/>
  <c r="L39" i="95"/>
  <c r="N38" i="95"/>
  <c r="L38" i="95"/>
  <c r="N37" i="95"/>
  <c r="L37" i="95"/>
  <c r="N36" i="95"/>
  <c r="L36" i="95"/>
  <c r="N35" i="95"/>
  <c r="L35" i="95"/>
  <c r="N34" i="95"/>
  <c r="L34" i="95"/>
  <c r="N33" i="95"/>
  <c r="L33" i="95"/>
  <c r="N32" i="95"/>
  <c r="L32" i="95"/>
  <c r="N31" i="95"/>
  <c r="L31" i="95"/>
  <c r="N30" i="95"/>
  <c r="L30" i="95"/>
  <c r="N29" i="95"/>
  <c r="L29" i="95"/>
  <c r="N28" i="95"/>
  <c r="L28" i="95"/>
  <c r="N27" i="95"/>
  <c r="L27" i="95"/>
  <c r="N26" i="95"/>
  <c r="L26" i="95"/>
  <c r="N25" i="95"/>
  <c r="L25" i="95"/>
  <c r="N24" i="95"/>
  <c r="L24" i="95"/>
  <c r="N23" i="95"/>
  <c r="L23" i="95"/>
  <c r="N22" i="95"/>
  <c r="L22" i="95"/>
  <c r="N21" i="95"/>
  <c r="N20" i="95"/>
  <c r="N19" i="95"/>
  <c r="N18" i="95"/>
  <c r="C17" i="95"/>
  <c r="C18" i="95" s="1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C36" i="95" s="1"/>
  <c r="C37" i="95" s="1"/>
  <c r="C38" i="95" s="1"/>
  <c r="C39" i="95" s="1"/>
  <c r="C40" i="95" s="1"/>
  <c r="C41" i="95" s="1"/>
  <c r="C42" i="95" s="1"/>
  <c r="C43" i="95" s="1"/>
  <c r="C44" i="95" s="1"/>
  <c r="K11" i="95"/>
  <c r="I11" i="95"/>
  <c r="D8" i="95"/>
  <c r="D90" i="95" s="1"/>
  <c r="P1" i="95"/>
  <c r="P83" i="95" s="1"/>
  <c r="P154" i="94"/>
  <c r="O154" i="94"/>
  <c r="M154" i="94"/>
  <c r="J154" i="94"/>
  <c r="P153" i="94"/>
  <c r="O153" i="94"/>
  <c r="M153" i="94"/>
  <c r="J153" i="94"/>
  <c r="P152" i="94"/>
  <c r="O152" i="94"/>
  <c r="M152" i="94"/>
  <c r="J152" i="94"/>
  <c r="P151" i="94"/>
  <c r="O151" i="94"/>
  <c r="M151" i="94"/>
  <c r="J151" i="94"/>
  <c r="P150" i="94"/>
  <c r="O150" i="94"/>
  <c r="M150" i="94"/>
  <c r="J150" i="94"/>
  <c r="P149" i="94"/>
  <c r="O149" i="94"/>
  <c r="M149" i="94"/>
  <c r="J149" i="94"/>
  <c r="P148" i="94"/>
  <c r="O148" i="94"/>
  <c r="M148" i="94"/>
  <c r="J148" i="94"/>
  <c r="P147" i="94"/>
  <c r="O147" i="94"/>
  <c r="M147" i="94"/>
  <c r="J147" i="94"/>
  <c r="P146" i="94"/>
  <c r="O146" i="94"/>
  <c r="M146" i="94"/>
  <c r="J146" i="94"/>
  <c r="P145" i="94"/>
  <c r="O145" i="94"/>
  <c r="M145" i="94"/>
  <c r="J145" i="94"/>
  <c r="P144" i="94"/>
  <c r="O144" i="94"/>
  <c r="M144" i="94"/>
  <c r="J144" i="94"/>
  <c r="P143" i="94"/>
  <c r="O143" i="94"/>
  <c r="M143" i="94"/>
  <c r="J143" i="94"/>
  <c r="P142" i="94"/>
  <c r="O142" i="94"/>
  <c r="M142" i="94"/>
  <c r="J142" i="94"/>
  <c r="P141" i="94"/>
  <c r="O141" i="94"/>
  <c r="M141" i="94"/>
  <c r="J141" i="94"/>
  <c r="P140" i="94"/>
  <c r="O140" i="94"/>
  <c r="M140" i="94"/>
  <c r="J140" i="94"/>
  <c r="P139" i="94"/>
  <c r="O139" i="94"/>
  <c r="M139" i="94"/>
  <c r="J139" i="94"/>
  <c r="P138" i="94"/>
  <c r="O138" i="94"/>
  <c r="M138" i="94"/>
  <c r="J138" i="94"/>
  <c r="P137" i="94"/>
  <c r="O137" i="94"/>
  <c r="M137" i="94"/>
  <c r="J137" i="94"/>
  <c r="P136" i="94"/>
  <c r="O136" i="94"/>
  <c r="M136" i="94"/>
  <c r="J136" i="94"/>
  <c r="P135" i="94"/>
  <c r="O135" i="94"/>
  <c r="M135" i="94"/>
  <c r="J135" i="94"/>
  <c r="P134" i="94"/>
  <c r="O134" i="94"/>
  <c r="M134" i="94"/>
  <c r="J134" i="94"/>
  <c r="P133" i="94"/>
  <c r="O133" i="94"/>
  <c r="M133" i="94"/>
  <c r="J133" i="94"/>
  <c r="P132" i="94"/>
  <c r="O132" i="94"/>
  <c r="M132" i="94"/>
  <c r="J132" i="94"/>
  <c r="P131" i="94"/>
  <c r="O131" i="94"/>
  <c r="M131" i="94"/>
  <c r="J131" i="94"/>
  <c r="O130" i="94"/>
  <c r="M130" i="94"/>
  <c r="O129" i="94"/>
  <c r="M129" i="94"/>
  <c r="O128" i="94"/>
  <c r="M128" i="94"/>
  <c r="O127" i="94"/>
  <c r="M127" i="94"/>
  <c r="O126" i="94"/>
  <c r="M126" i="94"/>
  <c r="O125" i="94"/>
  <c r="M125" i="94"/>
  <c r="O124" i="94"/>
  <c r="M124" i="94"/>
  <c r="O123" i="94"/>
  <c r="M123" i="94"/>
  <c r="O122" i="94"/>
  <c r="M122" i="94"/>
  <c r="O121" i="94"/>
  <c r="M121" i="94"/>
  <c r="O120" i="94"/>
  <c r="M120" i="94"/>
  <c r="O119" i="94"/>
  <c r="M119" i="94"/>
  <c r="O118" i="94"/>
  <c r="M118" i="94"/>
  <c r="O117" i="94"/>
  <c r="M117" i="94"/>
  <c r="O116" i="94"/>
  <c r="M116" i="94"/>
  <c r="O115" i="94"/>
  <c r="M115" i="94"/>
  <c r="O114" i="94"/>
  <c r="M114" i="94"/>
  <c r="O113" i="94"/>
  <c r="M113" i="94"/>
  <c r="O112" i="94"/>
  <c r="M112" i="94"/>
  <c r="O111" i="94"/>
  <c r="M111" i="94"/>
  <c r="O110" i="94"/>
  <c r="M110" i="94"/>
  <c r="O109" i="94"/>
  <c r="M109" i="94"/>
  <c r="O108" i="94"/>
  <c r="M108" i="94"/>
  <c r="O107" i="94"/>
  <c r="M107" i="94"/>
  <c r="O106" i="94"/>
  <c r="M106" i="94"/>
  <c r="O105" i="94"/>
  <c r="M105" i="94"/>
  <c r="O104" i="94"/>
  <c r="M104" i="94"/>
  <c r="O103" i="94"/>
  <c r="M103" i="94"/>
  <c r="O102" i="94"/>
  <c r="O101" i="94"/>
  <c r="O100" i="94"/>
  <c r="O99" i="94"/>
  <c r="D96" i="94"/>
  <c r="L93" i="94"/>
  <c r="J93" i="94"/>
  <c r="D91" i="94"/>
  <c r="D89" i="94"/>
  <c r="N72" i="94"/>
  <c r="L72" i="94"/>
  <c r="N71" i="94"/>
  <c r="L71" i="94"/>
  <c r="N70" i="94"/>
  <c r="L70" i="94"/>
  <c r="N69" i="94"/>
  <c r="L69" i="94"/>
  <c r="N68" i="94"/>
  <c r="L68" i="94"/>
  <c r="N67" i="94"/>
  <c r="L67" i="94"/>
  <c r="N66" i="94"/>
  <c r="L66" i="94"/>
  <c r="N65" i="94"/>
  <c r="L65" i="94"/>
  <c r="N64" i="94"/>
  <c r="L64" i="94"/>
  <c r="N63" i="94"/>
  <c r="L63" i="94"/>
  <c r="N62" i="94"/>
  <c r="L62" i="94"/>
  <c r="N61" i="94"/>
  <c r="L61" i="94"/>
  <c r="N60" i="94"/>
  <c r="L60" i="94"/>
  <c r="N59" i="94"/>
  <c r="L59" i="94"/>
  <c r="N58" i="94"/>
  <c r="L58" i="94"/>
  <c r="N57" i="94"/>
  <c r="L57" i="94"/>
  <c r="N56" i="94"/>
  <c r="L56" i="94"/>
  <c r="N55" i="94"/>
  <c r="L55" i="94"/>
  <c r="N54" i="94"/>
  <c r="L54" i="94"/>
  <c r="N53" i="94"/>
  <c r="L53" i="94"/>
  <c r="N52" i="94"/>
  <c r="L52" i="94"/>
  <c r="N51" i="94"/>
  <c r="L51" i="94"/>
  <c r="N50" i="94"/>
  <c r="L50" i="94"/>
  <c r="N49" i="94"/>
  <c r="L49" i="94"/>
  <c r="N48" i="94"/>
  <c r="L48" i="94"/>
  <c r="N47" i="94"/>
  <c r="L47" i="94"/>
  <c r="N46" i="94"/>
  <c r="L46" i="94"/>
  <c r="N45" i="94"/>
  <c r="L45" i="94"/>
  <c r="N44" i="94"/>
  <c r="L44" i="94"/>
  <c r="N43" i="94"/>
  <c r="L43" i="94"/>
  <c r="N42" i="94"/>
  <c r="L42" i="94"/>
  <c r="N41" i="94"/>
  <c r="L41" i="94"/>
  <c r="N40" i="94"/>
  <c r="L40" i="94"/>
  <c r="N39" i="94"/>
  <c r="L39" i="94"/>
  <c r="N38" i="94"/>
  <c r="L38" i="94"/>
  <c r="N37" i="94"/>
  <c r="L37" i="94"/>
  <c r="N36" i="94"/>
  <c r="L36" i="94"/>
  <c r="N35" i="94"/>
  <c r="L35" i="94"/>
  <c r="N34" i="94"/>
  <c r="L34" i="94"/>
  <c r="N33" i="94"/>
  <c r="L33" i="94"/>
  <c r="N32" i="94"/>
  <c r="L32" i="94"/>
  <c r="N31" i="94"/>
  <c r="L31" i="94"/>
  <c r="N30" i="94"/>
  <c r="L30" i="94"/>
  <c r="N29" i="94"/>
  <c r="L29" i="94"/>
  <c r="N28" i="94"/>
  <c r="L28" i="94"/>
  <c r="N27" i="94"/>
  <c r="L27" i="94"/>
  <c r="N26" i="94"/>
  <c r="L26" i="94"/>
  <c r="N25" i="94"/>
  <c r="L25" i="94"/>
  <c r="N24" i="94"/>
  <c r="L24" i="94"/>
  <c r="N23" i="94"/>
  <c r="L23" i="94"/>
  <c r="N22" i="94"/>
  <c r="N21" i="94"/>
  <c r="N20" i="94"/>
  <c r="N19" i="94"/>
  <c r="O19" i="94" s="1"/>
  <c r="N18" i="94"/>
  <c r="O18" i="94" s="1"/>
  <c r="N17" i="94"/>
  <c r="C17" i="94"/>
  <c r="C18" i="94" s="1"/>
  <c r="C19" i="94" s="1"/>
  <c r="C20" i="94" s="1"/>
  <c r="C21" i="94" s="1"/>
  <c r="C22" i="94" s="1"/>
  <c r="C23" i="94" s="1"/>
  <c r="C24" i="94" s="1"/>
  <c r="C25" i="94" s="1"/>
  <c r="C26" i="94" s="1"/>
  <c r="C27" i="94" s="1"/>
  <c r="C28" i="94" s="1"/>
  <c r="C29" i="94" s="1"/>
  <c r="C30" i="94" s="1"/>
  <c r="C31" i="94" s="1"/>
  <c r="C32" i="94" s="1"/>
  <c r="C33" i="94" s="1"/>
  <c r="C34" i="94" s="1"/>
  <c r="C35" i="94" s="1"/>
  <c r="C36" i="94" s="1"/>
  <c r="C37" i="94" s="1"/>
  <c r="C38" i="94" s="1"/>
  <c r="C39" i="94" s="1"/>
  <c r="C40" i="94" s="1"/>
  <c r="C41" i="94" s="1"/>
  <c r="C42" i="94" s="1"/>
  <c r="C43" i="94" s="1"/>
  <c r="C44" i="94" s="1"/>
  <c r="C45" i="94" s="1"/>
  <c r="C46" i="94" s="1"/>
  <c r="C47" i="94" s="1"/>
  <c r="C48" i="94" s="1"/>
  <c r="C49" i="94" s="1"/>
  <c r="C50" i="94" s="1"/>
  <c r="C51" i="94" s="1"/>
  <c r="C52" i="94" s="1"/>
  <c r="C53" i="94" s="1"/>
  <c r="C54" i="94" s="1"/>
  <c r="C55" i="94" s="1"/>
  <c r="C56" i="94" s="1"/>
  <c r="C57" i="94" s="1"/>
  <c r="C58" i="94" s="1"/>
  <c r="C59" i="94" s="1"/>
  <c r="C60" i="94" s="1"/>
  <c r="C61" i="94" s="1"/>
  <c r="C62" i="94" s="1"/>
  <c r="C63" i="94" s="1"/>
  <c r="C64" i="94" s="1"/>
  <c r="C65" i="94" s="1"/>
  <c r="C66" i="94" s="1"/>
  <c r="C67" i="94" s="1"/>
  <c r="C68" i="94" s="1"/>
  <c r="C69" i="94" s="1"/>
  <c r="C70" i="94" s="1"/>
  <c r="C71" i="94" s="1"/>
  <c r="C72" i="94" s="1"/>
  <c r="K11" i="94"/>
  <c r="I11" i="94"/>
  <c r="D8" i="94"/>
  <c r="D90" i="94" s="1"/>
  <c r="P1" i="94"/>
  <c r="P83" i="94" s="1"/>
  <c r="P154" i="93"/>
  <c r="O154" i="93"/>
  <c r="M154" i="93"/>
  <c r="J154" i="93"/>
  <c r="P153" i="93"/>
  <c r="O153" i="93"/>
  <c r="M153" i="93"/>
  <c r="J153" i="93"/>
  <c r="P152" i="93"/>
  <c r="O152" i="93"/>
  <c r="M152" i="93"/>
  <c r="J152" i="93"/>
  <c r="P151" i="93"/>
  <c r="O151" i="93"/>
  <c r="M151" i="93"/>
  <c r="J151" i="93"/>
  <c r="P150" i="93"/>
  <c r="O150" i="93"/>
  <c r="M150" i="93"/>
  <c r="J150" i="93"/>
  <c r="P149" i="93"/>
  <c r="O149" i="93"/>
  <c r="M149" i="93"/>
  <c r="J149" i="93"/>
  <c r="P148" i="93"/>
  <c r="O148" i="93"/>
  <c r="M148" i="93"/>
  <c r="J148" i="93"/>
  <c r="P147" i="93"/>
  <c r="O147" i="93"/>
  <c r="M147" i="93"/>
  <c r="J147" i="93"/>
  <c r="P146" i="93"/>
  <c r="O146" i="93"/>
  <c r="M146" i="93"/>
  <c r="J146" i="93"/>
  <c r="P145" i="93"/>
  <c r="O145" i="93"/>
  <c r="M145" i="93"/>
  <c r="J145" i="93"/>
  <c r="P144" i="93"/>
  <c r="O144" i="93"/>
  <c r="M144" i="93"/>
  <c r="J144" i="93"/>
  <c r="P143" i="93"/>
  <c r="O143" i="93"/>
  <c r="M143" i="93"/>
  <c r="J143" i="93"/>
  <c r="P142" i="93"/>
  <c r="O142" i="93"/>
  <c r="M142" i="93"/>
  <c r="J142" i="93"/>
  <c r="P141" i="93"/>
  <c r="O141" i="93"/>
  <c r="M141" i="93"/>
  <c r="J141" i="93"/>
  <c r="P140" i="93"/>
  <c r="O140" i="93"/>
  <c r="M140" i="93"/>
  <c r="J140" i="93"/>
  <c r="P139" i="93"/>
  <c r="O139" i="93"/>
  <c r="M139" i="93"/>
  <c r="J139" i="93"/>
  <c r="P138" i="93"/>
  <c r="O138" i="93"/>
  <c r="M138" i="93"/>
  <c r="J138" i="93"/>
  <c r="P137" i="93"/>
  <c r="O137" i="93"/>
  <c r="M137" i="93"/>
  <c r="J137" i="93"/>
  <c r="P136" i="93"/>
  <c r="O136" i="93"/>
  <c r="M136" i="93"/>
  <c r="J136" i="93"/>
  <c r="P135" i="93"/>
  <c r="O135" i="93"/>
  <c r="M135" i="93"/>
  <c r="J135" i="93"/>
  <c r="P134" i="93"/>
  <c r="O134" i="93"/>
  <c r="M134" i="93"/>
  <c r="J134" i="93"/>
  <c r="P133" i="93"/>
  <c r="O133" i="93"/>
  <c r="M133" i="93"/>
  <c r="J133" i="93"/>
  <c r="P132" i="93"/>
  <c r="O132" i="93"/>
  <c r="M132" i="93"/>
  <c r="J132" i="93"/>
  <c r="P131" i="93"/>
  <c r="O131" i="93"/>
  <c r="M131" i="93"/>
  <c r="J131" i="93"/>
  <c r="O130" i="93"/>
  <c r="M130" i="93"/>
  <c r="O129" i="93"/>
  <c r="M129" i="93"/>
  <c r="O128" i="93"/>
  <c r="M128" i="93"/>
  <c r="O127" i="93"/>
  <c r="M127" i="93"/>
  <c r="O126" i="93"/>
  <c r="M126" i="93"/>
  <c r="O125" i="93"/>
  <c r="M125" i="93"/>
  <c r="O124" i="93"/>
  <c r="M124" i="93"/>
  <c r="O123" i="93"/>
  <c r="M123" i="93"/>
  <c r="O122" i="93"/>
  <c r="M122" i="93"/>
  <c r="O121" i="93"/>
  <c r="M121" i="93"/>
  <c r="O120" i="93"/>
  <c r="M120" i="93"/>
  <c r="O119" i="93"/>
  <c r="M119" i="93"/>
  <c r="O118" i="93"/>
  <c r="M118" i="93"/>
  <c r="O117" i="93"/>
  <c r="M117" i="93"/>
  <c r="O116" i="93"/>
  <c r="M116" i="93"/>
  <c r="O115" i="93"/>
  <c r="M115" i="93"/>
  <c r="O114" i="93"/>
  <c r="M114" i="93"/>
  <c r="O113" i="93"/>
  <c r="M113" i="93"/>
  <c r="O112" i="93"/>
  <c r="M112" i="93"/>
  <c r="O111" i="93"/>
  <c r="M111" i="93"/>
  <c r="O110" i="93"/>
  <c r="M110" i="93"/>
  <c r="O109" i="93"/>
  <c r="M109" i="93"/>
  <c r="O108" i="93"/>
  <c r="M108" i="93"/>
  <c r="O107" i="93"/>
  <c r="M107" i="93"/>
  <c r="O106" i="93"/>
  <c r="M106" i="93"/>
  <c r="O105" i="93"/>
  <c r="M105" i="93"/>
  <c r="O104" i="93"/>
  <c r="M104" i="93"/>
  <c r="O103" i="93"/>
  <c r="M103" i="93"/>
  <c r="O102" i="93"/>
  <c r="M102" i="93"/>
  <c r="O101" i="93"/>
  <c r="O100" i="93"/>
  <c r="O99" i="93"/>
  <c r="D96" i="93"/>
  <c r="L93" i="93"/>
  <c r="J93" i="93"/>
  <c r="D91" i="93"/>
  <c r="D89" i="93"/>
  <c r="N72" i="93"/>
  <c r="L72" i="93"/>
  <c r="N71" i="93"/>
  <c r="L71" i="93"/>
  <c r="N70" i="93"/>
  <c r="L70" i="93"/>
  <c r="N69" i="93"/>
  <c r="L69" i="93"/>
  <c r="N68" i="93"/>
  <c r="L68" i="93"/>
  <c r="N67" i="93"/>
  <c r="L67" i="93"/>
  <c r="N66" i="93"/>
  <c r="L66" i="93"/>
  <c r="N65" i="93"/>
  <c r="L65" i="93"/>
  <c r="N64" i="93"/>
  <c r="L64" i="93"/>
  <c r="N63" i="93"/>
  <c r="L63" i="93"/>
  <c r="N62" i="93"/>
  <c r="L62" i="93"/>
  <c r="N61" i="93"/>
  <c r="L61" i="93"/>
  <c r="N60" i="93"/>
  <c r="L60" i="93"/>
  <c r="N59" i="93"/>
  <c r="L59" i="93"/>
  <c r="N58" i="93"/>
  <c r="L58" i="93"/>
  <c r="N57" i="93"/>
  <c r="L57" i="93"/>
  <c r="N56" i="93"/>
  <c r="L56" i="93"/>
  <c r="N55" i="93"/>
  <c r="L55" i="93"/>
  <c r="N54" i="93"/>
  <c r="L54" i="93"/>
  <c r="N53" i="93"/>
  <c r="L53" i="93"/>
  <c r="N52" i="93"/>
  <c r="L52" i="93"/>
  <c r="N51" i="93"/>
  <c r="L51" i="93"/>
  <c r="N50" i="93"/>
  <c r="L50" i="93"/>
  <c r="N49" i="93"/>
  <c r="L49" i="93"/>
  <c r="N48" i="93"/>
  <c r="L48" i="93"/>
  <c r="N47" i="93"/>
  <c r="L47" i="93"/>
  <c r="N46" i="93"/>
  <c r="L46" i="93"/>
  <c r="N45" i="93"/>
  <c r="L45" i="93"/>
  <c r="N44" i="93"/>
  <c r="L44" i="93"/>
  <c r="N43" i="93"/>
  <c r="L43" i="93"/>
  <c r="N42" i="93"/>
  <c r="L42" i="93"/>
  <c r="N41" i="93"/>
  <c r="L41" i="93"/>
  <c r="N40" i="93"/>
  <c r="L40" i="93"/>
  <c r="N39" i="93"/>
  <c r="L39" i="93"/>
  <c r="N38" i="93"/>
  <c r="L38" i="93"/>
  <c r="N37" i="93"/>
  <c r="L37" i="93"/>
  <c r="N36" i="93"/>
  <c r="L36" i="93"/>
  <c r="N35" i="93"/>
  <c r="L35" i="93"/>
  <c r="N34" i="93"/>
  <c r="L34" i="93"/>
  <c r="N33" i="93"/>
  <c r="L33" i="93"/>
  <c r="N32" i="93"/>
  <c r="L32" i="93"/>
  <c r="N31" i="93"/>
  <c r="L31" i="93"/>
  <c r="N30" i="93"/>
  <c r="L30" i="93"/>
  <c r="N29" i="93"/>
  <c r="L29" i="93"/>
  <c r="N28" i="93"/>
  <c r="L28" i="93"/>
  <c r="N27" i="93"/>
  <c r="L27" i="93"/>
  <c r="N26" i="93"/>
  <c r="L26" i="93"/>
  <c r="N25" i="93"/>
  <c r="L25" i="93"/>
  <c r="N24" i="93"/>
  <c r="L24" i="93"/>
  <c r="N23" i="93"/>
  <c r="L23" i="93"/>
  <c r="N22" i="93"/>
  <c r="L22" i="93"/>
  <c r="N21" i="93"/>
  <c r="N20" i="93"/>
  <c r="N19" i="93"/>
  <c r="N18" i="93"/>
  <c r="N17" i="93"/>
  <c r="C17" i="93"/>
  <c r="C18" i="93" s="1"/>
  <c r="C19" i="93" s="1"/>
  <c r="C20" i="93" s="1"/>
  <c r="C21" i="93" s="1"/>
  <c r="C22" i="93" s="1"/>
  <c r="C23" i="93" s="1"/>
  <c r="C24" i="93" s="1"/>
  <c r="C25" i="93" s="1"/>
  <c r="C26" i="93" s="1"/>
  <c r="C27" i="93" s="1"/>
  <c r="C28" i="93" s="1"/>
  <c r="C29" i="93" s="1"/>
  <c r="C30" i="93" s="1"/>
  <c r="C31" i="93" s="1"/>
  <c r="C32" i="93" s="1"/>
  <c r="C33" i="93" s="1"/>
  <c r="C34" i="93" s="1"/>
  <c r="C35" i="93" s="1"/>
  <c r="C36" i="93" s="1"/>
  <c r="C37" i="93" s="1"/>
  <c r="C38" i="93" s="1"/>
  <c r="C39" i="93" s="1"/>
  <c r="C40" i="93" s="1"/>
  <c r="C41" i="93" s="1"/>
  <c r="C42" i="93" s="1"/>
  <c r="C43" i="93" s="1"/>
  <c r="C44" i="93" s="1"/>
  <c r="K11" i="93"/>
  <c r="I11" i="93"/>
  <c r="D8" i="93"/>
  <c r="D90" i="93" s="1"/>
  <c r="P1" i="93"/>
  <c r="P83" i="93" s="1"/>
  <c r="M17" i="92"/>
  <c r="K17" i="92"/>
  <c r="L17" i="92" s="1"/>
  <c r="M17" i="91"/>
  <c r="K17" i="91"/>
  <c r="M17" i="90"/>
  <c r="K17" i="90"/>
  <c r="L17" i="90" s="1"/>
  <c r="M17" i="89"/>
  <c r="N17" i="89" s="1"/>
  <c r="K17" i="89"/>
  <c r="M17" i="88"/>
  <c r="N17" i="88" s="1"/>
  <c r="K17" i="88"/>
  <c r="L17" i="88" s="1"/>
  <c r="M17" i="87"/>
  <c r="K17" i="87"/>
  <c r="L17" i="87" s="1"/>
  <c r="M17" i="86"/>
  <c r="K17" i="86"/>
  <c r="N99" i="85"/>
  <c r="L99" i="85"/>
  <c r="M99" i="85" s="1"/>
  <c r="M18" i="85"/>
  <c r="K18" i="85"/>
  <c r="M18" i="84"/>
  <c r="N18" i="84" s="1"/>
  <c r="K18" i="84"/>
  <c r="L18" i="84" s="1"/>
  <c r="K18" i="83"/>
  <c r="L18" i="83" s="1"/>
  <c r="M18" i="83"/>
  <c r="N18" i="83" s="1"/>
  <c r="N99" i="83"/>
  <c r="L99" i="83"/>
  <c r="M99" i="83" s="1"/>
  <c r="N99" i="82"/>
  <c r="L99" i="82"/>
  <c r="M18" i="82"/>
  <c r="N18" i="82" s="1"/>
  <c r="K18" i="82"/>
  <c r="L18" i="82" s="1"/>
  <c r="N99" i="81"/>
  <c r="N99" i="80"/>
  <c r="L99" i="80"/>
  <c r="L99" i="81"/>
  <c r="M99" i="81" s="1"/>
  <c r="M18" i="81"/>
  <c r="N18" i="81" s="1"/>
  <c r="K18" i="81"/>
  <c r="L18" i="81" s="1"/>
  <c r="M18" i="80"/>
  <c r="N18" i="80" s="1"/>
  <c r="O18" i="80" s="1"/>
  <c r="K18" i="80"/>
  <c r="L18" i="80" s="1"/>
  <c r="N100" i="79"/>
  <c r="O100" i="79" s="1"/>
  <c r="L100" i="79"/>
  <c r="M100" i="79"/>
  <c r="M19" i="79"/>
  <c r="N19" i="79" s="1"/>
  <c r="K19" i="79"/>
  <c r="L19" i="79" s="1"/>
  <c r="N100" i="78"/>
  <c r="O100" i="78" s="1"/>
  <c r="L100" i="78"/>
  <c r="M100" i="78" s="1"/>
  <c r="M19" i="78"/>
  <c r="N19" i="78" s="1"/>
  <c r="K19" i="78"/>
  <c r="L19" i="78" s="1"/>
  <c r="N100" i="77"/>
  <c r="O100" i="77" s="1"/>
  <c r="L100" i="77"/>
  <c r="M100" i="77" s="1"/>
  <c r="M19" i="77"/>
  <c r="N19" i="77" s="1"/>
  <c r="K19" i="77"/>
  <c r="L19" i="77" s="1"/>
  <c r="N100" i="76"/>
  <c r="O100" i="76" s="1"/>
  <c r="L100" i="76"/>
  <c r="M100" i="76" s="1"/>
  <c r="M19" i="76"/>
  <c r="N19" i="76" s="1"/>
  <c r="K19" i="76"/>
  <c r="L19" i="76" s="1"/>
  <c r="N100" i="75"/>
  <c r="O100" i="75" s="1"/>
  <c r="L100" i="75"/>
  <c r="M100" i="75" s="1"/>
  <c r="M19" i="75"/>
  <c r="N19" i="75" s="1"/>
  <c r="K19" i="75"/>
  <c r="L19" i="75" s="1"/>
  <c r="N104" i="74"/>
  <c r="O104" i="74" s="1"/>
  <c r="L104" i="74"/>
  <c r="M104" i="74" s="1"/>
  <c r="M23" i="74"/>
  <c r="N23" i="74" s="1"/>
  <c r="K23" i="74"/>
  <c r="L23" i="74" s="1"/>
  <c r="N105" i="73"/>
  <c r="O105" i="73" s="1"/>
  <c r="M105" i="73"/>
  <c r="L105" i="73"/>
  <c r="M24" i="73"/>
  <c r="N24" i="73" s="1"/>
  <c r="K24" i="73"/>
  <c r="L24" i="73" s="1"/>
  <c r="N103" i="72"/>
  <c r="O103" i="72" s="1"/>
  <c r="L103" i="72"/>
  <c r="M103" i="72" s="1"/>
  <c r="M22" i="72"/>
  <c r="N22" i="72" s="1"/>
  <c r="K22" i="72"/>
  <c r="L22" i="72" s="1"/>
  <c r="N107" i="71"/>
  <c r="O107" i="71" s="1"/>
  <c r="L107" i="71"/>
  <c r="M107" i="71" s="1"/>
  <c r="M26" i="71"/>
  <c r="N26" i="71" s="1"/>
  <c r="K26" i="71"/>
  <c r="L26" i="71" s="1"/>
  <c r="N108" i="70"/>
  <c r="O108" i="70" s="1"/>
  <c r="L108" i="70"/>
  <c r="M108" i="70"/>
  <c r="M27" i="70"/>
  <c r="N27" i="70" s="1"/>
  <c r="K27" i="70"/>
  <c r="L27" i="70" s="1"/>
  <c r="N108" i="69"/>
  <c r="O108" i="69" s="1"/>
  <c r="L108" i="69"/>
  <c r="M108" i="69" s="1"/>
  <c r="M27" i="69"/>
  <c r="N27" i="69" s="1"/>
  <c r="K27" i="69"/>
  <c r="L27" i="69" s="1"/>
  <c r="N101" i="68"/>
  <c r="O101" i="68"/>
  <c r="L101" i="68"/>
  <c r="M101" i="68" s="1"/>
  <c r="M20" i="68"/>
  <c r="N20" i="68" s="1"/>
  <c r="K20" i="68"/>
  <c r="L20" i="68" s="1"/>
  <c r="O101" i="67"/>
  <c r="N101" i="67"/>
  <c r="L101" i="67"/>
  <c r="M101" i="67" s="1"/>
  <c r="M20" i="67"/>
  <c r="N20" i="67" s="1"/>
  <c r="K20" i="67"/>
  <c r="L20" i="67" s="1"/>
  <c r="N101" i="66"/>
  <c r="O101" i="66" s="1"/>
  <c r="L101" i="66"/>
  <c r="M101" i="66" s="1"/>
  <c r="M20" i="66"/>
  <c r="N20" i="66" s="1"/>
  <c r="K20" i="66"/>
  <c r="L20" i="66" s="1"/>
  <c r="N101" i="65"/>
  <c r="O101" i="65" s="1"/>
  <c r="L101" i="65"/>
  <c r="M101" i="65" s="1"/>
  <c r="M20" i="65"/>
  <c r="N20" i="65" s="1"/>
  <c r="K20" i="65"/>
  <c r="L20" i="65" s="1"/>
  <c r="N102" i="64"/>
  <c r="O102" i="64" s="1"/>
  <c r="L102" i="64"/>
  <c r="M102" i="64" s="1"/>
  <c r="M21" i="64"/>
  <c r="N21" i="64" s="1"/>
  <c r="K21" i="64"/>
  <c r="L21" i="64" s="1"/>
  <c r="N102" i="60"/>
  <c r="O102" i="60" s="1"/>
  <c r="L102" i="60"/>
  <c r="M102" i="60" s="1"/>
  <c r="M21" i="60"/>
  <c r="N21" i="60" s="1"/>
  <c r="K21" i="60"/>
  <c r="L21" i="60" s="1"/>
  <c r="N102" i="62"/>
  <c r="O102" i="62" s="1"/>
  <c r="P102" i="62" s="1"/>
  <c r="L102" i="62"/>
  <c r="M102" i="62" s="1"/>
  <c r="M21" i="62"/>
  <c r="N21" i="62" s="1"/>
  <c r="K21" i="62"/>
  <c r="L21" i="62" s="1"/>
  <c r="N102" i="63"/>
  <c r="O102" i="63" s="1"/>
  <c r="L102" i="63"/>
  <c r="M102" i="63"/>
  <c r="M21" i="63"/>
  <c r="N21" i="63" s="1"/>
  <c r="K21" i="63"/>
  <c r="L21" i="63" s="1"/>
  <c r="N102" i="61"/>
  <c r="O102" i="61" s="1"/>
  <c r="L102" i="61"/>
  <c r="M102" i="61" s="1"/>
  <c r="M21" i="61"/>
  <c r="N21" i="61" s="1"/>
  <c r="K21" i="61"/>
  <c r="L21" i="61" s="1"/>
  <c r="N102" i="59"/>
  <c r="O102" i="59" s="1"/>
  <c r="L102" i="59"/>
  <c r="M102" i="59" s="1"/>
  <c r="M21" i="59"/>
  <c r="N21" i="59" s="1"/>
  <c r="K21" i="59"/>
  <c r="L21" i="59" s="1"/>
  <c r="N103" i="58"/>
  <c r="O103" i="58" s="1"/>
  <c r="L103" i="58"/>
  <c r="M103" i="58" s="1"/>
  <c r="P103" i="58" s="1"/>
  <c r="M22" i="58"/>
  <c r="N22" i="58" s="1"/>
  <c r="K22" i="58"/>
  <c r="L22" i="58" s="1"/>
  <c r="N103" i="57"/>
  <c r="O103" i="57" s="1"/>
  <c r="L103" i="57"/>
  <c r="M103" i="57" s="1"/>
  <c r="M22" i="57"/>
  <c r="N22" i="57" s="1"/>
  <c r="K22" i="57"/>
  <c r="L22" i="57" s="1"/>
  <c r="N103" i="56"/>
  <c r="O103" i="56"/>
  <c r="L103" i="56"/>
  <c r="M103" i="56" s="1"/>
  <c r="M22" i="56"/>
  <c r="N22" i="56" s="1"/>
  <c r="K22" i="56"/>
  <c r="L22" i="56"/>
  <c r="N103" i="55"/>
  <c r="O103" i="55" s="1"/>
  <c r="L103" i="55"/>
  <c r="M103" i="55" s="1"/>
  <c r="M22" i="55"/>
  <c r="N22" i="55" s="1"/>
  <c r="K22" i="55"/>
  <c r="L22" i="55" s="1"/>
  <c r="N103" i="54"/>
  <c r="O103" i="54" s="1"/>
  <c r="P103" i="54" s="1"/>
  <c r="L103" i="54"/>
  <c r="M103" i="54" s="1"/>
  <c r="M22" i="54"/>
  <c r="N22" i="54" s="1"/>
  <c r="K22" i="54"/>
  <c r="L22" i="54" s="1"/>
  <c r="O103" i="53"/>
  <c r="N103" i="53"/>
  <c r="L103" i="53"/>
  <c r="M103" i="53" s="1"/>
  <c r="M22" i="53"/>
  <c r="N22" i="53" s="1"/>
  <c r="O22" i="53" s="1"/>
  <c r="K22" i="53"/>
  <c r="L22" i="53" s="1"/>
  <c r="N103" i="46"/>
  <c r="O103" i="46" s="1"/>
  <c r="L103" i="46"/>
  <c r="M103" i="46" s="1"/>
  <c r="M22" i="46"/>
  <c r="N22" i="46" s="1"/>
  <c r="K22" i="46"/>
  <c r="L22" i="46" s="1"/>
  <c r="N104" i="45"/>
  <c r="O104" i="45" s="1"/>
  <c r="P104" i="45" s="1"/>
  <c r="L104" i="45"/>
  <c r="M104" i="45" s="1"/>
  <c r="M23" i="45"/>
  <c r="N23" i="45" s="1"/>
  <c r="K23" i="45"/>
  <c r="L23" i="45" s="1"/>
  <c r="N105" i="44"/>
  <c r="O105" i="44" s="1"/>
  <c r="L105" i="44"/>
  <c r="M105" i="44" s="1"/>
  <c r="M24" i="44"/>
  <c r="N24" i="44" s="1"/>
  <c r="K24" i="44"/>
  <c r="L24" i="44" s="1"/>
  <c r="N105" i="43"/>
  <c r="O105" i="43" s="1"/>
  <c r="L105" i="43"/>
  <c r="M105" i="43" s="1"/>
  <c r="M24" i="43"/>
  <c r="N24" i="43" s="1"/>
  <c r="O24" i="43" s="1"/>
  <c r="K24" i="43"/>
  <c r="L24" i="43" s="1"/>
  <c r="N105" i="42"/>
  <c r="O105" i="42" s="1"/>
  <c r="L105" i="42"/>
  <c r="M105" i="42"/>
  <c r="M24" i="42"/>
  <c r="N24" i="42" s="1"/>
  <c r="O24" i="42" s="1"/>
  <c r="K24" i="42"/>
  <c r="L24" i="42" s="1"/>
  <c r="N105" i="41"/>
  <c r="O105" i="41" s="1"/>
  <c r="L105" i="41"/>
  <c r="M105" i="41" s="1"/>
  <c r="M24" i="41"/>
  <c r="N24" i="41" s="1"/>
  <c r="K24" i="41"/>
  <c r="L24" i="41" s="1"/>
  <c r="N105" i="39"/>
  <c r="O105" i="39" s="1"/>
  <c r="L105" i="39"/>
  <c r="M105" i="39" s="1"/>
  <c r="M24" i="39"/>
  <c r="N24" i="39" s="1"/>
  <c r="K24" i="39"/>
  <c r="L24" i="39" s="1"/>
  <c r="N107" i="34"/>
  <c r="O107" i="34" s="1"/>
  <c r="L107" i="34"/>
  <c r="M107" i="34" s="1"/>
  <c r="M26" i="34"/>
  <c r="N26" i="34" s="1"/>
  <c r="K26" i="34"/>
  <c r="L26" i="34" s="1"/>
  <c r="N107" i="32"/>
  <c r="O107" i="32" s="1"/>
  <c r="L107" i="32"/>
  <c r="M107" i="32" s="1"/>
  <c r="M26" i="32"/>
  <c r="N26" i="32" s="1"/>
  <c r="K26" i="32"/>
  <c r="L26" i="32" s="1"/>
  <c r="N107" i="31"/>
  <c r="O107" i="31" s="1"/>
  <c r="L107" i="31"/>
  <c r="M107" i="31" s="1"/>
  <c r="M26" i="31"/>
  <c r="N26" i="31" s="1"/>
  <c r="K26" i="31"/>
  <c r="L26" i="31" s="1"/>
  <c r="N108" i="30"/>
  <c r="O108" i="30" s="1"/>
  <c r="L108" i="30"/>
  <c r="M108" i="30" s="1"/>
  <c r="M27" i="30"/>
  <c r="N27" i="30" s="1"/>
  <c r="K27" i="30"/>
  <c r="L27" i="30" s="1"/>
  <c r="M19" i="29"/>
  <c r="N19" i="29" s="1"/>
  <c r="K19" i="29"/>
  <c r="L19" i="29" s="1"/>
  <c r="N108" i="29"/>
  <c r="O108" i="29" s="1"/>
  <c r="L108" i="29"/>
  <c r="M108" i="29" s="1"/>
  <c r="M27" i="29"/>
  <c r="N27" i="29"/>
  <c r="K27" i="29"/>
  <c r="L27" i="29" s="1"/>
  <c r="N109" i="28"/>
  <c r="O109" i="28" s="1"/>
  <c r="L109" i="28"/>
  <c r="M109" i="28" s="1"/>
  <c r="M28" i="28"/>
  <c r="N28" i="28" s="1"/>
  <c r="K28" i="28"/>
  <c r="L28" i="28" s="1"/>
  <c r="N108" i="27"/>
  <c r="O108" i="27" s="1"/>
  <c r="L108" i="27"/>
  <c r="M108" i="27" s="1"/>
  <c r="M27" i="27"/>
  <c r="N27" i="27" s="1"/>
  <c r="K27" i="27"/>
  <c r="L27" i="27" s="1"/>
  <c r="N107" i="24"/>
  <c r="O107" i="24" s="1"/>
  <c r="L107" i="24"/>
  <c r="M107" i="24"/>
  <c r="M26" i="24"/>
  <c r="N26" i="24" s="1"/>
  <c r="K26" i="24"/>
  <c r="L26" i="24" s="1"/>
  <c r="N107" i="23"/>
  <c r="O107" i="23" s="1"/>
  <c r="P107" i="23"/>
  <c r="L107" i="23"/>
  <c r="M107" i="23" s="1"/>
  <c r="M26" i="23"/>
  <c r="N26" i="23" s="1"/>
  <c r="K26" i="23"/>
  <c r="L26" i="23"/>
  <c r="N106" i="22"/>
  <c r="O106" i="22" s="1"/>
  <c r="L106" i="22"/>
  <c r="M106" i="22"/>
  <c r="M25" i="22"/>
  <c r="N25" i="22" s="1"/>
  <c r="K25" i="22"/>
  <c r="L25" i="22" s="1"/>
  <c r="N106" i="21"/>
  <c r="O106" i="21" s="1"/>
  <c r="L106" i="21"/>
  <c r="M106" i="21" s="1"/>
  <c r="M25" i="21"/>
  <c r="N25" i="21" s="1"/>
  <c r="O25" i="21" s="1"/>
  <c r="K25" i="21"/>
  <c r="L25" i="21" s="1"/>
  <c r="N106" i="20"/>
  <c r="O106" i="20" s="1"/>
  <c r="L106" i="20"/>
  <c r="M106" i="20" s="1"/>
  <c r="M25" i="20"/>
  <c r="N25" i="20" s="1"/>
  <c r="K25" i="20"/>
  <c r="L25" i="20" s="1"/>
  <c r="N106" i="19"/>
  <c r="O106" i="19" s="1"/>
  <c r="L106" i="19"/>
  <c r="M106" i="19" s="1"/>
  <c r="M25" i="19"/>
  <c r="N25" i="19" s="1"/>
  <c r="K25" i="19"/>
  <c r="L25" i="19" s="1"/>
  <c r="N106" i="18"/>
  <c r="O106" i="18" s="1"/>
  <c r="L106" i="18"/>
  <c r="M106" i="18" s="1"/>
  <c r="M25" i="18"/>
  <c r="N25" i="18" s="1"/>
  <c r="K25" i="18"/>
  <c r="L25" i="18" s="1"/>
  <c r="N106" i="17"/>
  <c r="O106" i="17" s="1"/>
  <c r="L106" i="17"/>
  <c r="M106" i="17" s="1"/>
  <c r="P106" i="17" s="1"/>
  <c r="M25" i="17"/>
  <c r="N25" i="17" s="1"/>
  <c r="K25" i="17"/>
  <c r="L25" i="17" s="1"/>
  <c r="N106" i="3"/>
  <c r="O106" i="3"/>
  <c r="L106" i="3"/>
  <c r="M106" i="3" s="1"/>
  <c r="M25" i="3"/>
  <c r="N25" i="3" s="1"/>
  <c r="K25" i="3"/>
  <c r="L25" i="3" s="1"/>
  <c r="W77" i="36"/>
  <c r="W78" i="36"/>
  <c r="W79" i="36"/>
  <c r="W80" i="36"/>
  <c r="W81" i="36"/>
  <c r="W82" i="36"/>
  <c r="W83" i="36"/>
  <c r="W84" i="36"/>
  <c r="F66" i="2"/>
  <c r="C66" i="2"/>
  <c r="P84" i="36"/>
  <c r="P83" i="36"/>
  <c r="P82" i="36"/>
  <c r="P81" i="36"/>
  <c r="P80" i="36"/>
  <c r="P79" i="36"/>
  <c r="P78" i="36"/>
  <c r="P77" i="36"/>
  <c r="M17" i="85"/>
  <c r="N17" i="85" s="1"/>
  <c r="K17" i="85"/>
  <c r="C17" i="85"/>
  <c r="C17" i="86"/>
  <c r="C18" i="86" s="1"/>
  <c r="C19" i="86" s="1"/>
  <c r="C20" i="86" s="1"/>
  <c r="C21" i="86" s="1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C45" i="86" s="1"/>
  <c r="C46" i="86" s="1"/>
  <c r="C47" i="86" s="1"/>
  <c r="C48" i="86" s="1"/>
  <c r="C49" i="86" s="1"/>
  <c r="C50" i="86" s="1"/>
  <c r="C51" i="86" s="1"/>
  <c r="C52" i="86" s="1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3" i="86" s="1"/>
  <c r="C64" i="86" s="1"/>
  <c r="C65" i="86" s="1"/>
  <c r="C66" i="86" s="1"/>
  <c r="C67" i="86" s="1"/>
  <c r="C68" i="86" s="1"/>
  <c r="C69" i="86" s="1"/>
  <c r="C70" i="86" s="1"/>
  <c r="C71" i="86" s="1"/>
  <c r="C72" i="86" s="1"/>
  <c r="C17" i="87"/>
  <c r="C18" i="87" s="1"/>
  <c r="C17" i="88"/>
  <c r="C17" i="89"/>
  <c r="C18" i="89" s="1"/>
  <c r="C17" i="90"/>
  <c r="C17" i="91"/>
  <c r="C18" i="91" s="1"/>
  <c r="C19" i="91" s="1"/>
  <c r="C17" i="92"/>
  <c r="E17" i="13"/>
  <c r="C17" i="13"/>
  <c r="W76" i="36"/>
  <c r="P76" i="36"/>
  <c r="P1" i="92"/>
  <c r="P83" i="92" s="1"/>
  <c r="P1" i="91"/>
  <c r="P83" i="91" s="1"/>
  <c r="P1" i="90"/>
  <c r="P83" i="90" s="1"/>
  <c r="P1" i="89"/>
  <c r="P83" i="89" s="1"/>
  <c r="P1" i="88"/>
  <c r="P83" i="88" s="1"/>
  <c r="P1" i="87"/>
  <c r="P83" i="87" s="1"/>
  <c r="P1" i="86"/>
  <c r="P83" i="86" s="1"/>
  <c r="P1" i="85"/>
  <c r="P83" i="85" s="1"/>
  <c r="P1" i="84"/>
  <c r="P83" i="84" s="1"/>
  <c r="P154" i="92"/>
  <c r="O154" i="92"/>
  <c r="M154" i="92"/>
  <c r="J154" i="92"/>
  <c r="P153" i="92"/>
  <c r="O153" i="92"/>
  <c r="M153" i="92"/>
  <c r="J153" i="92"/>
  <c r="P152" i="92"/>
  <c r="O152" i="92"/>
  <c r="M152" i="92"/>
  <c r="J152" i="92"/>
  <c r="P151" i="92"/>
  <c r="O151" i="92"/>
  <c r="M151" i="92"/>
  <c r="J151" i="92"/>
  <c r="P150" i="92"/>
  <c r="O150" i="92"/>
  <c r="M150" i="92"/>
  <c r="J150" i="92"/>
  <c r="P149" i="92"/>
  <c r="O149" i="92"/>
  <c r="M149" i="92"/>
  <c r="J149" i="92"/>
  <c r="P148" i="92"/>
  <c r="O148" i="92"/>
  <c r="M148" i="92"/>
  <c r="J148" i="92"/>
  <c r="P147" i="92"/>
  <c r="O147" i="92"/>
  <c r="M147" i="92"/>
  <c r="J147" i="92"/>
  <c r="P146" i="92"/>
  <c r="O146" i="92"/>
  <c r="M146" i="92"/>
  <c r="J146" i="92"/>
  <c r="P145" i="92"/>
  <c r="O145" i="92"/>
  <c r="M145" i="92"/>
  <c r="J145" i="92"/>
  <c r="P144" i="92"/>
  <c r="O144" i="92"/>
  <c r="M144" i="92"/>
  <c r="J144" i="92"/>
  <c r="P143" i="92"/>
  <c r="O143" i="92"/>
  <c r="M143" i="92"/>
  <c r="J143" i="92"/>
  <c r="P142" i="92"/>
  <c r="O142" i="92"/>
  <c r="M142" i="92"/>
  <c r="J142" i="92"/>
  <c r="P141" i="92"/>
  <c r="O141" i="92"/>
  <c r="M141" i="92"/>
  <c r="J141" i="92"/>
  <c r="P140" i="92"/>
  <c r="O140" i="92"/>
  <c r="M140" i="92"/>
  <c r="J140" i="92"/>
  <c r="P139" i="92"/>
  <c r="O139" i="92"/>
  <c r="M139" i="92"/>
  <c r="J139" i="92"/>
  <c r="P138" i="92"/>
  <c r="O138" i="92"/>
  <c r="M138" i="92"/>
  <c r="J138" i="92"/>
  <c r="P137" i="92"/>
  <c r="O137" i="92"/>
  <c r="M137" i="92"/>
  <c r="J137" i="92"/>
  <c r="P136" i="92"/>
  <c r="O136" i="92"/>
  <c r="M136" i="92"/>
  <c r="J136" i="92"/>
  <c r="P135" i="92"/>
  <c r="O135" i="92"/>
  <c r="M135" i="92"/>
  <c r="J135" i="92"/>
  <c r="P134" i="92"/>
  <c r="O134" i="92"/>
  <c r="M134" i="92"/>
  <c r="J134" i="92"/>
  <c r="P133" i="92"/>
  <c r="O133" i="92"/>
  <c r="M133" i="92"/>
  <c r="J133" i="92"/>
  <c r="P132" i="92"/>
  <c r="O132" i="92"/>
  <c r="M132" i="92"/>
  <c r="J132" i="92"/>
  <c r="P131" i="92"/>
  <c r="O131" i="92"/>
  <c r="M131" i="92"/>
  <c r="J131" i="92"/>
  <c r="O130" i="92"/>
  <c r="M130" i="92"/>
  <c r="O129" i="92"/>
  <c r="M129" i="92"/>
  <c r="O128" i="92"/>
  <c r="M128" i="92"/>
  <c r="O127" i="92"/>
  <c r="M127" i="92"/>
  <c r="O126" i="92"/>
  <c r="M126" i="92"/>
  <c r="O125" i="92"/>
  <c r="M125" i="92"/>
  <c r="O124" i="92"/>
  <c r="M124" i="92"/>
  <c r="O123" i="92"/>
  <c r="M123" i="92"/>
  <c r="O122" i="92"/>
  <c r="M122" i="92"/>
  <c r="O121" i="92"/>
  <c r="M121" i="92"/>
  <c r="O120" i="92"/>
  <c r="M120" i="92"/>
  <c r="O119" i="92"/>
  <c r="M119" i="92"/>
  <c r="O118" i="92"/>
  <c r="M118" i="92"/>
  <c r="O117" i="92"/>
  <c r="M117" i="92"/>
  <c r="O116" i="92"/>
  <c r="M116" i="92"/>
  <c r="O115" i="92"/>
  <c r="M115" i="92"/>
  <c r="O114" i="92"/>
  <c r="M114" i="92"/>
  <c r="O113" i="92"/>
  <c r="M113" i="92"/>
  <c r="O112" i="92"/>
  <c r="M112" i="92"/>
  <c r="O111" i="92"/>
  <c r="M111" i="92"/>
  <c r="O110" i="92"/>
  <c r="M110" i="92"/>
  <c r="O109" i="92"/>
  <c r="M109" i="92"/>
  <c r="O108" i="92"/>
  <c r="M108" i="92"/>
  <c r="O107" i="92"/>
  <c r="M107" i="92"/>
  <c r="O106" i="92"/>
  <c r="M106" i="92"/>
  <c r="O105" i="92"/>
  <c r="M105" i="92"/>
  <c r="O104" i="92"/>
  <c r="M104" i="92"/>
  <c r="O103" i="92"/>
  <c r="M103" i="92"/>
  <c r="O102" i="92"/>
  <c r="O101" i="92"/>
  <c r="O100" i="92"/>
  <c r="O99" i="92"/>
  <c r="D96" i="92"/>
  <c r="L93" i="92"/>
  <c r="J93" i="92"/>
  <c r="D91" i="92"/>
  <c r="D89" i="92"/>
  <c r="N72" i="92"/>
  <c r="L72" i="92"/>
  <c r="N71" i="92"/>
  <c r="L71" i="92"/>
  <c r="N70" i="92"/>
  <c r="L70" i="92"/>
  <c r="N69" i="92"/>
  <c r="L69" i="92"/>
  <c r="N68" i="92"/>
  <c r="L68" i="92"/>
  <c r="N67" i="92"/>
  <c r="L67" i="92"/>
  <c r="N66" i="92"/>
  <c r="L66" i="92"/>
  <c r="N65" i="92"/>
  <c r="L65" i="92"/>
  <c r="N64" i="92"/>
  <c r="L64" i="92"/>
  <c r="N63" i="92"/>
  <c r="L63" i="92"/>
  <c r="N62" i="92"/>
  <c r="L62" i="92"/>
  <c r="N61" i="92"/>
  <c r="L61" i="92"/>
  <c r="N60" i="92"/>
  <c r="L60" i="92"/>
  <c r="N59" i="92"/>
  <c r="L59" i="92"/>
  <c r="N58" i="92"/>
  <c r="L58" i="92"/>
  <c r="N57" i="92"/>
  <c r="L57" i="92"/>
  <c r="N56" i="92"/>
  <c r="L56" i="92"/>
  <c r="N55" i="92"/>
  <c r="L55" i="92"/>
  <c r="N54" i="92"/>
  <c r="L54" i="92"/>
  <c r="N53" i="92"/>
  <c r="L53" i="92"/>
  <c r="N52" i="92"/>
  <c r="L52" i="92"/>
  <c r="N51" i="92"/>
  <c r="L51" i="92"/>
  <c r="N50" i="92"/>
  <c r="L50" i="92"/>
  <c r="N49" i="92"/>
  <c r="L49" i="92"/>
  <c r="N48" i="92"/>
  <c r="L48" i="92"/>
  <c r="N47" i="92"/>
  <c r="L47" i="92"/>
  <c r="N46" i="92"/>
  <c r="L46" i="92"/>
  <c r="N45" i="92"/>
  <c r="L45" i="92"/>
  <c r="N44" i="92"/>
  <c r="L44" i="92"/>
  <c r="N43" i="92"/>
  <c r="L43" i="92"/>
  <c r="N42" i="92"/>
  <c r="L42" i="92"/>
  <c r="N41" i="92"/>
  <c r="L41" i="92"/>
  <c r="N40" i="92"/>
  <c r="L40" i="92"/>
  <c r="N39" i="92"/>
  <c r="L39" i="92"/>
  <c r="N38" i="92"/>
  <c r="L38" i="92"/>
  <c r="N37" i="92"/>
  <c r="L37" i="92"/>
  <c r="N36" i="92"/>
  <c r="L36" i="92"/>
  <c r="N35" i="92"/>
  <c r="L35" i="92"/>
  <c r="N34" i="92"/>
  <c r="L34" i="92"/>
  <c r="N33" i="92"/>
  <c r="L33" i="92"/>
  <c r="N32" i="92"/>
  <c r="L32" i="92"/>
  <c r="N31" i="92"/>
  <c r="L31" i="92"/>
  <c r="N30" i="92"/>
  <c r="L30" i="92"/>
  <c r="N29" i="92"/>
  <c r="L29" i="92"/>
  <c r="N28" i="92"/>
  <c r="L28" i="92"/>
  <c r="N27" i="92"/>
  <c r="L27" i="92"/>
  <c r="N26" i="92"/>
  <c r="L26" i="92"/>
  <c r="N25" i="92"/>
  <c r="L25" i="92"/>
  <c r="N24" i="92"/>
  <c r="L24" i="92"/>
  <c r="N23" i="92"/>
  <c r="L23" i="92"/>
  <c r="N22" i="92"/>
  <c r="N21" i="92"/>
  <c r="N20" i="92"/>
  <c r="N19" i="92"/>
  <c r="N17" i="92"/>
  <c r="C18" i="92"/>
  <c r="C19" i="92"/>
  <c r="C20" i="92" s="1"/>
  <c r="C21" i="92" s="1"/>
  <c r="C22" i="92" s="1"/>
  <c r="C23" i="92" s="1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5" i="92" s="1"/>
  <c r="C36" i="92" s="1"/>
  <c r="C37" i="92" s="1"/>
  <c r="C38" i="92" s="1"/>
  <c r="C39" i="92" s="1"/>
  <c r="C40" i="92" s="1"/>
  <c r="C41" i="92" s="1"/>
  <c r="C42" i="92" s="1"/>
  <c r="C43" i="92" s="1"/>
  <c r="C44" i="92" s="1"/>
  <c r="C45" i="92" s="1"/>
  <c r="C46" i="92" s="1"/>
  <c r="C47" i="92" s="1"/>
  <c r="C48" i="92" s="1"/>
  <c r="C49" i="92" s="1"/>
  <c r="C50" i="92" s="1"/>
  <c r="C51" i="92" s="1"/>
  <c r="C52" i="92" s="1"/>
  <c r="C53" i="92" s="1"/>
  <c r="C54" i="92" s="1"/>
  <c r="C55" i="92" s="1"/>
  <c r="C56" i="92" s="1"/>
  <c r="C57" i="92" s="1"/>
  <c r="C58" i="92" s="1"/>
  <c r="C59" i="92" s="1"/>
  <c r="C60" i="92" s="1"/>
  <c r="C61" i="92" s="1"/>
  <c r="C62" i="92" s="1"/>
  <c r="C63" i="92" s="1"/>
  <c r="C64" i="92" s="1"/>
  <c r="C65" i="92" s="1"/>
  <c r="C66" i="92" s="1"/>
  <c r="C67" i="92" s="1"/>
  <c r="C68" i="92" s="1"/>
  <c r="C69" i="92" s="1"/>
  <c r="C70" i="92" s="1"/>
  <c r="C71" i="92" s="1"/>
  <c r="C72" i="92" s="1"/>
  <c r="K11" i="92"/>
  <c r="I11" i="92"/>
  <c r="D8" i="92"/>
  <c r="D90" i="92" s="1"/>
  <c r="P154" i="91"/>
  <c r="O154" i="91"/>
  <c r="M154" i="91"/>
  <c r="J154" i="91"/>
  <c r="P153" i="91"/>
  <c r="O153" i="91"/>
  <c r="M153" i="91"/>
  <c r="J153" i="91"/>
  <c r="P152" i="91"/>
  <c r="O152" i="91"/>
  <c r="M152" i="91"/>
  <c r="J152" i="91"/>
  <c r="P151" i="91"/>
  <c r="O151" i="91"/>
  <c r="M151" i="91"/>
  <c r="J151" i="91"/>
  <c r="P150" i="91"/>
  <c r="O150" i="91"/>
  <c r="M150" i="91"/>
  <c r="J150" i="91"/>
  <c r="P149" i="91"/>
  <c r="O149" i="91"/>
  <c r="M149" i="91"/>
  <c r="J149" i="91"/>
  <c r="P148" i="91"/>
  <c r="O148" i="91"/>
  <c r="M148" i="91"/>
  <c r="J148" i="91"/>
  <c r="P147" i="91"/>
  <c r="O147" i="91"/>
  <c r="M147" i="91"/>
  <c r="J147" i="91"/>
  <c r="P146" i="91"/>
  <c r="O146" i="91"/>
  <c r="M146" i="91"/>
  <c r="J146" i="91"/>
  <c r="P145" i="91"/>
  <c r="O145" i="91"/>
  <c r="M145" i="91"/>
  <c r="J145" i="91"/>
  <c r="P144" i="91"/>
  <c r="O144" i="91"/>
  <c r="M144" i="91"/>
  <c r="J144" i="91"/>
  <c r="P143" i="91"/>
  <c r="O143" i="91"/>
  <c r="M143" i="91"/>
  <c r="J143" i="91"/>
  <c r="P142" i="91"/>
  <c r="O142" i="91"/>
  <c r="M142" i="91"/>
  <c r="J142" i="91"/>
  <c r="P141" i="91"/>
  <c r="O141" i="91"/>
  <c r="M141" i="91"/>
  <c r="J141" i="91"/>
  <c r="P140" i="91"/>
  <c r="O140" i="91"/>
  <c r="M140" i="91"/>
  <c r="J140" i="91"/>
  <c r="P139" i="91"/>
  <c r="O139" i="91"/>
  <c r="M139" i="91"/>
  <c r="J139" i="91"/>
  <c r="P138" i="91"/>
  <c r="O138" i="91"/>
  <c r="M138" i="91"/>
  <c r="J138" i="91"/>
  <c r="P137" i="91"/>
  <c r="O137" i="91"/>
  <c r="M137" i="91"/>
  <c r="J137" i="91"/>
  <c r="P136" i="91"/>
  <c r="O136" i="91"/>
  <c r="M136" i="91"/>
  <c r="J136" i="91"/>
  <c r="P135" i="91"/>
  <c r="O135" i="91"/>
  <c r="M135" i="91"/>
  <c r="J135" i="91"/>
  <c r="P134" i="91"/>
  <c r="O134" i="91"/>
  <c r="M134" i="91"/>
  <c r="J134" i="91"/>
  <c r="P133" i="91"/>
  <c r="O133" i="91"/>
  <c r="M133" i="91"/>
  <c r="J133" i="91"/>
  <c r="P132" i="91"/>
  <c r="O132" i="91"/>
  <c r="M132" i="91"/>
  <c r="J132" i="91"/>
  <c r="P131" i="91"/>
  <c r="O131" i="91"/>
  <c r="M131" i="91"/>
  <c r="J131" i="91"/>
  <c r="O130" i="91"/>
  <c r="M130" i="91"/>
  <c r="O129" i="91"/>
  <c r="M129" i="91"/>
  <c r="O128" i="91"/>
  <c r="M128" i="91"/>
  <c r="O127" i="91"/>
  <c r="M127" i="91"/>
  <c r="O126" i="91"/>
  <c r="M126" i="91"/>
  <c r="O125" i="91"/>
  <c r="M125" i="91"/>
  <c r="O124" i="91"/>
  <c r="M124" i="91"/>
  <c r="O123" i="91"/>
  <c r="M123" i="91"/>
  <c r="O122" i="91"/>
  <c r="M122" i="91"/>
  <c r="O121" i="91"/>
  <c r="M121" i="91"/>
  <c r="O120" i="91"/>
  <c r="M120" i="91"/>
  <c r="O119" i="91"/>
  <c r="M119" i="91"/>
  <c r="O118" i="91"/>
  <c r="M118" i="91"/>
  <c r="O117" i="91"/>
  <c r="M117" i="91"/>
  <c r="O116" i="91"/>
  <c r="M116" i="91"/>
  <c r="O115" i="91"/>
  <c r="M115" i="91"/>
  <c r="O114" i="91"/>
  <c r="M114" i="91"/>
  <c r="O113" i="91"/>
  <c r="M113" i="91"/>
  <c r="O112" i="91"/>
  <c r="M112" i="91"/>
  <c r="O111" i="91"/>
  <c r="M111" i="91"/>
  <c r="O110" i="91"/>
  <c r="M110" i="91"/>
  <c r="O109" i="91"/>
  <c r="M109" i="91"/>
  <c r="O108" i="91"/>
  <c r="M108" i="91"/>
  <c r="O107" i="91"/>
  <c r="M107" i="91"/>
  <c r="O106" i="91"/>
  <c r="M106" i="91"/>
  <c r="O105" i="91"/>
  <c r="M105" i="91"/>
  <c r="O104" i="91"/>
  <c r="M104" i="91"/>
  <c r="O103" i="91"/>
  <c r="M103" i="91"/>
  <c r="O102" i="91"/>
  <c r="O101" i="91"/>
  <c r="O100" i="91"/>
  <c r="O99" i="91"/>
  <c r="M99" i="91"/>
  <c r="D96" i="91"/>
  <c r="L93" i="91"/>
  <c r="J93" i="91"/>
  <c r="D91" i="91"/>
  <c r="D89" i="91"/>
  <c r="N72" i="91"/>
  <c r="L72" i="91"/>
  <c r="N71" i="91"/>
  <c r="L71" i="91"/>
  <c r="N70" i="91"/>
  <c r="L70" i="91"/>
  <c r="N69" i="91"/>
  <c r="L69" i="91"/>
  <c r="N68" i="91"/>
  <c r="L68" i="91"/>
  <c r="N67" i="91"/>
  <c r="L67" i="91"/>
  <c r="N66" i="91"/>
  <c r="L66" i="91"/>
  <c r="N65" i="91"/>
  <c r="L65" i="91"/>
  <c r="N64" i="91"/>
  <c r="L64" i="91"/>
  <c r="N63" i="91"/>
  <c r="L63" i="91"/>
  <c r="N62" i="91"/>
  <c r="L62" i="91"/>
  <c r="N61" i="91"/>
  <c r="L61" i="91"/>
  <c r="N60" i="91"/>
  <c r="L60" i="91"/>
  <c r="N59" i="91"/>
  <c r="L59" i="91"/>
  <c r="N58" i="91"/>
  <c r="L58" i="91"/>
  <c r="N57" i="91"/>
  <c r="L57" i="91"/>
  <c r="N56" i="91"/>
  <c r="L56" i="91"/>
  <c r="N55" i="91"/>
  <c r="L55" i="91"/>
  <c r="N54" i="91"/>
  <c r="L54" i="91"/>
  <c r="N53" i="91"/>
  <c r="L53" i="91"/>
  <c r="N52" i="91"/>
  <c r="L52" i="91"/>
  <c r="N51" i="91"/>
  <c r="L51" i="91"/>
  <c r="N50" i="91"/>
  <c r="L50" i="91"/>
  <c r="N49" i="91"/>
  <c r="L49" i="91"/>
  <c r="N48" i="91"/>
  <c r="L48" i="91"/>
  <c r="N47" i="91"/>
  <c r="L47" i="91"/>
  <c r="N46" i="91"/>
  <c r="L46" i="91"/>
  <c r="N45" i="91"/>
  <c r="L45" i="91"/>
  <c r="N44" i="91"/>
  <c r="L44" i="91"/>
  <c r="N43" i="91"/>
  <c r="L43" i="91"/>
  <c r="N42" i="91"/>
  <c r="L42" i="91"/>
  <c r="N41" i="91"/>
  <c r="L41" i="91"/>
  <c r="N40" i="91"/>
  <c r="L40" i="91"/>
  <c r="N39" i="91"/>
  <c r="L39" i="91"/>
  <c r="N38" i="91"/>
  <c r="L38" i="91"/>
  <c r="N37" i="91"/>
  <c r="L37" i="91"/>
  <c r="N36" i="91"/>
  <c r="L36" i="91"/>
  <c r="N35" i="91"/>
  <c r="L35" i="91"/>
  <c r="N34" i="91"/>
  <c r="L34" i="91"/>
  <c r="N33" i="91"/>
  <c r="L33" i="91"/>
  <c r="N32" i="91"/>
  <c r="L32" i="91"/>
  <c r="N31" i="91"/>
  <c r="L31" i="91"/>
  <c r="N30" i="91"/>
  <c r="L30" i="91"/>
  <c r="N29" i="91"/>
  <c r="L29" i="91"/>
  <c r="N28" i="91"/>
  <c r="L28" i="91"/>
  <c r="N27" i="91"/>
  <c r="L27" i="91"/>
  <c r="N26" i="91"/>
  <c r="L26" i="91"/>
  <c r="N25" i="91"/>
  <c r="L25" i="91"/>
  <c r="N24" i="91"/>
  <c r="L24" i="91"/>
  <c r="N23" i="91"/>
  <c r="L23" i="91"/>
  <c r="N22" i="91"/>
  <c r="N21" i="91"/>
  <c r="N20" i="91"/>
  <c r="N19" i="91"/>
  <c r="O19" i="91" s="1"/>
  <c r="N18" i="91"/>
  <c r="N17" i="91"/>
  <c r="C20" i="91"/>
  <c r="C21" i="91" s="1"/>
  <c r="C22" i="91" s="1"/>
  <c r="C23" i="91" s="1"/>
  <c r="C24" i="91" s="1"/>
  <c r="C25" i="91" s="1"/>
  <c r="C26" i="91" s="1"/>
  <c r="C27" i="91" s="1"/>
  <c r="C28" i="91" s="1"/>
  <c r="C29" i="91" s="1"/>
  <c r="C30" i="91" s="1"/>
  <c r="C31" i="91" s="1"/>
  <c r="C32" i="91" s="1"/>
  <c r="C33" i="91" s="1"/>
  <c r="C34" i="91" s="1"/>
  <c r="C35" i="91" s="1"/>
  <c r="C36" i="91" s="1"/>
  <c r="C37" i="91" s="1"/>
  <c r="C38" i="91" s="1"/>
  <c r="C39" i="91" s="1"/>
  <c r="C40" i="91" s="1"/>
  <c r="C41" i="91" s="1"/>
  <c r="C42" i="91" s="1"/>
  <c r="C43" i="91" s="1"/>
  <c r="C44" i="91" s="1"/>
  <c r="C45" i="91" s="1"/>
  <c r="C46" i="91" s="1"/>
  <c r="C47" i="91" s="1"/>
  <c r="C48" i="91" s="1"/>
  <c r="C49" i="91" s="1"/>
  <c r="C50" i="91" s="1"/>
  <c r="C51" i="91" s="1"/>
  <c r="C52" i="91" s="1"/>
  <c r="C53" i="91" s="1"/>
  <c r="C54" i="91" s="1"/>
  <c r="C55" i="91" s="1"/>
  <c r="C56" i="91" s="1"/>
  <c r="C57" i="91" s="1"/>
  <c r="C58" i="91" s="1"/>
  <c r="C59" i="91" s="1"/>
  <c r="C60" i="91" s="1"/>
  <c r="C61" i="91" s="1"/>
  <c r="C62" i="91" s="1"/>
  <c r="C63" i="91" s="1"/>
  <c r="C64" i="91" s="1"/>
  <c r="C65" i="91" s="1"/>
  <c r="C66" i="91" s="1"/>
  <c r="C67" i="91" s="1"/>
  <c r="C68" i="91" s="1"/>
  <c r="C69" i="91" s="1"/>
  <c r="C70" i="91" s="1"/>
  <c r="C71" i="91" s="1"/>
  <c r="C72" i="91" s="1"/>
  <c r="K11" i="91"/>
  <c r="I11" i="91"/>
  <c r="D8" i="91"/>
  <c r="D90" i="91" s="1"/>
  <c r="P154" i="90"/>
  <c r="O154" i="90"/>
  <c r="M154" i="90"/>
  <c r="J154" i="90"/>
  <c r="P153" i="90"/>
  <c r="O153" i="90"/>
  <c r="M153" i="90"/>
  <c r="J153" i="90"/>
  <c r="P152" i="90"/>
  <c r="O152" i="90"/>
  <c r="M152" i="90"/>
  <c r="J152" i="90"/>
  <c r="P151" i="90"/>
  <c r="O151" i="90"/>
  <c r="M151" i="90"/>
  <c r="J151" i="90"/>
  <c r="P150" i="90"/>
  <c r="O150" i="90"/>
  <c r="M150" i="90"/>
  <c r="J150" i="90"/>
  <c r="P149" i="90"/>
  <c r="O149" i="90"/>
  <c r="M149" i="90"/>
  <c r="J149" i="90"/>
  <c r="P148" i="90"/>
  <c r="O148" i="90"/>
  <c r="M148" i="90"/>
  <c r="J148" i="90"/>
  <c r="P147" i="90"/>
  <c r="O147" i="90"/>
  <c r="M147" i="90"/>
  <c r="J147" i="90"/>
  <c r="P146" i="90"/>
  <c r="O146" i="90"/>
  <c r="M146" i="90"/>
  <c r="J146" i="90"/>
  <c r="P145" i="90"/>
  <c r="O145" i="90"/>
  <c r="M145" i="90"/>
  <c r="J145" i="90"/>
  <c r="P144" i="90"/>
  <c r="O144" i="90"/>
  <c r="M144" i="90"/>
  <c r="J144" i="90"/>
  <c r="P143" i="90"/>
  <c r="O143" i="90"/>
  <c r="M143" i="90"/>
  <c r="J143" i="90"/>
  <c r="P142" i="90"/>
  <c r="O142" i="90"/>
  <c r="M142" i="90"/>
  <c r="J142" i="90"/>
  <c r="P141" i="90"/>
  <c r="O141" i="90"/>
  <c r="M141" i="90"/>
  <c r="J141" i="90"/>
  <c r="P140" i="90"/>
  <c r="O140" i="90"/>
  <c r="M140" i="90"/>
  <c r="J140" i="90"/>
  <c r="P139" i="90"/>
  <c r="O139" i="90"/>
  <c r="M139" i="90"/>
  <c r="J139" i="90"/>
  <c r="P138" i="90"/>
  <c r="O138" i="90"/>
  <c r="M138" i="90"/>
  <c r="J138" i="90"/>
  <c r="P137" i="90"/>
  <c r="O137" i="90"/>
  <c r="M137" i="90"/>
  <c r="J137" i="90"/>
  <c r="P136" i="90"/>
  <c r="O136" i="90"/>
  <c r="M136" i="90"/>
  <c r="J136" i="90"/>
  <c r="P135" i="90"/>
  <c r="O135" i="90"/>
  <c r="M135" i="90"/>
  <c r="J135" i="90"/>
  <c r="P134" i="90"/>
  <c r="O134" i="90"/>
  <c r="M134" i="90"/>
  <c r="J134" i="90"/>
  <c r="P133" i="90"/>
  <c r="O133" i="90"/>
  <c r="M133" i="90"/>
  <c r="J133" i="90"/>
  <c r="P132" i="90"/>
  <c r="O132" i="90"/>
  <c r="M132" i="90"/>
  <c r="J132" i="90"/>
  <c r="P131" i="90"/>
  <c r="O131" i="90"/>
  <c r="M131" i="90"/>
  <c r="J131" i="90"/>
  <c r="O130" i="90"/>
  <c r="M130" i="90"/>
  <c r="O129" i="90"/>
  <c r="M129" i="90"/>
  <c r="O128" i="90"/>
  <c r="M128" i="90"/>
  <c r="O127" i="90"/>
  <c r="M127" i="90"/>
  <c r="O126" i="90"/>
  <c r="M126" i="90"/>
  <c r="O125" i="90"/>
  <c r="M125" i="90"/>
  <c r="O124" i="90"/>
  <c r="M124" i="90"/>
  <c r="O123" i="90"/>
  <c r="M123" i="90"/>
  <c r="O122" i="90"/>
  <c r="M122" i="90"/>
  <c r="O121" i="90"/>
  <c r="M121" i="90"/>
  <c r="O120" i="90"/>
  <c r="M120" i="90"/>
  <c r="O119" i="90"/>
  <c r="M119" i="90"/>
  <c r="O118" i="90"/>
  <c r="M118" i="90"/>
  <c r="O117" i="90"/>
  <c r="M117" i="90"/>
  <c r="O116" i="90"/>
  <c r="M116" i="90"/>
  <c r="O115" i="90"/>
  <c r="M115" i="90"/>
  <c r="O114" i="90"/>
  <c r="M114" i="90"/>
  <c r="O113" i="90"/>
  <c r="M113" i="90"/>
  <c r="O112" i="90"/>
  <c r="M112" i="90"/>
  <c r="O111" i="90"/>
  <c r="M111" i="90"/>
  <c r="O110" i="90"/>
  <c r="M110" i="90"/>
  <c r="O109" i="90"/>
  <c r="M109" i="90"/>
  <c r="O108" i="90"/>
  <c r="M108" i="90"/>
  <c r="O107" i="90"/>
  <c r="M107" i="90"/>
  <c r="O106" i="90"/>
  <c r="M106" i="90"/>
  <c r="O105" i="90"/>
  <c r="M105" i="90"/>
  <c r="O104" i="90"/>
  <c r="M104" i="90"/>
  <c r="O103" i="90"/>
  <c r="M103" i="90"/>
  <c r="O102" i="90"/>
  <c r="O101" i="90"/>
  <c r="O100" i="90"/>
  <c r="M99" i="90"/>
  <c r="D96" i="90"/>
  <c r="L93" i="90"/>
  <c r="J93" i="90"/>
  <c r="D91" i="90"/>
  <c r="D89" i="90"/>
  <c r="N72" i="90"/>
  <c r="L72" i="90"/>
  <c r="N71" i="90"/>
  <c r="L71" i="90"/>
  <c r="N70" i="90"/>
  <c r="L70" i="90"/>
  <c r="N69" i="90"/>
  <c r="L69" i="90"/>
  <c r="N68" i="90"/>
  <c r="L68" i="90"/>
  <c r="N67" i="90"/>
  <c r="L67" i="90"/>
  <c r="N66" i="90"/>
  <c r="L66" i="90"/>
  <c r="N65" i="90"/>
  <c r="L65" i="90"/>
  <c r="N64" i="90"/>
  <c r="L64" i="90"/>
  <c r="N63" i="90"/>
  <c r="L63" i="90"/>
  <c r="N62" i="90"/>
  <c r="L62" i="90"/>
  <c r="N61" i="90"/>
  <c r="L61" i="90"/>
  <c r="N60" i="90"/>
  <c r="L60" i="90"/>
  <c r="N59" i="90"/>
  <c r="L59" i="90"/>
  <c r="N58" i="90"/>
  <c r="L58" i="90"/>
  <c r="N57" i="90"/>
  <c r="L57" i="90"/>
  <c r="N56" i="90"/>
  <c r="L56" i="90"/>
  <c r="N55" i="90"/>
  <c r="L55" i="90"/>
  <c r="N54" i="90"/>
  <c r="L54" i="90"/>
  <c r="N53" i="90"/>
  <c r="L53" i="90"/>
  <c r="N52" i="90"/>
  <c r="L52" i="90"/>
  <c r="N51" i="90"/>
  <c r="L51" i="90"/>
  <c r="N50" i="90"/>
  <c r="L50" i="90"/>
  <c r="N49" i="90"/>
  <c r="L49" i="90"/>
  <c r="N48" i="90"/>
  <c r="L48" i="90"/>
  <c r="N47" i="90"/>
  <c r="L47" i="90"/>
  <c r="N46" i="90"/>
  <c r="L46" i="90"/>
  <c r="N45" i="90"/>
  <c r="L45" i="90"/>
  <c r="N44" i="90"/>
  <c r="L44" i="90"/>
  <c r="N43" i="90"/>
  <c r="L43" i="90"/>
  <c r="N42" i="90"/>
  <c r="L42" i="90"/>
  <c r="N41" i="90"/>
  <c r="L41" i="90"/>
  <c r="N40" i="90"/>
  <c r="L40" i="90"/>
  <c r="N39" i="90"/>
  <c r="L39" i="90"/>
  <c r="N38" i="90"/>
  <c r="L38" i="90"/>
  <c r="N37" i="90"/>
  <c r="L37" i="90"/>
  <c r="N36" i="90"/>
  <c r="L36" i="90"/>
  <c r="N35" i="90"/>
  <c r="L35" i="90"/>
  <c r="N34" i="90"/>
  <c r="L34" i="90"/>
  <c r="N33" i="90"/>
  <c r="L33" i="90"/>
  <c r="N32" i="90"/>
  <c r="L32" i="90"/>
  <c r="N31" i="90"/>
  <c r="L31" i="90"/>
  <c r="N30" i="90"/>
  <c r="L30" i="90"/>
  <c r="N29" i="90"/>
  <c r="L29" i="90"/>
  <c r="N28" i="90"/>
  <c r="L28" i="90"/>
  <c r="N27" i="90"/>
  <c r="L27" i="90"/>
  <c r="N26" i="90"/>
  <c r="L26" i="90"/>
  <c r="N25" i="90"/>
  <c r="L25" i="90"/>
  <c r="N24" i="90"/>
  <c r="L24" i="90"/>
  <c r="N23" i="90"/>
  <c r="L23" i="90"/>
  <c r="N22" i="90"/>
  <c r="N21" i="90"/>
  <c r="N20" i="90"/>
  <c r="N19" i="90"/>
  <c r="N18" i="90"/>
  <c r="L18" i="90"/>
  <c r="N17" i="90"/>
  <c r="C18" i="90"/>
  <c r="C19" i="90" s="1"/>
  <c r="C20" i="90" s="1"/>
  <c r="C21" i="90" s="1"/>
  <c r="C22" i="90" s="1"/>
  <c r="C23" i="90" s="1"/>
  <c r="C24" i="90" s="1"/>
  <c r="C25" i="90" s="1"/>
  <c r="C26" i="90" s="1"/>
  <c r="C27" i="90" s="1"/>
  <c r="C28" i="90" s="1"/>
  <c r="C29" i="90" s="1"/>
  <c r="C30" i="90" s="1"/>
  <c r="C31" i="90" s="1"/>
  <c r="C32" i="90" s="1"/>
  <c r="C33" i="90" s="1"/>
  <c r="C34" i="90" s="1"/>
  <c r="C35" i="90" s="1"/>
  <c r="C36" i="90" s="1"/>
  <c r="C37" i="90" s="1"/>
  <c r="C38" i="90" s="1"/>
  <c r="C39" i="90" s="1"/>
  <c r="C40" i="90" s="1"/>
  <c r="C41" i="90" s="1"/>
  <c r="C42" i="90" s="1"/>
  <c r="C43" i="90" s="1"/>
  <c r="C44" i="90" s="1"/>
  <c r="C45" i="90" s="1"/>
  <c r="C46" i="90" s="1"/>
  <c r="C47" i="90" s="1"/>
  <c r="C48" i="90" s="1"/>
  <c r="C49" i="90" s="1"/>
  <c r="C50" i="90" s="1"/>
  <c r="C51" i="90" s="1"/>
  <c r="C52" i="90" s="1"/>
  <c r="C53" i="90" s="1"/>
  <c r="C54" i="90" s="1"/>
  <c r="C55" i="90" s="1"/>
  <c r="C56" i="90" s="1"/>
  <c r="C57" i="90" s="1"/>
  <c r="C58" i="90" s="1"/>
  <c r="C59" i="90" s="1"/>
  <c r="C60" i="90" s="1"/>
  <c r="C61" i="90" s="1"/>
  <c r="C62" i="90" s="1"/>
  <c r="C63" i="90" s="1"/>
  <c r="C64" i="90" s="1"/>
  <c r="C65" i="90" s="1"/>
  <c r="C66" i="90" s="1"/>
  <c r="C67" i="90" s="1"/>
  <c r="C68" i="90" s="1"/>
  <c r="C69" i="90" s="1"/>
  <c r="C70" i="90" s="1"/>
  <c r="C71" i="90" s="1"/>
  <c r="C72" i="90" s="1"/>
  <c r="K11" i="90"/>
  <c r="I11" i="90"/>
  <c r="D8" i="90"/>
  <c r="D90" i="90" s="1"/>
  <c r="P154" i="89"/>
  <c r="O154" i="89"/>
  <c r="M154" i="89"/>
  <c r="J154" i="89"/>
  <c r="P153" i="89"/>
  <c r="O153" i="89"/>
  <c r="M153" i="89"/>
  <c r="J153" i="89"/>
  <c r="P152" i="89"/>
  <c r="O152" i="89"/>
  <c r="M152" i="89"/>
  <c r="J152" i="89"/>
  <c r="P151" i="89"/>
  <c r="O151" i="89"/>
  <c r="M151" i="89"/>
  <c r="J151" i="89"/>
  <c r="P150" i="89"/>
  <c r="O150" i="89"/>
  <c r="M150" i="89"/>
  <c r="J150" i="89"/>
  <c r="P149" i="89"/>
  <c r="O149" i="89"/>
  <c r="M149" i="89"/>
  <c r="J149" i="89"/>
  <c r="P148" i="89"/>
  <c r="O148" i="89"/>
  <c r="M148" i="89"/>
  <c r="J148" i="89"/>
  <c r="P147" i="89"/>
  <c r="O147" i="89"/>
  <c r="M147" i="89"/>
  <c r="J147" i="89"/>
  <c r="P146" i="89"/>
  <c r="O146" i="89"/>
  <c r="M146" i="89"/>
  <c r="J146" i="89"/>
  <c r="P145" i="89"/>
  <c r="O145" i="89"/>
  <c r="M145" i="89"/>
  <c r="J145" i="89"/>
  <c r="P144" i="89"/>
  <c r="O144" i="89"/>
  <c r="M144" i="89"/>
  <c r="J144" i="89"/>
  <c r="P143" i="89"/>
  <c r="O143" i="89"/>
  <c r="M143" i="89"/>
  <c r="J143" i="89"/>
  <c r="P142" i="89"/>
  <c r="O142" i="89"/>
  <c r="M142" i="89"/>
  <c r="J142" i="89"/>
  <c r="P141" i="89"/>
  <c r="O141" i="89"/>
  <c r="M141" i="89"/>
  <c r="J141" i="89"/>
  <c r="P140" i="89"/>
  <c r="O140" i="89"/>
  <c r="M140" i="89"/>
  <c r="J140" i="89"/>
  <c r="P139" i="89"/>
  <c r="O139" i="89"/>
  <c r="M139" i="89"/>
  <c r="J139" i="89"/>
  <c r="P138" i="89"/>
  <c r="O138" i="89"/>
  <c r="M138" i="89"/>
  <c r="J138" i="89"/>
  <c r="P137" i="89"/>
  <c r="O137" i="89"/>
  <c r="M137" i="89"/>
  <c r="J137" i="89"/>
  <c r="P136" i="89"/>
  <c r="O136" i="89"/>
  <c r="M136" i="89"/>
  <c r="J136" i="89"/>
  <c r="P135" i="89"/>
  <c r="O135" i="89"/>
  <c r="M135" i="89"/>
  <c r="J135" i="89"/>
  <c r="P134" i="89"/>
  <c r="O134" i="89"/>
  <c r="M134" i="89"/>
  <c r="J134" i="89"/>
  <c r="P133" i="89"/>
  <c r="O133" i="89"/>
  <c r="M133" i="89"/>
  <c r="J133" i="89"/>
  <c r="P132" i="89"/>
  <c r="O132" i="89"/>
  <c r="M132" i="89"/>
  <c r="J132" i="89"/>
  <c r="P131" i="89"/>
  <c r="O131" i="89"/>
  <c r="M131" i="89"/>
  <c r="J131" i="89"/>
  <c r="O130" i="89"/>
  <c r="M130" i="89"/>
  <c r="O129" i="89"/>
  <c r="M129" i="89"/>
  <c r="O128" i="89"/>
  <c r="M128" i="89"/>
  <c r="O127" i="89"/>
  <c r="M127" i="89"/>
  <c r="O126" i="89"/>
  <c r="M126" i="89"/>
  <c r="O125" i="89"/>
  <c r="M125" i="89"/>
  <c r="O124" i="89"/>
  <c r="M124" i="89"/>
  <c r="O123" i="89"/>
  <c r="M123" i="89"/>
  <c r="O122" i="89"/>
  <c r="M122" i="89"/>
  <c r="O121" i="89"/>
  <c r="M121" i="89"/>
  <c r="O120" i="89"/>
  <c r="M120" i="89"/>
  <c r="O119" i="89"/>
  <c r="M119" i="89"/>
  <c r="O118" i="89"/>
  <c r="M118" i="89"/>
  <c r="O117" i="89"/>
  <c r="M117" i="89"/>
  <c r="O116" i="89"/>
  <c r="M116" i="89"/>
  <c r="O115" i="89"/>
  <c r="M115" i="89"/>
  <c r="O114" i="89"/>
  <c r="M114" i="89"/>
  <c r="O113" i="89"/>
  <c r="M113" i="89"/>
  <c r="O112" i="89"/>
  <c r="M112" i="89"/>
  <c r="O111" i="89"/>
  <c r="M111" i="89"/>
  <c r="O110" i="89"/>
  <c r="M110" i="89"/>
  <c r="O109" i="89"/>
  <c r="M109" i="89"/>
  <c r="O108" i="89"/>
  <c r="M108" i="89"/>
  <c r="O107" i="89"/>
  <c r="M107" i="89"/>
  <c r="O106" i="89"/>
  <c r="M106" i="89"/>
  <c r="O105" i="89"/>
  <c r="M105" i="89"/>
  <c r="O104" i="89"/>
  <c r="M104" i="89"/>
  <c r="O103" i="89"/>
  <c r="M103" i="89"/>
  <c r="O102" i="89"/>
  <c r="O101" i="89"/>
  <c r="O100" i="89"/>
  <c r="O99" i="89"/>
  <c r="M99" i="89"/>
  <c r="D96" i="89"/>
  <c r="L93" i="89"/>
  <c r="J93" i="89"/>
  <c r="D91" i="89"/>
  <c r="D89" i="89"/>
  <c r="N72" i="89"/>
  <c r="L72" i="89"/>
  <c r="N71" i="89"/>
  <c r="L71" i="89"/>
  <c r="N70" i="89"/>
  <c r="L70" i="89"/>
  <c r="N69" i="89"/>
  <c r="L69" i="89"/>
  <c r="N68" i="89"/>
  <c r="L68" i="89"/>
  <c r="N67" i="89"/>
  <c r="L67" i="89"/>
  <c r="O67" i="89" s="1"/>
  <c r="N66" i="89"/>
  <c r="L66" i="89"/>
  <c r="N65" i="89"/>
  <c r="L65" i="89"/>
  <c r="N64" i="89"/>
  <c r="L64" i="89"/>
  <c r="N63" i="89"/>
  <c r="L63" i="89"/>
  <c r="N62" i="89"/>
  <c r="L62" i="89"/>
  <c r="N61" i="89"/>
  <c r="L61" i="89"/>
  <c r="N60" i="89"/>
  <c r="L60" i="89"/>
  <c r="N59" i="89"/>
  <c r="L59" i="89"/>
  <c r="N58" i="89"/>
  <c r="L58" i="89"/>
  <c r="N57" i="89"/>
  <c r="L57" i="89"/>
  <c r="N56" i="89"/>
  <c r="L56" i="89"/>
  <c r="N55" i="89"/>
  <c r="L55" i="89"/>
  <c r="N54" i="89"/>
  <c r="L54" i="89"/>
  <c r="N53" i="89"/>
  <c r="L53" i="89"/>
  <c r="N52" i="89"/>
  <c r="L52" i="89"/>
  <c r="N51" i="89"/>
  <c r="L51" i="89"/>
  <c r="N50" i="89"/>
  <c r="L50" i="89"/>
  <c r="N49" i="89"/>
  <c r="L49" i="89"/>
  <c r="N48" i="89"/>
  <c r="L48" i="89"/>
  <c r="N47" i="89"/>
  <c r="L47" i="89"/>
  <c r="N46" i="89"/>
  <c r="L46" i="89"/>
  <c r="N45" i="89"/>
  <c r="L45" i="89"/>
  <c r="N44" i="89"/>
  <c r="L44" i="89"/>
  <c r="N43" i="89"/>
  <c r="L43" i="89"/>
  <c r="N42" i="89"/>
  <c r="L42" i="89"/>
  <c r="N41" i="89"/>
  <c r="L41" i="89"/>
  <c r="N40" i="89"/>
  <c r="L40" i="89"/>
  <c r="N39" i="89"/>
  <c r="L39" i="89"/>
  <c r="N38" i="89"/>
  <c r="L38" i="89"/>
  <c r="N37" i="89"/>
  <c r="L37" i="89"/>
  <c r="N36" i="89"/>
  <c r="L36" i="89"/>
  <c r="N35" i="89"/>
  <c r="L35" i="89"/>
  <c r="N34" i="89"/>
  <c r="L34" i="89"/>
  <c r="N33" i="89"/>
  <c r="L33" i="89"/>
  <c r="N32" i="89"/>
  <c r="L32" i="89"/>
  <c r="N31" i="89"/>
  <c r="L31" i="89"/>
  <c r="N30" i="89"/>
  <c r="L30" i="89"/>
  <c r="N29" i="89"/>
  <c r="L29" i="89"/>
  <c r="N28" i="89"/>
  <c r="L28" i="89"/>
  <c r="N27" i="89"/>
  <c r="L27" i="89"/>
  <c r="N26" i="89"/>
  <c r="L26" i="89"/>
  <c r="N25" i="89"/>
  <c r="L25" i="89"/>
  <c r="N24" i="89"/>
  <c r="L24" i="89"/>
  <c r="N23" i="89"/>
  <c r="L23" i="89"/>
  <c r="N22" i="89"/>
  <c r="N21" i="89"/>
  <c r="N20" i="89"/>
  <c r="N19" i="89"/>
  <c r="O19" i="89" s="1"/>
  <c r="N18" i="89"/>
  <c r="L17" i="89"/>
  <c r="C19" i="89"/>
  <c r="C20" i="89" s="1"/>
  <c r="C21" i="89" s="1"/>
  <c r="C22" i="89" s="1"/>
  <c r="C23" i="89" s="1"/>
  <c r="C24" i="89" s="1"/>
  <c r="C25" i="89" s="1"/>
  <c r="C26" i="89" s="1"/>
  <c r="C27" i="89" s="1"/>
  <c r="C28" i="89" s="1"/>
  <c r="C29" i="89" s="1"/>
  <c r="C30" i="89" s="1"/>
  <c r="C31" i="89" s="1"/>
  <c r="C32" i="89" s="1"/>
  <c r="C33" i="89" s="1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C45" i="89" s="1"/>
  <c r="C46" i="89" s="1"/>
  <c r="C47" i="89" s="1"/>
  <c r="C48" i="89" s="1"/>
  <c r="C49" i="89" s="1"/>
  <c r="C50" i="89" s="1"/>
  <c r="C51" i="89" s="1"/>
  <c r="C52" i="89" s="1"/>
  <c r="C53" i="89" s="1"/>
  <c r="C54" i="89" s="1"/>
  <c r="C55" i="89" s="1"/>
  <c r="C56" i="89" s="1"/>
  <c r="C57" i="89" s="1"/>
  <c r="C58" i="89" s="1"/>
  <c r="C59" i="89" s="1"/>
  <c r="C60" i="89" s="1"/>
  <c r="C61" i="89" s="1"/>
  <c r="C62" i="89" s="1"/>
  <c r="C63" i="89" s="1"/>
  <c r="C64" i="89" s="1"/>
  <c r="C65" i="89" s="1"/>
  <c r="C66" i="89" s="1"/>
  <c r="C67" i="89" s="1"/>
  <c r="C68" i="89" s="1"/>
  <c r="C69" i="89" s="1"/>
  <c r="C70" i="89" s="1"/>
  <c r="C71" i="89" s="1"/>
  <c r="C72" i="89" s="1"/>
  <c r="K11" i="89"/>
  <c r="I11" i="89"/>
  <c r="D8" i="89"/>
  <c r="D90" i="89" s="1"/>
  <c r="P154" i="88"/>
  <c r="O154" i="88"/>
  <c r="M154" i="88"/>
  <c r="J154" i="88"/>
  <c r="P153" i="88"/>
  <c r="O153" i="88"/>
  <c r="M153" i="88"/>
  <c r="J153" i="88"/>
  <c r="P152" i="88"/>
  <c r="O152" i="88"/>
  <c r="M152" i="88"/>
  <c r="J152" i="88"/>
  <c r="P151" i="88"/>
  <c r="O151" i="88"/>
  <c r="M151" i="88"/>
  <c r="J151" i="88"/>
  <c r="P150" i="88"/>
  <c r="O150" i="88"/>
  <c r="M150" i="88"/>
  <c r="J150" i="88"/>
  <c r="P149" i="88"/>
  <c r="O149" i="88"/>
  <c r="M149" i="88"/>
  <c r="J149" i="88"/>
  <c r="P148" i="88"/>
  <c r="O148" i="88"/>
  <c r="M148" i="88"/>
  <c r="J148" i="88"/>
  <c r="P147" i="88"/>
  <c r="O147" i="88"/>
  <c r="M147" i="88"/>
  <c r="J147" i="88"/>
  <c r="P146" i="88"/>
  <c r="O146" i="88"/>
  <c r="M146" i="88"/>
  <c r="J146" i="88"/>
  <c r="P145" i="88"/>
  <c r="O145" i="88"/>
  <c r="M145" i="88"/>
  <c r="J145" i="88"/>
  <c r="P144" i="88"/>
  <c r="O144" i="88"/>
  <c r="M144" i="88"/>
  <c r="J144" i="88"/>
  <c r="P143" i="88"/>
  <c r="O143" i="88"/>
  <c r="M143" i="88"/>
  <c r="J143" i="88"/>
  <c r="P142" i="88"/>
  <c r="O142" i="88"/>
  <c r="M142" i="88"/>
  <c r="J142" i="88"/>
  <c r="P141" i="88"/>
  <c r="O141" i="88"/>
  <c r="M141" i="88"/>
  <c r="J141" i="88"/>
  <c r="P140" i="88"/>
  <c r="O140" i="88"/>
  <c r="M140" i="88"/>
  <c r="J140" i="88"/>
  <c r="P139" i="88"/>
  <c r="O139" i="88"/>
  <c r="M139" i="88"/>
  <c r="J139" i="88"/>
  <c r="P138" i="88"/>
  <c r="O138" i="88"/>
  <c r="M138" i="88"/>
  <c r="J138" i="88"/>
  <c r="P137" i="88"/>
  <c r="O137" i="88"/>
  <c r="M137" i="88"/>
  <c r="J137" i="88"/>
  <c r="P136" i="88"/>
  <c r="O136" i="88"/>
  <c r="M136" i="88"/>
  <c r="J136" i="88"/>
  <c r="P135" i="88"/>
  <c r="O135" i="88"/>
  <c r="M135" i="88"/>
  <c r="J135" i="88"/>
  <c r="P134" i="88"/>
  <c r="O134" i="88"/>
  <c r="M134" i="88"/>
  <c r="J134" i="88"/>
  <c r="P133" i="88"/>
  <c r="O133" i="88"/>
  <c r="M133" i="88"/>
  <c r="J133" i="88"/>
  <c r="P132" i="88"/>
  <c r="O132" i="88"/>
  <c r="M132" i="88"/>
  <c r="J132" i="88"/>
  <c r="P131" i="88"/>
  <c r="O131" i="88"/>
  <c r="M131" i="88"/>
  <c r="J131" i="88"/>
  <c r="O130" i="88"/>
  <c r="M130" i="88"/>
  <c r="O129" i="88"/>
  <c r="M129" i="88"/>
  <c r="O128" i="88"/>
  <c r="M128" i="88"/>
  <c r="O127" i="88"/>
  <c r="M127" i="88"/>
  <c r="O126" i="88"/>
  <c r="M126" i="88"/>
  <c r="O125" i="88"/>
  <c r="M125" i="88"/>
  <c r="O124" i="88"/>
  <c r="M124" i="88"/>
  <c r="O123" i="88"/>
  <c r="M123" i="88"/>
  <c r="O122" i="88"/>
  <c r="M122" i="88"/>
  <c r="O121" i="88"/>
  <c r="M121" i="88"/>
  <c r="O120" i="88"/>
  <c r="M120" i="88"/>
  <c r="O119" i="88"/>
  <c r="M119" i="88"/>
  <c r="O118" i="88"/>
  <c r="M118" i="88"/>
  <c r="O117" i="88"/>
  <c r="M117" i="88"/>
  <c r="O116" i="88"/>
  <c r="M116" i="88"/>
  <c r="O115" i="88"/>
  <c r="M115" i="88"/>
  <c r="O114" i="88"/>
  <c r="M114" i="88"/>
  <c r="O113" i="88"/>
  <c r="M113" i="88"/>
  <c r="O112" i="88"/>
  <c r="M112" i="88"/>
  <c r="O111" i="88"/>
  <c r="M111" i="88"/>
  <c r="O110" i="88"/>
  <c r="M110" i="88"/>
  <c r="O109" i="88"/>
  <c r="M109" i="88"/>
  <c r="O108" i="88"/>
  <c r="M108" i="88"/>
  <c r="O107" i="88"/>
  <c r="M107" i="88"/>
  <c r="O106" i="88"/>
  <c r="M106" i="88"/>
  <c r="O105" i="88"/>
  <c r="M105" i="88"/>
  <c r="O104" i="88"/>
  <c r="M104" i="88"/>
  <c r="O103" i="88"/>
  <c r="M103" i="88"/>
  <c r="O102" i="88"/>
  <c r="O101" i="88"/>
  <c r="O100" i="88"/>
  <c r="O99" i="88"/>
  <c r="M99" i="88"/>
  <c r="D96" i="88"/>
  <c r="L93" i="88"/>
  <c r="J93" i="88"/>
  <c r="D91" i="88"/>
  <c r="D89" i="88"/>
  <c r="N72" i="88"/>
  <c r="L72" i="88"/>
  <c r="N71" i="88"/>
  <c r="L71" i="88"/>
  <c r="N70" i="88"/>
  <c r="L70" i="88"/>
  <c r="N69" i="88"/>
  <c r="L69" i="88"/>
  <c r="N68" i="88"/>
  <c r="L68" i="88"/>
  <c r="N67" i="88"/>
  <c r="L67" i="88"/>
  <c r="N66" i="88"/>
  <c r="L66" i="88"/>
  <c r="N65" i="88"/>
  <c r="L65" i="88"/>
  <c r="N64" i="88"/>
  <c r="L64" i="88"/>
  <c r="N63" i="88"/>
  <c r="L63" i="88"/>
  <c r="N62" i="88"/>
  <c r="L62" i="88"/>
  <c r="N61" i="88"/>
  <c r="L61" i="88"/>
  <c r="N60" i="88"/>
  <c r="L60" i="88"/>
  <c r="N59" i="88"/>
  <c r="L59" i="88"/>
  <c r="N58" i="88"/>
  <c r="L58" i="88"/>
  <c r="N57" i="88"/>
  <c r="L57" i="88"/>
  <c r="N56" i="88"/>
  <c r="L56" i="88"/>
  <c r="N55" i="88"/>
  <c r="L55" i="88"/>
  <c r="N54" i="88"/>
  <c r="L54" i="88"/>
  <c r="N53" i="88"/>
  <c r="L53" i="88"/>
  <c r="N52" i="88"/>
  <c r="L52" i="88"/>
  <c r="N51" i="88"/>
  <c r="L51" i="88"/>
  <c r="N50" i="88"/>
  <c r="L50" i="88"/>
  <c r="N49" i="88"/>
  <c r="L49" i="88"/>
  <c r="N48" i="88"/>
  <c r="L48" i="88"/>
  <c r="N47" i="88"/>
  <c r="L47" i="88"/>
  <c r="N46" i="88"/>
  <c r="L46" i="88"/>
  <c r="N45" i="88"/>
  <c r="L45" i="88"/>
  <c r="N44" i="88"/>
  <c r="L44" i="88"/>
  <c r="N43" i="88"/>
  <c r="L43" i="88"/>
  <c r="N42" i="88"/>
  <c r="L42" i="88"/>
  <c r="N41" i="88"/>
  <c r="L41" i="88"/>
  <c r="N40" i="88"/>
  <c r="L40" i="88"/>
  <c r="N39" i="88"/>
  <c r="L39" i="88"/>
  <c r="N38" i="88"/>
  <c r="L38" i="88"/>
  <c r="N37" i="88"/>
  <c r="L37" i="88"/>
  <c r="N36" i="88"/>
  <c r="L36" i="88"/>
  <c r="N35" i="88"/>
  <c r="L35" i="88"/>
  <c r="N34" i="88"/>
  <c r="L34" i="88"/>
  <c r="N33" i="88"/>
  <c r="L33" i="88"/>
  <c r="N32" i="88"/>
  <c r="L32" i="88"/>
  <c r="N31" i="88"/>
  <c r="L31" i="88"/>
  <c r="N30" i="88"/>
  <c r="L30" i="88"/>
  <c r="N29" i="88"/>
  <c r="L29" i="88"/>
  <c r="N28" i="88"/>
  <c r="L28" i="88"/>
  <c r="N27" i="88"/>
  <c r="L27" i="88"/>
  <c r="N26" i="88"/>
  <c r="L26" i="88"/>
  <c r="N25" i="88"/>
  <c r="L25" i="88"/>
  <c r="N24" i="88"/>
  <c r="L24" i="88"/>
  <c r="N23" i="88"/>
  <c r="L23" i="88"/>
  <c r="N22" i="88"/>
  <c r="N21" i="88"/>
  <c r="N20" i="88"/>
  <c r="N19" i="88"/>
  <c r="L18" i="88"/>
  <c r="C18" i="88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 s="1"/>
  <c r="C33" i="88" s="1"/>
  <c r="C34" i="88" s="1"/>
  <c r="C35" i="88" s="1"/>
  <c r="C36" i="88" s="1"/>
  <c r="C37" i="88" s="1"/>
  <c r="C38" i="88" s="1"/>
  <c r="C39" i="88" s="1"/>
  <c r="C40" i="88" s="1"/>
  <c r="C41" i="88" s="1"/>
  <c r="C42" i="88" s="1"/>
  <c r="C43" i="88" s="1"/>
  <c r="C44" i="88" s="1"/>
  <c r="C45" i="88" s="1"/>
  <c r="C46" i="88" s="1"/>
  <c r="C47" i="88" s="1"/>
  <c r="C48" i="88" s="1"/>
  <c r="C49" i="88" s="1"/>
  <c r="C50" i="88" s="1"/>
  <c r="C51" i="88" s="1"/>
  <c r="C52" i="88" s="1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3" i="88" s="1"/>
  <c r="C64" i="88" s="1"/>
  <c r="C65" i="88" s="1"/>
  <c r="C66" i="88" s="1"/>
  <c r="C67" i="88" s="1"/>
  <c r="C68" i="88" s="1"/>
  <c r="C69" i="88" s="1"/>
  <c r="C70" i="88" s="1"/>
  <c r="C71" i="88" s="1"/>
  <c r="C72" i="88" s="1"/>
  <c r="K11" i="88"/>
  <c r="I11" i="88"/>
  <c r="D8" i="88"/>
  <c r="D90" i="88" s="1"/>
  <c r="P154" i="87"/>
  <c r="O154" i="87"/>
  <c r="M154" i="87"/>
  <c r="J154" i="87"/>
  <c r="P153" i="87"/>
  <c r="O153" i="87"/>
  <c r="M153" i="87"/>
  <c r="J153" i="87"/>
  <c r="P152" i="87"/>
  <c r="O152" i="87"/>
  <c r="M152" i="87"/>
  <c r="J152" i="87"/>
  <c r="P151" i="87"/>
  <c r="O151" i="87"/>
  <c r="M151" i="87"/>
  <c r="J151" i="87"/>
  <c r="P150" i="87"/>
  <c r="O150" i="87"/>
  <c r="M150" i="87"/>
  <c r="J150" i="87"/>
  <c r="P149" i="87"/>
  <c r="O149" i="87"/>
  <c r="M149" i="87"/>
  <c r="J149" i="87"/>
  <c r="P148" i="87"/>
  <c r="O148" i="87"/>
  <c r="M148" i="87"/>
  <c r="J148" i="87"/>
  <c r="P147" i="87"/>
  <c r="O147" i="87"/>
  <c r="M147" i="87"/>
  <c r="J147" i="87"/>
  <c r="P146" i="87"/>
  <c r="O146" i="87"/>
  <c r="M146" i="87"/>
  <c r="J146" i="87"/>
  <c r="P145" i="87"/>
  <c r="O145" i="87"/>
  <c r="M145" i="87"/>
  <c r="J145" i="87"/>
  <c r="P144" i="87"/>
  <c r="O144" i="87"/>
  <c r="M144" i="87"/>
  <c r="J144" i="87"/>
  <c r="P143" i="87"/>
  <c r="O143" i="87"/>
  <c r="M143" i="87"/>
  <c r="J143" i="87"/>
  <c r="P142" i="87"/>
  <c r="O142" i="87"/>
  <c r="M142" i="87"/>
  <c r="J142" i="87"/>
  <c r="P141" i="87"/>
  <c r="O141" i="87"/>
  <c r="M141" i="87"/>
  <c r="J141" i="87"/>
  <c r="P140" i="87"/>
  <c r="O140" i="87"/>
  <c r="M140" i="87"/>
  <c r="J140" i="87"/>
  <c r="P139" i="87"/>
  <c r="O139" i="87"/>
  <c r="M139" i="87"/>
  <c r="J139" i="87"/>
  <c r="P138" i="87"/>
  <c r="O138" i="87"/>
  <c r="M138" i="87"/>
  <c r="J138" i="87"/>
  <c r="P137" i="87"/>
  <c r="O137" i="87"/>
  <c r="M137" i="87"/>
  <c r="J137" i="87"/>
  <c r="P136" i="87"/>
  <c r="O136" i="87"/>
  <c r="M136" i="87"/>
  <c r="J136" i="87"/>
  <c r="P135" i="87"/>
  <c r="O135" i="87"/>
  <c r="M135" i="87"/>
  <c r="J135" i="87"/>
  <c r="P134" i="87"/>
  <c r="O134" i="87"/>
  <c r="M134" i="87"/>
  <c r="J134" i="87"/>
  <c r="P133" i="87"/>
  <c r="O133" i="87"/>
  <c r="M133" i="87"/>
  <c r="J133" i="87"/>
  <c r="P132" i="87"/>
  <c r="O132" i="87"/>
  <c r="M132" i="87"/>
  <c r="J132" i="87"/>
  <c r="P131" i="87"/>
  <c r="O131" i="87"/>
  <c r="M131" i="87"/>
  <c r="J131" i="87"/>
  <c r="O130" i="87"/>
  <c r="M130" i="87"/>
  <c r="O129" i="87"/>
  <c r="M129" i="87"/>
  <c r="O128" i="87"/>
  <c r="M128" i="87"/>
  <c r="O127" i="87"/>
  <c r="M127" i="87"/>
  <c r="O126" i="87"/>
  <c r="M126" i="87"/>
  <c r="O125" i="87"/>
  <c r="M125" i="87"/>
  <c r="O124" i="87"/>
  <c r="M124" i="87"/>
  <c r="O123" i="87"/>
  <c r="M123" i="87"/>
  <c r="O122" i="87"/>
  <c r="M122" i="87"/>
  <c r="O121" i="87"/>
  <c r="M121" i="87"/>
  <c r="O120" i="87"/>
  <c r="M120" i="87"/>
  <c r="O119" i="87"/>
  <c r="M119" i="87"/>
  <c r="O118" i="87"/>
  <c r="M118" i="87"/>
  <c r="O117" i="87"/>
  <c r="M117" i="87"/>
  <c r="O116" i="87"/>
  <c r="M116" i="87"/>
  <c r="O115" i="87"/>
  <c r="M115" i="87"/>
  <c r="O114" i="87"/>
  <c r="M114" i="87"/>
  <c r="O113" i="87"/>
  <c r="M113" i="87"/>
  <c r="O112" i="87"/>
  <c r="M112" i="87"/>
  <c r="O111" i="87"/>
  <c r="M111" i="87"/>
  <c r="O110" i="87"/>
  <c r="M110" i="87"/>
  <c r="O109" i="87"/>
  <c r="M109" i="87"/>
  <c r="O108" i="87"/>
  <c r="M108" i="87"/>
  <c r="O107" i="87"/>
  <c r="M107" i="87"/>
  <c r="O106" i="87"/>
  <c r="M106" i="87"/>
  <c r="O105" i="87"/>
  <c r="M105" i="87"/>
  <c r="O104" i="87"/>
  <c r="M104" i="87"/>
  <c r="O103" i="87"/>
  <c r="M103" i="87"/>
  <c r="O102" i="87"/>
  <c r="O101" i="87"/>
  <c r="O100" i="87"/>
  <c r="O99" i="87"/>
  <c r="P99" i="87" s="1"/>
  <c r="M99" i="87"/>
  <c r="D96" i="87"/>
  <c r="L93" i="87"/>
  <c r="J93" i="87"/>
  <c r="D91" i="87"/>
  <c r="D89" i="87"/>
  <c r="N72" i="87"/>
  <c r="L72" i="87"/>
  <c r="N71" i="87"/>
  <c r="L71" i="87"/>
  <c r="N70" i="87"/>
  <c r="L70" i="87"/>
  <c r="N69" i="87"/>
  <c r="L69" i="87"/>
  <c r="N68" i="87"/>
  <c r="L68" i="87"/>
  <c r="N67" i="87"/>
  <c r="L67" i="87"/>
  <c r="N66" i="87"/>
  <c r="L66" i="87"/>
  <c r="N65" i="87"/>
  <c r="L65" i="87"/>
  <c r="N64" i="87"/>
  <c r="L64" i="87"/>
  <c r="N63" i="87"/>
  <c r="L63" i="87"/>
  <c r="N62" i="87"/>
  <c r="L62" i="87"/>
  <c r="N61" i="87"/>
  <c r="L61" i="87"/>
  <c r="N60" i="87"/>
  <c r="L60" i="87"/>
  <c r="N59" i="87"/>
  <c r="L59" i="87"/>
  <c r="N58" i="87"/>
  <c r="L58" i="87"/>
  <c r="N57" i="87"/>
  <c r="L57" i="87"/>
  <c r="N56" i="87"/>
  <c r="L56" i="87"/>
  <c r="N55" i="87"/>
  <c r="L55" i="87"/>
  <c r="N54" i="87"/>
  <c r="L54" i="87"/>
  <c r="N53" i="87"/>
  <c r="L53" i="87"/>
  <c r="N52" i="87"/>
  <c r="L52" i="87"/>
  <c r="N51" i="87"/>
  <c r="L51" i="87"/>
  <c r="N50" i="87"/>
  <c r="L50" i="87"/>
  <c r="N49" i="87"/>
  <c r="L49" i="87"/>
  <c r="N48" i="87"/>
  <c r="L48" i="87"/>
  <c r="N47" i="87"/>
  <c r="L47" i="87"/>
  <c r="N46" i="87"/>
  <c r="L46" i="87"/>
  <c r="N45" i="87"/>
  <c r="L45" i="87"/>
  <c r="N44" i="87"/>
  <c r="L44" i="87"/>
  <c r="N43" i="87"/>
  <c r="L43" i="87"/>
  <c r="N42" i="87"/>
  <c r="L42" i="87"/>
  <c r="N41" i="87"/>
  <c r="L41" i="87"/>
  <c r="N40" i="87"/>
  <c r="L40" i="87"/>
  <c r="N39" i="87"/>
  <c r="L39" i="87"/>
  <c r="N38" i="87"/>
  <c r="L38" i="87"/>
  <c r="N37" i="87"/>
  <c r="L37" i="87"/>
  <c r="N36" i="87"/>
  <c r="L36" i="87"/>
  <c r="N35" i="87"/>
  <c r="L35" i="87"/>
  <c r="N34" i="87"/>
  <c r="L34" i="87"/>
  <c r="N33" i="87"/>
  <c r="L33" i="87"/>
  <c r="N32" i="87"/>
  <c r="L32" i="87"/>
  <c r="N31" i="87"/>
  <c r="L31" i="87"/>
  <c r="N30" i="87"/>
  <c r="L30" i="87"/>
  <c r="N29" i="87"/>
  <c r="L29" i="87"/>
  <c r="N28" i="87"/>
  <c r="L28" i="87"/>
  <c r="N27" i="87"/>
  <c r="L27" i="87"/>
  <c r="N26" i="87"/>
  <c r="L26" i="87"/>
  <c r="N25" i="87"/>
  <c r="L25" i="87"/>
  <c r="N24" i="87"/>
  <c r="L24" i="87"/>
  <c r="N23" i="87"/>
  <c r="L23" i="87"/>
  <c r="N22" i="87"/>
  <c r="N21" i="87"/>
  <c r="N20" i="87"/>
  <c r="N19" i="87"/>
  <c r="L18" i="87"/>
  <c r="N17" i="87"/>
  <c r="C19" i="87"/>
  <c r="C20" i="87" s="1"/>
  <c r="C21" i="87" s="1"/>
  <c r="C22" i="87" s="1"/>
  <c r="C23" i="87" s="1"/>
  <c r="C24" i="87" s="1"/>
  <c r="C25" i="87" s="1"/>
  <c r="C26" i="87" s="1"/>
  <c r="C27" i="87" s="1"/>
  <c r="C28" i="87" s="1"/>
  <c r="C29" i="87" s="1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C58" i="87" s="1"/>
  <c r="C59" i="87" s="1"/>
  <c r="C60" i="87" s="1"/>
  <c r="C61" i="87" s="1"/>
  <c r="C62" i="87" s="1"/>
  <c r="C63" i="87" s="1"/>
  <c r="C64" i="87" s="1"/>
  <c r="C65" i="87" s="1"/>
  <c r="C66" i="87" s="1"/>
  <c r="C67" i="87" s="1"/>
  <c r="C68" i="87" s="1"/>
  <c r="C69" i="87" s="1"/>
  <c r="C70" i="87" s="1"/>
  <c r="C71" i="87" s="1"/>
  <c r="C72" i="87" s="1"/>
  <c r="K11" i="87"/>
  <c r="I11" i="87"/>
  <c r="D8" i="87"/>
  <c r="D90" i="87" s="1"/>
  <c r="P154" i="86"/>
  <c r="O154" i="86"/>
  <c r="M154" i="86"/>
  <c r="J154" i="86"/>
  <c r="P153" i="86"/>
  <c r="O153" i="86"/>
  <c r="M153" i="86"/>
  <c r="J153" i="86"/>
  <c r="P152" i="86"/>
  <c r="O152" i="86"/>
  <c r="M152" i="86"/>
  <c r="J152" i="86"/>
  <c r="P151" i="86"/>
  <c r="O151" i="86"/>
  <c r="M151" i="86"/>
  <c r="J151" i="86"/>
  <c r="P150" i="86"/>
  <c r="O150" i="86"/>
  <c r="M150" i="86"/>
  <c r="J150" i="86"/>
  <c r="P149" i="86"/>
  <c r="O149" i="86"/>
  <c r="M149" i="86"/>
  <c r="J149" i="86"/>
  <c r="P148" i="86"/>
  <c r="O148" i="86"/>
  <c r="M148" i="86"/>
  <c r="J148" i="86"/>
  <c r="P147" i="86"/>
  <c r="O147" i="86"/>
  <c r="M147" i="86"/>
  <c r="J147" i="86"/>
  <c r="P146" i="86"/>
  <c r="O146" i="86"/>
  <c r="M146" i="86"/>
  <c r="J146" i="86"/>
  <c r="P145" i="86"/>
  <c r="O145" i="86"/>
  <c r="M145" i="86"/>
  <c r="J145" i="86"/>
  <c r="P144" i="86"/>
  <c r="O144" i="86"/>
  <c r="M144" i="86"/>
  <c r="J144" i="86"/>
  <c r="P143" i="86"/>
  <c r="O143" i="86"/>
  <c r="M143" i="86"/>
  <c r="J143" i="86"/>
  <c r="P142" i="86"/>
  <c r="O142" i="86"/>
  <c r="M142" i="86"/>
  <c r="J142" i="86"/>
  <c r="P141" i="86"/>
  <c r="O141" i="86"/>
  <c r="M141" i="86"/>
  <c r="J141" i="86"/>
  <c r="P140" i="86"/>
  <c r="O140" i="86"/>
  <c r="M140" i="86"/>
  <c r="J140" i="86"/>
  <c r="P139" i="86"/>
  <c r="O139" i="86"/>
  <c r="M139" i="86"/>
  <c r="J139" i="86"/>
  <c r="P138" i="86"/>
  <c r="O138" i="86"/>
  <c r="M138" i="86"/>
  <c r="J138" i="86"/>
  <c r="P137" i="86"/>
  <c r="O137" i="86"/>
  <c r="M137" i="86"/>
  <c r="J137" i="86"/>
  <c r="P136" i="86"/>
  <c r="O136" i="86"/>
  <c r="M136" i="86"/>
  <c r="J136" i="86"/>
  <c r="P135" i="86"/>
  <c r="O135" i="86"/>
  <c r="M135" i="86"/>
  <c r="J135" i="86"/>
  <c r="P134" i="86"/>
  <c r="O134" i="86"/>
  <c r="M134" i="86"/>
  <c r="J134" i="86"/>
  <c r="P133" i="86"/>
  <c r="O133" i="86"/>
  <c r="M133" i="86"/>
  <c r="J133" i="86"/>
  <c r="P132" i="86"/>
  <c r="O132" i="86"/>
  <c r="M132" i="86"/>
  <c r="J132" i="86"/>
  <c r="P131" i="86"/>
  <c r="O131" i="86"/>
  <c r="M131" i="86"/>
  <c r="J131" i="86"/>
  <c r="O130" i="86"/>
  <c r="M130" i="86"/>
  <c r="O129" i="86"/>
  <c r="M129" i="86"/>
  <c r="O128" i="86"/>
  <c r="M128" i="86"/>
  <c r="O127" i="86"/>
  <c r="M127" i="86"/>
  <c r="O126" i="86"/>
  <c r="M126" i="86"/>
  <c r="O125" i="86"/>
  <c r="M125" i="86"/>
  <c r="O124" i="86"/>
  <c r="M124" i="86"/>
  <c r="O123" i="86"/>
  <c r="M123" i="86"/>
  <c r="O122" i="86"/>
  <c r="M122" i="86"/>
  <c r="O121" i="86"/>
  <c r="M121" i="86"/>
  <c r="O120" i="86"/>
  <c r="M120" i="86"/>
  <c r="O119" i="86"/>
  <c r="M119" i="86"/>
  <c r="O118" i="86"/>
  <c r="M118" i="86"/>
  <c r="O117" i="86"/>
  <c r="M117" i="86"/>
  <c r="O116" i="86"/>
  <c r="M116" i="86"/>
  <c r="O115" i="86"/>
  <c r="M115" i="86"/>
  <c r="O114" i="86"/>
  <c r="M114" i="86"/>
  <c r="O113" i="86"/>
  <c r="M113" i="86"/>
  <c r="O112" i="86"/>
  <c r="M112" i="86"/>
  <c r="O111" i="86"/>
  <c r="M111" i="86"/>
  <c r="O110" i="86"/>
  <c r="M110" i="86"/>
  <c r="O109" i="86"/>
  <c r="M109" i="86"/>
  <c r="O108" i="86"/>
  <c r="M108" i="86"/>
  <c r="O107" i="86"/>
  <c r="M107" i="86"/>
  <c r="O106" i="86"/>
  <c r="M106" i="86"/>
  <c r="O105" i="86"/>
  <c r="M105" i="86"/>
  <c r="O104" i="86"/>
  <c r="M104" i="86"/>
  <c r="O103" i="86"/>
  <c r="O102" i="86"/>
  <c r="O101" i="86"/>
  <c r="O100" i="86"/>
  <c r="M99" i="86"/>
  <c r="D96" i="86"/>
  <c r="L93" i="86"/>
  <c r="J93" i="86"/>
  <c r="D91" i="86"/>
  <c r="D89" i="86"/>
  <c r="N72" i="86"/>
  <c r="L72" i="86"/>
  <c r="N71" i="86"/>
  <c r="L71" i="86"/>
  <c r="N70" i="86"/>
  <c r="L70" i="86"/>
  <c r="N69" i="86"/>
  <c r="L69" i="86"/>
  <c r="N68" i="86"/>
  <c r="L68" i="86"/>
  <c r="N67" i="86"/>
  <c r="L67" i="86"/>
  <c r="N66" i="86"/>
  <c r="L66" i="86"/>
  <c r="N65" i="86"/>
  <c r="L65" i="86"/>
  <c r="N64" i="86"/>
  <c r="L64" i="86"/>
  <c r="N63" i="86"/>
  <c r="L63" i="86"/>
  <c r="N62" i="86"/>
  <c r="L62" i="86"/>
  <c r="N61" i="86"/>
  <c r="L61" i="86"/>
  <c r="N60" i="86"/>
  <c r="L60" i="86"/>
  <c r="N59" i="86"/>
  <c r="L59" i="86"/>
  <c r="N58" i="86"/>
  <c r="L58" i="86"/>
  <c r="N57" i="86"/>
  <c r="L57" i="86"/>
  <c r="N56" i="86"/>
  <c r="L56" i="86"/>
  <c r="N55" i="86"/>
  <c r="L55" i="86"/>
  <c r="N54" i="86"/>
  <c r="L54" i="86"/>
  <c r="N53" i="86"/>
  <c r="L53" i="86"/>
  <c r="N52" i="86"/>
  <c r="L52" i="86"/>
  <c r="N51" i="86"/>
  <c r="L51" i="86"/>
  <c r="N50" i="86"/>
  <c r="L50" i="86"/>
  <c r="N49" i="86"/>
  <c r="L49" i="86"/>
  <c r="N48" i="86"/>
  <c r="L48" i="86"/>
  <c r="N47" i="86"/>
  <c r="L47" i="86"/>
  <c r="N46" i="86"/>
  <c r="L46" i="86"/>
  <c r="N45" i="86"/>
  <c r="L45" i="86"/>
  <c r="N44" i="86"/>
  <c r="L44" i="86"/>
  <c r="N43" i="86"/>
  <c r="L43" i="86"/>
  <c r="N42" i="86"/>
  <c r="L42" i="86"/>
  <c r="N41" i="86"/>
  <c r="L41" i="86"/>
  <c r="N40" i="86"/>
  <c r="L40" i="86"/>
  <c r="N39" i="86"/>
  <c r="L39" i="86"/>
  <c r="N38" i="86"/>
  <c r="L38" i="86"/>
  <c r="N37" i="86"/>
  <c r="L37" i="86"/>
  <c r="N36" i="86"/>
  <c r="L36" i="86"/>
  <c r="N35" i="86"/>
  <c r="L35" i="86"/>
  <c r="N34" i="86"/>
  <c r="L34" i="86"/>
  <c r="N33" i="86"/>
  <c r="L33" i="86"/>
  <c r="N32" i="86"/>
  <c r="L32" i="86"/>
  <c r="N31" i="86"/>
  <c r="L31" i="86"/>
  <c r="N30" i="86"/>
  <c r="L30" i="86"/>
  <c r="N29" i="86"/>
  <c r="L29" i="86"/>
  <c r="N28" i="86"/>
  <c r="L28" i="86"/>
  <c r="N27" i="86"/>
  <c r="L27" i="86"/>
  <c r="N26" i="86"/>
  <c r="L26" i="86"/>
  <c r="N25" i="86"/>
  <c r="L25" i="86"/>
  <c r="N24" i="86"/>
  <c r="L24" i="86"/>
  <c r="N23" i="86"/>
  <c r="N22" i="86"/>
  <c r="N21" i="86"/>
  <c r="N20" i="86"/>
  <c r="N19" i="86"/>
  <c r="N18" i="86"/>
  <c r="N17" i="86"/>
  <c r="L17" i="86"/>
  <c r="K11" i="86"/>
  <c r="I11" i="86"/>
  <c r="D8" i="86"/>
  <c r="D90" i="86" s="1"/>
  <c r="P154" i="85"/>
  <c r="O154" i="85"/>
  <c r="M154" i="85"/>
  <c r="J154" i="85"/>
  <c r="P153" i="85"/>
  <c r="O153" i="85"/>
  <c r="M153" i="85"/>
  <c r="J153" i="85"/>
  <c r="P152" i="85"/>
  <c r="O152" i="85"/>
  <c r="M152" i="85"/>
  <c r="J152" i="85"/>
  <c r="P151" i="85"/>
  <c r="O151" i="85"/>
  <c r="M151" i="85"/>
  <c r="J151" i="85"/>
  <c r="P150" i="85"/>
  <c r="O150" i="85"/>
  <c r="M150" i="85"/>
  <c r="J150" i="85"/>
  <c r="P149" i="85"/>
  <c r="O149" i="85"/>
  <c r="M149" i="85"/>
  <c r="J149" i="85"/>
  <c r="P148" i="85"/>
  <c r="O148" i="85"/>
  <c r="M148" i="85"/>
  <c r="J148" i="85"/>
  <c r="P147" i="85"/>
  <c r="O147" i="85"/>
  <c r="M147" i="85"/>
  <c r="J147" i="85"/>
  <c r="P146" i="85"/>
  <c r="O146" i="85"/>
  <c r="M146" i="85"/>
  <c r="J146" i="85"/>
  <c r="P145" i="85"/>
  <c r="O145" i="85"/>
  <c r="M145" i="85"/>
  <c r="J145" i="85"/>
  <c r="P144" i="85"/>
  <c r="O144" i="85"/>
  <c r="M144" i="85"/>
  <c r="J144" i="85"/>
  <c r="P143" i="85"/>
  <c r="O143" i="85"/>
  <c r="M143" i="85"/>
  <c r="J143" i="85"/>
  <c r="P142" i="85"/>
  <c r="O142" i="85"/>
  <c r="M142" i="85"/>
  <c r="J142" i="85"/>
  <c r="P141" i="85"/>
  <c r="O141" i="85"/>
  <c r="M141" i="85"/>
  <c r="J141" i="85"/>
  <c r="P140" i="85"/>
  <c r="O140" i="85"/>
  <c r="M140" i="85"/>
  <c r="J140" i="85"/>
  <c r="P139" i="85"/>
  <c r="O139" i="85"/>
  <c r="M139" i="85"/>
  <c r="J139" i="85"/>
  <c r="P138" i="85"/>
  <c r="O138" i="85"/>
  <c r="M138" i="85"/>
  <c r="J138" i="85"/>
  <c r="P137" i="85"/>
  <c r="O137" i="85"/>
  <c r="M137" i="85"/>
  <c r="J137" i="85"/>
  <c r="P136" i="85"/>
  <c r="O136" i="85"/>
  <c r="M136" i="85"/>
  <c r="J136" i="85"/>
  <c r="P135" i="85"/>
  <c r="O135" i="85"/>
  <c r="M135" i="85"/>
  <c r="J135" i="85"/>
  <c r="P134" i="85"/>
  <c r="O134" i="85"/>
  <c r="M134" i="85"/>
  <c r="J134" i="85"/>
  <c r="P133" i="85"/>
  <c r="O133" i="85"/>
  <c r="M133" i="85"/>
  <c r="J133" i="85"/>
  <c r="P132" i="85"/>
  <c r="O132" i="85"/>
  <c r="M132" i="85"/>
  <c r="J132" i="85"/>
  <c r="P131" i="85"/>
  <c r="O131" i="85"/>
  <c r="M131" i="85"/>
  <c r="J131" i="85"/>
  <c r="O130" i="85"/>
  <c r="M130" i="85"/>
  <c r="O129" i="85"/>
  <c r="M129" i="85"/>
  <c r="O128" i="85"/>
  <c r="M128" i="85"/>
  <c r="O127" i="85"/>
  <c r="M127" i="85"/>
  <c r="O126" i="85"/>
  <c r="M126" i="85"/>
  <c r="O125" i="85"/>
  <c r="M125" i="85"/>
  <c r="O124" i="85"/>
  <c r="M124" i="85"/>
  <c r="O123" i="85"/>
  <c r="M123" i="85"/>
  <c r="O122" i="85"/>
  <c r="M122" i="85"/>
  <c r="O121" i="85"/>
  <c r="M121" i="85"/>
  <c r="O120" i="85"/>
  <c r="M120" i="85"/>
  <c r="O119" i="85"/>
  <c r="M119" i="85"/>
  <c r="O118" i="85"/>
  <c r="M118" i="85"/>
  <c r="O117" i="85"/>
  <c r="M117" i="85"/>
  <c r="O116" i="85"/>
  <c r="M116" i="85"/>
  <c r="O115" i="85"/>
  <c r="M115" i="85"/>
  <c r="O114" i="85"/>
  <c r="M114" i="85"/>
  <c r="O113" i="85"/>
  <c r="M113" i="85"/>
  <c r="O112" i="85"/>
  <c r="M112" i="85"/>
  <c r="O111" i="85"/>
  <c r="M111" i="85"/>
  <c r="O110" i="85"/>
  <c r="M110" i="85"/>
  <c r="O109" i="85"/>
  <c r="M109" i="85"/>
  <c r="O108" i="85"/>
  <c r="M108" i="85"/>
  <c r="O107" i="85"/>
  <c r="M107" i="85"/>
  <c r="O106" i="85"/>
  <c r="M106" i="85"/>
  <c r="O105" i="85"/>
  <c r="M105" i="85"/>
  <c r="O104" i="85"/>
  <c r="M104" i="85"/>
  <c r="O103" i="85"/>
  <c r="O102" i="85"/>
  <c r="O101" i="85"/>
  <c r="O100" i="85"/>
  <c r="M100" i="85"/>
  <c r="O99" i="85"/>
  <c r="D96" i="85"/>
  <c r="L93" i="85"/>
  <c r="J93" i="85"/>
  <c r="D91" i="85"/>
  <c r="D89" i="85"/>
  <c r="N72" i="85"/>
  <c r="L72" i="85"/>
  <c r="N71" i="85"/>
  <c r="L71" i="85"/>
  <c r="N70" i="85"/>
  <c r="L70" i="85"/>
  <c r="N69" i="85"/>
  <c r="L69" i="85"/>
  <c r="N68" i="85"/>
  <c r="L68" i="85"/>
  <c r="N67" i="85"/>
  <c r="L67" i="85"/>
  <c r="N66" i="85"/>
  <c r="L66" i="85"/>
  <c r="N65" i="85"/>
  <c r="L65" i="85"/>
  <c r="N64" i="85"/>
  <c r="L64" i="85"/>
  <c r="N63" i="85"/>
  <c r="L63" i="85"/>
  <c r="N62" i="85"/>
  <c r="L62" i="85"/>
  <c r="N61" i="85"/>
  <c r="L61" i="85"/>
  <c r="N60" i="85"/>
  <c r="L60" i="85"/>
  <c r="N59" i="85"/>
  <c r="L59" i="85"/>
  <c r="N58" i="85"/>
  <c r="L58" i="85"/>
  <c r="N57" i="85"/>
  <c r="L57" i="85"/>
  <c r="N56" i="85"/>
  <c r="L56" i="85"/>
  <c r="N55" i="85"/>
  <c r="L55" i="85"/>
  <c r="N54" i="85"/>
  <c r="L54" i="85"/>
  <c r="N53" i="85"/>
  <c r="L53" i="85"/>
  <c r="N52" i="85"/>
  <c r="L52" i="85"/>
  <c r="N51" i="85"/>
  <c r="L51" i="85"/>
  <c r="N50" i="85"/>
  <c r="L50" i="85"/>
  <c r="N49" i="85"/>
  <c r="L49" i="85"/>
  <c r="N48" i="85"/>
  <c r="L48" i="85"/>
  <c r="N47" i="85"/>
  <c r="L47" i="85"/>
  <c r="N46" i="85"/>
  <c r="L46" i="85"/>
  <c r="N45" i="85"/>
  <c r="L45" i="85"/>
  <c r="N44" i="85"/>
  <c r="L44" i="85"/>
  <c r="N43" i="85"/>
  <c r="L43" i="85"/>
  <c r="N42" i="85"/>
  <c r="L42" i="85"/>
  <c r="N41" i="85"/>
  <c r="L41" i="85"/>
  <c r="N40" i="85"/>
  <c r="L40" i="85"/>
  <c r="N39" i="85"/>
  <c r="L39" i="85"/>
  <c r="N38" i="85"/>
  <c r="L38" i="85"/>
  <c r="N37" i="85"/>
  <c r="L37" i="85"/>
  <c r="N36" i="85"/>
  <c r="L36" i="85"/>
  <c r="N35" i="85"/>
  <c r="L35" i="85"/>
  <c r="N34" i="85"/>
  <c r="L34" i="85"/>
  <c r="N33" i="85"/>
  <c r="L33" i="85"/>
  <c r="N32" i="85"/>
  <c r="L32" i="85"/>
  <c r="N31" i="85"/>
  <c r="L31" i="85"/>
  <c r="N30" i="85"/>
  <c r="L30" i="85"/>
  <c r="N29" i="85"/>
  <c r="L29" i="85"/>
  <c r="N28" i="85"/>
  <c r="L28" i="85"/>
  <c r="N27" i="85"/>
  <c r="L27" i="85"/>
  <c r="N26" i="85"/>
  <c r="L26" i="85"/>
  <c r="N25" i="85"/>
  <c r="L25" i="85"/>
  <c r="N24" i="85"/>
  <c r="L24" i="85"/>
  <c r="N23" i="85"/>
  <c r="N22" i="85"/>
  <c r="N21" i="85"/>
  <c r="N20" i="85"/>
  <c r="O20" i="85" s="1"/>
  <c r="N18" i="85"/>
  <c r="L18" i="85"/>
  <c r="L17" i="85"/>
  <c r="C18" i="85"/>
  <c r="C19" i="85" s="1"/>
  <c r="C20" i="85" s="1"/>
  <c r="C21" i="85" s="1"/>
  <c r="C22" i="85" s="1"/>
  <c r="C23" i="85" s="1"/>
  <c r="C24" i="85" s="1"/>
  <c r="C25" i="85" s="1"/>
  <c r="C26" i="85" s="1"/>
  <c r="C27" i="85" s="1"/>
  <c r="C28" i="85" s="1"/>
  <c r="C29" i="85" s="1"/>
  <c r="C30" i="85" s="1"/>
  <c r="C31" i="85" s="1"/>
  <c r="C32" i="85" s="1"/>
  <c r="C33" i="85" s="1"/>
  <c r="C34" i="85" s="1"/>
  <c r="C35" i="85" s="1"/>
  <c r="C36" i="85" s="1"/>
  <c r="C37" i="85" s="1"/>
  <c r="C38" i="85" s="1"/>
  <c r="C39" i="85" s="1"/>
  <c r="C40" i="85" s="1"/>
  <c r="C41" i="85" s="1"/>
  <c r="C42" i="85" s="1"/>
  <c r="C43" i="85" s="1"/>
  <c r="C44" i="85" s="1"/>
  <c r="K11" i="85"/>
  <c r="I11" i="85"/>
  <c r="D8" i="85"/>
  <c r="D90" i="85" s="1"/>
  <c r="C99" i="86"/>
  <c r="C100" i="86" s="1"/>
  <c r="C101" i="86" s="1"/>
  <c r="C102" i="86" s="1"/>
  <c r="C103" i="86" s="1"/>
  <c r="C104" i="86" s="1"/>
  <c r="C105" i="86" s="1"/>
  <c r="C106" i="86" s="1"/>
  <c r="C107" i="86" s="1"/>
  <c r="C108" i="86" s="1"/>
  <c r="C109" i="86" s="1"/>
  <c r="C110" i="86" s="1"/>
  <c r="C111" i="86" s="1"/>
  <c r="C112" i="86" s="1"/>
  <c r="C113" i="86" s="1"/>
  <c r="C114" i="86" s="1"/>
  <c r="C115" i="86" s="1"/>
  <c r="C116" i="86" s="1"/>
  <c r="C117" i="86" s="1"/>
  <c r="C118" i="86" s="1"/>
  <c r="C119" i="86" s="1"/>
  <c r="C120" i="86" s="1"/>
  <c r="C121" i="86" s="1"/>
  <c r="C122" i="86" s="1"/>
  <c r="C123" i="86" s="1"/>
  <c r="C124" i="86" s="1"/>
  <c r="C125" i="86" s="1"/>
  <c r="C126" i="86" s="1"/>
  <c r="C127" i="86" s="1"/>
  <c r="C128" i="86" s="1"/>
  <c r="C129" i="86" s="1"/>
  <c r="C130" i="86" s="1"/>
  <c r="C131" i="86" s="1"/>
  <c r="C132" i="86" s="1"/>
  <c r="C133" i="86" s="1"/>
  <c r="C134" i="86" s="1"/>
  <c r="C135" i="86" s="1"/>
  <c r="C136" i="86" s="1"/>
  <c r="C137" i="86" s="1"/>
  <c r="C138" i="86" s="1"/>
  <c r="C139" i="86" s="1"/>
  <c r="C140" i="86" s="1"/>
  <c r="C141" i="86" s="1"/>
  <c r="C142" i="86" s="1"/>
  <c r="C143" i="86" s="1"/>
  <c r="C144" i="86" s="1"/>
  <c r="C145" i="86" s="1"/>
  <c r="C146" i="86" s="1"/>
  <c r="C147" i="86" s="1"/>
  <c r="C148" i="86" s="1"/>
  <c r="C149" i="86" s="1"/>
  <c r="C150" i="86" s="1"/>
  <c r="C151" i="86" s="1"/>
  <c r="C152" i="86" s="1"/>
  <c r="C153" i="86" s="1"/>
  <c r="C154" i="86" s="1"/>
  <c r="M17" i="84"/>
  <c r="N17" i="84" s="1"/>
  <c r="K17" i="84"/>
  <c r="M17" i="83"/>
  <c r="K17" i="83"/>
  <c r="L17" i="83" s="1"/>
  <c r="M17" i="82"/>
  <c r="N17" i="82" s="1"/>
  <c r="K17" i="82"/>
  <c r="M17" i="81"/>
  <c r="K17" i="81"/>
  <c r="L17" i="81" s="1"/>
  <c r="M17" i="80"/>
  <c r="N17" i="80" s="1"/>
  <c r="O17" i="80" s="1"/>
  <c r="K17" i="80"/>
  <c r="N99" i="79"/>
  <c r="L99" i="79"/>
  <c r="M18" i="79"/>
  <c r="N18" i="79" s="1"/>
  <c r="O18" i="79" s="1"/>
  <c r="K18" i="79"/>
  <c r="L18" i="79" s="1"/>
  <c r="N99" i="78"/>
  <c r="L99" i="78"/>
  <c r="M18" i="78"/>
  <c r="N18" i="78" s="1"/>
  <c r="K18" i="78"/>
  <c r="L18" i="78" s="1"/>
  <c r="N99" i="77"/>
  <c r="L99" i="77"/>
  <c r="M99" i="77" s="1"/>
  <c r="M18" i="77"/>
  <c r="N18" i="77" s="1"/>
  <c r="K18" i="77"/>
  <c r="L18" i="77" s="1"/>
  <c r="N99" i="76"/>
  <c r="L99" i="76"/>
  <c r="M18" i="76"/>
  <c r="N18" i="76" s="1"/>
  <c r="K18" i="76"/>
  <c r="L18" i="76" s="1"/>
  <c r="N99" i="75"/>
  <c r="L99" i="75"/>
  <c r="M18" i="75"/>
  <c r="N18" i="75" s="1"/>
  <c r="K18" i="75"/>
  <c r="L18" i="75" s="1"/>
  <c r="N103" i="74"/>
  <c r="L103" i="74"/>
  <c r="M103" i="74" s="1"/>
  <c r="N104" i="73"/>
  <c r="O104" i="73" s="1"/>
  <c r="L104" i="73"/>
  <c r="M23" i="73"/>
  <c r="N23" i="73" s="1"/>
  <c r="K23" i="73"/>
  <c r="L23" i="73" s="1"/>
  <c r="N102" i="72"/>
  <c r="O102" i="72" s="1"/>
  <c r="L102" i="72"/>
  <c r="M21" i="72"/>
  <c r="N21" i="72" s="1"/>
  <c r="K21" i="72"/>
  <c r="L21" i="72" s="1"/>
  <c r="N106" i="71"/>
  <c r="O106" i="71" s="1"/>
  <c r="L106" i="71"/>
  <c r="M25" i="71"/>
  <c r="N25" i="71" s="1"/>
  <c r="K25" i="71"/>
  <c r="L25" i="71" s="1"/>
  <c r="N107" i="69"/>
  <c r="O107" i="69" s="1"/>
  <c r="L107" i="69"/>
  <c r="N107" i="70"/>
  <c r="L107" i="70"/>
  <c r="M107" i="70" s="1"/>
  <c r="M26" i="70"/>
  <c r="N26" i="70" s="1"/>
  <c r="O26" i="70" s="1"/>
  <c r="K26" i="70"/>
  <c r="L26" i="70" s="1"/>
  <c r="M26" i="69"/>
  <c r="N26" i="69" s="1"/>
  <c r="K26" i="69"/>
  <c r="L26" i="69" s="1"/>
  <c r="M19" i="68"/>
  <c r="N19" i="68" s="1"/>
  <c r="K19" i="68"/>
  <c r="L19" i="68" s="1"/>
  <c r="N100" i="68"/>
  <c r="O100" i="68" s="1"/>
  <c r="P100" i="68" s="1"/>
  <c r="L100" i="68"/>
  <c r="M100" i="68" s="1"/>
  <c r="N100" i="67"/>
  <c r="O100" i="67" s="1"/>
  <c r="L100" i="67"/>
  <c r="M100" i="67" s="1"/>
  <c r="M19" i="67"/>
  <c r="N19" i="67" s="1"/>
  <c r="K19" i="67"/>
  <c r="L19" i="67" s="1"/>
  <c r="N100" i="66"/>
  <c r="O100" i="66" s="1"/>
  <c r="L100" i="66"/>
  <c r="M100" i="66" s="1"/>
  <c r="M19" i="66"/>
  <c r="N19" i="66" s="1"/>
  <c r="K19" i="66"/>
  <c r="L19" i="66" s="1"/>
  <c r="N100" i="65"/>
  <c r="O100" i="65" s="1"/>
  <c r="P100" i="65" s="1"/>
  <c r="L100" i="65"/>
  <c r="M100" i="65" s="1"/>
  <c r="M19" i="65"/>
  <c r="N19" i="65" s="1"/>
  <c r="K19" i="65"/>
  <c r="L19" i="65" s="1"/>
  <c r="N101" i="64"/>
  <c r="O101" i="64" s="1"/>
  <c r="L101" i="64"/>
  <c r="M101" i="64" s="1"/>
  <c r="M20" i="64"/>
  <c r="N20" i="64" s="1"/>
  <c r="O20" i="64" s="1"/>
  <c r="K20" i="64"/>
  <c r="L20" i="64" s="1"/>
  <c r="N101" i="60"/>
  <c r="O101" i="60" s="1"/>
  <c r="L101" i="60"/>
  <c r="M101" i="60" s="1"/>
  <c r="M20" i="60"/>
  <c r="N20" i="60" s="1"/>
  <c r="K20" i="60"/>
  <c r="L20" i="60" s="1"/>
  <c r="N101" i="62"/>
  <c r="O101" i="62"/>
  <c r="P101" i="62" s="1"/>
  <c r="L101" i="62"/>
  <c r="M101" i="62" s="1"/>
  <c r="M20" i="62"/>
  <c r="N20" i="62" s="1"/>
  <c r="K20" i="62"/>
  <c r="L20" i="62" s="1"/>
  <c r="N101" i="63"/>
  <c r="O101" i="63" s="1"/>
  <c r="L101" i="63"/>
  <c r="M101" i="63" s="1"/>
  <c r="M20" i="63"/>
  <c r="N20" i="63" s="1"/>
  <c r="K20" i="63"/>
  <c r="L20" i="63" s="1"/>
  <c r="N101" i="59"/>
  <c r="O101" i="59" s="1"/>
  <c r="L101" i="59"/>
  <c r="M101" i="59" s="1"/>
  <c r="M20" i="59"/>
  <c r="N20" i="59" s="1"/>
  <c r="K20" i="59"/>
  <c r="L20" i="59" s="1"/>
  <c r="M21" i="58"/>
  <c r="N21" i="58" s="1"/>
  <c r="K21" i="58"/>
  <c r="L21" i="58" s="1"/>
  <c r="N102" i="57"/>
  <c r="O102" i="57" s="1"/>
  <c r="L102" i="57"/>
  <c r="M102" i="57" s="1"/>
  <c r="M21" i="57"/>
  <c r="N21" i="57" s="1"/>
  <c r="K21" i="57"/>
  <c r="L21" i="57" s="1"/>
  <c r="N102" i="56"/>
  <c r="O102" i="56" s="1"/>
  <c r="L102" i="56"/>
  <c r="M102" i="56" s="1"/>
  <c r="M21" i="56"/>
  <c r="N21" i="56" s="1"/>
  <c r="K21" i="56"/>
  <c r="L21" i="56" s="1"/>
  <c r="N102" i="55"/>
  <c r="O102" i="55"/>
  <c r="M102" i="55"/>
  <c r="L102" i="55"/>
  <c r="M21" i="55"/>
  <c r="N21" i="55" s="1"/>
  <c r="K21" i="55"/>
  <c r="L21" i="55" s="1"/>
  <c r="N102" i="54"/>
  <c r="O102" i="54" s="1"/>
  <c r="L102" i="54"/>
  <c r="M102" i="54" s="1"/>
  <c r="M21" i="54"/>
  <c r="N21" i="54" s="1"/>
  <c r="K21" i="54"/>
  <c r="L21" i="54" s="1"/>
  <c r="N102" i="53"/>
  <c r="O102" i="53" s="1"/>
  <c r="P102" i="53" s="1"/>
  <c r="L102" i="53"/>
  <c r="M102" i="53" s="1"/>
  <c r="M21" i="53"/>
  <c r="N21" i="53" s="1"/>
  <c r="K21" i="53"/>
  <c r="L21" i="53" s="1"/>
  <c r="N102" i="46"/>
  <c r="O102" i="46" s="1"/>
  <c r="L102" i="46"/>
  <c r="M102" i="46" s="1"/>
  <c r="M21" i="46"/>
  <c r="N21" i="46" s="1"/>
  <c r="O21" i="46" s="1"/>
  <c r="K21" i="46"/>
  <c r="L21" i="46" s="1"/>
  <c r="N103" i="45"/>
  <c r="O103" i="45" s="1"/>
  <c r="P103" i="45" s="1"/>
  <c r="L103" i="45"/>
  <c r="M103" i="45" s="1"/>
  <c r="M22" i="45"/>
  <c r="N22" i="45" s="1"/>
  <c r="K22" i="45"/>
  <c r="L22" i="45" s="1"/>
  <c r="N104" i="44"/>
  <c r="O104" i="44" s="1"/>
  <c r="L104" i="44"/>
  <c r="M104" i="44" s="1"/>
  <c r="M23" i="44"/>
  <c r="N23" i="44" s="1"/>
  <c r="K23" i="44"/>
  <c r="L23" i="44" s="1"/>
  <c r="N104" i="43"/>
  <c r="O104" i="43" s="1"/>
  <c r="L104" i="43"/>
  <c r="M104" i="43" s="1"/>
  <c r="M23" i="43"/>
  <c r="N23" i="43" s="1"/>
  <c r="K23" i="43"/>
  <c r="L23" i="43" s="1"/>
  <c r="N104" i="42"/>
  <c r="O104" i="42" s="1"/>
  <c r="L104" i="42"/>
  <c r="M104" i="42" s="1"/>
  <c r="M23" i="42"/>
  <c r="N23" i="42" s="1"/>
  <c r="O23" i="42" s="1"/>
  <c r="K23" i="42"/>
  <c r="L23" i="42" s="1"/>
  <c r="N104" i="41"/>
  <c r="O104" i="41" s="1"/>
  <c r="L104" i="41"/>
  <c r="M104" i="41" s="1"/>
  <c r="M23" i="41"/>
  <c r="N23" i="41" s="1"/>
  <c r="K23" i="41"/>
  <c r="L23" i="41" s="1"/>
  <c r="N104" i="39"/>
  <c r="O104" i="39" s="1"/>
  <c r="L104" i="39"/>
  <c r="M104" i="39" s="1"/>
  <c r="M23" i="39"/>
  <c r="N23" i="39" s="1"/>
  <c r="K23" i="39"/>
  <c r="L23" i="39" s="1"/>
  <c r="N106" i="34"/>
  <c r="O106" i="34" s="1"/>
  <c r="L106" i="34"/>
  <c r="M106" i="34" s="1"/>
  <c r="M25" i="34"/>
  <c r="N25" i="34" s="1"/>
  <c r="K25" i="34"/>
  <c r="L25" i="34" s="1"/>
  <c r="N106" i="32"/>
  <c r="O106" i="32" s="1"/>
  <c r="P106" i="32" s="1"/>
  <c r="L106" i="32"/>
  <c r="M106" i="32" s="1"/>
  <c r="M25" i="32"/>
  <c r="N25" i="32" s="1"/>
  <c r="O25" i="32" s="1"/>
  <c r="K25" i="32"/>
  <c r="L25" i="32" s="1"/>
  <c r="N106" i="31"/>
  <c r="O106" i="31" s="1"/>
  <c r="L106" i="31"/>
  <c r="M106" i="31" s="1"/>
  <c r="M25" i="31"/>
  <c r="N25" i="31" s="1"/>
  <c r="K25" i="31"/>
  <c r="L25" i="31" s="1"/>
  <c r="N107" i="30"/>
  <c r="O107" i="30" s="1"/>
  <c r="L107" i="30"/>
  <c r="M107" i="30" s="1"/>
  <c r="M26" i="30"/>
  <c r="N26" i="30" s="1"/>
  <c r="K26" i="30"/>
  <c r="L26" i="30" s="1"/>
  <c r="N107" i="29"/>
  <c r="O107" i="29" s="1"/>
  <c r="L107" i="29"/>
  <c r="M107" i="29" s="1"/>
  <c r="M26" i="29"/>
  <c r="N26" i="29" s="1"/>
  <c r="K26" i="29"/>
  <c r="L26" i="29" s="1"/>
  <c r="N108" i="28"/>
  <c r="O108" i="28" s="1"/>
  <c r="L108" i="28"/>
  <c r="M108" i="28" s="1"/>
  <c r="M27" i="28"/>
  <c r="N27" i="28" s="1"/>
  <c r="K27" i="28"/>
  <c r="L27" i="28" s="1"/>
  <c r="N107" i="27"/>
  <c r="O107" i="27" s="1"/>
  <c r="L107" i="27"/>
  <c r="M107" i="27" s="1"/>
  <c r="P107" i="27" s="1"/>
  <c r="M26" i="27"/>
  <c r="N26" i="27" s="1"/>
  <c r="K26" i="27"/>
  <c r="L26" i="27" s="1"/>
  <c r="N106" i="24"/>
  <c r="O106" i="24"/>
  <c r="L106" i="24"/>
  <c r="M106" i="24" s="1"/>
  <c r="M25" i="24"/>
  <c r="N25" i="24" s="1"/>
  <c r="K25" i="24"/>
  <c r="L25" i="24" s="1"/>
  <c r="N106" i="23"/>
  <c r="O106" i="23" s="1"/>
  <c r="L106" i="23"/>
  <c r="M106" i="23" s="1"/>
  <c r="M25" i="23"/>
  <c r="N25" i="23" s="1"/>
  <c r="K25" i="23"/>
  <c r="L25" i="23" s="1"/>
  <c r="M24" i="22"/>
  <c r="N24" i="22" s="1"/>
  <c r="K24" i="22"/>
  <c r="L24" i="22" s="1"/>
  <c r="N105" i="22"/>
  <c r="O105" i="22" s="1"/>
  <c r="L105" i="22"/>
  <c r="M105" i="22"/>
  <c r="N105" i="21"/>
  <c r="O105" i="21" s="1"/>
  <c r="L105" i="21"/>
  <c r="M105" i="21" s="1"/>
  <c r="M24" i="21"/>
  <c r="N24" i="21" s="1"/>
  <c r="K24" i="21"/>
  <c r="L24" i="21" s="1"/>
  <c r="N105" i="20"/>
  <c r="O105" i="20" s="1"/>
  <c r="L105" i="20"/>
  <c r="M105" i="20" s="1"/>
  <c r="M24" i="20"/>
  <c r="N24" i="20" s="1"/>
  <c r="K24" i="20"/>
  <c r="L24" i="20" s="1"/>
  <c r="N105" i="19"/>
  <c r="O105" i="19" s="1"/>
  <c r="L105" i="19"/>
  <c r="M105" i="19" s="1"/>
  <c r="M24" i="19"/>
  <c r="N24" i="19" s="1"/>
  <c r="K24" i="19"/>
  <c r="L24" i="19" s="1"/>
  <c r="N105" i="18"/>
  <c r="O105" i="18" s="1"/>
  <c r="P105" i="18" s="1"/>
  <c r="L105" i="18"/>
  <c r="M105" i="18" s="1"/>
  <c r="M24" i="18"/>
  <c r="N24" i="18" s="1"/>
  <c r="K24" i="18"/>
  <c r="L24" i="18" s="1"/>
  <c r="N105" i="17"/>
  <c r="O105" i="17" s="1"/>
  <c r="L105" i="17"/>
  <c r="M105" i="17"/>
  <c r="M24" i="17"/>
  <c r="N24" i="17" s="1"/>
  <c r="K24" i="17"/>
  <c r="L24" i="17" s="1"/>
  <c r="N105" i="3"/>
  <c r="O105" i="3" s="1"/>
  <c r="L105" i="3"/>
  <c r="M105" i="3" s="1"/>
  <c r="M24" i="3"/>
  <c r="N24" i="3" s="1"/>
  <c r="K24" i="3"/>
  <c r="L24" i="3" s="1"/>
  <c r="D90" i="70"/>
  <c r="D90" i="71"/>
  <c r="D90" i="72" s="1"/>
  <c r="D90" i="73" s="1"/>
  <c r="D88" i="74" s="1"/>
  <c r="P1" i="83"/>
  <c r="P83" i="83" s="1"/>
  <c r="P1" i="82"/>
  <c r="P83" i="82" s="1"/>
  <c r="P1" i="81"/>
  <c r="P83" i="81" s="1"/>
  <c r="P1" i="80"/>
  <c r="P83" i="80" s="1"/>
  <c r="B18" i="79"/>
  <c r="W75" i="36"/>
  <c r="P75" i="36"/>
  <c r="W74" i="36"/>
  <c r="P74" i="36"/>
  <c r="W73" i="36"/>
  <c r="P73" i="36"/>
  <c r="W72" i="36"/>
  <c r="P72" i="36"/>
  <c r="P154" i="84"/>
  <c r="O154" i="84"/>
  <c r="M154" i="84"/>
  <c r="J154" i="84"/>
  <c r="P153" i="84"/>
  <c r="O153" i="84"/>
  <c r="M153" i="84"/>
  <c r="J153" i="84"/>
  <c r="P152" i="84"/>
  <c r="O152" i="84"/>
  <c r="M152" i="84"/>
  <c r="J152" i="84"/>
  <c r="P151" i="84"/>
  <c r="O151" i="84"/>
  <c r="M151" i="84"/>
  <c r="J151" i="84"/>
  <c r="P150" i="84"/>
  <c r="O150" i="84"/>
  <c r="M150" i="84"/>
  <c r="J150" i="84"/>
  <c r="P149" i="84"/>
  <c r="O149" i="84"/>
  <c r="M149" i="84"/>
  <c r="J149" i="84"/>
  <c r="P148" i="84"/>
  <c r="O148" i="84"/>
  <c r="M148" i="84"/>
  <c r="J148" i="84"/>
  <c r="P147" i="84"/>
  <c r="O147" i="84"/>
  <c r="M147" i="84"/>
  <c r="J147" i="84"/>
  <c r="P146" i="84"/>
  <c r="O146" i="84"/>
  <c r="M146" i="84"/>
  <c r="J146" i="84"/>
  <c r="P145" i="84"/>
  <c r="O145" i="84"/>
  <c r="M145" i="84"/>
  <c r="J145" i="84"/>
  <c r="P144" i="84"/>
  <c r="O144" i="84"/>
  <c r="M144" i="84"/>
  <c r="J144" i="84"/>
  <c r="P143" i="84"/>
  <c r="O143" i="84"/>
  <c r="M143" i="84"/>
  <c r="J143" i="84"/>
  <c r="P142" i="84"/>
  <c r="O142" i="84"/>
  <c r="M142" i="84"/>
  <c r="J142" i="84"/>
  <c r="P141" i="84"/>
  <c r="O141" i="84"/>
  <c r="M141" i="84"/>
  <c r="J141" i="84"/>
  <c r="P140" i="84"/>
  <c r="O140" i="84"/>
  <c r="M140" i="84"/>
  <c r="J140" i="84"/>
  <c r="P139" i="84"/>
  <c r="O139" i="84"/>
  <c r="M139" i="84"/>
  <c r="J139" i="84"/>
  <c r="P138" i="84"/>
  <c r="O138" i="84"/>
  <c r="M138" i="84"/>
  <c r="J138" i="84"/>
  <c r="P137" i="84"/>
  <c r="O137" i="84"/>
  <c r="M137" i="84"/>
  <c r="J137" i="84"/>
  <c r="P136" i="84"/>
  <c r="O136" i="84"/>
  <c r="M136" i="84"/>
  <c r="J136" i="84"/>
  <c r="P135" i="84"/>
  <c r="O135" i="84"/>
  <c r="M135" i="84"/>
  <c r="J135" i="84"/>
  <c r="P134" i="84"/>
  <c r="O134" i="84"/>
  <c r="M134" i="84"/>
  <c r="J134" i="84"/>
  <c r="P133" i="84"/>
  <c r="O133" i="84"/>
  <c r="M133" i="84"/>
  <c r="J133" i="84"/>
  <c r="P132" i="84"/>
  <c r="O132" i="84"/>
  <c r="M132" i="84"/>
  <c r="J132" i="84"/>
  <c r="P131" i="84"/>
  <c r="O131" i="84"/>
  <c r="M131" i="84"/>
  <c r="J131" i="84"/>
  <c r="O130" i="84"/>
  <c r="M130" i="84"/>
  <c r="O129" i="84"/>
  <c r="M129" i="84"/>
  <c r="O128" i="84"/>
  <c r="M128" i="84"/>
  <c r="O127" i="84"/>
  <c r="M127" i="84"/>
  <c r="O126" i="84"/>
  <c r="M126" i="84"/>
  <c r="O125" i="84"/>
  <c r="M125" i="84"/>
  <c r="O124" i="84"/>
  <c r="M124" i="84"/>
  <c r="O123" i="84"/>
  <c r="M123" i="84"/>
  <c r="O122" i="84"/>
  <c r="M122" i="84"/>
  <c r="O121" i="84"/>
  <c r="M121" i="84"/>
  <c r="O120" i="84"/>
  <c r="M120" i="84"/>
  <c r="O119" i="84"/>
  <c r="M119" i="84"/>
  <c r="O118" i="84"/>
  <c r="M118" i="84"/>
  <c r="O117" i="84"/>
  <c r="M117" i="84"/>
  <c r="O116" i="84"/>
  <c r="M116" i="84"/>
  <c r="O115" i="84"/>
  <c r="M115" i="84"/>
  <c r="O114" i="84"/>
  <c r="M114" i="84"/>
  <c r="O113" i="84"/>
  <c r="M113" i="84"/>
  <c r="O112" i="84"/>
  <c r="M112" i="84"/>
  <c r="O111" i="84"/>
  <c r="M111" i="84"/>
  <c r="O110" i="84"/>
  <c r="M110" i="84"/>
  <c r="O109" i="84"/>
  <c r="M109" i="84"/>
  <c r="O108" i="84"/>
  <c r="M108" i="84"/>
  <c r="O107" i="84"/>
  <c r="M107" i="84"/>
  <c r="O106" i="84"/>
  <c r="M106" i="84"/>
  <c r="O105" i="84"/>
  <c r="M105" i="84"/>
  <c r="O104" i="84"/>
  <c r="M104" i="84"/>
  <c r="O103" i="84"/>
  <c r="M103" i="84"/>
  <c r="O102" i="84"/>
  <c r="O101" i="84"/>
  <c r="O99" i="84"/>
  <c r="P99" i="84" s="1"/>
  <c r="M99" i="84"/>
  <c r="D96" i="84"/>
  <c r="L93" i="84"/>
  <c r="J93" i="84"/>
  <c r="D91" i="84"/>
  <c r="D89" i="84"/>
  <c r="N72" i="84"/>
  <c r="L72" i="84"/>
  <c r="N71" i="84"/>
  <c r="L71" i="84"/>
  <c r="N70" i="84"/>
  <c r="L70" i="84"/>
  <c r="N69" i="84"/>
  <c r="L69" i="84"/>
  <c r="N68" i="84"/>
  <c r="L68" i="84"/>
  <c r="N67" i="84"/>
  <c r="L67" i="84"/>
  <c r="N66" i="84"/>
  <c r="L66" i="84"/>
  <c r="N65" i="84"/>
  <c r="L65" i="84"/>
  <c r="N64" i="84"/>
  <c r="L64" i="84"/>
  <c r="N63" i="84"/>
  <c r="L63" i="84"/>
  <c r="N62" i="84"/>
  <c r="L62" i="84"/>
  <c r="N61" i="84"/>
  <c r="L61" i="84"/>
  <c r="N60" i="84"/>
  <c r="L60" i="84"/>
  <c r="N59" i="84"/>
  <c r="L59" i="84"/>
  <c r="N58" i="84"/>
  <c r="L58" i="84"/>
  <c r="N57" i="84"/>
  <c r="L57" i="84"/>
  <c r="N56" i="84"/>
  <c r="L56" i="84"/>
  <c r="N55" i="84"/>
  <c r="L55" i="84"/>
  <c r="N54" i="84"/>
  <c r="L54" i="84"/>
  <c r="N53" i="84"/>
  <c r="L53" i="84"/>
  <c r="N52" i="84"/>
  <c r="L52" i="84"/>
  <c r="N51" i="84"/>
  <c r="L51" i="84"/>
  <c r="N50" i="84"/>
  <c r="L50" i="84"/>
  <c r="N49" i="84"/>
  <c r="L49" i="84"/>
  <c r="N48" i="84"/>
  <c r="L48" i="84"/>
  <c r="N47" i="84"/>
  <c r="L47" i="84"/>
  <c r="N46" i="84"/>
  <c r="L46" i="84"/>
  <c r="N45" i="84"/>
  <c r="L45" i="84"/>
  <c r="N44" i="84"/>
  <c r="L44" i="84"/>
  <c r="N43" i="84"/>
  <c r="L43" i="84"/>
  <c r="N42" i="84"/>
  <c r="L42" i="84"/>
  <c r="N41" i="84"/>
  <c r="L41" i="84"/>
  <c r="N40" i="84"/>
  <c r="L40" i="84"/>
  <c r="N39" i="84"/>
  <c r="L39" i="84"/>
  <c r="N38" i="84"/>
  <c r="L38" i="84"/>
  <c r="N37" i="84"/>
  <c r="L37" i="84"/>
  <c r="N36" i="84"/>
  <c r="L36" i="84"/>
  <c r="N35" i="84"/>
  <c r="L35" i="84"/>
  <c r="N34" i="84"/>
  <c r="L34" i="84"/>
  <c r="N33" i="84"/>
  <c r="L33" i="84"/>
  <c r="N32" i="84"/>
  <c r="L32" i="84"/>
  <c r="N31" i="84"/>
  <c r="L31" i="84"/>
  <c r="N30" i="84"/>
  <c r="L30" i="84"/>
  <c r="N29" i="84"/>
  <c r="L29" i="84"/>
  <c r="N28" i="84"/>
  <c r="L28" i="84"/>
  <c r="N27" i="84"/>
  <c r="L27" i="84"/>
  <c r="N26" i="84"/>
  <c r="L26" i="84"/>
  <c r="N25" i="84"/>
  <c r="L25" i="84"/>
  <c r="N24" i="84"/>
  <c r="L24" i="84"/>
  <c r="N23" i="84"/>
  <c r="N22" i="84"/>
  <c r="N21" i="84"/>
  <c r="N20" i="84"/>
  <c r="O20" i="84" s="1"/>
  <c r="L17" i="84"/>
  <c r="C18" i="84"/>
  <c r="C19" i="84"/>
  <c r="C20" i="84" s="1"/>
  <c r="C21" i="84" s="1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K11" i="84"/>
  <c r="I11" i="84"/>
  <c r="D8" i="84"/>
  <c r="D90" i="84" s="1"/>
  <c r="P154" i="83"/>
  <c r="O154" i="83"/>
  <c r="M154" i="83"/>
  <c r="J154" i="83"/>
  <c r="P153" i="83"/>
  <c r="O153" i="83"/>
  <c r="M153" i="83"/>
  <c r="J153" i="83"/>
  <c r="P152" i="83"/>
  <c r="O152" i="83"/>
  <c r="M152" i="83"/>
  <c r="J152" i="83"/>
  <c r="P151" i="83"/>
  <c r="O151" i="83"/>
  <c r="M151" i="83"/>
  <c r="J151" i="83"/>
  <c r="P150" i="83"/>
  <c r="O150" i="83"/>
  <c r="M150" i="83"/>
  <c r="J150" i="83"/>
  <c r="P149" i="83"/>
  <c r="O149" i="83"/>
  <c r="M149" i="83"/>
  <c r="J149" i="83"/>
  <c r="P148" i="83"/>
  <c r="O148" i="83"/>
  <c r="M148" i="83"/>
  <c r="J148" i="83"/>
  <c r="P147" i="83"/>
  <c r="O147" i="83"/>
  <c r="M147" i="83"/>
  <c r="J147" i="83"/>
  <c r="P146" i="83"/>
  <c r="O146" i="83"/>
  <c r="M146" i="83"/>
  <c r="J146" i="83"/>
  <c r="P145" i="83"/>
  <c r="O145" i="83"/>
  <c r="M145" i="83"/>
  <c r="J145" i="83"/>
  <c r="P144" i="83"/>
  <c r="O144" i="83"/>
  <c r="M144" i="83"/>
  <c r="J144" i="83"/>
  <c r="P143" i="83"/>
  <c r="O143" i="83"/>
  <c r="M143" i="83"/>
  <c r="J143" i="83"/>
  <c r="P142" i="83"/>
  <c r="O142" i="83"/>
  <c r="M142" i="83"/>
  <c r="J142" i="83"/>
  <c r="P141" i="83"/>
  <c r="O141" i="83"/>
  <c r="M141" i="83"/>
  <c r="J141" i="83"/>
  <c r="P140" i="83"/>
  <c r="O140" i="83"/>
  <c r="M140" i="83"/>
  <c r="J140" i="83"/>
  <c r="P139" i="83"/>
  <c r="O139" i="83"/>
  <c r="M139" i="83"/>
  <c r="J139" i="83"/>
  <c r="P138" i="83"/>
  <c r="O138" i="83"/>
  <c r="M138" i="83"/>
  <c r="J138" i="83"/>
  <c r="P137" i="83"/>
  <c r="O137" i="83"/>
  <c r="M137" i="83"/>
  <c r="J137" i="83"/>
  <c r="P136" i="83"/>
  <c r="O136" i="83"/>
  <c r="M136" i="83"/>
  <c r="J136" i="83"/>
  <c r="P135" i="83"/>
  <c r="O135" i="83"/>
  <c r="M135" i="83"/>
  <c r="J135" i="83"/>
  <c r="P134" i="83"/>
  <c r="O134" i="83"/>
  <c r="M134" i="83"/>
  <c r="J134" i="83"/>
  <c r="P133" i="83"/>
  <c r="O133" i="83"/>
  <c r="M133" i="83"/>
  <c r="J133" i="83"/>
  <c r="P132" i="83"/>
  <c r="O132" i="83"/>
  <c r="M132" i="83"/>
  <c r="J132" i="83"/>
  <c r="P131" i="83"/>
  <c r="O131" i="83"/>
  <c r="M131" i="83"/>
  <c r="J131" i="83"/>
  <c r="O130" i="83"/>
  <c r="M130" i="83"/>
  <c r="O129" i="83"/>
  <c r="M129" i="83"/>
  <c r="O128" i="83"/>
  <c r="M128" i="83"/>
  <c r="O127" i="83"/>
  <c r="M127" i="83"/>
  <c r="O126" i="83"/>
  <c r="M126" i="83"/>
  <c r="O125" i="83"/>
  <c r="M125" i="83"/>
  <c r="O124" i="83"/>
  <c r="M124" i="83"/>
  <c r="O123" i="83"/>
  <c r="M123" i="83"/>
  <c r="O122" i="83"/>
  <c r="M122" i="83"/>
  <c r="O121" i="83"/>
  <c r="M121" i="83"/>
  <c r="O120" i="83"/>
  <c r="M120" i="83"/>
  <c r="O119" i="83"/>
  <c r="M119" i="83"/>
  <c r="O118" i="83"/>
  <c r="M118" i="83"/>
  <c r="O117" i="83"/>
  <c r="M117" i="83"/>
  <c r="O116" i="83"/>
  <c r="M116" i="83"/>
  <c r="O115" i="83"/>
  <c r="M115" i="83"/>
  <c r="O114" i="83"/>
  <c r="M114" i="83"/>
  <c r="O113" i="83"/>
  <c r="M113" i="83"/>
  <c r="O112" i="83"/>
  <c r="M112" i="83"/>
  <c r="O111" i="83"/>
  <c r="M111" i="83"/>
  <c r="O110" i="83"/>
  <c r="M110" i="83"/>
  <c r="O109" i="83"/>
  <c r="M109" i="83"/>
  <c r="O108" i="83"/>
  <c r="M108" i="83"/>
  <c r="O107" i="83"/>
  <c r="M107" i="83"/>
  <c r="O106" i="83"/>
  <c r="M106" i="83"/>
  <c r="O105" i="83"/>
  <c r="M105" i="83"/>
  <c r="O104" i="83"/>
  <c r="M104" i="83"/>
  <c r="O103" i="83"/>
  <c r="O102" i="83"/>
  <c r="O101" i="83"/>
  <c r="O100" i="83"/>
  <c r="M100" i="83"/>
  <c r="O99" i="83"/>
  <c r="P99" i="83" s="1"/>
  <c r="D96" i="83"/>
  <c r="L93" i="83"/>
  <c r="J93" i="83"/>
  <c r="D91" i="83"/>
  <c r="D89" i="83"/>
  <c r="N72" i="83"/>
  <c r="L72" i="83"/>
  <c r="N71" i="83"/>
  <c r="L71" i="83"/>
  <c r="N70" i="83"/>
  <c r="L70" i="83"/>
  <c r="N69" i="83"/>
  <c r="L69" i="83"/>
  <c r="N68" i="83"/>
  <c r="L68" i="83"/>
  <c r="N67" i="83"/>
  <c r="L67" i="83"/>
  <c r="N66" i="83"/>
  <c r="L66" i="83"/>
  <c r="N65" i="83"/>
  <c r="L65" i="83"/>
  <c r="N64" i="83"/>
  <c r="L64" i="83"/>
  <c r="N63" i="83"/>
  <c r="L63" i="83"/>
  <c r="N62" i="83"/>
  <c r="L62" i="83"/>
  <c r="N61" i="83"/>
  <c r="L61" i="83"/>
  <c r="N60" i="83"/>
  <c r="L60" i="83"/>
  <c r="N59" i="83"/>
  <c r="L59" i="83"/>
  <c r="N58" i="83"/>
  <c r="L58" i="83"/>
  <c r="N57" i="83"/>
  <c r="L57" i="83"/>
  <c r="N56" i="83"/>
  <c r="L56" i="83"/>
  <c r="N55" i="83"/>
  <c r="L55" i="83"/>
  <c r="N54" i="83"/>
  <c r="L54" i="83"/>
  <c r="N53" i="83"/>
  <c r="L53" i="83"/>
  <c r="N52" i="83"/>
  <c r="L52" i="83"/>
  <c r="N51" i="83"/>
  <c r="L51" i="83"/>
  <c r="N50" i="83"/>
  <c r="L50" i="83"/>
  <c r="N49" i="83"/>
  <c r="L49" i="83"/>
  <c r="N48" i="83"/>
  <c r="L48" i="83"/>
  <c r="N47" i="83"/>
  <c r="L47" i="83"/>
  <c r="N46" i="83"/>
  <c r="L46" i="83"/>
  <c r="N45" i="83"/>
  <c r="L45" i="83"/>
  <c r="N44" i="83"/>
  <c r="L44" i="83"/>
  <c r="N43" i="83"/>
  <c r="L43" i="83"/>
  <c r="N42" i="83"/>
  <c r="L42" i="83"/>
  <c r="N41" i="83"/>
  <c r="L41" i="83"/>
  <c r="N40" i="83"/>
  <c r="L40" i="83"/>
  <c r="N39" i="83"/>
  <c r="L39" i="83"/>
  <c r="N38" i="83"/>
  <c r="L38" i="83"/>
  <c r="N37" i="83"/>
  <c r="L37" i="83"/>
  <c r="N36" i="83"/>
  <c r="L36" i="83"/>
  <c r="N35" i="83"/>
  <c r="L35" i="83"/>
  <c r="N34" i="83"/>
  <c r="L34" i="83"/>
  <c r="N33" i="83"/>
  <c r="L33" i="83"/>
  <c r="N32" i="83"/>
  <c r="L32" i="83"/>
  <c r="N31" i="83"/>
  <c r="L31" i="83"/>
  <c r="N30" i="83"/>
  <c r="L30" i="83"/>
  <c r="N29" i="83"/>
  <c r="L29" i="83"/>
  <c r="N28" i="83"/>
  <c r="L28" i="83"/>
  <c r="N27" i="83"/>
  <c r="L27" i="83"/>
  <c r="N26" i="83"/>
  <c r="L26" i="83"/>
  <c r="N25" i="83"/>
  <c r="L25" i="83"/>
  <c r="N24" i="83"/>
  <c r="L24" i="83"/>
  <c r="N23" i="83"/>
  <c r="N22" i="83"/>
  <c r="N21" i="83"/>
  <c r="N20" i="83"/>
  <c r="N17" i="83"/>
  <c r="C17" i="83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C32" i="83" s="1"/>
  <c r="C33" i="83" s="1"/>
  <c r="C34" i="83" s="1"/>
  <c r="C35" i="83" s="1"/>
  <c r="C36" i="83" s="1"/>
  <c r="C37" i="83" s="1"/>
  <c r="C38" i="83" s="1"/>
  <c r="C39" i="83" s="1"/>
  <c r="C40" i="83" s="1"/>
  <c r="C41" i="83" s="1"/>
  <c r="C42" i="83" s="1"/>
  <c r="C43" i="83" s="1"/>
  <c r="C44" i="83" s="1"/>
  <c r="K11" i="83"/>
  <c r="I11" i="83"/>
  <c r="D8" i="83"/>
  <c r="D90" i="83" s="1"/>
  <c r="P154" i="82"/>
  <c r="O154" i="82"/>
  <c r="M154" i="82"/>
  <c r="J154" i="82"/>
  <c r="P153" i="82"/>
  <c r="O153" i="82"/>
  <c r="M153" i="82"/>
  <c r="J153" i="82"/>
  <c r="P152" i="82"/>
  <c r="O152" i="82"/>
  <c r="M152" i="82"/>
  <c r="J152" i="82"/>
  <c r="P151" i="82"/>
  <c r="O151" i="82"/>
  <c r="M151" i="82"/>
  <c r="J151" i="82"/>
  <c r="P150" i="82"/>
  <c r="O150" i="82"/>
  <c r="M150" i="82"/>
  <c r="J150" i="82"/>
  <c r="P149" i="82"/>
  <c r="O149" i="82"/>
  <c r="M149" i="82"/>
  <c r="J149" i="82"/>
  <c r="P148" i="82"/>
  <c r="O148" i="82"/>
  <c r="M148" i="82"/>
  <c r="J148" i="82"/>
  <c r="P147" i="82"/>
  <c r="O147" i="82"/>
  <c r="M147" i="82"/>
  <c r="J147" i="82"/>
  <c r="P146" i="82"/>
  <c r="O146" i="82"/>
  <c r="M146" i="82"/>
  <c r="J146" i="82"/>
  <c r="P145" i="82"/>
  <c r="O145" i="82"/>
  <c r="M145" i="82"/>
  <c r="J145" i="82"/>
  <c r="P144" i="82"/>
  <c r="O144" i="82"/>
  <c r="M144" i="82"/>
  <c r="J144" i="82"/>
  <c r="P143" i="82"/>
  <c r="O143" i="82"/>
  <c r="M143" i="82"/>
  <c r="J143" i="82"/>
  <c r="P142" i="82"/>
  <c r="O142" i="82"/>
  <c r="M142" i="82"/>
  <c r="J142" i="82"/>
  <c r="P141" i="82"/>
  <c r="O141" i="82"/>
  <c r="M141" i="82"/>
  <c r="J141" i="82"/>
  <c r="P140" i="82"/>
  <c r="O140" i="82"/>
  <c r="M140" i="82"/>
  <c r="J140" i="82"/>
  <c r="P139" i="82"/>
  <c r="O139" i="82"/>
  <c r="M139" i="82"/>
  <c r="J139" i="82"/>
  <c r="P138" i="82"/>
  <c r="O138" i="82"/>
  <c r="M138" i="82"/>
  <c r="J138" i="82"/>
  <c r="P137" i="82"/>
  <c r="O137" i="82"/>
  <c r="M137" i="82"/>
  <c r="J137" i="82"/>
  <c r="P136" i="82"/>
  <c r="O136" i="82"/>
  <c r="M136" i="82"/>
  <c r="J136" i="82"/>
  <c r="P135" i="82"/>
  <c r="O135" i="82"/>
  <c r="M135" i="82"/>
  <c r="J135" i="82"/>
  <c r="P134" i="82"/>
  <c r="O134" i="82"/>
  <c r="M134" i="82"/>
  <c r="J134" i="82"/>
  <c r="P133" i="82"/>
  <c r="O133" i="82"/>
  <c r="M133" i="82"/>
  <c r="J133" i="82"/>
  <c r="P132" i="82"/>
  <c r="O132" i="82"/>
  <c r="M132" i="82"/>
  <c r="J132" i="82"/>
  <c r="P131" i="82"/>
  <c r="O131" i="82"/>
  <c r="M131" i="82"/>
  <c r="J131" i="82"/>
  <c r="O130" i="82"/>
  <c r="M130" i="82"/>
  <c r="O129" i="82"/>
  <c r="M129" i="82"/>
  <c r="O128" i="82"/>
  <c r="M128" i="82"/>
  <c r="O127" i="82"/>
  <c r="M127" i="82"/>
  <c r="O126" i="82"/>
  <c r="M126" i="82"/>
  <c r="O125" i="82"/>
  <c r="M125" i="82"/>
  <c r="O124" i="82"/>
  <c r="M124" i="82"/>
  <c r="O123" i="82"/>
  <c r="M123" i="82"/>
  <c r="O122" i="82"/>
  <c r="M122" i="82"/>
  <c r="O121" i="82"/>
  <c r="M121" i="82"/>
  <c r="O120" i="82"/>
  <c r="M120" i="82"/>
  <c r="O119" i="82"/>
  <c r="M119" i="82"/>
  <c r="O118" i="82"/>
  <c r="M118" i="82"/>
  <c r="O117" i="82"/>
  <c r="M117" i="82"/>
  <c r="O116" i="82"/>
  <c r="M116" i="82"/>
  <c r="O115" i="82"/>
  <c r="M115" i="82"/>
  <c r="O114" i="82"/>
  <c r="M114" i="82"/>
  <c r="O113" i="82"/>
  <c r="M113" i="82"/>
  <c r="O112" i="82"/>
  <c r="M112" i="82"/>
  <c r="O111" i="82"/>
  <c r="M111" i="82"/>
  <c r="O110" i="82"/>
  <c r="M110" i="82"/>
  <c r="O109" i="82"/>
  <c r="M109" i="82"/>
  <c r="O108" i="82"/>
  <c r="M108" i="82"/>
  <c r="O107" i="82"/>
  <c r="M107" i="82"/>
  <c r="O106" i="82"/>
  <c r="M106" i="82"/>
  <c r="O105" i="82"/>
  <c r="M105" i="82"/>
  <c r="O104" i="82"/>
  <c r="M104" i="82"/>
  <c r="O103" i="82"/>
  <c r="O102" i="82"/>
  <c r="O100" i="82"/>
  <c r="M100" i="82"/>
  <c r="O99" i="82"/>
  <c r="P99" i="82" s="1"/>
  <c r="M99" i="82"/>
  <c r="D96" i="82"/>
  <c r="L93" i="82"/>
  <c r="J93" i="82"/>
  <c r="D91" i="82"/>
  <c r="D89" i="82"/>
  <c r="N72" i="82"/>
  <c r="L72" i="82"/>
  <c r="N71" i="82"/>
  <c r="L71" i="82"/>
  <c r="N70" i="82"/>
  <c r="L70" i="82"/>
  <c r="N69" i="82"/>
  <c r="L69" i="82"/>
  <c r="N68" i="82"/>
  <c r="L68" i="82"/>
  <c r="N67" i="82"/>
  <c r="L67" i="82"/>
  <c r="N66" i="82"/>
  <c r="L66" i="82"/>
  <c r="N65" i="82"/>
  <c r="L65" i="82"/>
  <c r="N64" i="82"/>
  <c r="L64" i="82"/>
  <c r="N63" i="82"/>
  <c r="L63" i="82"/>
  <c r="N62" i="82"/>
  <c r="L62" i="82"/>
  <c r="N61" i="82"/>
  <c r="L61" i="82"/>
  <c r="N60" i="82"/>
  <c r="L60" i="82"/>
  <c r="N59" i="82"/>
  <c r="L59" i="82"/>
  <c r="N58" i="82"/>
  <c r="L58" i="82"/>
  <c r="N57" i="82"/>
  <c r="L57" i="82"/>
  <c r="N56" i="82"/>
  <c r="L56" i="82"/>
  <c r="N55" i="82"/>
  <c r="L55" i="82"/>
  <c r="N54" i="82"/>
  <c r="L54" i="82"/>
  <c r="N53" i="82"/>
  <c r="L53" i="82"/>
  <c r="N52" i="82"/>
  <c r="L52" i="82"/>
  <c r="N51" i="82"/>
  <c r="L51" i="82"/>
  <c r="N50" i="82"/>
  <c r="L50" i="82"/>
  <c r="N49" i="82"/>
  <c r="L49" i="82"/>
  <c r="N48" i="82"/>
  <c r="L48" i="82"/>
  <c r="N47" i="82"/>
  <c r="L47" i="82"/>
  <c r="N46" i="82"/>
  <c r="L46" i="82"/>
  <c r="N45" i="82"/>
  <c r="L45" i="82"/>
  <c r="N44" i="82"/>
  <c r="L44" i="82"/>
  <c r="N43" i="82"/>
  <c r="L43" i="82"/>
  <c r="N42" i="82"/>
  <c r="L42" i="82"/>
  <c r="N41" i="82"/>
  <c r="L41" i="82"/>
  <c r="N40" i="82"/>
  <c r="L40" i="82"/>
  <c r="N39" i="82"/>
  <c r="L39" i="82"/>
  <c r="N38" i="82"/>
  <c r="L38" i="82"/>
  <c r="N37" i="82"/>
  <c r="L37" i="82"/>
  <c r="N36" i="82"/>
  <c r="L36" i="82"/>
  <c r="N35" i="82"/>
  <c r="L35" i="82"/>
  <c r="N34" i="82"/>
  <c r="L34" i="82"/>
  <c r="N33" i="82"/>
  <c r="L33" i="82"/>
  <c r="N32" i="82"/>
  <c r="L32" i="82"/>
  <c r="N31" i="82"/>
  <c r="L31" i="82"/>
  <c r="N30" i="82"/>
  <c r="L30" i="82"/>
  <c r="N29" i="82"/>
  <c r="L29" i="82"/>
  <c r="N28" i="82"/>
  <c r="L28" i="82"/>
  <c r="N27" i="82"/>
  <c r="L27" i="82"/>
  <c r="N26" i="82"/>
  <c r="L26" i="82"/>
  <c r="N25" i="82"/>
  <c r="L25" i="82"/>
  <c r="N24" i="82"/>
  <c r="L24" i="82"/>
  <c r="N23" i="82"/>
  <c r="N22" i="82"/>
  <c r="N21" i="82"/>
  <c r="N20" i="82"/>
  <c r="L17" i="82"/>
  <c r="C17" i="82"/>
  <c r="C18" i="82" s="1"/>
  <c r="C19" i="82" s="1"/>
  <c r="C20" i="82" s="1"/>
  <c r="C21" i="82" s="1"/>
  <c r="C22" i="82" s="1"/>
  <c r="C23" i="82" s="1"/>
  <c r="C24" i="82" s="1"/>
  <c r="C25" i="82" s="1"/>
  <c r="C26" i="82" s="1"/>
  <c r="C27" i="82" s="1"/>
  <c r="C28" i="82" s="1"/>
  <c r="C29" i="82" s="1"/>
  <c r="C30" i="82" s="1"/>
  <c r="C31" i="82" s="1"/>
  <c r="C32" i="82" s="1"/>
  <c r="C33" i="82" s="1"/>
  <c r="C34" i="82" s="1"/>
  <c r="C35" i="82" s="1"/>
  <c r="C36" i="82" s="1"/>
  <c r="C37" i="82" s="1"/>
  <c r="C38" i="82" s="1"/>
  <c r="C39" i="82" s="1"/>
  <c r="C40" i="82" s="1"/>
  <c r="C41" i="82" s="1"/>
  <c r="C42" i="82" s="1"/>
  <c r="C43" i="82" s="1"/>
  <c r="C44" i="82" s="1"/>
  <c r="K11" i="82"/>
  <c r="I11" i="82"/>
  <c r="D8" i="82"/>
  <c r="D90" i="82" s="1"/>
  <c r="P154" i="81"/>
  <c r="O154" i="81"/>
  <c r="M154" i="81"/>
  <c r="J154" i="81"/>
  <c r="P153" i="81"/>
  <c r="O153" i="81"/>
  <c r="M153" i="81"/>
  <c r="J153" i="81"/>
  <c r="P152" i="81"/>
  <c r="O152" i="81"/>
  <c r="M152" i="81"/>
  <c r="J152" i="81"/>
  <c r="P151" i="81"/>
  <c r="O151" i="81"/>
  <c r="M151" i="81"/>
  <c r="J151" i="81"/>
  <c r="P150" i="81"/>
  <c r="O150" i="81"/>
  <c r="M150" i="81"/>
  <c r="J150" i="81"/>
  <c r="P149" i="81"/>
  <c r="O149" i="81"/>
  <c r="M149" i="81"/>
  <c r="J149" i="81"/>
  <c r="P148" i="81"/>
  <c r="O148" i="81"/>
  <c r="M148" i="81"/>
  <c r="J148" i="81"/>
  <c r="P147" i="81"/>
  <c r="O147" i="81"/>
  <c r="M147" i="81"/>
  <c r="J147" i="81"/>
  <c r="P146" i="81"/>
  <c r="O146" i="81"/>
  <c r="M146" i="81"/>
  <c r="J146" i="81"/>
  <c r="P145" i="81"/>
  <c r="O145" i="81"/>
  <c r="M145" i="81"/>
  <c r="J145" i="81"/>
  <c r="P144" i="81"/>
  <c r="O144" i="81"/>
  <c r="M144" i="81"/>
  <c r="J144" i="81"/>
  <c r="P143" i="81"/>
  <c r="O143" i="81"/>
  <c r="M143" i="81"/>
  <c r="J143" i="81"/>
  <c r="P142" i="81"/>
  <c r="O142" i="81"/>
  <c r="M142" i="81"/>
  <c r="J142" i="81"/>
  <c r="P141" i="81"/>
  <c r="O141" i="81"/>
  <c r="M141" i="81"/>
  <c r="J141" i="81"/>
  <c r="P140" i="81"/>
  <c r="O140" i="81"/>
  <c r="M140" i="81"/>
  <c r="J140" i="81"/>
  <c r="P139" i="81"/>
  <c r="O139" i="81"/>
  <c r="M139" i="81"/>
  <c r="J139" i="81"/>
  <c r="P138" i="81"/>
  <c r="O138" i="81"/>
  <c r="M138" i="81"/>
  <c r="J138" i="81"/>
  <c r="P137" i="81"/>
  <c r="O137" i="81"/>
  <c r="M137" i="81"/>
  <c r="J137" i="81"/>
  <c r="P136" i="81"/>
  <c r="O136" i="81"/>
  <c r="M136" i="81"/>
  <c r="J136" i="81"/>
  <c r="P135" i="81"/>
  <c r="O135" i="81"/>
  <c r="M135" i="81"/>
  <c r="J135" i="81"/>
  <c r="P134" i="81"/>
  <c r="O134" i="81"/>
  <c r="M134" i="81"/>
  <c r="J134" i="81"/>
  <c r="P133" i="81"/>
  <c r="O133" i="81"/>
  <c r="M133" i="81"/>
  <c r="J133" i="81"/>
  <c r="P132" i="81"/>
  <c r="O132" i="81"/>
  <c r="M132" i="81"/>
  <c r="J132" i="81"/>
  <c r="P131" i="81"/>
  <c r="O131" i="81"/>
  <c r="M131" i="81"/>
  <c r="J131" i="81"/>
  <c r="O130" i="81"/>
  <c r="M130" i="81"/>
  <c r="O129" i="81"/>
  <c r="M129" i="81"/>
  <c r="O128" i="81"/>
  <c r="M128" i="81"/>
  <c r="O127" i="81"/>
  <c r="M127" i="81"/>
  <c r="O126" i="81"/>
  <c r="M126" i="81"/>
  <c r="O125" i="81"/>
  <c r="M125" i="81"/>
  <c r="O124" i="81"/>
  <c r="M124" i="81"/>
  <c r="O123" i="81"/>
  <c r="M123" i="81"/>
  <c r="O122" i="81"/>
  <c r="M122" i="81"/>
  <c r="O121" i="81"/>
  <c r="M121" i="81"/>
  <c r="O120" i="81"/>
  <c r="M120" i="81"/>
  <c r="O119" i="81"/>
  <c r="M119" i="81"/>
  <c r="O118" i="81"/>
  <c r="M118" i="81"/>
  <c r="O117" i="81"/>
  <c r="M117" i="81"/>
  <c r="O116" i="81"/>
  <c r="M116" i="81"/>
  <c r="O115" i="81"/>
  <c r="M115" i="81"/>
  <c r="O114" i="81"/>
  <c r="M114" i="81"/>
  <c r="O113" i="81"/>
  <c r="M113" i="81"/>
  <c r="O112" i="81"/>
  <c r="M112" i="81"/>
  <c r="O111" i="81"/>
  <c r="M111" i="81"/>
  <c r="O110" i="81"/>
  <c r="M110" i="81"/>
  <c r="O109" i="81"/>
  <c r="M109" i="81"/>
  <c r="O108" i="81"/>
  <c r="M108" i="81"/>
  <c r="O107" i="81"/>
  <c r="M107" i="81"/>
  <c r="O106" i="81"/>
  <c r="M106" i="81"/>
  <c r="O105" i="81"/>
  <c r="M105" i="81"/>
  <c r="O104" i="81"/>
  <c r="M104" i="81"/>
  <c r="O103" i="81"/>
  <c r="O102" i="81"/>
  <c r="O99" i="81"/>
  <c r="D96" i="81"/>
  <c r="L93" i="81"/>
  <c r="J93" i="81"/>
  <c r="D91" i="81"/>
  <c r="D89" i="81"/>
  <c r="N72" i="81"/>
  <c r="L72" i="81"/>
  <c r="N71" i="81"/>
  <c r="L71" i="81"/>
  <c r="N70" i="81"/>
  <c r="L70" i="81"/>
  <c r="N69" i="81"/>
  <c r="L69" i="81"/>
  <c r="N68" i="81"/>
  <c r="L68" i="81"/>
  <c r="N67" i="81"/>
  <c r="L67" i="81"/>
  <c r="N66" i="81"/>
  <c r="L66" i="81"/>
  <c r="N65" i="81"/>
  <c r="L65" i="81"/>
  <c r="N64" i="81"/>
  <c r="L64" i="81"/>
  <c r="N63" i="81"/>
  <c r="L63" i="81"/>
  <c r="N62" i="81"/>
  <c r="L62" i="81"/>
  <c r="N61" i="81"/>
  <c r="L61" i="81"/>
  <c r="N60" i="81"/>
  <c r="L60" i="81"/>
  <c r="N59" i="81"/>
  <c r="L59" i="81"/>
  <c r="N58" i="81"/>
  <c r="L58" i="81"/>
  <c r="N57" i="81"/>
  <c r="L57" i="81"/>
  <c r="N56" i="81"/>
  <c r="L56" i="81"/>
  <c r="N55" i="81"/>
  <c r="L55" i="81"/>
  <c r="N54" i="81"/>
  <c r="L54" i="81"/>
  <c r="N53" i="81"/>
  <c r="L53" i="81"/>
  <c r="N52" i="81"/>
  <c r="L52" i="81"/>
  <c r="N51" i="81"/>
  <c r="L51" i="81"/>
  <c r="N50" i="81"/>
  <c r="L50" i="81"/>
  <c r="N49" i="81"/>
  <c r="L49" i="81"/>
  <c r="N48" i="81"/>
  <c r="L48" i="81"/>
  <c r="N47" i="81"/>
  <c r="L47" i="81"/>
  <c r="N46" i="81"/>
  <c r="L46" i="81"/>
  <c r="N45" i="81"/>
  <c r="L45" i="81"/>
  <c r="N44" i="81"/>
  <c r="L44" i="81"/>
  <c r="N43" i="81"/>
  <c r="L43" i="81"/>
  <c r="N42" i="81"/>
  <c r="L42" i="81"/>
  <c r="N41" i="81"/>
  <c r="L41" i="81"/>
  <c r="N40" i="81"/>
  <c r="L40" i="81"/>
  <c r="N39" i="81"/>
  <c r="L39" i="81"/>
  <c r="N38" i="81"/>
  <c r="L38" i="81"/>
  <c r="N37" i="81"/>
  <c r="L37" i="81"/>
  <c r="N36" i="81"/>
  <c r="L36" i="81"/>
  <c r="N35" i="81"/>
  <c r="L35" i="81"/>
  <c r="N34" i="81"/>
  <c r="L34" i="81"/>
  <c r="N33" i="81"/>
  <c r="L33" i="81"/>
  <c r="N32" i="81"/>
  <c r="L32" i="81"/>
  <c r="N31" i="81"/>
  <c r="L31" i="81"/>
  <c r="N30" i="81"/>
  <c r="L30" i="81"/>
  <c r="N29" i="81"/>
  <c r="L29" i="81"/>
  <c r="N28" i="81"/>
  <c r="L28" i="81"/>
  <c r="N27" i="81"/>
  <c r="L27" i="81"/>
  <c r="N26" i="81"/>
  <c r="L26" i="81"/>
  <c r="N25" i="81"/>
  <c r="L25" i="81"/>
  <c r="N24" i="81"/>
  <c r="L24" i="81"/>
  <c r="N23" i="81"/>
  <c r="N22" i="81"/>
  <c r="N21" i="81"/>
  <c r="N20" i="81"/>
  <c r="N17" i="81"/>
  <c r="C17" i="81"/>
  <c r="C18" i="81" s="1"/>
  <c r="C19" i="81" s="1"/>
  <c r="C20" i="81" s="1"/>
  <c r="C21" i="81" s="1"/>
  <c r="C22" i="81" s="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C37" i="81" s="1"/>
  <c r="C38" i="81" s="1"/>
  <c r="C39" i="81" s="1"/>
  <c r="C40" i="81" s="1"/>
  <c r="C41" i="81" s="1"/>
  <c r="C42" i="81" s="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K11" i="81"/>
  <c r="I11" i="81"/>
  <c r="D8" i="81"/>
  <c r="D90" i="81" s="1"/>
  <c r="P154" i="80"/>
  <c r="O154" i="80"/>
  <c r="M154" i="80"/>
  <c r="J154" i="80"/>
  <c r="P153" i="80"/>
  <c r="O153" i="80"/>
  <c r="M153" i="80"/>
  <c r="J153" i="80"/>
  <c r="P152" i="80"/>
  <c r="O152" i="80"/>
  <c r="M152" i="80"/>
  <c r="J152" i="80"/>
  <c r="P151" i="80"/>
  <c r="O151" i="80"/>
  <c r="M151" i="80"/>
  <c r="J151" i="80"/>
  <c r="P150" i="80"/>
  <c r="O150" i="80"/>
  <c r="M150" i="80"/>
  <c r="J150" i="80"/>
  <c r="P149" i="80"/>
  <c r="O149" i="80"/>
  <c r="M149" i="80"/>
  <c r="J149" i="80"/>
  <c r="P148" i="80"/>
  <c r="O148" i="80"/>
  <c r="M148" i="80"/>
  <c r="J148" i="80"/>
  <c r="P147" i="80"/>
  <c r="O147" i="80"/>
  <c r="M147" i="80"/>
  <c r="J147" i="80"/>
  <c r="P146" i="80"/>
  <c r="O146" i="80"/>
  <c r="M146" i="80"/>
  <c r="J146" i="80"/>
  <c r="P145" i="80"/>
  <c r="O145" i="80"/>
  <c r="M145" i="80"/>
  <c r="J145" i="80"/>
  <c r="P144" i="80"/>
  <c r="O144" i="80"/>
  <c r="M144" i="80"/>
  <c r="J144" i="80"/>
  <c r="P143" i="80"/>
  <c r="O143" i="80"/>
  <c r="M143" i="80"/>
  <c r="J143" i="80"/>
  <c r="P142" i="80"/>
  <c r="O142" i="80"/>
  <c r="M142" i="80"/>
  <c r="J142" i="80"/>
  <c r="P141" i="80"/>
  <c r="O141" i="80"/>
  <c r="M141" i="80"/>
  <c r="J141" i="80"/>
  <c r="P140" i="80"/>
  <c r="O140" i="80"/>
  <c r="M140" i="80"/>
  <c r="J140" i="80"/>
  <c r="P139" i="80"/>
  <c r="O139" i="80"/>
  <c r="M139" i="80"/>
  <c r="J139" i="80"/>
  <c r="P138" i="80"/>
  <c r="O138" i="80"/>
  <c r="M138" i="80"/>
  <c r="J138" i="80"/>
  <c r="P137" i="80"/>
  <c r="O137" i="80"/>
  <c r="M137" i="80"/>
  <c r="J137" i="80"/>
  <c r="P136" i="80"/>
  <c r="O136" i="80"/>
  <c r="M136" i="80"/>
  <c r="J136" i="80"/>
  <c r="P135" i="80"/>
  <c r="O135" i="80"/>
  <c r="M135" i="80"/>
  <c r="J135" i="80"/>
  <c r="P134" i="80"/>
  <c r="O134" i="80"/>
  <c r="M134" i="80"/>
  <c r="J134" i="80"/>
  <c r="P133" i="80"/>
  <c r="O133" i="80"/>
  <c r="M133" i="80"/>
  <c r="J133" i="80"/>
  <c r="P132" i="80"/>
  <c r="O132" i="80"/>
  <c r="M132" i="80"/>
  <c r="J132" i="80"/>
  <c r="P131" i="80"/>
  <c r="O131" i="80"/>
  <c r="M131" i="80"/>
  <c r="J131" i="80"/>
  <c r="O130" i="80"/>
  <c r="M130" i="80"/>
  <c r="O129" i="80"/>
  <c r="M129" i="80"/>
  <c r="O128" i="80"/>
  <c r="M128" i="80"/>
  <c r="O127" i="80"/>
  <c r="M127" i="80"/>
  <c r="O126" i="80"/>
  <c r="M126" i="80"/>
  <c r="O125" i="80"/>
  <c r="M125" i="80"/>
  <c r="O124" i="80"/>
  <c r="M124" i="80"/>
  <c r="O123" i="80"/>
  <c r="M123" i="80"/>
  <c r="O122" i="80"/>
  <c r="M122" i="80"/>
  <c r="O121" i="80"/>
  <c r="M121" i="80"/>
  <c r="O120" i="80"/>
  <c r="M120" i="80"/>
  <c r="O119" i="80"/>
  <c r="M119" i="80"/>
  <c r="O118" i="80"/>
  <c r="M118" i="80"/>
  <c r="O117" i="80"/>
  <c r="M117" i="80"/>
  <c r="O116" i="80"/>
  <c r="M116" i="80"/>
  <c r="O115" i="80"/>
  <c r="M115" i="80"/>
  <c r="O114" i="80"/>
  <c r="M114" i="80"/>
  <c r="O113" i="80"/>
  <c r="M113" i="80"/>
  <c r="O112" i="80"/>
  <c r="M112" i="80"/>
  <c r="O111" i="80"/>
  <c r="M111" i="80"/>
  <c r="O110" i="80"/>
  <c r="M110" i="80"/>
  <c r="O109" i="80"/>
  <c r="M109" i="80"/>
  <c r="O108" i="80"/>
  <c r="M108" i="80"/>
  <c r="O107" i="80"/>
  <c r="M107" i="80"/>
  <c r="O106" i="80"/>
  <c r="M106" i="80"/>
  <c r="O105" i="80"/>
  <c r="M105" i="80"/>
  <c r="O104" i="80"/>
  <c r="M104" i="80"/>
  <c r="O103" i="80"/>
  <c r="O102" i="80"/>
  <c r="O100" i="80"/>
  <c r="M100" i="80"/>
  <c r="O99" i="80"/>
  <c r="M99" i="80"/>
  <c r="D96" i="80"/>
  <c r="L93" i="80"/>
  <c r="J93" i="80"/>
  <c r="D91" i="80"/>
  <c r="D89" i="80"/>
  <c r="N72" i="80"/>
  <c r="L72" i="80"/>
  <c r="N71" i="80"/>
  <c r="L71" i="80"/>
  <c r="N70" i="80"/>
  <c r="L70" i="80"/>
  <c r="N69" i="80"/>
  <c r="L69" i="80"/>
  <c r="N68" i="80"/>
  <c r="L68" i="80"/>
  <c r="N67" i="80"/>
  <c r="L67" i="80"/>
  <c r="N66" i="80"/>
  <c r="L66" i="80"/>
  <c r="N65" i="80"/>
  <c r="L65" i="80"/>
  <c r="N64" i="80"/>
  <c r="L64" i="80"/>
  <c r="N63" i="80"/>
  <c r="L63" i="80"/>
  <c r="N62" i="80"/>
  <c r="L62" i="80"/>
  <c r="N61" i="80"/>
  <c r="L61" i="80"/>
  <c r="N60" i="80"/>
  <c r="L60" i="80"/>
  <c r="N59" i="80"/>
  <c r="L59" i="80"/>
  <c r="N58" i="80"/>
  <c r="L58" i="80"/>
  <c r="N57" i="80"/>
  <c r="L57" i="80"/>
  <c r="N56" i="80"/>
  <c r="L56" i="80"/>
  <c r="N55" i="80"/>
  <c r="L55" i="80"/>
  <c r="N54" i="80"/>
  <c r="L54" i="80"/>
  <c r="N53" i="80"/>
  <c r="L53" i="80"/>
  <c r="N52" i="80"/>
  <c r="L52" i="80"/>
  <c r="N51" i="80"/>
  <c r="L51" i="80"/>
  <c r="N50" i="80"/>
  <c r="L50" i="80"/>
  <c r="N49" i="80"/>
  <c r="L49" i="80"/>
  <c r="N48" i="80"/>
  <c r="L48" i="80"/>
  <c r="N47" i="80"/>
  <c r="L47" i="80"/>
  <c r="N46" i="80"/>
  <c r="L46" i="80"/>
  <c r="N45" i="80"/>
  <c r="L45" i="80"/>
  <c r="N44" i="80"/>
  <c r="L44" i="80"/>
  <c r="N43" i="80"/>
  <c r="L43" i="80"/>
  <c r="N42" i="80"/>
  <c r="L42" i="80"/>
  <c r="N41" i="80"/>
  <c r="L41" i="80"/>
  <c r="N40" i="80"/>
  <c r="L40" i="80"/>
  <c r="N39" i="80"/>
  <c r="L39" i="80"/>
  <c r="N38" i="80"/>
  <c r="L38" i="80"/>
  <c r="N37" i="80"/>
  <c r="L37" i="80"/>
  <c r="N36" i="80"/>
  <c r="L36" i="80"/>
  <c r="N35" i="80"/>
  <c r="L35" i="80"/>
  <c r="N34" i="80"/>
  <c r="L34" i="80"/>
  <c r="N33" i="80"/>
  <c r="L33" i="80"/>
  <c r="N32" i="80"/>
  <c r="L32" i="80"/>
  <c r="N31" i="80"/>
  <c r="L31" i="80"/>
  <c r="N30" i="80"/>
  <c r="L30" i="80"/>
  <c r="N29" i="80"/>
  <c r="L29" i="80"/>
  <c r="N28" i="80"/>
  <c r="L28" i="80"/>
  <c r="N27" i="80"/>
  <c r="L27" i="80"/>
  <c r="N26" i="80"/>
  <c r="L26" i="80"/>
  <c r="N25" i="80"/>
  <c r="L25" i="80"/>
  <c r="N24" i="80"/>
  <c r="L24" i="80"/>
  <c r="N23" i="80"/>
  <c r="N22" i="80"/>
  <c r="N21" i="80"/>
  <c r="N20" i="80"/>
  <c r="L17" i="80"/>
  <c r="C17" i="80"/>
  <c r="C18" i="80" s="1"/>
  <c r="C19" i="80" s="1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 s="1"/>
  <c r="C36" i="80" s="1"/>
  <c r="C37" i="80" s="1"/>
  <c r="C38" i="80" s="1"/>
  <c r="C39" i="80" s="1"/>
  <c r="C40" i="80" s="1"/>
  <c r="C41" i="80" s="1"/>
  <c r="C42" i="80" s="1"/>
  <c r="C43" i="80" s="1"/>
  <c r="C44" i="80" s="1"/>
  <c r="K11" i="80"/>
  <c r="I11" i="80"/>
  <c r="D8" i="80"/>
  <c r="D90" i="80" s="1"/>
  <c r="M17" i="79"/>
  <c r="N17" i="79" s="1"/>
  <c r="K17" i="79"/>
  <c r="L17" i="79" s="1"/>
  <c r="M17" i="78"/>
  <c r="N17" i="78" s="1"/>
  <c r="K17" i="78"/>
  <c r="L17" i="78" s="1"/>
  <c r="M17" i="77"/>
  <c r="N17" i="77" s="1"/>
  <c r="K17" i="77"/>
  <c r="L17" i="77" s="1"/>
  <c r="M17" i="76"/>
  <c r="N17" i="76" s="1"/>
  <c r="K17" i="76"/>
  <c r="L17" i="76" s="1"/>
  <c r="D94" i="74"/>
  <c r="C99" i="74"/>
  <c r="C100" i="74" s="1"/>
  <c r="C101" i="74" s="1"/>
  <c r="C102" i="74" s="1"/>
  <c r="C103" i="74" s="1"/>
  <c r="C104" i="74" s="1"/>
  <c r="C105" i="74" s="1"/>
  <c r="C106" i="74" s="1"/>
  <c r="C107" i="74" s="1"/>
  <c r="C108" i="74" s="1"/>
  <c r="C109" i="74" s="1"/>
  <c r="C110" i="74" s="1"/>
  <c r="C111" i="74" s="1"/>
  <c r="C112" i="74" s="1"/>
  <c r="C113" i="74" s="1"/>
  <c r="C114" i="74" s="1"/>
  <c r="C115" i="74" s="1"/>
  <c r="C116" i="74" s="1"/>
  <c r="C117" i="74" s="1"/>
  <c r="C118" i="74" s="1"/>
  <c r="C119" i="74" s="1"/>
  <c r="C120" i="74" s="1"/>
  <c r="C121" i="74" s="1"/>
  <c r="C122" i="74" s="1"/>
  <c r="C123" i="74" s="1"/>
  <c r="C124" i="74" s="1"/>
  <c r="C125" i="74" s="1"/>
  <c r="C126" i="74" s="1"/>
  <c r="C127" i="74" s="1"/>
  <c r="C128" i="74" s="1"/>
  <c r="C129" i="74" s="1"/>
  <c r="C130" i="74" s="1"/>
  <c r="C131" i="74" s="1"/>
  <c r="C132" i="74" s="1"/>
  <c r="C133" i="74" s="1"/>
  <c r="C134" i="74" s="1"/>
  <c r="C135" i="74" s="1"/>
  <c r="C136" i="74" s="1"/>
  <c r="C137" i="74" s="1"/>
  <c r="C138" i="74" s="1"/>
  <c r="C139" i="74" s="1"/>
  <c r="C140" i="74" s="1"/>
  <c r="C141" i="74" s="1"/>
  <c r="C142" i="74" s="1"/>
  <c r="C143" i="74" s="1"/>
  <c r="C144" i="74" s="1"/>
  <c r="C145" i="74" s="1"/>
  <c r="C146" i="74" s="1"/>
  <c r="C147" i="74" s="1"/>
  <c r="C148" i="74" s="1"/>
  <c r="C149" i="74" s="1"/>
  <c r="C150" i="74" s="1"/>
  <c r="C151" i="74" s="1"/>
  <c r="C152" i="74" s="1"/>
  <c r="C153" i="74" s="1"/>
  <c r="C154" i="74" s="1"/>
  <c r="D94" i="73"/>
  <c r="D93" i="73"/>
  <c r="M22" i="73"/>
  <c r="N22" i="73" s="1"/>
  <c r="K22" i="73"/>
  <c r="L22" i="73" s="1"/>
  <c r="D94" i="72"/>
  <c r="D93" i="72"/>
  <c r="M20" i="72"/>
  <c r="N20" i="72" s="1"/>
  <c r="K20" i="72"/>
  <c r="L20" i="72" s="1"/>
  <c r="D94" i="71"/>
  <c r="D93" i="71"/>
  <c r="M24" i="71"/>
  <c r="N24" i="71" s="1"/>
  <c r="K24" i="71"/>
  <c r="L24" i="71" s="1"/>
  <c r="D94" i="70"/>
  <c r="D93" i="70"/>
  <c r="M25" i="70"/>
  <c r="N25" i="70" s="1"/>
  <c r="K25" i="70"/>
  <c r="L25" i="70" s="1"/>
  <c r="M17" i="75"/>
  <c r="N17" i="75" s="1"/>
  <c r="K17" i="75"/>
  <c r="L17" i="75" s="1"/>
  <c r="D94" i="69"/>
  <c r="M25" i="69"/>
  <c r="N25" i="69" s="1"/>
  <c r="K25" i="69"/>
  <c r="L25" i="69" s="1"/>
  <c r="B19" i="68"/>
  <c r="N99" i="68"/>
  <c r="O99" i="68" s="1"/>
  <c r="L99" i="68"/>
  <c r="M99" i="68"/>
  <c r="M18" i="68"/>
  <c r="N18" i="68" s="1"/>
  <c r="O18" i="68" s="1"/>
  <c r="K18" i="68"/>
  <c r="L18" i="68" s="1"/>
  <c r="B19" i="67"/>
  <c r="M18" i="67"/>
  <c r="N18" i="67" s="1"/>
  <c r="K18" i="67"/>
  <c r="L18" i="67" s="1"/>
  <c r="N99" i="66"/>
  <c r="O99" i="66" s="1"/>
  <c r="L99" i="66"/>
  <c r="M99" i="66" s="1"/>
  <c r="M18" i="66"/>
  <c r="N18" i="66" s="1"/>
  <c r="K18" i="66"/>
  <c r="L18" i="66" s="1"/>
  <c r="N99" i="65"/>
  <c r="O99" i="65" s="1"/>
  <c r="L99" i="65"/>
  <c r="M99" i="65" s="1"/>
  <c r="P99" i="65" s="1"/>
  <c r="M18" i="65"/>
  <c r="N18" i="65" s="1"/>
  <c r="K18" i="65"/>
  <c r="L18" i="65" s="1"/>
  <c r="N100" i="64"/>
  <c r="O100" i="64" s="1"/>
  <c r="L100" i="64"/>
  <c r="M100" i="64" s="1"/>
  <c r="M19" i="64"/>
  <c r="N19" i="64" s="1"/>
  <c r="K19" i="64"/>
  <c r="L19" i="64" s="1"/>
  <c r="M19" i="60"/>
  <c r="N19" i="60" s="1"/>
  <c r="K19" i="60"/>
  <c r="L19" i="60" s="1"/>
  <c r="N100" i="60"/>
  <c r="O100" i="60" s="1"/>
  <c r="L100" i="60"/>
  <c r="M100" i="60" s="1"/>
  <c r="N100" i="62"/>
  <c r="O100" i="62" s="1"/>
  <c r="L100" i="62"/>
  <c r="M100" i="62" s="1"/>
  <c r="M19" i="62"/>
  <c r="N19" i="62" s="1"/>
  <c r="K19" i="62"/>
  <c r="L19" i="62" s="1"/>
  <c r="N100" i="63"/>
  <c r="O100" i="63" s="1"/>
  <c r="L100" i="63"/>
  <c r="M100" i="63"/>
  <c r="M19" i="63"/>
  <c r="N19" i="63" s="1"/>
  <c r="K19" i="63"/>
  <c r="L19" i="63" s="1"/>
  <c r="N101" i="61"/>
  <c r="O101" i="61"/>
  <c r="L101" i="61"/>
  <c r="M101" i="61" s="1"/>
  <c r="M20" i="61"/>
  <c r="N20" i="61" s="1"/>
  <c r="K20" i="61"/>
  <c r="L20" i="61" s="1"/>
  <c r="N100" i="61"/>
  <c r="O100" i="61" s="1"/>
  <c r="L100" i="61"/>
  <c r="M100" i="61" s="1"/>
  <c r="M19" i="61"/>
  <c r="N19" i="61" s="1"/>
  <c r="K19" i="61"/>
  <c r="L19" i="61" s="1"/>
  <c r="N100" i="59"/>
  <c r="O100" i="59" s="1"/>
  <c r="L100" i="59"/>
  <c r="M100" i="59" s="1"/>
  <c r="M19" i="59"/>
  <c r="N19" i="59" s="1"/>
  <c r="K19" i="59"/>
  <c r="L19" i="59" s="1"/>
  <c r="N101" i="58"/>
  <c r="O101" i="58" s="1"/>
  <c r="L101" i="58"/>
  <c r="M101" i="58"/>
  <c r="M20" i="58"/>
  <c r="N20" i="58" s="1"/>
  <c r="K20" i="58"/>
  <c r="L20" i="58" s="1"/>
  <c r="N101" i="57"/>
  <c r="O101" i="57" s="1"/>
  <c r="L101" i="57"/>
  <c r="M101" i="57" s="1"/>
  <c r="P101" i="57" s="1"/>
  <c r="M20" i="57"/>
  <c r="N20" i="57" s="1"/>
  <c r="K20" i="57"/>
  <c r="L20" i="57" s="1"/>
  <c r="N101" i="56"/>
  <c r="O101" i="56" s="1"/>
  <c r="L101" i="56"/>
  <c r="M101" i="56" s="1"/>
  <c r="M20" i="56"/>
  <c r="N20" i="56" s="1"/>
  <c r="K20" i="56"/>
  <c r="L20" i="56" s="1"/>
  <c r="N101" i="55"/>
  <c r="O101" i="55" s="1"/>
  <c r="L101" i="55"/>
  <c r="M101" i="55"/>
  <c r="M20" i="55"/>
  <c r="N20" i="55" s="1"/>
  <c r="K20" i="55"/>
  <c r="L20" i="55" s="1"/>
  <c r="N101" i="54"/>
  <c r="O101" i="54"/>
  <c r="L101" i="54"/>
  <c r="M101" i="54" s="1"/>
  <c r="M20" i="54"/>
  <c r="N20" i="54" s="1"/>
  <c r="K20" i="54"/>
  <c r="L20" i="54" s="1"/>
  <c r="O20" i="54" s="1"/>
  <c r="N101" i="53"/>
  <c r="O101" i="53" s="1"/>
  <c r="L101" i="53"/>
  <c r="M101" i="53" s="1"/>
  <c r="M20" i="53"/>
  <c r="N20" i="53" s="1"/>
  <c r="K20" i="53"/>
  <c r="L20" i="53" s="1"/>
  <c r="N101" i="46"/>
  <c r="O101" i="46" s="1"/>
  <c r="L101" i="46"/>
  <c r="M101" i="46" s="1"/>
  <c r="P101" i="46"/>
  <c r="M20" i="46"/>
  <c r="N20" i="46" s="1"/>
  <c r="K20" i="46"/>
  <c r="L20" i="46" s="1"/>
  <c r="N102" i="45"/>
  <c r="O102" i="45" s="1"/>
  <c r="L102" i="45"/>
  <c r="M102" i="45" s="1"/>
  <c r="M21" i="45"/>
  <c r="N21" i="45" s="1"/>
  <c r="K21" i="45"/>
  <c r="L21" i="45" s="1"/>
  <c r="N103" i="44"/>
  <c r="O103" i="44" s="1"/>
  <c r="L103" i="44"/>
  <c r="M103" i="44" s="1"/>
  <c r="M22" i="44"/>
  <c r="N22" i="44" s="1"/>
  <c r="K22" i="44"/>
  <c r="L22" i="44" s="1"/>
  <c r="N103" i="43"/>
  <c r="O103" i="43" s="1"/>
  <c r="L103" i="43"/>
  <c r="M103" i="43" s="1"/>
  <c r="M22" i="43"/>
  <c r="N22" i="43" s="1"/>
  <c r="K22" i="43"/>
  <c r="L22" i="43" s="1"/>
  <c r="N103" i="42"/>
  <c r="O103" i="42" s="1"/>
  <c r="L103" i="42"/>
  <c r="M103" i="42" s="1"/>
  <c r="M22" i="42"/>
  <c r="N22" i="42" s="1"/>
  <c r="K22" i="42"/>
  <c r="L22" i="42" s="1"/>
  <c r="N103" i="41"/>
  <c r="O103" i="41" s="1"/>
  <c r="L103" i="41"/>
  <c r="M103" i="41" s="1"/>
  <c r="M22" i="41"/>
  <c r="N22" i="41" s="1"/>
  <c r="K22" i="41"/>
  <c r="L22" i="41" s="1"/>
  <c r="N103" i="39"/>
  <c r="O103" i="39" s="1"/>
  <c r="L103" i="39"/>
  <c r="M103" i="39" s="1"/>
  <c r="M22" i="39"/>
  <c r="N22" i="39" s="1"/>
  <c r="K22" i="39"/>
  <c r="L22" i="39" s="1"/>
  <c r="N105" i="34"/>
  <c r="O105" i="34" s="1"/>
  <c r="L105" i="34"/>
  <c r="M105" i="34"/>
  <c r="M24" i="34"/>
  <c r="N24" i="34" s="1"/>
  <c r="O24" i="34" s="1"/>
  <c r="K24" i="34"/>
  <c r="L24" i="34" s="1"/>
  <c r="N105" i="32"/>
  <c r="O105" i="32"/>
  <c r="L105" i="32"/>
  <c r="M105" i="32" s="1"/>
  <c r="M24" i="32"/>
  <c r="N24" i="32" s="1"/>
  <c r="K24" i="32"/>
  <c r="L24" i="32" s="1"/>
  <c r="N105" i="31"/>
  <c r="O105" i="31" s="1"/>
  <c r="L105" i="31"/>
  <c r="M105" i="31" s="1"/>
  <c r="M24" i="31"/>
  <c r="N24" i="31" s="1"/>
  <c r="K24" i="31"/>
  <c r="L24" i="31" s="1"/>
  <c r="N106" i="30"/>
  <c r="O106" i="30" s="1"/>
  <c r="P106" i="30" s="1"/>
  <c r="L106" i="30"/>
  <c r="M106" i="30" s="1"/>
  <c r="M25" i="30"/>
  <c r="N25" i="30" s="1"/>
  <c r="K25" i="30"/>
  <c r="L25" i="30" s="1"/>
  <c r="N106" i="29"/>
  <c r="O106" i="29" s="1"/>
  <c r="L106" i="29"/>
  <c r="M106" i="29" s="1"/>
  <c r="M25" i="29"/>
  <c r="N25" i="29" s="1"/>
  <c r="K25" i="29"/>
  <c r="L25" i="29" s="1"/>
  <c r="N107" i="28"/>
  <c r="O107" i="28" s="1"/>
  <c r="L107" i="28"/>
  <c r="M107" i="28" s="1"/>
  <c r="M26" i="28"/>
  <c r="N26" i="28" s="1"/>
  <c r="K26" i="28"/>
  <c r="L26" i="28" s="1"/>
  <c r="N106" i="27"/>
  <c r="O106" i="27" s="1"/>
  <c r="L106" i="27"/>
  <c r="M106" i="27" s="1"/>
  <c r="M25" i="27"/>
  <c r="N25" i="27" s="1"/>
  <c r="K25" i="27"/>
  <c r="L25" i="27" s="1"/>
  <c r="N105" i="24"/>
  <c r="O105" i="24" s="1"/>
  <c r="P105" i="24" s="1"/>
  <c r="L105" i="24"/>
  <c r="M105" i="24" s="1"/>
  <c r="M24" i="24"/>
  <c r="N24" i="24" s="1"/>
  <c r="K24" i="24"/>
  <c r="L24" i="24" s="1"/>
  <c r="N105" i="23"/>
  <c r="O105" i="23" s="1"/>
  <c r="L105" i="23"/>
  <c r="M105" i="23" s="1"/>
  <c r="M24" i="23"/>
  <c r="N24" i="23" s="1"/>
  <c r="K24" i="23"/>
  <c r="L24" i="23" s="1"/>
  <c r="N104" i="22"/>
  <c r="O104" i="22" s="1"/>
  <c r="L104" i="22"/>
  <c r="M104" i="22" s="1"/>
  <c r="M23" i="22"/>
  <c r="N23" i="22" s="1"/>
  <c r="K23" i="22"/>
  <c r="L23" i="22" s="1"/>
  <c r="N104" i="21"/>
  <c r="O104" i="21" s="1"/>
  <c r="L104" i="21"/>
  <c r="M104" i="21" s="1"/>
  <c r="M23" i="21"/>
  <c r="N23" i="21" s="1"/>
  <c r="K23" i="21"/>
  <c r="L23" i="21" s="1"/>
  <c r="N104" i="20"/>
  <c r="O104" i="20" s="1"/>
  <c r="L104" i="20"/>
  <c r="M104" i="20" s="1"/>
  <c r="M23" i="20"/>
  <c r="N23" i="20" s="1"/>
  <c r="K23" i="20"/>
  <c r="L23" i="20" s="1"/>
  <c r="N104" i="19"/>
  <c r="O104" i="19" s="1"/>
  <c r="L104" i="19"/>
  <c r="M104" i="19" s="1"/>
  <c r="M23" i="19"/>
  <c r="N23" i="19" s="1"/>
  <c r="K23" i="19"/>
  <c r="L23" i="19" s="1"/>
  <c r="N104" i="18"/>
  <c r="O104" i="18" s="1"/>
  <c r="L104" i="18"/>
  <c r="M104" i="18" s="1"/>
  <c r="M23" i="18"/>
  <c r="N23" i="18" s="1"/>
  <c r="K23" i="18"/>
  <c r="L23" i="18" s="1"/>
  <c r="O104" i="17"/>
  <c r="N104" i="17"/>
  <c r="L104" i="17"/>
  <c r="M104" i="17" s="1"/>
  <c r="M23" i="17"/>
  <c r="N23" i="17" s="1"/>
  <c r="K23" i="17"/>
  <c r="L23" i="17" s="1"/>
  <c r="N104" i="3"/>
  <c r="O104" i="3"/>
  <c r="L104" i="3"/>
  <c r="M104" i="3" s="1"/>
  <c r="M23" i="3"/>
  <c r="N23" i="3" s="1"/>
  <c r="O23" i="3" s="1"/>
  <c r="K23" i="3"/>
  <c r="L23" i="3" s="1"/>
  <c r="O105" i="69"/>
  <c r="M105" i="69"/>
  <c r="O104" i="69"/>
  <c r="P104" i="69" s="1"/>
  <c r="M104" i="69"/>
  <c r="O103" i="69"/>
  <c r="M103" i="69"/>
  <c r="O102" i="69"/>
  <c r="M102" i="69"/>
  <c r="O101" i="69"/>
  <c r="M101" i="69"/>
  <c r="O100" i="69"/>
  <c r="P100" i="69" s="1"/>
  <c r="M100" i="69"/>
  <c r="O99" i="69"/>
  <c r="P99" i="69" s="1"/>
  <c r="M99" i="69"/>
  <c r="D92" i="64"/>
  <c r="D92" i="62"/>
  <c r="D92" i="63"/>
  <c r="D92" i="61"/>
  <c r="D92" i="59"/>
  <c r="D92" i="57"/>
  <c r="D92" i="21"/>
  <c r="M24" i="69"/>
  <c r="N24" i="69" s="1"/>
  <c r="K24" i="69"/>
  <c r="L24" i="69" s="1"/>
  <c r="M23" i="69"/>
  <c r="N23" i="69" s="1"/>
  <c r="K23" i="69"/>
  <c r="L23" i="69" s="1"/>
  <c r="M22" i="69"/>
  <c r="N22" i="69" s="1"/>
  <c r="K22" i="69"/>
  <c r="L22" i="69" s="1"/>
  <c r="M21" i="69"/>
  <c r="N21" i="69"/>
  <c r="K21" i="69"/>
  <c r="L21" i="69" s="1"/>
  <c r="M20" i="69"/>
  <c r="N20" i="69" s="1"/>
  <c r="K20" i="69"/>
  <c r="L20" i="69" s="1"/>
  <c r="M19" i="69"/>
  <c r="N19" i="69" s="1"/>
  <c r="K19" i="69"/>
  <c r="L19" i="69" s="1"/>
  <c r="M18" i="69"/>
  <c r="N18" i="69" s="1"/>
  <c r="K18" i="69"/>
  <c r="L18" i="69" s="1"/>
  <c r="M17" i="69"/>
  <c r="N17" i="69" s="1"/>
  <c r="K17" i="69"/>
  <c r="L17" i="69" s="1"/>
  <c r="W71" i="36"/>
  <c r="W70" i="36"/>
  <c r="W69" i="36"/>
  <c r="W68" i="36"/>
  <c r="W67" i="36"/>
  <c r="W66" i="36"/>
  <c r="W65" i="36"/>
  <c r="W64" i="36"/>
  <c r="W63" i="36"/>
  <c r="W62" i="36"/>
  <c r="W61" i="36"/>
  <c r="P71" i="36"/>
  <c r="P70" i="36"/>
  <c r="P69" i="36"/>
  <c r="P68" i="36"/>
  <c r="P67" i="36"/>
  <c r="P66" i="36"/>
  <c r="P65" i="36"/>
  <c r="P64" i="36"/>
  <c r="P63" i="36"/>
  <c r="P62" i="36"/>
  <c r="P61" i="36"/>
  <c r="P154" i="79"/>
  <c r="O154" i="79"/>
  <c r="M154" i="79"/>
  <c r="P153" i="79"/>
  <c r="O153" i="79"/>
  <c r="M153" i="79"/>
  <c r="P152" i="79"/>
  <c r="O152" i="79"/>
  <c r="M152" i="79"/>
  <c r="P151" i="79"/>
  <c r="O151" i="79"/>
  <c r="M151" i="79"/>
  <c r="P150" i="79"/>
  <c r="O150" i="79"/>
  <c r="M150" i="79"/>
  <c r="P149" i="79"/>
  <c r="O149" i="79"/>
  <c r="M149" i="79"/>
  <c r="P148" i="79"/>
  <c r="O148" i="79"/>
  <c r="M148" i="79"/>
  <c r="P147" i="79"/>
  <c r="O147" i="79"/>
  <c r="M147" i="79"/>
  <c r="P146" i="79"/>
  <c r="O146" i="79"/>
  <c r="M146" i="79"/>
  <c r="P145" i="79"/>
  <c r="O145" i="79"/>
  <c r="M145" i="79"/>
  <c r="P144" i="79"/>
  <c r="O144" i="79"/>
  <c r="M144" i="79"/>
  <c r="P143" i="79"/>
  <c r="O143" i="79"/>
  <c r="M143" i="79"/>
  <c r="P142" i="79"/>
  <c r="O142" i="79"/>
  <c r="M142" i="79"/>
  <c r="P141" i="79"/>
  <c r="O141" i="79"/>
  <c r="M141" i="79"/>
  <c r="P140" i="79"/>
  <c r="O140" i="79"/>
  <c r="M140" i="79"/>
  <c r="P139" i="79"/>
  <c r="O139" i="79"/>
  <c r="M139" i="79"/>
  <c r="P138" i="79"/>
  <c r="O138" i="79"/>
  <c r="M138" i="79"/>
  <c r="P137" i="79"/>
  <c r="O137" i="79"/>
  <c r="M137" i="79"/>
  <c r="P136" i="79"/>
  <c r="O136" i="79"/>
  <c r="M136" i="79"/>
  <c r="P135" i="79"/>
  <c r="O135" i="79"/>
  <c r="M135" i="79"/>
  <c r="P134" i="79"/>
  <c r="O134" i="79"/>
  <c r="M134" i="79"/>
  <c r="P133" i="79"/>
  <c r="O133" i="79"/>
  <c r="M133" i="79"/>
  <c r="P132" i="79"/>
  <c r="O132" i="79"/>
  <c r="M132" i="79"/>
  <c r="P131" i="79"/>
  <c r="O131" i="79"/>
  <c r="M131" i="79"/>
  <c r="O130" i="79"/>
  <c r="M130" i="79"/>
  <c r="O129" i="79"/>
  <c r="M129" i="79"/>
  <c r="O128" i="79"/>
  <c r="M128" i="79"/>
  <c r="O127" i="79"/>
  <c r="M127" i="79"/>
  <c r="O126" i="79"/>
  <c r="M126" i="79"/>
  <c r="O125" i="79"/>
  <c r="M125" i="79"/>
  <c r="O124" i="79"/>
  <c r="M124" i="79"/>
  <c r="O123" i="79"/>
  <c r="M123" i="79"/>
  <c r="O122" i="79"/>
  <c r="M122" i="79"/>
  <c r="O121" i="79"/>
  <c r="M121" i="79"/>
  <c r="O120" i="79"/>
  <c r="M120" i="79"/>
  <c r="O119" i="79"/>
  <c r="M119" i="79"/>
  <c r="O118" i="79"/>
  <c r="M118" i="79"/>
  <c r="O117" i="79"/>
  <c r="M117" i="79"/>
  <c r="O116" i="79"/>
  <c r="M116" i="79"/>
  <c r="O115" i="79"/>
  <c r="M115" i="79"/>
  <c r="O114" i="79"/>
  <c r="M114" i="79"/>
  <c r="O113" i="79"/>
  <c r="M113" i="79"/>
  <c r="O112" i="79"/>
  <c r="M112" i="79"/>
  <c r="O111" i="79"/>
  <c r="M111" i="79"/>
  <c r="O110" i="79"/>
  <c r="M110" i="79"/>
  <c r="O109" i="79"/>
  <c r="M109" i="79"/>
  <c r="O108" i="79"/>
  <c r="M108" i="79"/>
  <c r="O107" i="79"/>
  <c r="M107" i="79"/>
  <c r="O106" i="79"/>
  <c r="M106" i="79"/>
  <c r="O105" i="79"/>
  <c r="M105" i="79"/>
  <c r="O104" i="79"/>
  <c r="O103" i="79"/>
  <c r="O99" i="79"/>
  <c r="M99" i="79"/>
  <c r="D96" i="79"/>
  <c r="L93" i="79"/>
  <c r="J93" i="79"/>
  <c r="D91" i="79"/>
  <c r="D89" i="79"/>
  <c r="N72" i="79"/>
  <c r="L72" i="79"/>
  <c r="N71" i="79"/>
  <c r="L71" i="79"/>
  <c r="N70" i="79"/>
  <c r="L70" i="79"/>
  <c r="N69" i="79"/>
  <c r="L69" i="79"/>
  <c r="N68" i="79"/>
  <c r="L68" i="79"/>
  <c r="N67" i="79"/>
  <c r="L67" i="79"/>
  <c r="N66" i="79"/>
  <c r="L66" i="79"/>
  <c r="N65" i="79"/>
  <c r="L65" i="79"/>
  <c r="N64" i="79"/>
  <c r="L64" i="79"/>
  <c r="N63" i="79"/>
  <c r="L63" i="79"/>
  <c r="N62" i="79"/>
  <c r="L62" i="79"/>
  <c r="N61" i="79"/>
  <c r="L61" i="79"/>
  <c r="N60" i="79"/>
  <c r="L60" i="79"/>
  <c r="N59" i="79"/>
  <c r="L59" i="79"/>
  <c r="N58" i="79"/>
  <c r="L58" i="79"/>
  <c r="N57" i="79"/>
  <c r="L57" i="79"/>
  <c r="N56" i="79"/>
  <c r="L56" i="79"/>
  <c r="N55" i="79"/>
  <c r="L55" i="79"/>
  <c r="N54" i="79"/>
  <c r="L54" i="79"/>
  <c r="N53" i="79"/>
  <c r="L53" i="79"/>
  <c r="N52" i="79"/>
  <c r="L52" i="79"/>
  <c r="N51" i="79"/>
  <c r="L51" i="79"/>
  <c r="N50" i="79"/>
  <c r="L50" i="79"/>
  <c r="N49" i="79"/>
  <c r="L49" i="79"/>
  <c r="N48" i="79"/>
  <c r="L48" i="79"/>
  <c r="N47" i="79"/>
  <c r="L47" i="79"/>
  <c r="N46" i="79"/>
  <c r="L46" i="79"/>
  <c r="N45" i="79"/>
  <c r="L45" i="79"/>
  <c r="N44" i="79"/>
  <c r="L44" i="79"/>
  <c r="N43" i="79"/>
  <c r="L43" i="79"/>
  <c r="N42" i="79"/>
  <c r="L42" i="79"/>
  <c r="N41" i="79"/>
  <c r="L41" i="79"/>
  <c r="N40" i="79"/>
  <c r="L40" i="79"/>
  <c r="N39" i="79"/>
  <c r="L39" i="79"/>
  <c r="N38" i="79"/>
  <c r="L38" i="79"/>
  <c r="N37" i="79"/>
  <c r="L37" i="79"/>
  <c r="N36" i="79"/>
  <c r="L36" i="79"/>
  <c r="N35" i="79"/>
  <c r="L35" i="79"/>
  <c r="N34" i="79"/>
  <c r="L34" i="79"/>
  <c r="N33" i="79"/>
  <c r="L33" i="79"/>
  <c r="N32" i="79"/>
  <c r="L32" i="79"/>
  <c r="N31" i="79"/>
  <c r="L31" i="79"/>
  <c r="N30" i="79"/>
  <c r="L30" i="79"/>
  <c r="N29" i="79"/>
  <c r="L29" i="79"/>
  <c r="N28" i="79"/>
  <c r="L28" i="79"/>
  <c r="N27" i="79"/>
  <c r="L27" i="79"/>
  <c r="N26" i="79"/>
  <c r="L26" i="79"/>
  <c r="N25" i="79"/>
  <c r="L25" i="79"/>
  <c r="N24" i="79"/>
  <c r="N23" i="79"/>
  <c r="O23" i="79" s="1"/>
  <c r="N22" i="79"/>
  <c r="N21" i="79"/>
  <c r="C17" i="79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C42" i="79" s="1"/>
  <c r="C43" i="79" s="1"/>
  <c r="C44" i="79" s="1"/>
  <c r="C45" i="79" s="1"/>
  <c r="C46" i="79" s="1"/>
  <c r="C47" i="79" s="1"/>
  <c r="C48" i="79" s="1"/>
  <c r="C49" i="79" s="1"/>
  <c r="C50" i="79" s="1"/>
  <c r="C51" i="79" s="1"/>
  <c r="C52" i="79" s="1"/>
  <c r="C53" i="79" s="1"/>
  <c r="C54" i="79" s="1"/>
  <c r="C55" i="79" s="1"/>
  <c r="C56" i="79" s="1"/>
  <c r="C57" i="79" s="1"/>
  <c r="C58" i="79" s="1"/>
  <c r="C59" i="79" s="1"/>
  <c r="C60" i="79" s="1"/>
  <c r="C61" i="79" s="1"/>
  <c r="C62" i="79" s="1"/>
  <c r="C63" i="79" s="1"/>
  <c r="C64" i="79" s="1"/>
  <c r="C65" i="79" s="1"/>
  <c r="C66" i="79" s="1"/>
  <c r="C67" i="79" s="1"/>
  <c r="C68" i="79" s="1"/>
  <c r="C69" i="79" s="1"/>
  <c r="C70" i="79" s="1"/>
  <c r="C71" i="79" s="1"/>
  <c r="C72" i="79" s="1"/>
  <c r="K11" i="79"/>
  <c r="I11" i="79"/>
  <c r="D8" i="79"/>
  <c r="D90" i="79" s="1"/>
  <c r="P1" i="79"/>
  <c r="P83" i="79" s="1"/>
  <c r="P154" i="78"/>
  <c r="O154" i="78"/>
  <c r="M154" i="78"/>
  <c r="P153" i="78"/>
  <c r="O153" i="78"/>
  <c r="M153" i="78"/>
  <c r="P152" i="78"/>
  <c r="O152" i="78"/>
  <c r="M152" i="78"/>
  <c r="P151" i="78"/>
  <c r="O151" i="78"/>
  <c r="M151" i="78"/>
  <c r="P150" i="78"/>
  <c r="O150" i="78"/>
  <c r="M150" i="78"/>
  <c r="P149" i="78"/>
  <c r="O149" i="78"/>
  <c r="M149" i="78"/>
  <c r="P148" i="78"/>
  <c r="O148" i="78"/>
  <c r="M148" i="78"/>
  <c r="P147" i="78"/>
  <c r="O147" i="78"/>
  <c r="M147" i="78"/>
  <c r="P146" i="78"/>
  <c r="O146" i="78"/>
  <c r="M146" i="78"/>
  <c r="P145" i="78"/>
  <c r="O145" i="78"/>
  <c r="M145" i="78"/>
  <c r="P144" i="78"/>
  <c r="O144" i="78"/>
  <c r="M144" i="78"/>
  <c r="P143" i="78"/>
  <c r="O143" i="78"/>
  <c r="M143" i="78"/>
  <c r="P142" i="78"/>
  <c r="O142" i="78"/>
  <c r="M142" i="78"/>
  <c r="P141" i="78"/>
  <c r="O141" i="78"/>
  <c r="M141" i="78"/>
  <c r="P140" i="78"/>
  <c r="O140" i="78"/>
  <c r="M140" i="78"/>
  <c r="P139" i="78"/>
  <c r="O139" i="78"/>
  <c r="M139" i="78"/>
  <c r="P138" i="78"/>
  <c r="O138" i="78"/>
  <c r="M138" i="78"/>
  <c r="P137" i="78"/>
  <c r="O137" i="78"/>
  <c r="M137" i="78"/>
  <c r="P136" i="78"/>
  <c r="O136" i="78"/>
  <c r="M136" i="78"/>
  <c r="P135" i="78"/>
  <c r="O135" i="78"/>
  <c r="M135" i="78"/>
  <c r="P134" i="78"/>
  <c r="O134" i="78"/>
  <c r="M134" i="78"/>
  <c r="P133" i="78"/>
  <c r="O133" i="78"/>
  <c r="M133" i="78"/>
  <c r="P132" i="78"/>
  <c r="O132" i="78"/>
  <c r="M132" i="78"/>
  <c r="P131" i="78"/>
  <c r="O131" i="78"/>
  <c r="M131" i="78"/>
  <c r="O130" i="78"/>
  <c r="M130" i="78"/>
  <c r="O129" i="78"/>
  <c r="M129" i="78"/>
  <c r="O128" i="78"/>
  <c r="M128" i="78"/>
  <c r="O127" i="78"/>
  <c r="M127" i="78"/>
  <c r="O126" i="78"/>
  <c r="M126" i="78"/>
  <c r="O125" i="78"/>
  <c r="M125" i="78"/>
  <c r="O124" i="78"/>
  <c r="M124" i="78"/>
  <c r="O123" i="78"/>
  <c r="M123" i="78"/>
  <c r="O122" i="78"/>
  <c r="M122" i="78"/>
  <c r="O121" i="78"/>
  <c r="M121" i="78"/>
  <c r="O120" i="78"/>
  <c r="M120" i="78"/>
  <c r="O119" i="78"/>
  <c r="M119" i="78"/>
  <c r="O118" i="78"/>
  <c r="M118" i="78"/>
  <c r="O117" i="78"/>
  <c r="M117" i="78"/>
  <c r="O116" i="78"/>
  <c r="M116" i="78"/>
  <c r="O115" i="78"/>
  <c r="M115" i="78"/>
  <c r="O114" i="78"/>
  <c r="M114" i="78"/>
  <c r="O113" i="78"/>
  <c r="M113" i="78"/>
  <c r="O112" i="78"/>
  <c r="M112" i="78"/>
  <c r="O111" i="78"/>
  <c r="M111" i="78"/>
  <c r="O110" i="78"/>
  <c r="M110" i="78"/>
  <c r="O109" i="78"/>
  <c r="M109" i="78"/>
  <c r="O108" i="78"/>
  <c r="M108" i="78"/>
  <c r="O107" i="78"/>
  <c r="M107" i="78"/>
  <c r="O106" i="78"/>
  <c r="M106" i="78"/>
  <c r="O105" i="78"/>
  <c r="M105" i="78"/>
  <c r="O104" i="78"/>
  <c r="O103" i="78"/>
  <c r="O99" i="78"/>
  <c r="M99" i="78"/>
  <c r="D96" i="78"/>
  <c r="L93" i="78"/>
  <c r="J93" i="78"/>
  <c r="D91" i="78"/>
  <c r="D89" i="78"/>
  <c r="N72" i="78"/>
  <c r="L72" i="78"/>
  <c r="N71" i="78"/>
  <c r="L71" i="78"/>
  <c r="N70" i="78"/>
  <c r="L70" i="78"/>
  <c r="N69" i="78"/>
  <c r="L69" i="78"/>
  <c r="N68" i="78"/>
  <c r="L68" i="78"/>
  <c r="N67" i="78"/>
  <c r="L67" i="78"/>
  <c r="N66" i="78"/>
  <c r="L66" i="78"/>
  <c r="N65" i="78"/>
  <c r="L65" i="78"/>
  <c r="N64" i="78"/>
  <c r="L64" i="78"/>
  <c r="N63" i="78"/>
  <c r="L63" i="78"/>
  <c r="N62" i="78"/>
  <c r="L62" i="78"/>
  <c r="N61" i="78"/>
  <c r="L61" i="78"/>
  <c r="N60" i="78"/>
  <c r="L60" i="78"/>
  <c r="N59" i="78"/>
  <c r="L59" i="78"/>
  <c r="N58" i="78"/>
  <c r="L58" i="78"/>
  <c r="N57" i="78"/>
  <c r="L57" i="78"/>
  <c r="N56" i="78"/>
  <c r="L56" i="78"/>
  <c r="N55" i="78"/>
  <c r="L55" i="78"/>
  <c r="N54" i="78"/>
  <c r="L54" i="78"/>
  <c r="N53" i="78"/>
  <c r="L53" i="78"/>
  <c r="N52" i="78"/>
  <c r="L52" i="78"/>
  <c r="N51" i="78"/>
  <c r="L51" i="78"/>
  <c r="N50" i="78"/>
  <c r="L50" i="78"/>
  <c r="N49" i="78"/>
  <c r="L49" i="78"/>
  <c r="N48" i="78"/>
  <c r="L48" i="78"/>
  <c r="N47" i="78"/>
  <c r="L47" i="78"/>
  <c r="N46" i="78"/>
  <c r="L46" i="78"/>
  <c r="N45" i="78"/>
  <c r="L45" i="78"/>
  <c r="N44" i="78"/>
  <c r="L44" i="78"/>
  <c r="N43" i="78"/>
  <c r="L43" i="78"/>
  <c r="N42" i="78"/>
  <c r="L42" i="78"/>
  <c r="N41" i="78"/>
  <c r="L41" i="78"/>
  <c r="N40" i="78"/>
  <c r="L40" i="78"/>
  <c r="N39" i="78"/>
  <c r="L39" i="78"/>
  <c r="N38" i="78"/>
  <c r="L38" i="78"/>
  <c r="N37" i="78"/>
  <c r="L37" i="78"/>
  <c r="N36" i="78"/>
  <c r="L36" i="78"/>
  <c r="N35" i="78"/>
  <c r="L35" i="78"/>
  <c r="N34" i="78"/>
  <c r="L34" i="78"/>
  <c r="N33" i="78"/>
  <c r="L33" i="78"/>
  <c r="N32" i="78"/>
  <c r="L32" i="78"/>
  <c r="N31" i="78"/>
  <c r="L31" i="78"/>
  <c r="N30" i="78"/>
  <c r="L30" i="78"/>
  <c r="N29" i="78"/>
  <c r="L29" i="78"/>
  <c r="N28" i="78"/>
  <c r="L28" i="78"/>
  <c r="N27" i="78"/>
  <c r="L27" i="78"/>
  <c r="N26" i="78"/>
  <c r="L26" i="78"/>
  <c r="N25" i="78"/>
  <c r="L25" i="78"/>
  <c r="N24" i="78"/>
  <c r="N23" i="78"/>
  <c r="N22" i="78"/>
  <c r="N21" i="78"/>
  <c r="C17" i="78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/>
  <c r="C34" i="78" s="1"/>
  <c r="C35" i="78" s="1"/>
  <c r="C36" i="78" s="1"/>
  <c r="C37" i="78" s="1"/>
  <c r="C38" i="78" s="1"/>
  <c r="C39" i="78" s="1"/>
  <c r="C40" i="78" s="1"/>
  <c r="C41" i="78" s="1"/>
  <c r="C42" i="78" s="1"/>
  <c r="C43" i="78" s="1"/>
  <c r="C44" i="78" s="1"/>
  <c r="K11" i="78"/>
  <c r="I11" i="78"/>
  <c r="D8" i="78"/>
  <c r="D90" i="78" s="1"/>
  <c r="P1" i="78"/>
  <c r="P83" i="78" s="1"/>
  <c r="P154" i="77"/>
  <c r="O154" i="77"/>
  <c r="M154" i="77"/>
  <c r="P153" i="77"/>
  <c r="O153" i="77"/>
  <c r="M153" i="77"/>
  <c r="P152" i="77"/>
  <c r="O152" i="77"/>
  <c r="M152" i="77"/>
  <c r="P151" i="77"/>
  <c r="O151" i="77"/>
  <c r="M151" i="77"/>
  <c r="P150" i="77"/>
  <c r="O150" i="77"/>
  <c r="M150" i="77"/>
  <c r="P149" i="77"/>
  <c r="O149" i="77"/>
  <c r="M149" i="77"/>
  <c r="P148" i="77"/>
  <c r="O148" i="77"/>
  <c r="M148" i="77"/>
  <c r="P147" i="77"/>
  <c r="O147" i="77"/>
  <c r="M147" i="77"/>
  <c r="P146" i="77"/>
  <c r="O146" i="77"/>
  <c r="M146" i="77"/>
  <c r="P145" i="77"/>
  <c r="O145" i="77"/>
  <c r="M145" i="77"/>
  <c r="P144" i="77"/>
  <c r="O144" i="77"/>
  <c r="M144" i="77"/>
  <c r="P143" i="77"/>
  <c r="O143" i="77"/>
  <c r="M143" i="77"/>
  <c r="P142" i="77"/>
  <c r="O142" i="77"/>
  <c r="M142" i="77"/>
  <c r="P141" i="77"/>
  <c r="O141" i="77"/>
  <c r="M141" i="77"/>
  <c r="P140" i="77"/>
  <c r="O140" i="77"/>
  <c r="M140" i="77"/>
  <c r="P139" i="77"/>
  <c r="O139" i="77"/>
  <c r="M139" i="77"/>
  <c r="P138" i="77"/>
  <c r="O138" i="77"/>
  <c r="M138" i="77"/>
  <c r="P137" i="77"/>
  <c r="O137" i="77"/>
  <c r="M137" i="77"/>
  <c r="P136" i="77"/>
  <c r="O136" i="77"/>
  <c r="M136" i="77"/>
  <c r="P135" i="77"/>
  <c r="O135" i="77"/>
  <c r="M135" i="77"/>
  <c r="P134" i="77"/>
  <c r="O134" i="77"/>
  <c r="M134" i="77"/>
  <c r="P133" i="77"/>
  <c r="O133" i="77"/>
  <c r="M133" i="77"/>
  <c r="P132" i="77"/>
  <c r="O132" i="77"/>
  <c r="M132" i="77"/>
  <c r="P131" i="77"/>
  <c r="O131" i="77"/>
  <c r="M131" i="77"/>
  <c r="O130" i="77"/>
  <c r="M130" i="77"/>
  <c r="O129" i="77"/>
  <c r="M129" i="77"/>
  <c r="O128" i="77"/>
  <c r="M128" i="77"/>
  <c r="O127" i="77"/>
  <c r="M127" i="77"/>
  <c r="O126" i="77"/>
  <c r="M126" i="77"/>
  <c r="O125" i="77"/>
  <c r="M125" i="77"/>
  <c r="O124" i="77"/>
  <c r="M124" i="77"/>
  <c r="O123" i="77"/>
  <c r="M123" i="77"/>
  <c r="O122" i="77"/>
  <c r="M122" i="77"/>
  <c r="O121" i="77"/>
  <c r="M121" i="77"/>
  <c r="O120" i="77"/>
  <c r="M120" i="77"/>
  <c r="O119" i="77"/>
  <c r="M119" i="77"/>
  <c r="O118" i="77"/>
  <c r="M118" i="77"/>
  <c r="O117" i="77"/>
  <c r="M117" i="77"/>
  <c r="O116" i="77"/>
  <c r="M116" i="77"/>
  <c r="O115" i="77"/>
  <c r="M115" i="77"/>
  <c r="O114" i="77"/>
  <c r="M114" i="77"/>
  <c r="O113" i="77"/>
  <c r="M113" i="77"/>
  <c r="O112" i="77"/>
  <c r="M112" i="77"/>
  <c r="O111" i="77"/>
  <c r="M111" i="77"/>
  <c r="O110" i="77"/>
  <c r="M110" i="77"/>
  <c r="O109" i="77"/>
  <c r="M109" i="77"/>
  <c r="O108" i="77"/>
  <c r="M108" i="77"/>
  <c r="O107" i="77"/>
  <c r="M107" i="77"/>
  <c r="O106" i="77"/>
  <c r="M106" i="77"/>
  <c r="O105" i="77"/>
  <c r="M105" i="77"/>
  <c r="O104" i="77"/>
  <c r="O103" i="77"/>
  <c r="O99" i="77"/>
  <c r="P99" i="77"/>
  <c r="D96" i="77"/>
  <c r="L93" i="77"/>
  <c r="J93" i="77"/>
  <c r="D91" i="77"/>
  <c r="D89" i="77"/>
  <c r="N72" i="77"/>
  <c r="L72" i="77"/>
  <c r="N71" i="77"/>
  <c r="L71" i="77"/>
  <c r="N70" i="77"/>
  <c r="L70" i="77"/>
  <c r="N69" i="77"/>
  <c r="L69" i="77"/>
  <c r="N68" i="77"/>
  <c r="L68" i="77"/>
  <c r="N67" i="77"/>
  <c r="L67" i="77"/>
  <c r="N66" i="77"/>
  <c r="L66" i="77"/>
  <c r="N65" i="77"/>
  <c r="L65" i="77"/>
  <c r="N64" i="77"/>
  <c r="L64" i="77"/>
  <c r="N63" i="77"/>
  <c r="L63" i="77"/>
  <c r="N62" i="77"/>
  <c r="L62" i="77"/>
  <c r="N61" i="77"/>
  <c r="L61" i="77"/>
  <c r="N60" i="77"/>
  <c r="L60" i="77"/>
  <c r="N59" i="77"/>
  <c r="L59" i="77"/>
  <c r="N58" i="77"/>
  <c r="L58" i="77"/>
  <c r="N57" i="77"/>
  <c r="L57" i="77"/>
  <c r="N56" i="77"/>
  <c r="L56" i="77"/>
  <c r="N55" i="77"/>
  <c r="L55" i="77"/>
  <c r="N54" i="77"/>
  <c r="L54" i="77"/>
  <c r="N53" i="77"/>
  <c r="L53" i="77"/>
  <c r="N52" i="77"/>
  <c r="L52" i="77"/>
  <c r="N51" i="77"/>
  <c r="L51" i="77"/>
  <c r="N50" i="77"/>
  <c r="L50" i="77"/>
  <c r="N49" i="77"/>
  <c r="L49" i="77"/>
  <c r="N48" i="77"/>
  <c r="L48" i="77"/>
  <c r="N47" i="77"/>
  <c r="L47" i="77"/>
  <c r="N46" i="77"/>
  <c r="L46" i="77"/>
  <c r="N45" i="77"/>
  <c r="L45" i="77"/>
  <c r="N44" i="77"/>
  <c r="L44" i="77"/>
  <c r="N43" i="77"/>
  <c r="L43" i="77"/>
  <c r="N42" i="77"/>
  <c r="L42" i="77"/>
  <c r="N41" i="77"/>
  <c r="L41" i="77"/>
  <c r="N40" i="77"/>
  <c r="L40" i="77"/>
  <c r="N39" i="77"/>
  <c r="L39" i="77"/>
  <c r="N38" i="77"/>
  <c r="L38" i="77"/>
  <c r="N37" i="77"/>
  <c r="L37" i="77"/>
  <c r="N36" i="77"/>
  <c r="L36" i="77"/>
  <c r="N35" i="77"/>
  <c r="L35" i="77"/>
  <c r="N34" i="77"/>
  <c r="L34" i="77"/>
  <c r="N33" i="77"/>
  <c r="L33" i="77"/>
  <c r="N32" i="77"/>
  <c r="L32" i="77"/>
  <c r="N31" i="77"/>
  <c r="L31" i="77"/>
  <c r="N30" i="77"/>
  <c r="L30" i="77"/>
  <c r="N29" i="77"/>
  <c r="L29" i="77"/>
  <c r="N28" i="77"/>
  <c r="L28" i="77"/>
  <c r="N27" i="77"/>
  <c r="L27" i="77"/>
  <c r="N26" i="77"/>
  <c r="L26" i="77"/>
  <c r="N25" i="77"/>
  <c r="L25" i="77"/>
  <c r="N24" i="77"/>
  <c r="N23" i="77"/>
  <c r="N22" i="77"/>
  <c r="N21" i="77"/>
  <c r="C17" i="77"/>
  <c r="C18" i="77" s="1"/>
  <c r="C19" i="77" s="1"/>
  <c r="C20" i="77" s="1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K11" i="77"/>
  <c r="I11" i="77"/>
  <c r="D8" i="77"/>
  <c r="D90" i="77" s="1"/>
  <c r="P1" i="77"/>
  <c r="P83" i="77" s="1"/>
  <c r="P154" i="76"/>
  <c r="O154" i="76"/>
  <c r="M154" i="76"/>
  <c r="P153" i="76"/>
  <c r="O153" i="76"/>
  <c r="M153" i="76"/>
  <c r="P152" i="76"/>
  <c r="O152" i="76"/>
  <c r="M152" i="76"/>
  <c r="P151" i="76"/>
  <c r="O151" i="76"/>
  <c r="M151" i="76"/>
  <c r="P150" i="76"/>
  <c r="O150" i="76"/>
  <c r="M150" i="76"/>
  <c r="P149" i="76"/>
  <c r="O149" i="76"/>
  <c r="M149" i="76"/>
  <c r="P148" i="76"/>
  <c r="O148" i="76"/>
  <c r="M148" i="76"/>
  <c r="P147" i="76"/>
  <c r="O147" i="76"/>
  <c r="M147" i="76"/>
  <c r="P146" i="76"/>
  <c r="O146" i="76"/>
  <c r="M146" i="76"/>
  <c r="P145" i="76"/>
  <c r="O145" i="76"/>
  <c r="M145" i="76"/>
  <c r="P144" i="76"/>
  <c r="O144" i="76"/>
  <c r="M144" i="76"/>
  <c r="P143" i="76"/>
  <c r="O143" i="76"/>
  <c r="M143" i="76"/>
  <c r="P142" i="76"/>
  <c r="O142" i="76"/>
  <c r="M142" i="76"/>
  <c r="P141" i="76"/>
  <c r="O141" i="76"/>
  <c r="M141" i="76"/>
  <c r="P140" i="76"/>
  <c r="O140" i="76"/>
  <c r="M140" i="76"/>
  <c r="P139" i="76"/>
  <c r="O139" i="76"/>
  <c r="M139" i="76"/>
  <c r="P138" i="76"/>
  <c r="O138" i="76"/>
  <c r="M138" i="76"/>
  <c r="P137" i="76"/>
  <c r="O137" i="76"/>
  <c r="M137" i="76"/>
  <c r="P136" i="76"/>
  <c r="O136" i="76"/>
  <c r="M136" i="76"/>
  <c r="P135" i="76"/>
  <c r="O135" i="76"/>
  <c r="M135" i="76"/>
  <c r="P134" i="76"/>
  <c r="O134" i="76"/>
  <c r="M134" i="76"/>
  <c r="P133" i="76"/>
  <c r="O133" i="76"/>
  <c r="M133" i="76"/>
  <c r="P132" i="76"/>
  <c r="O132" i="76"/>
  <c r="M132" i="76"/>
  <c r="P131" i="76"/>
  <c r="O131" i="76"/>
  <c r="M131" i="76"/>
  <c r="O130" i="76"/>
  <c r="M130" i="76"/>
  <c r="O129" i="76"/>
  <c r="M129" i="76"/>
  <c r="O128" i="76"/>
  <c r="M128" i="76"/>
  <c r="O127" i="76"/>
  <c r="M127" i="76"/>
  <c r="O126" i="76"/>
  <c r="M126" i="76"/>
  <c r="O125" i="76"/>
  <c r="M125" i="76"/>
  <c r="O124" i="76"/>
  <c r="M124" i="76"/>
  <c r="O123" i="76"/>
  <c r="M123" i="76"/>
  <c r="O122" i="76"/>
  <c r="M122" i="76"/>
  <c r="O121" i="76"/>
  <c r="M121" i="76"/>
  <c r="O120" i="76"/>
  <c r="M120" i="76"/>
  <c r="O119" i="76"/>
  <c r="M119" i="76"/>
  <c r="O118" i="76"/>
  <c r="M118" i="76"/>
  <c r="O117" i="76"/>
  <c r="M117" i="76"/>
  <c r="O116" i="76"/>
  <c r="M116" i="76"/>
  <c r="O115" i="76"/>
  <c r="M115" i="76"/>
  <c r="O114" i="76"/>
  <c r="M114" i="76"/>
  <c r="O113" i="76"/>
  <c r="M113" i="76"/>
  <c r="O112" i="76"/>
  <c r="M112" i="76"/>
  <c r="O111" i="76"/>
  <c r="M111" i="76"/>
  <c r="O110" i="76"/>
  <c r="M110" i="76"/>
  <c r="O109" i="76"/>
  <c r="M109" i="76"/>
  <c r="O108" i="76"/>
  <c r="M108" i="76"/>
  <c r="O107" i="76"/>
  <c r="M107" i="76"/>
  <c r="O106" i="76"/>
  <c r="M106" i="76"/>
  <c r="O105" i="76"/>
  <c r="M105" i="76"/>
  <c r="O104" i="76"/>
  <c r="O103" i="76"/>
  <c r="O99" i="76"/>
  <c r="M99" i="76"/>
  <c r="D96" i="76"/>
  <c r="L93" i="76"/>
  <c r="J93" i="76"/>
  <c r="D91" i="76"/>
  <c r="D89" i="76"/>
  <c r="N72" i="76"/>
  <c r="L72" i="76"/>
  <c r="N71" i="76"/>
  <c r="L71" i="76"/>
  <c r="N70" i="76"/>
  <c r="L70" i="76"/>
  <c r="N69" i="76"/>
  <c r="L69" i="76"/>
  <c r="N68" i="76"/>
  <c r="L68" i="76"/>
  <c r="N67" i="76"/>
  <c r="L67" i="76"/>
  <c r="N66" i="76"/>
  <c r="L66" i="76"/>
  <c r="N65" i="76"/>
  <c r="L65" i="76"/>
  <c r="N64" i="76"/>
  <c r="L64" i="76"/>
  <c r="N63" i="76"/>
  <c r="L63" i="76"/>
  <c r="N62" i="76"/>
  <c r="L62" i="76"/>
  <c r="N61" i="76"/>
  <c r="L61" i="76"/>
  <c r="N60" i="76"/>
  <c r="L60" i="76"/>
  <c r="N59" i="76"/>
  <c r="L59" i="76"/>
  <c r="N58" i="76"/>
  <c r="L58" i="76"/>
  <c r="N57" i="76"/>
  <c r="L57" i="76"/>
  <c r="N56" i="76"/>
  <c r="L56" i="76"/>
  <c r="N55" i="76"/>
  <c r="L55" i="76"/>
  <c r="N54" i="76"/>
  <c r="L54" i="76"/>
  <c r="N53" i="76"/>
  <c r="L53" i="76"/>
  <c r="N52" i="76"/>
  <c r="L52" i="76"/>
  <c r="N51" i="76"/>
  <c r="L51" i="76"/>
  <c r="N50" i="76"/>
  <c r="L50" i="76"/>
  <c r="N49" i="76"/>
  <c r="L49" i="76"/>
  <c r="N48" i="76"/>
  <c r="L48" i="76"/>
  <c r="N47" i="76"/>
  <c r="L47" i="76"/>
  <c r="N46" i="76"/>
  <c r="L46" i="76"/>
  <c r="N45" i="76"/>
  <c r="L45" i="76"/>
  <c r="N44" i="76"/>
  <c r="L44" i="76"/>
  <c r="N43" i="76"/>
  <c r="L43" i="76"/>
  <c r="N42" i="76"/>
  <c r="L42" i="76"/>
  <c r="N41" i="76"/>
  <c r="L41" i="76"/>
  <c r="N40" i="76"/>
  <c r="L40" i="76"/>
  <c r="N39" i="76"/>
  <c r="L39" i="76"/>
  <c r="N38" i="76"/>
  <c r="L38" i="76"/>
  <c r="N37" i="76"/>
  <c r="L37" i="76"/>
  <c r="N36" i="76"/>
  <c r="L36" i="76"/>
  <c r="N35" i="76"/>
  <c r="L35" i="76"/>
  <c r="N34" i="76"/>
  <c r="L34" i="76"/>
  <c r="N33" i="76"/>
  <c r="L33" i="76"/>
  <c r="N32" i="76"/>
  <c r="L32" i="76"/>
  <c r="N31" i="76"/>
  <c r="L31" i="76"/>
  <c r="N30" i="76"/>
  <c r="L30" i="76"/>
  <c r="N29" i="76"/>
  <c r="L29" i="76"/>
  <c r="N28" i="76"/>
  <c r="L28" i="76"/>
  <c r="N27" i="76"/>
  <c r="L27" i="76"/>
  <c r="N26" i="76"/>
  <c r="L26" i="76"/>
  <c r="N25" i="76"/>
  <c r="L25" i="76"/>
  <c r="N24" i="76"/>
  <c r="N23" i="76"/>
  <c r="N22" i="76"/>
  <c r="N21" i="76"/>
  <c r="O21" i="76" s="1"/>
  <c r="C17" i="76"/>
  <c r="C18" i="76" s="1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K11" i="76"/>
  <c r="I11" i="76"/>
  <c r="D8" i="76"/>
  <c r="D90" i="76" s="1"/>
  <c r="P1" i="76"/>
  <c r="P83" i="76" s="1"/>
  <c r="P154" i="75"/>
  <c r="O154" i="75"/>
  <c r="M154" i="75"/>
  <c r="P153" i="75"/>
  <c r="O153" i="75"/>
  <c r="M153" i="75"/>
  <c r="P152" i="75"/>
  <c r="O152" i="75"/>
  <c r="M152" i="75"/>
  <c r="P151" i="75"/>
  <c r="O151" i="75"/>
  <c r="M151" i="75"/>
  <c r="P150" i="75"/>
  <c r="O150" i="75"/>
  <c r="M150" i="75"/>
  <c r="P149" i="75"/>
  <c r="O149" i="75"/>
  <c r="M149" i="75"/>
  <c r="P148" i="75"/>
  <c r="O148" i="75"/>
  <c r="M148" i="75"/>
  <c r="P147" i="75"/>
  <c r="O147" i="75"/>
  <c r="M147" i="75"/>
  <c r="P146" i="75"/>
  <c r="O146" i="75"/>
  <c r="M146" i="75"/>
  <c r="P145" i="75"/>
  <c r="O145" i="75"/>
  <c r="M145" i="75"/>
  <c r="P144" i="75"/>
  <c r="O144" i="75"/>
  <c r="M144" i="75"/>
  <c r="P143" i="75"/>
  <c r="O143" i="75"/>
  <c r="M143" i="75"/>
  <c r="P142" i="75"/>
  <c r="O142" i="75"/>
  <c r="M142" i="75"/>
  <c r="P141" i="75"/>
  <c r="O141" i="75"/>
  <c r="M141" i="75"/>
  <c r="P140" i="75"/>
  <c r="O140" i="75"/>
  <c r="M140" i="75"/>
  <c r="P139" i="75"/>
  <c r="O139" i="75"/>
  <c r="M139" i="75"/>
  <c r="P138" i="75"/>
  <c r="O138" i="75"/>
  <c r="M138" i="75"/>
  <c r="P137" i="75"/>
  <c r="O137" i="75"/>
  <c r="M137" i="75"/>
  <c r="P136" i="75"/>
  <c r="O136" i="75"/>
  <c r="M136" i="75"/>
  <c r="P135" i="75"/>
  <c r="O135" i="75"/>
  <c r="M135" i="75"/>
  <c r="P134" i="75"/>
  <c r="O134" i="75"/>
  <c r="M134" i="75"/>
  <c r="P133" i="75"/>
  <c r="O133" i="75"/>
  <c r="M133" i="75"/>
  <c r="P132" i="75"/>
  <c r="O132" i="75"/>
  <c r="M132" i="75"/>
  <c r="P131" i="75"/>
  <c r="O131" i="75"/>
  <c r="M131" i="75"/>
  <c r="O130" i="75"/>
  <c r="M130" i="75"/>
  <c r="O129" i="75"/>
  <c r="M129" i="75"/>
  <c r="O128" i="75"/>
  <c r="M128" i="75"/>
  <c r="O127" i="75"/>
  <c r="M127" i="75"/>
  <c r="O126" i="75"/>
  <c r="M126" i="75"/>
  <c r="O125" i="75"/>
  <c r="M125" i="75"/>
  <c r="O124" i="75"/>
  <c r="M124" i="75"/>
  <c r="O123" i="75"/>
  <c r="M123" i="75"/>
  <c r="O122" i="75"/>
  <c r="M122" i="75"/>
  <c r="O121" i="75"/>
  <c r="M121" i="75"/>
  <c r="O120" i="75"/>
  <c r="M120" i="75"/>
  <c r="O119" i="75"/>
  <c r="M119" i="75"/>
  <c r="O118" i="75"/>
  <c r="M118" i="75"/>
  <c r="O117" i="75"/>
  <c r="M117" i="75"/>
  <c r="O116" i="75"/>
  <c r="M116" i="75"/>
  <c r="O115" i="75"/>
  <c r="M115" i="75"/>
  <c r="O114" i="75"/>
  <c r="M114" i="75"/>
  <c r="O113" i="75"/>
  <c r="M113" i="75"/>
  <c r="O112" i="75"/>
  <c r="M112" i="75"/>
  <c r="O111" i="75"/>
  <c r="M111" i="75"/>
  <c r="O110" i="75"/>
  <c r="M110" i="75"/>
  <c r="O109" i="75"/>
  <c r="M109" i="75"/>
  <c r="O108" i="75"/>
  <c r="M108" i="75"/>
  <c r="O107" i="75"/>
  <c r="M107" i="75"/>
  <c r="O106" i="75"/>
  <c r="M106" i="75"/>
  <c r="O105" i="75"/>
  <c r="M105" i="75"/>
  <c r="O104" i="75"/>
  <c r="O103" i="75"/>
  <c r="O99" i="75"/>
  <c r="M99" i="75"/>
  <c r="D96" i="75"/>
  <c r="L93" i="75"/>
  <c r="J93" i="75"/>
  <c r="D91" i="75"/>
  <c r="D89" i="75"/>
  <c r="N72" i="75"/>
  <c r="L72" i="75"/>
  <c r="N71" i="75"/>
  <c r="L71" i="75"/>
  <c r="N70" i="75"/>
  <c r="L70" i="75"/>
  <c r="N69" i="75"/>
  <c r="L69" i="75"/>
  <c r="N68" i="75"/>
  <c r="L68" i="75"/>
  <c r="N67" i="75"/>
  <c r="L67" i="75"/>
  <c r="N66" i="75"/>
  <c r="L66" i="75"/>
  <c r="N65" i="75"/>
  <c r="L65" i="75"/>
  <c r="N64" i="75"/>
  <c r="L64" i="75"/>
  <c r="N63" i="75"/>
  <c r="L63" i="75"/>
  <c r="N62" i="75"/>
  <c r="L62" i="75"/>
  <c r="N61" i="75"/>
  <c r="L61" i="75"/>
  <c r="N60" i="75"/>
  <c r="L60" i="75"/>
  <c r="N59" i="75"/>
  <c r="L59" i="75"/>
  <c r="N58" i="75"/>
  <c r="L58" i="75"/>
  <c r="N57" i="75"/>
  <c r="L57" i="75"/>
  <c r="N56" i="75"/>
  <c r="L56" i="75"/>
  <c r="N55" i="75"/>
  <c r="L55" i="75"/>
  <c r="N54" i="75"/>
  <c r="L54" i="75"/>
  <c r="N53" i="75"/>
  <c r="L53" i="75"/>
  <c r="N52" i="75"/>
  <c r="L52" i="75"/>
  <c r="N51" i="75"/>
  <c r="L51" i="75"/>
  <c r="N50" i="75"/>
  <c r="L50" i="75"/>
  <c r="N49" i="75"/>
  <c r="L49" i="75"/>
  <c r="N48" i="75"/>
  <c r="L48" i="75"/>
  <c r="N47" i="75"/>
  <c r="L47" i="75"/>
  <c r="N46" i="75"/>
  <c r="L46" i="75"/>
  <c r="N45" i="75"/>
  <c r="L45" i="75"/>
  <c r="N44" i="75"/>
  <c r="L44" i="75"/>
  <c r="N43" i="75"/>
  <c r="L43" i="75"/>
  <c r="N42" i="75"/>
  <c r="L42" i="75"/>
  <c r="N41" i="75"/>
  <c r="L41" i="75"/>
  <c r="N40" i="75"/>
  <c r="L40" i="75"/>
  <c r="N39" i="75"/>
  <c r="L39" i="75"/>
  <c r="N38" i="75"/>
  <c r="L38" i="75"/>
  <c r="N37" i="75"/>
  <c r="L37" i="75"/>
  <c r="N36" i="75"/>
  <c r="L36" i="75"/>
  <c r="N35" i="75"/>
  <c r="L35" i="75"/>
  <c r="N34" i="75"/>
  <c r="L34" i="75"/>
  <c r="N33" i="75"/>
  <c r="L33" i="75"/>
  <c r="N32" i="75"/>
  <c r="L32" i="75"/>
  <c r="N31" i="75"/>
  <c r="L31" i="75"/>
  <c r="N30" i="75"/>
  <c r="L30" i="75"/>
  <c r="N29" i="75"/>
  <c r="L29" i="75"/>
  <c r="N28" i="75"/>
  <c r="L28" i="75"/>
  <c r="N27" i="75"/>
  <c r="L27" i="75"/>
  <c r="N26" i="75"/>
  <c r="L26" i="75"/>
  <c r="N25" i="75"/>
  <c r="L25" i="75"/>
  <c r="N24" i="75"/>
  <c r="N23" i="75"/>
  <c r="N22" i="75"/>
  <c r="N21" i="75"/>
  <c r="C17" i="75"/>
  <c r="C18" i="75"/>
  <c r="C19" i="75" s="1"/>
  <c r="C20" i="75" s="1"/>
  <c r="C21" i="75" s="1"/>
  <c r="C22" i="75" s="1"/>
  <c r="C23" i="75" s="1"/>
  <c r="C24" i="75" s="1"/>
  <c r="C25" i="75" s="1"/>
  <c r="C26" i="75" s="1"/>
  <c r="C27" i="75" s="1"/>
  <c r="C28" i="75" s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K11" i="75"/>
  <c r="I11" i="75"/>
  <c r="D8" i="75"/>
  <c r="D90" i="75" s="1"/>
  <c r="P1" i="75"/>
  <c r="P83" i="75" s="1"/>
  <c r="P154" i="74"/>
  <c r="O154" i="74"/>
  <c r="M154" i="74"/>
  <c r="P153" i="74"/>
  <c r="O153" i="74"/>
  <c r="M153" i="74"/>
  <c r="P152" i="74"/>
  <c r="O152" i="74"/>
  <c r="M152" i="74"/>
  <c r="P151" i="74"/>
  <c r="O151" i="74"/>
  <c r="M151" i="74"/>
  <c r="P150" i="74"/>
  <c r="O150" i="74"/>
  <c r="M150" i="74"/>
  <c r="P149" i="74"/>
  <c r="O149" i="74"/>
  <c r="M149" i="74"/>
  <c r="P148" i="74"/>
  <c r="O148" i="74"/>
  <c r="M148" i="74"/>
  <c r="P147" i="74"/>
  <c r="O147" i="74"/>
  <c r="M147" i="74"/>
  <c r="P146" i="74"/>
  <c r="O146" i="74"/>
  <c r="M146" i="74"/>
  <c r="P145" i="74"/>
  <c r="O145" i="74"/>
  <c r="M145" i="74"/>
  <c r="P144" i="74"/>
  <c r="O144" i="74"/>
  <c r="M144" i="74"/>
  <c r="P143" i="74"/>
  <c r="O143" i="74"/>
  <c r="M143" i="74"/>
  <c r="P142" i="74"/>
  <c r="O142" i="74"/>
  <c r="M142" i="74"/>
  <c r="P141" i="74"/>
  <c r="O141" i="74"/>
  <c r="M141" i="74"/>
  <c r="P140" i="74"/>
  <c r="O140" i="74"/>
  <c r="M140" i="74"/>
  <c r="P139" i="74"/>
  <c r="O139" i="74"/>
  <c r="M139" i="74"/>
  <c r="P138" i="74"/>
  <c r="O138" i="74"/>
  <c r="M138" i="74"/>
  <c r="P137" i="74"/>
  <c r="O137" i="74"/>
  <c r="M137" i="74"/>
  <c r="P136" i="74"/>
  <c r="O136" i="74"/>
  <c r="M136" i="74"/>
  <c r="P135" i="74"/>
  <c r="O135" i="74"/>
  <c r="M135" i="74"/>
  <c r="P134" i="74"/>
  <c r="O134" i="74"/>
  <c r="M134" i="74"/>
  <c r="P133" i="74"/>
  <c r="O133" i="74"/>
  <c r="M133" i="74"/>
  <c r="P132" i="74"/>
  <c r="O132" i="74"/>
  <c r="M132" i="74"/>
  <c r="P131" i="74"/>
  <c r="O131" i="74"/>
  <c r="M131" i="74"/>
  <c r="O130" i="74"/>
  <c r="M130" i="74"/>
  <c r="O129" i="74"/>
  <c r="M129" i="74"/>
  <c r="O128" i="74"/>
  <c r="M128" i="74"/>
  <c r="O127" i="74"/>
  <c r="M127" i="74"/>
  <c r="O126" i="74"/>
  <c r="M126" i="74"/>
  <c r="O125" i="74"/>
  <c r="M125" i="74"/>
  <c r="O124" i="74"/>
  <c r="M124" i="74"/>
  <c r="O123" i="74"/>
  <c r="M123" i="74"/>
  <c r="O122" i="74"/>
  <c r="M122" i="74"/>
  <c r="O121" i="74"/>
  <c r="M121" i="74"/>
  <c r="O120" i="74"/>
  <c r="M120" i="74"/>
  <c r="O119" i="74"/>
  <c r="M119" i="74"/>
  <c r="O118" i="74"/>
  <c r="M118" i="74"/>
  <c r="O117" i="74"/>
  <c r="M117" i="74"/>
  <c r="O116" i="74"/>
  <c r="M116" i="74"/>
  <c r="O115" i="74"/>
  <c r="M115" i="74"/>
  <c r="O114" i="74"/>
  <c r="M114" i="74"/>
  <c r="O113" i="74"/>
  <c r="M113" i="74"/>
  <c r="O112" i="74"/>
  <c r="M112" i="74"/>
  <c r="O111" i="74"/>
  <c r="M111" i="74"/>
  <c r="O110" i="74"/>
  <c r="M110" i="74"/>
  <c r="O109" i="74"/>
  <c r="O108" i="74"/>
  <c r="O107" i="74"/>
  <c r="O103" i="74"/>
  <c r="P103" i="74"/>
  <c r="O102" i="74"/>
  <c r="M102" i="74"/>
  <c r="O101" i="74"/>
  <c r="M101" i="74"/>
  <c r="O100" i="74"/>
  <c r="M100" i="74"/>
  <c r="O99" i="74"/>
  <c r="M99" i="74"/>
  <c r="D96" i="74"/>
  <c r="L93" i="74"/>
  <c r="J93" i="74"/>
  <c r="D91" i="74"/>
  <c r="D89" i="74"/>
  <c r="N72" i="74"/>
  <c r="L72" i="74"/>
  <c r="N71" i="74"/>
  <c r="L71" i="74"/>
  <c r="N70" i="74"/>
  <c r="L70" i="74"/>
  <c r="N69" i="74"/>
  <c r="L69" i="74"/>
  <c r="N68" i="74"/>
  <c r="L68" i="74"/>
  <c r="N67" i="74"/>
  <c r="L67" i="74"/>
  <c r="N66" i="74"/>
  <c r="L66" i="74"/>
  <c r="N65" i="74"/>
  <c r="L65" i="74"/>
  <c r="N64" i="74"/>
  <c r="L64" i="74"/>
  <c r="N63" i="74"/>
  <c r="L63" i="74"/>
  <c r="N62" i="74"/>
  <c r="L62" i="74"/>
  <c r="N61" i="74"/>
  <c r="L61" i="74"/>
  <c r="N60" i="74"/>
  <c r="L60" i="74"/>
  <c r="N59" i="74"/>
  <c r="L59" i="74"/>
  <c r="N58" i="74"/>
  <c r="L58" i="74"/>
  <c r="N57" i="74"/>
  <c r="L57" i="74"/>
  <c r="N56" i="74"/>
  <c r="L56" i="74"/>
  <c r="N55" i="74"/>
  <c r="L55" i="74"/>
  <c r="N54" i="74"/>
  <c r="L54" i="74"/>
  <c r="N53" i="74"/>
  <c r="L53" i="74"/>
  <c r="N52" i="74"/>
  <c r="L52" i="74"/>
  <c r="N51" i="74"/>
  <c r="L51" i="74"/>
  <c r="N50" i="74"/>
  <c r="L50" i="74"/>
  <c r="N49" i="74"/>
  <c r="L49" i="74"/>
  <c r="N48" i="74"/>
  <c r="L48" i="74"/>
  <c r="N47" i="74"/>
  <c r="L47" i="74"/>
  <c r="N46" i="74"/>
  <c r="L46" i="74"/>
  <c r="N45" i="74"/>
  <c r="L45" i="74"/>
  <c r="N44" i="74"/>
  <c r="L44" i="74"/>
  <c r="N43" i="74"/>
  <c r="L43" i="74"/>
  <c r="N42" i="74"/>
  <c r="L42" i="74"/>
  <c r="N41" i="74"/>
  <c r="L41" i="74"/>
  <c r="N40" i="74"/>
  <c r="L40" i="74"/>
  <c r="N39" i="74"/>
  <c r="L39" i="74"/>
  <c r="N38" i="74"/>
  <c r="L38" i="74"/>
  <c r="N37" i="74"/>
  <c r="L37" i="74"/>
  <c r="N36" i="74"/>
  <c r="L36" i="74"/>
  <c r="N35" i="74"/>
  <c r="L35" i="74"/>
  <c r="N34" i="74"/>
  <c r="L34" i="74"/>
  <c r="N33" i="74"/>
  <c r="L33" i="74"/>
  <c r="N32" i="74"/>
  <c r="L32" i="74"/>
  <c r="N31" i="74"/>
  <c r="L31" i="74"/>
  <c r="N30" i="74"/>
  <c r="L30" i="74"/>
  <c r="N29" i="74"/>
  <c r="N28" i="74"/>
  <c r="N27" i="74"/>
  <c r="N26" i="74"/>
  <c r="N25" i="74"/>
  <c r="C17" i="74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C69" i="74" s="1"/>
  <c r="C70" i="74" s="1"/>
  <c r="C71" i="74" s="1"/>
  <c r="C72" i="74" s="1"/>
  <c r="K11" i="74"/>
  <c r="I11" i="74"/>
  <c r="D8" i="74"/>
  <c r="D90" i="74" s="1"/>
  <c r="P1" i="74"/>
  <c r="P83" i="74" s="1"/>
  <c r="P154" i="73"/>
  <c r="O154" i="73"/>
  <c r="M154" i="73"/>
  <c r="P153" i="73"/>
  <c r="O153" i="73"/>
  <c r="M153" i="73"/>
  <c r="P152" i="73"/>
  <c r="O152" i="73"/>
  <c r="M152" i="73"/>
  <c r="P151" i="73"/>
  <c r="O151" i="73"/>
  <c r="M151" i="73"/>
  <c r="P150" i="73"/>
  <c r="O150" i="73"/>
  <c r="M150" i="73"/>
  <c r="P149" i="73"/>
  <c r="O149" i="73"/>
  <c r="M149" i="73"/>
  <c r="P148" i="73"/>
  <c r="O148" i="73"/>
  <c r="M148" i="73"/>
  <c r="P147" i="73"/>
  <c r="O147" i="73"/>
  <c r="M147" i="73"/>
  <c r="P146" i="73"/>
  <c r="O146" i="73"/>
  <c r="M146" i="73"/>
  <c r="P145" i="73"/>
  <c r="O145" i="73"/>
  <c r="M145" i="73"/>
  <c r="P144" i="73"/>
  <c r="O144" i="73"/>
  <c r="M144" i="73"/>
  <c r="P143" i="73"/>
  <c r="O143" i="73"/>
  <c r="M143" i="73"/>
  <c r="P142" i="73"/>
  <c r="O142" i="73"/>
  <c r="M142" i="73"/>
  <c r="P141" i="73"/>
  <c r="O141" i="73"/>
  <c r="M141" i="73"/>
  <c r="P140" i="73"/>
  <c r="O140" i="73"/>
  <c r="M140" i="73"/>
  <c r="P139" i="73"/>
  <c r="O139" i="73"/>
  <c r="M139" i="73"/>
  <c r="P138" i="73"/>
  <c r="O138" i="73"/>
  <c r="M138" i="73"/>
  <c r="P137" i="73"/>
  <c r="O137" i="73"/>
  <c r="M137" i="73"/>
  <c r="P136" i="73"/>
  <c r="O136" i="73"/>
  <c r="M136" i="73"/>
  <c r="P135" i="73"/>
  <c r="O135" i="73"/>
  <c r="M135" i="73"/>
  <c r="P134" i="73"/>
  <c r="O134" i="73"/>
  <c r="M134" i="73"/>
  <c r="P133" i="73"/>
  <c r="O133" i="73"/>
  <c r="M133" i="73"/>
  <c r="P132" i="73"/>
  <c r="O132" i="73"/>
  <c r="M132" i="73"/>
  <c r="P131" i="73"/>
  <c r="O131" i="73"/>
  <c r="M131" i="73"/>
  <c r="O130" i="73"/>
  <c r="M130" i="73"/>
  <c r="O129" i="73"/>
  <c r="M129" i="73"/>
  <c r="O128" i="73"/>
  <c r="M128" i="73"/>
  <c r="O127" i="73"/>
  <c r="M127" i="73"/>
  <c r="O126" i="73"/>
  <c r="M126" i="73"/>
  <c r="O125" i="73"/>
  <c r="M125" i="73"/>
  <c r="O124" i="73"/>
  <c r="M124" i="73"/>
  <c r="O123" i="73"/>
  <c r="M123" i="73"/>
  <c r="O122" i="73"/>
  <c r="M122" i="73"/>
  <c r="O121" i="73"/>
  <c r="M121" i="73"/>
  <c r="O120" i="73"/>
  <c r="M120" i="73"/>
  <c r="O119" i="73"/>
  <c r="M119" i="73"/>
  <c r="O118" i="73"/>
  <c r="M118" i="73"/>
  <c r="O117" i="73"/>
  <c r="M117" i="73"/>
  <c r="O116" i="73"/>
  <c r="M116" i="73"/>
  <c r="O115" i="73"/>
  <c r="M115" i="73"/>
  <c r="O114" i="73"/>
  <c r="M114" i="73"/>
  <c r="O113" i="73"/>
  <c r="M113" i="73"/>
  <c r="O112" i="73"/>
  <c r="M112" i="73"/>
  <c r="O111" i="73"/>
  <c r="M111" i="73"/>
  <c r="O110" i="73"/>
  <c r="M110" i="73"/>
  <c r="O109" i="73"/>
  <c r="O108" i="73"/>
  <c r="M104" i="73"/>
  <c r="O103" i="73"/>
  <c r="M103" i="73"/>
  <c r="O102" i="73"/>
  <c r="M102" i="73"/>
  <c r="O101" i="73"/>
  <c r="P101" i="73" s="1"/>
  <c r="M101" i="73"/>
  <c r="O100" i="73"/>
  <c r="M100" i="73"/>
  <c r="O99" i="73"/>
  <c r="M99" i="73"/>
  <c r="D96" i="73"/>
  <c r="L93" i="73"/>
  <c r="J93" i="73"/>
  <c r="D91" i="73"/>
  <c r="D89" i="73"/>
  <c r="N72" i="73"/>
  <c r="L72" i="73"/>
  <c r="N71" i="73"/>
  <c r="L71" i="73"/>
  <c r="N70" i="73"/>
  <c r="L70" i="73"/>
  <c r="N69" i="73"/>
  <c r="L69" i="73"/>
  <c r="N68" i="73"/>
  <c r="L68" i="73"/>
  <c r="N67" i="73"/>
  <c r="L67" i="73"/>
  <c r="N66" i="73"/>
  <c r="L66" i="73"/>
  <c r="N65" i="73"/>
  <c r="L65" i="73"/>
  <c r="N64" i="73"/>
  <c r="L64" i="73"/>
  <c r="N63" i="73"/>
  <c r="L63" i="73"/>
  <c r="N62" i="73"/>
  <c r="L62" i="73"/>
  <c r="N61" i="73"/>
  <c r="L61" i="73"/>
  <c r="N60" i="73"/>
  <c r="L60" i="73"/>
  <c r="N59" i="73"/>
  <c r="L59" i="73"/>
  <c r="N58" i="73"/>
  <c r="L58" i="73"/>
  <c r="N57" i="73"/>
  <c r="L57" i="73"/>
  <c r="N56" i="73"/>
  <c r="L56" i="73"/>
  <c r="N55" i="73"/>
  <c r="L55" i="73"/>
  <c r="N54" i="73"/>
  <c r="L54" i="73"/>
  <c r="N53" i="73"/>
  <c r="L53" i="73"/>
  <c r="N52" i="73"/>
  <c r="L52" i="73"/>
  <c r="N51" i="73"/>
  <c r="L51" i="73"/>
  <c r="N50" i="73"/>
  <c r="L50" i="73"/>
  <c r="N49" i="73"/>
  <c r="L49" i="73"/>
  <c r="N48" i="73"/>
  <c r="L48" i="73"/>
  <c r="N47" i="73"/>
  <c r="L47" i="73"/>
  <c r="N46" i="73"/>
  <c r="L46" i="73"/>
  <c r="N45" i="73"/>
  <c r="L45" i="73"/>
  <c r="N44" i="73"/>
  <c r="L44" i="73"/>
  <c r="N43" i="73"/>
  <c r="L43" i="73"/>
  <c r="N42" i="73"/>
  <c r="L42" i="73"/>
  <c r="N41" i="73"/>
  <c r="L41" i="73"/>
  <c r="N40" i="73"/>
  <c r="L40" i="73"/>
  <c r="N39" i="73"/>
  <c r="L39" i="73"/>
  <c r="N38" i="73"/>
  <c r="L38" i="73"/>
  <c r="N37" i="73"/>
  <c r="L37" i="73"/>
  <c r="N36" i="73"/>
  <c r="L36" i="73"/>
  <c r="N35" i="73"/>
  <c r="L35" i="73"/>
  <c r="N34" i="73"/>
  <c r="L34" i="73"/>
  <c r="N33" i="73"/>
  <c r="L33" i="73"/>
  <c r="N32" i="73"/>
  <c r="L32" i="73"/>
  <c r="N31" i="73"/>
  <c r="L31" i="73"/>
  <c r="N30" i="73"/>
  <c r="L30" i="73"/>
  <c r="N29" i="73"/>
  <c r="N28" i="73"/>
  <c r="N27" i="73"/>
  <c r="N26" i="73"/>
  <c r="C17" i="73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C31" i="73" s="1"/>
  <c r="C32" i="73" s="1"/>
  <c r="C33" i="73" s="1"/>
  <c r="C34" i="73" s="1"/>
  <c r="C35" i="73" s="1"/>
  <c r="C36" i="73" s="1"/>
  <c r="C37" i="73" s="1"/>
  <c r="C38" i="73" s="1"/>
  <c r="C39" i="73" s="1"/>
  <c r="C40" i="73" s="1"/>
  <c r="C41" i="73" s="1"/>
  <c r="C42" i="73" s="1"/>
  <c r="C43" i="73" s="1"/>
  <c r="C44" i="73" s="1"/>
  <c r="K11" i="73"/>
  <c r="I11" i="73"/>
  <c r="P1" i="73"/>
  <c r="P83" i="73" s="1"/>
  <c r="P154" i="72"/>
  <c r="O154" i="72"/>
  <c r="M154" i="72"/>
  <c r="P153" i="72"/>
  <c r="O153" i="72"/>
  <c r="M153" i="72"/>
  <c r="P152" i="72"/>
  <c r="O152" i="72"/>
  <c r="M152" i="72"/>
  <c r="P151" i="72"/>
  <c r="O151" i="72"/>
  <c r="M151" i="72"/>
  <c r="P150" i="72"/>
  <c r="O150" i="72"/>
  <c r="M150" i="72"/>
  <c r="P149" i="72"/>
  <c r="O149" i="72"/>
  <c r="M149" i="72"/>
  <c r="P148" i="72"/>
  <c r="O148" i="72"/>
  <c r="M148" i="72"/>
  <c r="P147" i="72"/>
  <c r="O147" i="72"/>
  <c r="M147" i="72"/>
  <c r="P146" i="72"/>
  <c r="O146" i="72"/>
  <c r="M146" i="72"/>
  <c r="P145" i="72"/>
  <c r="O145" i="72"/>
  <c r="M145" i="72"/>
  <c r="P144" i="72"/>
  <c r="O144" i="72"/>
  <c r="M144" i="72"/>
  <c r="P143" i="72"/>
  <c r="O143" i="72"/>
  <c r="M143" i="72"/>
  <c r="P142" i="72"/>
  <c r="O142" i="72"/>
  <c r="M142" i="72"/>
  <c r="P141" i="72"/>
  <c r="O141" i="72"/>
  <c r="M141" i="72"/>
  <c r="P140" i="72"/>
  <c r="O140" i="72"/>
  <c r="M140" i="72"/>
  <c r="P139" i="72"/>
  <c r="O139" i="72"/>
  <c r="M139" i="72"/>
  <c r="P138" i="72"/>
  <c r="O138" i="72"/>
  <c r="M138" i="72"/>
  <c r="P137" i="72"/>
  <c r="O137" i="72"/>
  <c r="M137" i="72"/>
  <c r="P136" i="72"/>
  <c r="O136" i="72"/>
  <c r="M136" i="72"/>
  <c r="P135" i="72"/>
  <c r="O135" i="72"/>
  <c r="M135" i="72"/>
  <c r="P134" i="72"/>
  <c r="O134" i="72"/>
  <c r="M134" i="72"/>
  <c r="P133" i="72"/>
  <c r="O133" i="72"/>
  <c r="M133" i="72"/>
  <c r="P132" i="72"/>
  <c r="O132" i="72"/>
  <c r="M132" i="72"/>
  <c r="P131" i="72"/>
  <c r="O131" i="72"/>
  <c r="M131" i="72"/>
  <c r="O130" i="72"/>
  <c r="M130" i="72"/>
  <c r="O129" i="72"/>
  <c r="M129" i="72"/>
  <c r="O128" i="72"/>
  <c r="M128" i="72"/>
  <c r="O127" i="72"/>
  <c r="M127" i="72"/>
  <c r="O126" i="72"/>
  <c r="M126" i="72"/>
  <c r="O125" i="72"/>
  <c r="M125" i="72"/>
  <c r="O124" i="72"/>
  <c r="M124" i="72"/>
  <c r="O123" i="72"/>
  <c r="M123" i="72"/>
  <c r="O122" i="72"/>
  <c r="M122" i="72"/>
  <c r="O121" i="72"/>
  <c r="M121" i="72"/>
  <c r="O120" i="72"/>
  <c r="M120" i="72"/>
  <c r="O119" i="72"/>
  <c r="M119" i="72"/>
  <c r="O118" i="72"/>
  <c r="M118" i="72"/>
  <c r="O117" i="72"/>
  <c r="M117" i="72"/>
  <c r="O116" i="72"/>
  <c r="M116" i="72"/>
  <c r="O115" i="72"/>
  <c r="M115" i="72"/>
  <c r="O114" i="72"/>
  <c r="M114" i="72"/>
  <c r="O113" i="72"/>
  <c r="M113" i="72"/>
  <c r="O112" i="72"/>
  <c r="M112" i="72"/>
  <c r="O111" i="72"/>
  <c r="M111" i="72"/>
  <c r="O110" i="72"/>
  <c r="M110" i="72"/>
  <c r="O109" i="72"/>
  <c r="M109" i="72"/>
  <c r="O108" i="72"/>
  <c r="M108" i="72"/>
  <c r="O107" i="72"/>
  <c r="O106" i="72"/>
  <c r="M102" i="72"/>
  <c r="O101" i="72"/>
  <c r="M101" i="72"/>
  <c r="O100" i="72"/>
  <c r="M100" i="72"/>
  <c r="O99" i="72"/>
  <c r="M99" i="72"/>
  <c r="D96" i="72"/>
  <c r="L93" i="72"/>
  <c r="J93" i="72"/>
  <c r="D91" i="72"/>
  <c r="D89" i="72"/>
  <c r="N72" i="72"/>
  <c r="L72" i="72"/>
  <c r="N71" i="72"/>
  <c r="L71" i="72"/>
  <c r="N70" i="72"/>
  <c r="L70" i="72"/>
  <c r="N69" i="72"/>
  <c r="L69" i="72"/>
  <c r="N68" i="72"/>
  <c r="L68" i="72"/>
  <c r="N67" i="72"/>
  <c r="L67" i="72"/>
  <c r="N66" i="72"/>
  <c r="L66" i="72"/>
  <c r="N65" i="72"/>
  <c r="L65" i="72"/>
  <c r="N64" i="72"/>
  <c r="L64" i="72"/>
  <c r="N63" i="72"/>
  <c r="L63" i="72"/>
  <c r="N62" i="72"/>
  <c r="L62" i="72"/>
  <c r="N61" i="72"/>
  <c r="L61" i="72"/>
  <c r="N60" i="72"/>
  <c r="L60" i="72"/>
  <c r="N59" i="72"/>
  <c r="L59" i="72"/>
  <c r="N58" i="72"/>
  <c r="L58" i="72"/>
  <c r="N57" i="72"/>
  <c r="L57" i="72"/>
  <c r="N56" i="72"/>
  <c r="L56" i="72"/>
  <c r="N55" i="72"/>
  <c r="L55" i="72"/>
  <c r="N54" i="72"/>
  <c r="L54" i="72"/>
  <c r="N53" i="72"/>
  <c r="L53" i="72"/>
  <c r="N52" i="72"/>
  <c r="L52" i="72"/>
  <c r="N51" i="72"/>
  <c r="L51" i="72"/>
  <c r="N50" i="72"/>
  <c r="L50" i="72"/>
  <c r="N49" i="72"/>
  <c r="L49" i="72"/>
  <c r="N48" i="72"/>
  <c r="L48" i="72"/>
  <c r="N47" i="72"/>
  <c r="L47" i="72"/>
  <c r="N46" i="72"/>
  <c r="L46" i="72"/>
  <c r="N45" i="72"/>
  <c r="L45" i="72"/>
  <c r="N44" i="72"/>
  <c r="L44" i="72"/>
  <c r="N43" i="72"/>
  <c r="L43" i="72"/>
  <c r="N42" i="72"/>
  <c r="L42" i="72"/>
  <c r="N41" i="72"/>
  <c r="L41" i="72"/>
  <c r="N40" i="72"/>
  <c r="L40" i="72"/>
  <c r="N39" i="72"/>
  <c r="L39" i="72"/>
  <c r="N38" i="72"/>
  <c r="L38" i="72"/>
  <c r="N37" i="72"/>
  <c r="L37" i="72"/>
  <c r="N36" i="72"/>
  <c r="L36" i="72"/>
  <c r="N35" i="72"/>
  <c r="L35" i="72"/>
  <c r="N34" i="72"/>
  <c r="L34" i="72"/>
  <c r="N33" i="72"/>
  <c r="L33" i="72"/>
  <c r="N32" i="72"/>
  <c r="L32" i="72"/>
  <c r="N31" i="72"/>
  <c r="L31" i="72"/>
  <c r="N30" i="72"/>
  <c r="L30" i="72"/>
  <c r="N29" i="72"/>
  <c r="L29" i="72"/>
  <c r="N28" i="72"/>
  <c r="L28" i="72"/>
  <c r="N27" i="72"/>
  <c r="N26" i="72"/>
  <c r="N25" i="72"/>
  <c r="N24" i="72"/>
  <c r="O24" i="72" s="1"/>
  <c r="C17" i="72"/>
  <c r="C18" i="72" s="1"/>
  <c r="C19" i="72" s="1"/>
  <c r="C20" i="72" s="1"/>
  <c r="C21" i="72" s="1"/>
  <c r="C22" i="72" s="1"/>
  <c r="C23" i="72" s="1"/>
  <c r="C24" i="72" s="1"/>
  <c r="C25" i="72" s="1"/>
  <c r="C26" i="72" s="1"/>
  <c r="C27" i="72" s="1"/>
  <c r="C28" i="72" s="1"/>
  <c r="C29" i="72" s="1"/>
  <c r="C30" i="72" s="1"/>
  <c r="C31" i="72" s="1"/>
  <c r="C32" i="72" s="1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M17" i="72"/>
  <c r="N17" i="72" s="1"/>
  <c r="K11" i="72"/>
  <c r="I11" i="72"/>
  <c r="P1" i="72"/>
  <c r="P83" i="72" s="1"/>
  <c r="P154" i="71"/>
  <c r="O154" i="71"/>
  <c r="M154" i="71"/>
  <c r="P153" i="71"/>
  <c r="O153" i="71"/>
  <c r="M153" i="71"/>
  <c r="P152" i="71"/>
  <c r="O152" i="71"/>
  <c r="M152" i="71"/>
  <c r="P151" i="71"/>
  <c r="O151" i="71"/>
  <c r="M151" i="71"/>
  <c r="P150" i="71"/>
  <c r="O150" i="71"/>
  <c r="M150" i="71"/>
  <c r="P149" i="71"/>
  <c r="O149" i="71"/>
  <c r="M149" i="71"/>
  <c r="P148" i="71"/>
  <c r="O148" i="71"/>
  <c r="M148" i="71"/>
  <c r="P147" i="71"/>
  <c r="O147" i="71"/>
  <c r="M147" i="71"/>
  <c r="P146" i="71"/>
  <c r="O146" i="71"/>
  <c r="M146" i="71"/>
  <c r="P145" i="71"/>
  <c r="O145" i="71"/>
  <c r="M145" i="71"/>
  <c r="P144" i="71"/>
  <c r="O144" i="71"/>
  <c r="M144" i="71"/>
  <c r="P143" i="71"/>
  <c r="O143" i="71"/>
  <c r="M143" i="71"/>
  <c r="P142" i="71"/>
  <c r="O142" i="71"/>
  <c r="M142" i="71"/>
  <c r="P141" i="71"/>
  <c r="O141" i="71"/>
  <c r="M141" i="71"/>
  <c r="P140" i="71"/>
  <c r="O140" i="71"/>
  <c r="M140" i="71"/>
  <c r="P139" i="71"/>
  <c r="O139" i="71"/>
  <c r="M139" i="71"/>
  <c r="P138" i="71"/>
  <c r="O138" i="71"/>
  <c r="M138" i="71"/>
  <c r="P137" i="71"/>
  <c r="O137" i="71"/>
  <c r="M137" i="71"/>
  <c r="P136" i="71"/>
  <c r="O136" i="71"/>
  <c r="M136" i="71"/>
  <c r="P135" i="71"/>
  <c r="O135" i="71"/>
  <c r="M135" i="71"/>
  <c r="P134" i="71"/>
  <c r="O134" i="71"/>
  <c r="M134" i="71"/>
  <c r="P133" i="71"/>
  <c r="O133" i="71"/>
  <c r="M133" i="71"/>
  <c r="P132" i="71"/>
  <c r="O132" i="71"/>
  <c r="M132" i="71"/>
  <c r="P131" i="71"/>
  <c r="O131" i="71"/>
  <c r="M131" i="71"/>
  <c r="O130" i="71"/>
  <c r="M130" i="71"/>
  <c r="O129" i="71"/>
  <c r="M129" i="71"/>
  <c r="O128" i="71"/>
  <c r="M128" i="71"/>
  <c r="O127" i="71"/>
  <c r="M127" i="71"/>
  <c r="O126" i="71"/>
  <c r="M126" i="71"/>
  <c r="O125" i="71"/>
  <c r="M125" i="71"/>
  <c r="O124" i="71"/>
  <c r="M124" i="71"/>
  <c r="O123" i="71"/>
  <c r="M123" i="71"/>
  <c r="O122" i="71"/>
  <c r="M122" i="71"/>
  <c r="O121" i="71"/>
  <c r="M121" i="71"/>
  <c r="O120" i="71"/>
  <c r="M120" i="71"/>
  <c r="O119" i="71"/>
  <c r="M119" i="71"/>
  <c r="O118" i="71"/>
  <c r="M118" i="71"/>
  <c r="O117" i="71"/>
  <c r="M117" i="71"/>
  <c r="O116" i="71"/>
  <c r="M116" i="71"/>
  <c r="O115" i="71"/>
  <c r="M115" i="71"/>
  <c r="O114" i="71"/>
  <c r="M114" i="71"/>
  <c r="O113" i="71"/>
  <c r="M113" i="71"/>
  <c r="O112" i="71"/>
  <c r="M112" i="71"/>
  <c r="O111" i="71"/>
  <c r="O110" i="71"/>
  <c r="M106" i="71"/>
  <c r="O105" i="71"/>
  <c r="M105" i="71"/>
  <c r="O104" i="71"/>
  <c r="M104" i="71"/>
  <c r="O103" i="71"/>
  <c r="M103" i="71"/>
  <c r="O102" i="71"/>
  <c r="M102" i="71"/>
  <c r="O101" i="71"/>
  <c r="M101" i="71"/>
  <c r="O100" i="71"/>
  <c r="M100" i="71"/>
  <c r="O99" i="71"/>
  <c r="M99" i="71"/>
  <c r="D96" i="71"/>
  <c r="L93" i="71"/>
  <c r="J93" i="71"/>
  <c r="D91" i="71"/>
  <c r="D89" i="71"/>
  <c r="N72" i="71"/>
  <c r="L72" i="71"/>
  <c r="N71" i="71"/>
  <c r="L71" i="71"/>
  <c r="N70" i="71"/>
  <c r="L70" i="71"/>
  <c r="N69" i="71"/>
  <c r="L69" i="71"/>
  <c r="N68" i="71"/>
  <c r="L68" i="71"/>
  <c r="N67" i="71"/>
  <c r="L67" i="71"/>
  <c r="N66" i="71"/>
  <c r="L66" i="71"/>
  <c r="N65" i="71"/>
  <c r="L65" i="71"/>
  <c r="N64" i="71"/>
  <c r="L64" i="71"/>
  <c r="N63" i="71"/>
  <c r="L63" i="71"/>
  <c r="N62" i="71"/>
  <c r="L62" i="71"/>
  <c r="N61" i="71"/>
  <c r="L61" i="71"/>
  <c r="N60" i="71"/>
  <c r="L60" i="71"/>
  <c r="N59" i="71"/>
  <c r="L59" i="71"/>
  <c r="N58" i="71"/>
  <c r="L58" i="71"/>
  <c r="N57" i="71"/>
  <c r="L57" i="71"/>
  <c r="N56" i="71"/>
  <c r="L56" i="71"/>
  <c r="N55" i="71"/>
  <c r="L55" i="71"/>
  <c r="N54" i="71"/>
  <c r="L54" i="71"/>
  <c r="N53" i="71"/>
  <c r="L53" i="71"/>
  <c r="N52" i="71"/>
  <c r="L52" i="71"/>
  <c r="N51" i="71"/>
  <c r="L51" i="71"/>
  <c r="N50" i="71"/>
  <c r="L50" i="71"/>
  <c r="N49" i="71"/>
  <c r="L49" i="71"/>
  <c r="N48" i="71"/>
  <c r="L48" i="71"/>
  <c r="N47" i="71"/>
  <c r="L47" i="71"/>
  <c r="N46" i="71"/>
  <c r="L46" i="71"/>
  <c r="N45" i="71"/>
  <c r="L45" i="71"/>
  <c r="N44" i="71"/>
  <c r="L44" i="71"/>
  <c r="N43" i="71"/>
  <c r="L43" i="71"/>
  <c r="N42" i="71"/>
  <c r="L42" i="71"/>
  <c r="N41" i="71"/>
  <c r="L41" i="71"/>
  <c r="N40" i="71"/>
  <c r="L40" i="71"/>
  <c r="N39" i="71"/>
  <c r="L39" i="71"/>
  <c r="N38" i="71"/>
  <c r="L38" i="71"/>
  <c r="N37" i="71"/>
  <c r="L37" i="71"/>
  <c r="N36" i="71"/>
  <c r="L36" i="71"/>
  <c r="N35" i="71"/>
  <c r="L35" i="71"/>
  <c r="N34" i="71"/>
  <c r="L34" i="71"/>
  <c r="N33" i="71"/>
  <c r="L33" i="71"/>
  <c r="N32" i="71"/>
  <c r="L32" i="71"/>
  <c r="N31" i="71"/>
  <c r="N30" i="71"/>
  <c r="N29" i="71"/>
  <c r="O29" i="71" s="1"/>
  <c r="N28" i="71"/>
  <c r="O28" i="71" s="1"/>
  <c r="C17" i="71"/>
  <c r="C18" i="71" s="1"/>
  <c r="C19" i="71" s="1"/>
  <c r="C20" i="71" s="1"/>
  <c r="C21" i="71" s="1"/>
  <c r="C22" i="71" s="1"/>
  <c r="C23" i="71" s="1"/>
  <c r="C24" i="71" s="1"/>
  <c r="C25" i="71" s="1"/>
  <c r="C26" i="71" s="1"/>
  <c r="C27" i="71" s="1"/>
  <c r="C28" i="71" s="1"/>
  <c r="C29" i="71" s="1"/>
  <c r="C30" i="71" s="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K11" i="71"/>
  <c r="I11" i="71"/>
  <c r="P1" i="71"/>
  <c r="P83" i="71" s="1"/>
  <c r="P154" i="70"/>
  <c r="O154" i="70"/>
  <c r="M154" i="70"/>
  <c r="P153" i="70"/>
  <c r="O153" i="70"/>
  <c r="M153" i="70"/>
  <c r="P152" i="70"/>
  <c r="O152" i="70"/>
  <c r="M152" i="70"/>
  <c r="P151" i="70"/>
  <c r="O151" i="70"/>
  <c r="M151" i="70"/>
  <c r="P150" i="70"/>
  <c r="O150" i="70"/>
  <c r="M150" i="70"/>
  <c r="P149" i="70"/>
  <c r="O149" i="70"/>
  <c r="M149" i="70"/>
  <c r="P148" i="70"/>
  <c r="O148" i="70"/>
  <c r="M148" i="70"/>
  <c r="P147" i="70"/>
  <c r="O147" i="70"/>
  <c r="M147" i="70"/>
  <c r="P146" i="70"/>
  <c r="O146" i="70"/>
  <c r="M146" i="70"/>
  <c r="P145" i="70"/>
  <c r="O145" i="70"/>
  <c r="M145" i="70"/>
  <c r="P144" i="70"/>
  <c r="O144" i="70"/>
  <c r="M144" i="70"/>
  <c r="P143" i="70"/>
  <c r="O143" i="70"/>
  <c r="M143" i="70"/>
  <c r="P142" i="70"/>
  <c r="O142" i="70"/>
  <c r="M142" i="70"/>
  <c r="P141" i="70"/>
  <c r="O141" i="70"/>
  <c r="M141" i="70"/>
  <c r="P140" i="70"/>
  <c r="O140" i="70"/>
  <c r="M140" i="70"/>
  <c r="P139" i="70"/>
  <c r="O139" i="70"/>
  <c r="M139" i="70"/>
  <c r="P138" i="70"/>
  <c r="O138" i="70"/>
  <c r="M138" i="70"/>
  <c r="P137" i="70"/>
  <c r="O137" i="70"/>
  <c r="M137" i="70"/>
  <c r="P136" i="70"/>
  <c r="O136" i="70"/>
  <c r="M136" i="70"/>
  <c r="P135" i="70"/>
  <c r="O135" i="70"/>
  <c r="M135" i="70"/>
  <c r="P134" i="70"/>
  <c r="O134" i="70"/>
  <c r="M134" i="70"/>
  <c r="P133" i="70"/>
  <c r="O133" i="70"/>
  <c r="M133" i="70"/>
  <c r="P132" i="70"/>
  <c r="O132" i="70"/>
  <c r="M132" i="70"/>
  <c r="P131" i="70"/>
  <c r="O131" i="70"/>
  <c r="M131" i="70"/>
  <c r="O130" i="70"/>
  <c r="M130" i="70"/>
  <c r="O129" i="70"/>
  <c r="M129" i="70"/>
  <c r="O128" i="70"/>
  <c r="M128" i="70"/>
  <c r="O127" i="70"/>
  <c r="M127" i="70"/>
  <c r="O126" i="70"/>
  <c r="M126" i="70"/>
  <c r="O125" i="70"/>
  <c r="M125" i="70"/>
  <c r="O124" i="70"/>
  <c r="M124" i="70"/>
  <c r="O123" i="70"/>
  <c r="M123" i="70"/>
  <c r="O122" i="70"/>
  <c r="M122" i="70"/>
  <c r="O121" i="70"/>
  <c r="M121" i="70"/>
  <c r="O120" i="70"/>
  <c r="M120" i="70"/>
  <c r="O119" i="70"/>
  <c r="M119" i="70"/>
  <c r="O118" i="70"/>
  <c r="M118" i="70"/>
  <c r="O117" i="70"/>
  <c r="M117" i="70"/>
  <c r="O116" i="70"/>
  <c r="M116" i="70"/>
  <c r="O115" i="70"/>
  <c r="M115" i="70"/>
  <c r="O114" i="70"/>
  <c r="M114" i="70"/>
  <c r="O113" i="70"/>
  <c r="M113" i="70"/>
  <c r="O112" i="70"/>
  <c r="O111" i="70"/>
  <c r="O107" i="70"/>
  <c r="P107" i="70"/>
  <c r="O106" i="70"/>
  <c r="M106" i="70"/>
  <c r="O105" i="70"/>
  <c r="M105" i="70"/>
  <c r="O104" i="70"/>
  <c r="M104" i="70"/>
  <c r="O103" i="70"/>
  <c r="M103" i="70"/>
  <c r="O102" i="70"/>
  <c r="M102" i="70"/>
  <c r="O101" i="70"/>
  <c r="M101" i="70"/>
  <c r="O100" i="70"/>
  <c r="M100" i="70"/>
  <c r="O99" i="70"/>
  <c r="M99" i="70"/>
  <c r="D96" i="70"/>
  <c r="L93" i="70"/>
  <c r="J93" i="70"/>
  <c r="D91" i="70"/>
  <c r="D89" i="70"/>
  <c r="N72" i="70"/>
  <c r="L72" i="70"/>
  <c r="N71" i="70"/>
  <c r="L71" i="70"/>
  <c r="N70" i="70"/>
  <c r="L70" i="70"/>
  <c r="N69" i="70"/>
  <c r="L69" i="70"/>
  <c r="N68" i="70"/>
  <c r="L68" i="70"/>
  <c r="N67" i="70"/>
  <c r="L67" i="70"/>
  <c r="N66" i="70"/>
  <c r="L66" i="70"/>
  <c r="N65" i="70"/>
  <c r="L65" i="70"/>
  <c r="N64" i="70"/>
  <c r="L64" i="70"/>
  <c r="N63" i="70"/>
  <c r="L63" i="70"/>
  <c r="N62" i="70"/>
  <c r="L62" i="70"/>
  <c r="N61" i="70"/>
  <c r="L61" i="70"/>
  <c r="N60" i="70"/>
  <c r="L60" i="70"/>
  <c r="N59" i="70"/>
  <c r="L59" i="70"/>
  <c r="N58" i="70"/>
  <c r="L58" i="70"/>
  <c r="N57" i="70"/>
  <c r="L57" i="70"/>
  <c r="N56" i="70"/>
  <c r="L56" i="70"/>
  <c r="N55" i="70"/>
  <c r="L55" i="70"/>
  <c r="N54" i="70"/>
  <c r="L54" i="70"/>
  <c r="N53" i="70"/>
  <c r="L53" i="70"/>
  <c r="N52" i="70"/>
  <c r="L52" i="70"/>
  <c r="N51" i="70"/>
  <c r="L51" i="70"/>
  <c r="N50" i="70"/>
  <c r="L50" i="70"/>
  <c r="N49" i="70"/>
  <c r="L49" i="70"/>
  <c r="N48" i="70"/>
  <c r="L48" i="70"/>
  <c r="N47" i="70"/>
  <c r="L47" i="70"/>
  <c r="N46" i="70"/>
  <c r="L46" i="70"/>
  <c r="N45" i="70"/>
  <c r="L45" i="70"/>
  <c r="N44" i="70"/>
  <c r="L44" i="70"/>
  <c r="N43" i="70"/>
  <c r="L43" i="70"/>
  <c r="N42" i="70"/>
  <c r="L42" i="70"/>
  <c r="N41" i="70"/>
  <c r="L41" i="70"/>
  <c r="N40" i="70"/>
  <c r="L40" i="70"/>
  <c r="N39" i="70"/>
  <c r="L39" i="70"/>
  <c r="N38" i="70"/>
  <c r="L38" i="70"/>
  <c r="N37" i="70"/>
  <c r="L37" i="70"/>
  <c r="N36" i="70"/>
  <c r="L36" i="70"/>
  <c r="N35" i="70"/>
  <c r="L35" i="70"/>
  <c r="N34" i="70"/>
  <c r="L34" i="70"/>
  <c r="N33" i="70"/>
  <c r="L33" i="70"/>
  <c r="N32" i="70"/>
  <c r="N31" i="70"/>
  <c r="N30" i="70"/>
  <c r="N29" i="70"/>
  <c r="O29" i="70" s="1"/>
  <c r="C17" i="70"/>
  <c r="C18" i="70" s="1"/>
  <c r="C19" i="70" s="1"/>
  <c r="C20" i="70" s="1"/>
  <c r="C21" i="70" s="1"/>
  <c r="C22" i="70" s="1"/>
  <c r="C23" i="70" s="1"/>
  <c r="C24" i="70" s="1"/>
  <c r="C25" i="70" s="1"/>
  <c r="C26" i="70" s="1"/>
  <c r="C27" i="70" s="1"/>
  <c r="C28" i="70" s="1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K11" i="70"/>
  <c r="I11" i="70"/>
  <c r="P1" i="70"/>
  <c r="P83" i="70" s="1"/>
  <c r="D96" i="69"/>
  <c r="P154" i="69"/>
  <c r="O154" i="69"/>
  <c r="M154" i="69"/>
  <c r="P153" i="69"/>
  <c r="O153" i="69"/>
  <c r="M153" i="69"/>
  <c r="P152" i="69"/>
  <c r="O152" i="69"/>
  <c r="M152" i="69"/>
  <c r="P151" i="69"/>
  <c r="O151" i="69"/>
  <c r="M151" i="69"/>
  <c r="P150" i="69"/>
  <c r="O150" i="69"/>
  <c r="M150" i="69"/>
  <c r="P149" i="69"/>
  <c r="O149" i="69"/>
  <c r="M149" i="69"/>
  <c r="P148" i="69"/>
  <c r="O148" i="69"/>
  <c r="M148" i="69"/>
  <c r="P147" i="69"/>
  <c r="O147" i="69"/>
  <c r="M147" i="69"/>
  <c r="P146" i="69"/>
  <c r="O146" i="69"/>
  <c r="M146" i="69"/>
  <c r="P145" i="69"/>
  <c r="O145" i="69"/>
  <c r="M145" i="69"/>
  <c r="P144" i="69"/>
  <c r="O144" i="69"/>
  <c r="M144" i="69"/>
  <c r="P143" i="69"/>
  <c r="O143" i="69"/>
  <c r="M143" i="69"/>
  <c r="P142" i="69"/>
  <c r="O142" i="69"/>
  <c r="M142" i="69"/>
  <c r="P141" i="69"/>
  <c r="O141" i="69"/>
  <c r="M141" i="69"/>
  <c r="P140" i="69"/>
  <c r="O140" i="69"/>
  <c r="M140" i="69"/>
  <c r="P139" i="69"/>
  <c r="O139" i="69"/>
  <c r="M139" i="69"/>
  <c r="P138" i="69"/>
  <c r="O138" i="69"/>
  <c r="M138" i="69"/>
  <c r="P137" i="69"/>
  <c r="O137" i="69"/>
  <c r="M137" i="69"/>
  <c r="P136" i="69"/>
  <c r="O136" i="69"/>
  <c r="M136" i="69"/>
  <c r="P135" i="69"/>
  <c r="O135" i="69"/>
  <c r="M135" i="69"/>
  <c r="P134" i="69"/>
  <c r="O134" i="69"/>
  <c r="M134" i="69"/>
  <c r="P133" i="69"/>
  <c r="O133" i="69"/>
  <c r="M133" i="69"/>
  <c r="P132" i="69"/>
  <c r="O132" i="69"/>
  <c r="M132" i="69"/>
  <c r="P131" i="69"/>
  <c r="O131" i="69"/>
  <c r="M131" i="69"/>
  <c r="O130" i="69"/>
  <c r="M130" i="69"/>
  <c r="O129" i="69"/>
  <c r="M129" i="69"/>
  <c r="O128" i="69"/>
  <c r="M128" i="69"/>
  <c r="O127" i="69"/>
  <c r="M127" i="69"/>
  <c r="O126" i="69"/>
  <c r="M126" i="69"/>
  <c r="O125" i="69"/>
  <c r="M125" i="69"/>
  <c r="O124" i="69"/>
  <c r="M124" i="69"/>
  <c r="O123" i="69"/>
  <c r="M123" i="69"/>
  <c r="O122" i="69"/>
  <c r="M122" i="69"/>
  <c r="O121" i="69"/>
  <c r="M121" i="69"/>
  <c r="O120" i="69"/>
  <c r="M120" i="69"/>
  <c r="O119" i="69"/>
  <c r="M119" i="69"/>
  <c r="O118" i="69"/>
  <c r="M118" i="69"/>
  <c r="O117" i="69"/>
  <c r="M117" i="69"/>
  <c r="O116" i="69"/>
  <c r="M116" i="69"/>
  <c r="O115" i="69"/>
  <c r="M115" i="69"/>
  <c r="O114" i="69"/>
  <c r="M114" i="69"/>
  <c r="O113" i="69"/>
  <c r="M113" i="69"/>
  <c r="O112" i="69"/>
  <c r="O111" i="69"/>
  <c r="M107" i="69"/>
  <c r="O106" i="69"/>
  <c r="M106" i="69"/>
  <c r="L93" i="69"/>
  <c r="J93" i="69"/>
  <c r="D91" i="69"/>
  <c r="D89" i="69"/>
  <c r="N72" i="69"/>
  <c r="L72" i="69"/>
  <c r="N71" i="69"/>
  <c r="L71" i="69"/>
  <c r="N70" i="69"/>
  <c r="L70" i="69"/>
  <c r="N69" i="69"/>
  <c r="L69" i="69"/>
  <c r="N68" i="69"/>
  <c r="L68" i="69"/>
  <c r="N67" i="69"/>
  <c r="L67" i="69"/>
  <c r="N66" i="69"/>
  <c r="L66" i="69"/>
  <c r="N65" i="69"/>
  <c r="L65" i="69"/>
  <c r="N64" i="69"/>
  <c r="L64" i="69"/>
  <c r="N63" i="69"/>
  <c r="L63" i="69"/>
  <c r="N62" i="69"/>
  <c r="L62" i="69"/>
  <c r="N61" i="69"/>
  <c r="L61" i="69"/>
  <c r="N60" i="69"/>
  <c r="L60" i="69"/>
  <c r="N59" i="69"/>
  <c r="L59" i="69"/>
  <c r="N58" i="69"/>
  <c r="L58" i="69"/>
  <c r="N57" i="69"/>
  <c r="L57" i="69"/>
  <c r="N56" i="69"/>
  <c r="L56" i="69"/>
  <c r="N55" i="69"/>
  <c r="L55" i="69"/>
  <c r="N54" i="69"/>
  <c r="L54" i="69"/>
  <c r="N53" i="69"/>
  <c r="L53" i="69"/>
  <c r="N52" i="69"/>
  <c r="L52" i="69"/>
  <c r="N51" i="69"/>
  <c r="L51" i="69"/>
  <c r="N50" i="69"/>
  <c r="L50" i="69"/>
  <c r="N49" i="69"/>
  <c r="L49" i="69"/>
  <c r="N48" i="69"/>
  <c r="L48" i="69"/>
  <c r="N47" i="69"/>
  <c r="L47" i="69"/>
  <c r="N46" i="69"/>
  <c r="L46" i="69"/>
  <c r="N45" i="69"/>
  <c r="L45" i="69"/>
  <c r="N44" i="69"/>
  <c r="L44" i="69"/>
  <c r="N43" i="69"/>
  <c r="L43" i="69"/>
  <c r="N42" i="69"/>
  <c r="L42" i="69"/>
  <c r="N41" i="69"/>
  <c r="L41" i="69"/>
  <c r="N40" i="69"/>
  <c r="L40" i="69"/>
  <c r="N39" i="69"/>
  <c r="L39" i="69"/>
  <c r="N38" i="69"/>
  <c r="L38" i="69"/>
  <c r="N37" i="69"/>
  <c r="L37" i="69"/>
  <c r="N36" i="69"/>
  <c r="L36" i="69"/>
  <c r="N35" i="69"/>
  <c r="L35" i="69"/>
  <c r="N34" i="69"/>
  <c r="L34" i="69"/>
  <c r="N33" i="69"/>
  <c r="L33" i="69"/>
  <c r="N32" i="69"/>
  <c r="N31" i="69"/>
  <c r="N30" i="69"/>
  <c r="N29" i="69"/>
  <c r="C17" i="69"/>
  <c r="C18" i="69" s="1"/>
  <c r="C19" i="69" s="1"/>
  <c r="C20" i="69" s="1"/>
  <c r="C21" i="69" s="1"/>
  <c r="C22" i="69" s="1"/>
  <c r="C23" i="69" s="1"/>
  <c r="C24" i="69" s="1"/>
  <c r="C25" i="69" s="1"/>
  <c r="C26" i="69" s="1"/>
  <c r="C27" i="69" s="1"/>
  <c r="C28" i="69" s="1"/>
  <c r="C29" i="69" s="1"/>
  <c r="C30" i="69" s="1"/>
  <c r="C31" i="69" s="1"/>
  <c r="C32" i="69" s="1"/>
  <c r="C33" i="69" s="1"/>
  <c r="C34" i="69" s="1"/>
  <c r="C35" i="69" s="1"/>
  <c r="C36" i="69" s="1"/>
  <c r="C37" i="69" s="1"/>
  <c r="C38" i="69" s="1"/>
  <c r="C39" i="69" s="1"/>
  <c r="C40" i="69" s="1"/>
  <c r="C41" i="69" s="1"/>
  <c r="C42" i="69" s="1"/>
  <c r="C43" i="69" s="1"/>
  <c r="C44" i="69" s="1"/>
  <c r="K11" i="69"/>
  <c r="I11" i="69"/>
  <c r="P1" i="69"/>
  <c r="P83" i="69" s="1"/>
  <c r="M17" i="68"/>
  <c r="N17" i="68" s="1"/>
  <c r="K17" i="68"/>
  <c r="L17" i="68" s="1"/>
  <c r="M17" i="67"/>
  <c r="N17" i="67" s="1"/>
  <c r="K17" i="67"/>
  <c r="L17" i="67" s="1"/>
  <c r="M17" i="66"/>
  <c r="N17" i="66" s="1"/>
  <c r="K17" i="66"/>
  <c r="L17" i="66" s="1"/>
  <c r="M17" i="65"/>
  <c r="N17" i="65" s="1"/>
  <c r="K17" i="65"/>
  <c r="L17" i="65" s="1"/>
  <c r="N99" i="64"/>
  <c r="O99" i="64" s="1"/>
  <c r="L99" i="64"/>
  <c r="M99" i="64" s="1"/>
  <c r="M18" i="64"/>
  <c r="N18" i="64" s="1"/>
  <c r="K18" i="64"/>
  <c r="L18" i="64" s="1"/>
  <c r="M17" i="64"/>
  <c r="N17" i="64" s="1"/>
  <c r="K17" i="64"/>
  <c r="L17" i="64" s="1"/>
  <c r="N99" i="60"/>
  <c r="O99" i="60"/>
  <c r="M99" i="60"/>
  <c r="L99" i="60"/>
  <c r="M18" i="60"/>
  <c r="N18" i="60" s="1"/>
  <c r="K18" i="60"/>
  <c r="L18" i="60" s="1"/>
  <c r="N99" i="62"/>
  <c r="O99" i="62" s="1"/>
  <c r="L99" i="62"/>
  <c r="M99" i="62" s="1"/>
  <c r="M18" i="62"/>
  <c r="N18" i="62" s="1"/>
  <c r="K18" i="62"/>
  <c r="L18" i="62" s="1"/>
  <c r="N99" i="63"/>
  <c r="O99" i="63" s="1"/>
  <c r="L99" i="63"/>
  <c r="M99" i="63" s="1"/>
  <c r="M18" i="63"/>
  <c r="N18" i="63" s="1"/>
  <c r="K18" i="63"/>
  <c r="L18" i="63" s="1"/>
  <c r="N99" i="61"/>
  <c r="O99" i="61" s="1"/>
  <c r="L99" i="61"/>
  <c r="M99" i="61" s="1"/>
  <c r="M18" i="61"/>
  <c r="N18" i="61" s="1"/>
  <c r="K18" i="61"/>
  <c r="L18" i="61" s="1"/>
  <c r="N99" i="59"/>
  <c r="O99" i="59" s="1"/>
  <c r="L99" i="59"/>
  <c r="M99" i="59" s="1"/>
  <c r="M18" i="59"/>
  <c r="N18" i="59" s="1"/>
  <c r="K18" i="59"/>
  <c r="L18" i="59" s="1"/>
  <c r="N100" i="58"/>
  <c r="O100" i="58"/>
  <c r="L100" i="58"/>
  <c r="M100" i="58" s="1"/>
  <c r="M19" i="58"/>
  <c r="N19" i="58" s="1"/>
  <c r="K19" i="58"/>
  <c r="L19" i="58" s="1"/>
  <c r="N100" i="57"/>
  <c r="O100" i="57" s="1"/>
  <c r="L100" i="57"/>
  <c r="M100" i="57" s="1"/>
  <c r="M19" i="57"/>
  <c r="N19" i="57" s="1"/>
  <c r="K19" i="57"/>
  <c r="L19" i="57" s="1"/>
  <c r="N100" i="56"/>
  <c r="O100" i="56" s="1"/>
  <c r="L100" i="56"/>
  <c r="M100" i="56" s="1"/>
  <c r="M19" i="56"/>
  <c r="N19" i="56" s="1"/>
  <c r="K19" i="56"/>
  <c r="L19" i="56" s="1"/>
  <c r="N100" i="55"/>
  <c r="O100" i="55" s="1"/>
  <c r="L100" i="55"/>
  <c r="M100" i="55" s="1"/>
  <c r="M19" i="55"/>
  <c r="N19" i="55" s="1"/>
  <c r="K19" i="55"/>
  <c r="L19" i="55" s="1"/>
  <c r="N100" i="54"/>
  <c r="O100" i="54" s="1"/>
  <c r="L100" i="54"/>
  <c r="M100" i="54" s="1"/>
  <c r="M19" i="54"/>
  <c r="N19" i="54" s="1"/>
  <c r="K19" i="54"/>
  <c r="L19" i="54" s="1"/>
  <c r="N100" i="53"/>
  <c r="O100" i="53" s="1"/>
  <c r="L100" i="53"/>
  <c r="M100" i="53" s="1"/>
  <c r="M19" i="53"/>
  <c r="N19" i="53" s="1"/>
  <c r="K19" i="53"/>
  <c r="L19" i="53" s="1"/>
  <c r="N100" i="46"/>
  <c r="O100" i="46" s="1"/>
  <c r="L100" i="46"/>
  <c r="M100" i="46" s="1"/>
  <c r="M19" i="46"/>
  <c r="N19" i="46" s="1"/>
  <c r="K19" i="46"/>
  <c r="L19" i="46" s="1"/>
  <c r="N101" i="45"/>
  <c r="O101" i="45" s="1"/>
  <c r="L101" i="45"/>
  <c r="M101" i="45"/>
  <c r="M20" i="45"/>
  <c r="N20" i="45" s="1"/>
  <c r="K20" i="45"/>
  <c r="L20" i="45" s="1"/>
  <c r="N102" i="44"/>
  <c r="O102" i="44" s="1"/>
  <c r="L102" i="44"/>
  <c r="M102" i="44" s="1"/>
  <c r="M21" i="44"/>
  <c r="N21" i="44" s="1"/>
  <c r="K21" i="44"/>
  <c r="L21" i="44"/>
  <c r="N102" i="43"/>
  <c r="O102" i="43" s="1"/>
  <c r="P102" i="43" s="1"/>
  <c r="L102" i="43"/>
  <c r="M102" i="43" s="1"/>
  <c r="M21" i="43"/>
  <c r="N21" i="43" s="1"/>
  <c r="K21" i="43"/>
  <c r="L21" i="43" s="1"/>
  <c r="N102" i="42"/>
  <c r="O102" i="42" s="1"/>
  <c r="P102" i="42" s="1"/>
  <c r="L102" i="42"/>
  <c r="M102" i="42" s="1"/>
  <c r="M21" i="42"/>
  <c r="N21" i="42" s="1"/>
  <c r="K21" i="42"/>
  <c r="L21" i="42" s="1"/>
  <c r="N102" i="41"/>
  <c r="O102" i="41" s="1"/>
  <c r="P102" i="41" s="1"/>
  <c r="L102" i="41"/>
  <c r="M102" i="41"/>
  <c r="M21" i="41"/>
  <c r="N21" i="41" s="1"/>
  <c r="K21" i="41"/>
  <c r="L21" i="41" s="1"/>
  <c r="B102" i="39"/>
  <c r="B103" i="39"/>
  <c r="M21" i="39"/>
  <c r="N21" i="39" s="1"/>
  <c r="K21" i="39"/>
  <c r="L21" i="39" s="1"/>
  <c r="D104" i="34"/>
  <c r="M23" i="34"/>
  <c r="N23" i="34" s="1"/>
  <c r="K23" i="34"/>
  <c r="L23" i="34" s="1"/>
  <c r="N104" i="32"/>
  <c r="O104" i="32" s="1"/>
  <c r="L104" i="32"/>
  <c r="M104" i="32" s="1"/>
  <c r="M23" i="32"/>
  <c r="N23" i="32" s="1"/>
  <c r="K23" i="32"/>
  <c r="L23" i="32" s="1"/>
  <c r="N104" i="31"/>
  <c r="O104" i="31" s="1"/>
  <c r="L104" i="31"/>
  <c r="M104" i="31" s="1"/>
  <c r="M23" i="31"/>
  <c r="N23" i="31" s="1"/>
  <c r="K23" i="31"/>
  <c r="L23" i="31" s="1"/>
  <c r="N105" i="30"/>
  <c r="O105" i="30" s="1"/>
  <c r="L105" i="30"/>
  <c r="M105" i="30" s="1"/>
  <c r="M24" i="30"/>
  <c r="N24" i="30" s="1"/>
  <c r="K24" i="30"/>
  <c r="L24" i="30" s="1"/>
  <c r="N105" i="29"/>
  <c r="O105" i="29"/>
  <c r="L105" i="29"/>
  <c r="M105" i="29" s="1"/>
  <c r="M24" i="29"/>
  <c r="N24" i="29" s="1"/>
  <c r="K24" i="29"/>
  <c r="L24" i="29" s="1"/>
  <c r="N106" i="28"/>
  <c r="O106" i="28" s="1"/>
  <c r="L106" i="28"/>
  <c r="M106" i="28" s="1"/>
  <c r="M25" i="28"/>
  <c r="N25" i="28" s="1"/>
  <c r="K25" i="28"/>
  <c r="L25" i="28" s="1"/>
  <c r="N105" i="27"/>
  <c r="O105" i="27" s="1"/>
  <c r="L105" i="27"/>
  <c r="M105" i="27" s="1"/>
  <c r="M24" i="27"/>
  <c r="N24" i="27" s="1"/>
  <c r="K24" i="27"/>
  <c r="L24" i="27" s="1"/>
  <c r="N104" i="24"/>
  <c r="O104" i="24" s="1"/>
  <c r="L104" i="24"/>
  <c r="M104" i="24" s="1"/>
  <c r="M23" i="24"/>
  <c r="N23" i="24" s="1"/>
  <c r="K23" i="24"/>
  <c r="L23" i="24" s="1"/>
  <c r="N104" i="23"/>
  <c r="O104" i="23" s="1"/>
  <c r="L104" i="23"/>
  <c r="M104" i="23" s="1"/>
  <c r="M23" i="23"/>
  <c r="N23" i="23" s="1"/>
  <c r="K23" i="23"/>
  <c r="L23" i="23" s="1"/>
  <c r="N103" i="22"/>
  <c r="O103" i="22" s="1"/>
  <c r="L103" i="22"/>
  <c r="M103" i="22" s="1"/>
  <c r="M22" i="22"/>
  <c r="N22" i="22" s="1"/>
  <c r="K22" i="22"/>
  <c r="L22" i="22" s="1"/>
  <c r="N103" i="21"/>
  <c r="O103" i="21" s="1"/>
  <c r="L103" i="21"/>
  <c r="M103" i="21" s="1"/>
  <c r="M22" i="21"/>
  <c r="N22" i="21" s="1"/>
  <c r="K22" i="21"/>
  <c r="L22" i="21" s="1"/>
  <c r="N103" i="20"/>
  <c r="O103" i="20" s="1"/>
  <c r="L103" i="20"/>
  <c r="M103" i="20"/>
  <c r="M22" i="20"/>
  <c r="N22" i="20" s="1"/>
  <c r="K22" i="20"/>
  <c r="L22" i="20" s="1"/>
  <c r="N103" i="19"/>
  <c r="O103" i="19" s="1"/>
  <c r="L103" i="19"/>
  <c r="M103" i="19" s="1"/>
  <c r="M22" i="19"/>
  <c r="N22" i="19" s="1"/>
  <c r="K22" i="19"/>
  <c r="L22" i="19" s="1"/>
  <c r="N103" i="18"/>
  <c r="O103" i="18" s="1"/>
  <c r="L103" i="18"/>
  <c r="M103" i="18" s="1"/>
  <c r="M22" i="18"/>
  <c r="N22" i="18" s="1"/>
  <c r="K22" i="18"/>
  <c r="L22" i="18" s="1"/>
  <c r="N103" i="17"/>
  <c r="O103" i="17" s="1"/>
  <c r="P103" i="17" s="1"/>
  <c r="L103" i="17"/>
  <c r="M103" i="17" s="1"/>
  <c r="M22" i="17"/>
  <c r="N22" i="17" s="1"/>
  <c r="K22" i="17"/>
  <c r="L22" i="17" s="1"/>
  <c r="O22" i="17" s="1"/>
  <c r="N103" i="3"/>
  <c r="O103" i="3" s="1"/>
  <c r="P103" i="3" s="1"/>
  <c r="L103" i="3"/>
  <c r="M103" i="3" s="1"/>
  <c r="M22" i="3"/>
  <c r="N22" i="3" s="1"/>
  <c r="K22" i="3"/>
  <c r="L22" i="3" s="1"/>
  <c r="P1" i="65"/>
  <c r="P83" i="65" s="1"/>
  <c r="P1" i="66"/>
  <c r="P83" i="66" s="1"/>
  <c r="P1" i="67"/>
  <c r="P83" i="67" s="1"/>
  <c r="P1" i="68"/>
  <c r="P83" i="68" s="1"/>
  <c r="P1" i="64"/>
  <c r="P83" i="64" s="1"/>
  <c r="W60" i="36"/>
  <c r="P60" i="36"/>
  <c r="W59" i="36"/>
  <c r="P59" i="36"/>
  <c r="W58" i="36"/>
  <c r="P58" i="36"/>
  <c r="W57" i="36"/>
  <c r="P57" i="36"/>
  <c r="W56" i="36"/>
  <c r="P56" i="36"/>
  <c r="P154" i="68"/>
  <c r="O154" i="68"/>
  <c r="M154" i="68"/>
  <c r="P153" i="68"/>
  <c r="O153" i="68"/>
  <c r="M153" i="68"/>
  <c r="P152" i="68"/>
  <c r="O152" i="68"/>
  <c r="M152" i="68"/>
  <c r="P151" i="68"/>
  <c r="O151" i="68"/>
  <c r="M151" i="68"/>
  <c r="P150" i="68"/>
  <c r="O150" i="68"/>
  <c r="M150" i="68"/>
  <c r="P149" i="68"/>
  <c r="O149" i="68"/>
  <c r="M149" i="68"/>
  <c r="P148" i="68"/>
  <c r="O148" i="68"/>
  <c r="M148" i="68"/>
  <c r="P147" i="68"/>
  <c r="O147" i="68"/>
  <c r="M147" i="68"/>
  <c r="P146" i="68"/>
  <c r="O146" i="68"/>
  <c r="M146" i="68"/>
  <c r="P145" i="68"/>
  <c r="O145" i="68"/>
  <c r="M145" i="68"/>
  <c r="P144" i="68"/>
  <c r="O144" i="68"/>
  <c r="M144" i="68"/>
  <c r="P143" i="68"/>
  <c r="O143" i="68"/>
  <c r="M143" i="68"/>
  <c r="P142" i="68"/>
  <c r="O142" i="68"/>
  <c r="M142" i="68"/>
  <c r="P141" i="68"/>
  <c r="O141" i="68"/>
  <c r="M141" i="68"/>
  <c r="P140" i="68"/>
  <c r="O140" i="68"/>
  <c r="M140" i="68"/>
  <c r="P139" i="68"/>
  <c r="O139" i="68"/>
  <c r="M139" i="68"/>
  <c r="P138" i="68"/>
  <c r="O138" i="68"/>
  <c r="M138" i="68"/>
  <c r="P137" i="68"/>
  <c r="O137" i="68"/>
  <c r="M137" i="68"/>
  <c r="P136" i="68"/>
  <c r="O136" i="68"/>
  <c r="M136" i="68"/>
  <c r="P135" i="68"/>
  <c r="O135" i="68"/>
  <c r="M135" i="68"/>
  <c r="P134" i="68"/>
  <c r="O134" i="68"/>
  <c r="M134" i="68"/>
  <c r="P133" i="68"/>
  <c r="O133" i="68"/>
  <c r="M133" i="68"/>
  <c r="P132" i="68"/>
  <c r="O132" i="68"/>
  <c r="M132" i="68"/>
  <c r="P131" i="68"/>
  <c r="O131" i="68"/>
  <c r="M131" i="68"/>
  <c r="O130" i="68"/>
  <c r="M130" i="68"/>
  <c r="O129" i="68"/>
  <c r="M129" i="68"/>
  <c r="O128" i="68"/>
  <c r="M128" i="68"/>
  <c r="O127" i="68"/>
  <c r="M127" i="68"/>
  <c r="O126" i="68"/>
  <c r="M126" i="68"/>
  <c r="O125" i="68"/>
  <c r="M125" i="68"/>
  <c r="O124" i="68"/>
  <c r="M124" i="68"/>
  <c r="O123" i="68"/>
  <c r="M123" i="68"/>
  <c r="O122" i="68"/>
  <c r="M122" i="68"/>
  <c r="O121" i="68"/>
  <c r="M121" i="68"/>
  <c r="O120" i="68"/>
  <c r="M120" i="68"/>
  <c r="O119" i="68"/>
  <c r="M119" i="68"/>
  <c r="O118" i="68"/>
  <c r="M118" i="68"/>
  <c r="O117" i="68"/>
  <c r="M117" i="68"/>
  <c r="O116" i="68"/>
  <c r="M116" i="68"/>
  <c r="O115" i="68"/>
  <c r="M115" i="68"/>
  <c r="O114" i="68"/>
  <c r="M114" i="68"/>
  <c r="O113" i="68"/>
  <c r="M113" i="68"/>
  <c r="O112" i="68"/>
  <c r="M112" i="68"/>
  <c r="O111" i="68"/>
  <c r="M111" i="68"/>
  <c r="O110" i="68"/>
  <c r="M110" i="68"/>
  <c r="O109" i="68"/>
  <c r="M109" i="68"/>
  <c r="O108" i="68"/>
  <c r="M108" i="68"/>
  <c r="O107" i="68"/>
  <c r="M107" i="68"/>
  <c r="O106" i="68"/>
  <c r="M106" i="68"/>
  <c r="O105" i="68"/>
  <c r="O104" i="68"/>
  <c r="D96" i="68"/>
  <c r="L93" i="68"/>
  <c r="J93" i="68"/>
  <c r="D91" i="68"/>
  <c r="D89" i="68"/>
  <c r="N72" i="68"/>
  <c r="L72" i="68"/>
  <c r="N71" i="68"/>
  <c r="L71" i="68"/>
  <c r="N70" i="68"/>
  <c r="L70" i="68"/>
  <c r="N69" i="68"/>
  <c r="L69" i="68"/>
  <c r="N68" i="68"/>
  <c r="L68" i="68"/>
  <c r="N67" i="68"/>
  <c r="L67" i="68"/>
  <c r="N66" i="68"/>
  <c r="L66" i="68"/>
  <c r="N65" i="68"/>
  <c r="L65" i="68"/>
  <c r="N64" i="68"/>
  <c r="L64" i="68"/>
  <c r="N63" i="68"/>
  <c r="L63" i="68"/>
  <c r="N62" i="68"/>
  <c r="L62" i="68"/>
  <c r="N61" i="68"/>
  <c r="L61" i="68"/>
  <c r="N60" i="68"/>
  <c r="L60" i="68"/>
  <c r="N59" i="68"/>
  <c r="L59" i="68"/>
  <c r="N58" i="68"/>
  <c r="L58" i="68"/>
  <c r="N57" i="68"/>
  <c r="L57" i="68"/>
  <c r="N56" i="68"/>
  <c r="L56" i="68"/>
  <c r="N55" i="68"/>
  <c r="L55" i="68"/>
  <c r="N54" i="68"/>
  <c r="L54" i="68"/>
  <c r="N53" i="68"/>
  <c r="L53" i="68"/>
  <c r="N52" i="68"/>
  <c r="L52" i="68"/>
  <c r="N51" i="68"/>
  <c r="L51" i="68"/>
  <c r="N50" i="68"/>
  <c r="L50" i="68"/>
  <c r="N49" i="68"/>
  <c r="L49" i="68"/>
  <c r="N48" i="68"/>
  <c r="L48" i="68"/>
  <c r="N47" i="68"/>
  <c r="L47" i="68"/>
  <c r="N46" i="68"/>
  <c r="L46" i="68"/>
  <c r="N45" i="68"/>
  <c r="L45" i="68"/>
  <c r="N44" i="68"/>
  <c r="L44" i="68"/>
  <c r="N43" i="68"/>
  <c r="L43" i="68"/>
  <c r="N42" i="68"/>
  <c r="L42" i="68"/>
  <c r="N41" i="68"/>
  <c r="L41" i="68"/>
  <c r="N40" i="68"/>
  <c r="L40" i="68"/>
  <c r="N39" i="68"/>
  <c r="L39" i="68"/>
  <c r="N38" i="68"/>
  <c r="L38" i="68"/>
  <c r="N37" i="68"/>
  <c r="L37" i="68"/>
  <c r="N36" i="68"/>
  <c r="L36" i="68"/>
  <c r="N35" i="68"/>
  <c r="L35" i="68"/>
  <c r="N34" i="68"/>
  <c r="L34" i="68"/>
  <c r="N33" i="68"/>
  <c r="L33" i="68"/>
  <c r="N32" i="68"/>
  <c r="L32" i="68"/>
  <c r="N31" i="68"/>
  <c r="L31" i="68"/>
  <c r="N30" i="68"/>
  <c r="L30" i="68"/>
  <c r="N29" i="68"/>
  <c r="L29" i="68"/>
  <c r="N28" i="68"/>
  <c r="L28" i="68"/>
  <c r="N27" i="68"/>
  <c r="L27" i="68"/>
  <c r="N26" i="68"/>
  <c r="L26" i="68"/>
  <c r="N25" i="68"/>
  <c r="N24" i="68"/>
  <c r="N23" i="68"/>
  <c r="N22" i="68"/>
  <c r="C17" i="68"/>
  <c r="C18" i="68" s="1"/>
  <c r="C19" i="68" s="1"/>
  <c r="C20" i="68" s="1"/>
  <c r="C21" i="68" s="1"/>
  <c r="C22" i="68" s="1"/>
  <c r="C23" i="68" s="1"/>
  <c r="C24" i="68" s="1"/>
  <c r="C25" i="68" s="1"/>
  <c r="C26" i="68" s="1"/>
  <c r="C27" i="68" s="1"/>
  <c r="C28" i="68" s="1"/>
  <c r="C29" i="68" s="1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K11" i="68"/>
  <c r="I11" i="68"/>
  <c r="D8" i="68"/>
  <c r="D90" i="68" s="1"/>
  <c r="P154" i="67"/>
  <c r="O154" i="67"/>
  <c r="M154" i="67"/>
  <c r="P153" i="67"/>
  <c r="O153" i="67"/>
  <c r="M153" i="67"/>
  <c r="P152" i="67"/>
  <c r="O152" i="67"/>
  <c r="M152" i="67"/>
  <c r="P151" i="67"/>
  <c r="O151" i="67"/>
  <c r="M151" i="67"/>
  <c r="P150" i="67"/>
  <c r="O150" i="67"/>
  <c r="M150" i="67"/>
  <c r="P149" i="67"/>
  <c r="O149" i="67"/>
  <c r="M149" i="67"/>
  <c r="P148" i="67"/>
  <c r="O148" i="67"/>
  <c r="M148" i="67"/>
  <c r="P147" i="67"/>
  <c r="O147" i="67"/>
  <c r="M147" i="67"/>
  <c r="P146" i="67"/>
  <c r="O146" i="67"/>
  <c r="M146" i="67"/>
  <c r="P145" i="67"/>
  <c r="O145" i="67"/>
  <c r="M145" i="67"/>
  <c r="P144" i="67"/>
  <c r="O144" i="67"/>
  <c r="M144" i="67"/>
  <c r="P143" i="67"/>
  <c r="O143" i="67"/>
  <c r="M143" i="67"/>
  <c r="P142" i="67"/>
  <c r="O142" i="67"/>
  <c r="M142" i="67"/>
  <c r="P141" i="67"/>
  <c r="O141" i="67"/>
  <c r="M141" i="67"/>
  <c r="P140" i="67"/>
  <c r="O140" i="67"/>
  <c r="M140" i="67"/>
  <c r="P139" i="67"/>
  <c r="O139" i="67"/>
  <c r="M139" i="67"/>
  <c r="P138" i="67"/>
  <c r="O138" i="67"/>
  <c r="M138" i="67"/>
  <c r="P137" i="67"/>
  <c r="O137" i="67"/>
  <c r="M137" i="67"/>
  <c r="P136" i="67"/>
  <c r="O136" i="67"/>
  <c r="M136" i="67"/>
  <c r="P135" i="67"/>
  <c r="O135" i="67"/>
  <c r="M135" i="67"/>
  <c r="P134" i="67"/>
  <c r="O134" i="67"/>
  <c r="M134" i="67"/>
  <c r="P133" i="67"/>
  <c r="O133" i="67"/>
  <c r="M133" i="67"/>
  <c r="P132" i="67"/>
  <c r="O132" i="67"/>
  <c r="M132" i="67"/>
  <c r="P131" i="67"/>
  <c r="O131" i="67"/>
  <c r="M131" i="67"/>
  <c r="O130" i="67"/>
  <c r="M130" i="67"/>
  <c r="O129" i="67"/>
  <c r="M129" i="67"/>
  <c r="O128" i="67"/>
  <c r="M128" i="67"/>
  <c r="O127" i="67"/>
  <c r="M127" i="67"/>
  <c r="O126" i="67"/>
  <c r="M126" i="67"/>
  <c r="O125" i="67"/>
  <c r="M125" i="67"/>
  <c r="O124" i="67"/>
  <c r="M124" i="67"/>
  <c r="O123" i="67"/>
  <c r="M123" i="67"/>
  <c r="O122" i="67"/>
  <c r="M122" i="67"/>
  <c r="O121" i="67"/>
  <c r="M121" i="67"/>
  <c r="O120" i="67"/>
  <c r="M120" i="67"/>
  <c r="O119" i="67"/>
  <c r="M119" i="67"/>
  <c r="O118" i="67"/>
  <c r="M118" i="67"/>
  <c r="O117" i="67"/>
  <c r="M117" i="67"/>
  <c r="O116" i="67"/>
  <c r="M116" i="67"/>
  <c r="O115" i="67"/>
  <c r="M115" i="67"/>
  <c r="O114" i="67"/>
  <c r="M114" i="67"/>
  <c r="O113" i="67"/>
  <c r="M113" i="67"/>
  <c r="O112" i="67"/>
  <c r="M112" i="67"/>
  <c r="O111" i="67"/>
  <c r="M111" i="67"/>
  <c r="O110" i="67"/>
  <c r="M110" i="67"/>
  <c r="O109" i="67"/>
  <c r="M109" i="67"/>
  <c r="O108" i="67"/>
  <c r="M108" i="67"/>
  <c r="O107" i="67"/>
  <c r="M107" i="67"/>
  <c r="O106" i="67"/>
  <c r="M106" i="67"/>
  <c r="O105" i="67"/>
  <c r="O104" i="67"/>
  <c r="O103" i="67"/>
  <c r="D96" i="67"/>
  <c r="L93" i="67"/>
  <c r="J93" i="67"/>
  <c r="D91" i="67"/>
  <c r="D89" i="67"/>
  <c r="N72" i="67"/>
  <c r="L72" i="67"/>
  <c r="N71" i="67"/>
  <c r="L71" i="67"/>
  <c r="N70" i="67"/>
  <c r="L70" i="67"/>
  <c r="N69" i="67"/>
  <c r="L69" i="67"/>
  <c r="N68" i="67"/>
  <c r="L68" i="67"/>
  <c r="N67" i="67"/>
  <c r="L67" i="67"/>
  <c r="N66" i="67"/>
  <c r="L66" i="67"/>
  <c r="N65" i="67"/>
  <c r="L65" i="67"/>
  <c r="N64" i="67"/>
  <c r="L64" i="67"/>
  <c r="N63" i="67"/>
  <c r="L63" i="67"/>
  <c r="N62" i="67"/>
  <c r="L62" i="67"/>
  <c r="N61" i="67"/>
  <c r="L61" i="67"/>
  <c r="N60" i="67"/>
  <c r="L60" i="67"/>
  <c r="N59" i="67"/>
  <c r="L59" i="67"/>
  <c r="N58" i="67"/>
  <c r="L58" i="67"/>
  <c r="N57" i="67"/>
  <c r="L57" i="67"/>
  <c r="N56" i="67"/>
  <c r="L56" i="67"/>
  <c r="N55" i="67"/>
  <c r="L55" i="67"/>
  <c r="N54" i="67"/>
  <c r="L54" i="67"/>
  <c r="N53" i="67"/>
  <c r="L53" i="67"/>
  <c r="N52" i="67"/>
  <c r="L52" i="67"/>
  <c r="N51" i="67"/>
  <c r="L51" i="67"/>
  <c r="N50" i="67"/>
  <c r="L50" i="67"/>
  <c r="N49" i="67"/>
  <c r="L49" i="67"/>
  <c r="N48" i="67"/>
  <c r="L48" i="67"/>
  <c r="N47" i="67"/>
  <c r="L47" i="67"/>
  <c r="N46" i="67"/>
  <c r="L46" i="67"/>
  <c r="N45" i="67"/>
  <c r="L45" i="67"/>
  <c r="N44" i="67"/>
  <c r="L44" i="67"/>
  <c r="N43" i="67"/>
  <c r="L43" i="67"/>
  <c r="N42" i="67"/>
  <c r="L42" i="67"/>
  <c r="N41" i="67"/>
  <c r="L41" i="67"/>
  <c r="N40" i="67"/>
  <c r="L40" i="67"/>
  <c r="N39" i="67"/>
  <c r="L39" i="67"/>
  <c r="N38" i="67"/>
  <c r="L38" i="67"/>
  <c r="N37" i="67"/>
  <c r="L37" i="67"/>
  <c r="N36" i="67"/>
  <c r="L36" i="67"/>
  <c r="N35" i="67"/>
  <c r="L35" i="67"/>
  <c r="N34" i="67"/>
  <c r="L34" i="67"/>
  <c r="N33" i="67"/>
  <c r="L33" i="67"/>
  <c r="N32" i="67"/>
  <c r="L32" i="67"/>
  <c r="N31" i="67"/>
  <c r="L31" i="67"/>
  <c r="N30" i="67"/>
  <c r="L30" i="67"/>
  <c r="N29" i="67"/>
  <c r="L29" i="67"/>
  <c r="N28" i="67"/>
  <c r="L28" i="67"/>
  <c r="N27" i="67"/>
  <c r="L27" i="67"/>
  <c r="N26" i="67"/>
  <c r="L26" i="67"/>
  <c r="N25" i="67"/>
  <c r="N24" i="67"/>
  <c r="N23" i="67"/>
  <c r="N22" i="67"/>
  <c r="C17" i="67"/>
  <c r="C18" i="67" s="1"/>
  <c r="C19" i="67" s="1"/>
  <c r="C20" i="67" s="1"/>
  <c r="C21" i="67" s="1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33" i="67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C58" i="67" s="1"/>
  <c r="C59" i="67" s="1"/>
  <c r="C60" i="67" s="1"/>
  <c r="C61" i="67" s="1"/>
  <c r="C62" i="67" s="1"/>
  <c r="C63" i="67" s="1"/>
  <c r="C64" i="67" s="1"/>
  <c r="C65" i="67" s="1"/>
  <c r="C66" i="67" s="1"/>
  <c r="C67" i="67" s="1"/>
  <c r="C68" i="67" s="1"/>
  <c r="C69" i="67" s="1"/>
  <c r="C70" i="67" s="1"/>
  <c r="C71" i="67" s="1"/>
  <c r="C72" i="67" s="1"/>
  <c r="K11" i="67"/>
  <c r="I11" i="67"/>
  <c r="D8" i="67"/>
  <c r="D90" i="67" s="1"/>
  <c r="P154" i="66"/>
  <c r="O154" i="66"/>
  <c r="M154" i="66"/>
  <c r="P153" i="66"/>
  <c r="O153" i="66"/>
  <c r="M153" i="66"/>
  <c r="P152" i="66"/>
  <c r="O152" i="66"/>
  <c r="M152" i="66"/>
  <c r="P151" i="66"/>
  <c r="O151" i="66"/>
  <c r="M151" i="66"/>
  <c r="P150" i="66"/>
  <c r="O150" i="66"/>
  <c r="M150" i="66"/>
  <c r="P149" i="66"/>
  <c r="O149" i="66"/>
  <c r="M149" i="66"/>
  <c r="P148" i="66"/>
  <c r="O148" i="66"/>
  <c r="M148" i="66"/>
  <c r="P147" i="66"/>
  <c r="O147" i="66"/>
  <c r="M147" i="66"/>
  <c r="P146" i="66"/>
  <c r="O146" i="66"/>
  <c r="M146" i="66"/>
  <c r="P145" i="66"/>
  <c r="O145" i="66"/>
  <c r="M145" i="66"/>
  <c r="P144" i="66"/>
  <c r="O144" i="66"/>
  <c r="M144" i="66"/>
  <c r="P143" i="66"/>
  <c r="O143" i="66"/>
  <c r="M143" i="66"/>
  <c r="P142" i="66"/>
  <c r="O142" i="66"/>
  <c r="M142" i="66"/>
  <c r="P141" i="66"/>
  <c r="O141" i="66"/>
  <c r="M141" i="66"/>
  <c r="P140" i="66"/>
  <c r="O140" i="66"/>
  <c r="M140" i="66"/>
  <c r="P139" i="66"/>
  <c r="O139" i="66"/>
  <c r="M139" i="66"/>
  <c r="P138" i="66"/>
  <c r="O138" i="66"/>
  <c r="M138" i="66"/>
  <c r="P137" i="66"/>
  <c r="O137" i="66"/>
  <c r="M137" i="66"/>
  <c r="P136" i="66"/>
  <c r="O136" i="66"/>
  <c r="M136" i="66"/>
  <c r="P135" i="66"/>
  <c r="O135" i="66"/>
  <c r="M135" i="66"/>
  <c r="P134" i="66"/>
  <c r="O134" i="66"/>
  <c r="M134" i="66"/>
  <c r="P133" i="66"/>
  <c r="O133" i="66"/>
  <c r="M133" i="66"/>
  <c r="P132" i="66"/>
  <c r="O132" i="66"/>
  <c r="M132" i="66"/>
  <c r="P131" i="66"/>
  <c r="O131" i="66"/>
  <c r="M131" i="66"/>
  <c r="O130" i="66"/>
  <c r="M130" i="66"/>
  <c r="O129" i="66"/>
  <c r="M129" i="66"/>
  <c r="O128" i="66"/>
  <c r="M128" i="66"/>
  <c r="O127" i="66"/>
  <c r="M127" i="66"/>
  <c r="O126" i="66"/>
  <c r="M126" i="66"/>
  <c r="O125" i="66"/>
  <c r="M125" i="66"/>
  <c r="O124" i="66"/>
  <c r="M124" i="66"/>
  <c r="O123" i="66"/>
  <c r="M123" i="66"/>
  <c r="O122" i="66"/>
  <c r="M122" i="66"/>
  <c r="O121" i="66"/>
  <c r="M121" i="66"/>
  <c r="O120" i="66"/>
  <c r="M120" i="66"/>
  <c r="O119" i="66"/>
  <c r="M119" i="66"/>
  <c r="O118" i="66"/>
  <c r="M118" i="66"/>
  <c r="O117" i="66"/>
  <c r="M117" i="66"/>
  <c r="O116" i="66"/>
  <c r="M116" i="66"/>
  <c r="O115" i="66"/>
  <c r="M115" i="66"/>
  <c r="O114" i="66"/>
  <c r="M114" i="66"/>
  <c r="O113" i="66"/>
  <c r="M113" i="66"/>
  <c r="O112" i="66"/>
  <c r="M112" i="66"/>
  <c r="O111" i="66"/>
  <c r="M111" i="66"/>
  <c r="O110" i="66"/>
  <c r="M110" i="66"/>
  <c r="O109" i="66"/>
  <c r="M109" i="66"/>
  <c r="O108" i="66"/>
  <c r="M108" i="66"/>
  <c r="O107" i="66"/>
  <c r="M107" i="66"/>
  <c r="O106" i="66"/>
  <c r="M106" i="66"/>
  <c r="O105" i="66"/>
  <c r="O104" i="66"/>
  <c r="D96" i="66"/>
  <c r="L93" i="66"/>
  <c r="J93" i="66"/>
  <c r="D91" i="66"/>
  <c r="D89" i="66"/>
  <c r="N72" i="66"/>
  <c r="L72" i="66"/>
  <c r="N71" i="66"/>
  <c r="L71" i="66"/>
  <c r="N70" i="66"/>
  <c r="L70" i="66"/>
  <c r="N69" i="66"/>
  <c r="L69" i="66"/>
  <c r="N68" i="66"/>
  <c r="L68" i="66"/>
  <c r="N67" i="66"/>
  <c r="L67" i="66"/>
  <c r="N66" i="66"/>
  <c r="L66" i="66"/>
  <c r="N65" i="66"/>
  <c r="L65" i="66"/>
  <c r="N64" i="66"/>
  <c r="L64" i="66"/>
  <c r="N63" i="66"/>
  <c r="L63" i="66"/>
  <c r="N62" i="66"/>
  <c r="L62" i="66"/>
  <c r="N61" i="66"/>
  <c r="L61" i="66"/>
  <c r="N60" i="66"/>
  <c r="L60" i="66"/>
  <c r="N59" i="66"/>
  <c r="L59" i="66"/>
  <c r="N58" i="66"/>
  <c r="L58" i="66"/>
  <c r="N57" i="66"/>
  <c r="L57" i="66"/>
  <c r="N56" i="66"/>
  <c r="L56" i="66"/>
  <c r="N55" i="66"/>
  <c r="L55" i="66"/>
  <c r="N54" i="66"/>
  <c r="L54" i="66"/>
  <c r="N53" i="66"/>
  <c r="L53" i="66"/>
  <c r="N52" i="66"/>
  <c r="L52" i="66"/>
  <c r="N51" i="66"/>
  <c r="L51" i="66"/>
  <c r="N50" i="66"/>
  <c r="L50" i="66"/>
  <c r="N49" i="66"/>
  <c r="L49" i="66"/>
  <c r="N48" i="66"/>
  <c r="L48" i="66"/>
  <c r="N47" i="66"/>
  <c r="L47" i="66"/>
  <c r="N46" i="66"/>
  <c r="L46" i="66"/>
  <c r="N45" i="66"/>
  <c r="L45" i="66"/>
  <c r="N44" i="66"/>
  <c r="L44" i="66"/>
  <c r="N43" i="66"/>
  <c r="L43" i="66"/>
  <c r="N42" i="66"/>
  <c r="L42" i="66"/>
  <c r="N41" i="66"/>
  <c r="L41" i="66"/>
  <c r="N40" i="66"/>
  <c r="L40" i="66"/>
  <c r="N39" i="66"/>
  <c r="L39" i="66"/>
  <c r="N38" i="66"/>
  <c r="L38" i="66"/>
  <c r="N37" i="66"/>
  <c r="L37" i="66"/>
  <c r="N36" i="66"/>
  <c r="L36" i="66"/>
  <c r="N35" i="66"/>
  <c r="L35" i="66"/>
  <c r="N34" i="66"/>
  <c r="L34" i="66"/>
  <c r="N33" i="66"/>
  <c r="L33" i="66"/>
  <c r="N32" i="66"/>
  <c r="L32" i="66"/>
  <c r="N31" i="66"/>
  <c r="L31" i="66"/>
  <c r="N30" i="66"/>
  <c r="L30" i="66"/>
  <c r="N29" i="66"/>
  <c r="L29" i="66"/>
  <c r="N28" i="66"/>
  <c r="L28" i="66"/>
  <c r="N27" i="66"/>
  <c r="L27" i="66"/>
  <c r="N26" i="66"/>
  <c r="L26" i="66"/>
  <c r="N25" i="66"/>
  <c r="N24" i="66"/>
  <c r="N23" i="66"/>
  <c r="N22" i="66"/>
  <c r="C17" i="66"/>
  <c r="C18" i="66"/>
  <c r="C19" i="66" s="1"/>
  <c r="C20" i="66" s="1"/>
  <c r="C21" i="66" s="1"/>
  <c r="C22" i="66" s="1"/>
  <c r="C23" i="66" s="1"/>
  <c r="C24" i="66" s="1"/>
  <c r="C25" i="66" s="1"/>
  <c r="C26" i="66" s="1"/>
  <c r="C27" i="66" s="1"/>
  <c r="C28" i="66" s="1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K11" i="66"/>
  <c r="I11" i="66"/>
  <c r="D8" i="66"/>
  <c r="D90" i="66" s="1"/>
  <c r="P154" i="65"/>
  <c r="O154" i="65"/>
  <c r="M154" i="65"/>
  <c r="P153" i="65"/>
  <c r="O153" i="65"/>
  <c r="M153" i="65"/>
  <c r="P152" i="65"/>
  <c r="O152" i="65"/>
  <c r="M152" i="65"/>
  <c r="P151" i="65"/>
  <c r="O151" i="65"/>
  <c r="M151" i="65"/>
  <c r="P150" i="65"/>
  <c r="O150" i="65"/>
  <c r="M150" i="65"/>
  <c r="P149" i="65"/>
  <c r="O149" i="65"/>
  <c r="M149" i="65"/>
  <c r="P148" i="65"/>
  <c r="O148" i="65"/>
  <c r="M148" i="65"/>
  <c r="P147" i="65"/>
  <c r="O147" i="65"/>
  <c r="M147" i="65"/>
  <c r="P146" i="65"/>
  <c r="O146" i="65"/>
  <c r="M146" i="65"/>
  <c r="P145" i="65"/>
  <c r="O145" i="65"/>
  <c r="M145" i="65"/>
  <c r="P144" i="65"/>
  <c r="O144" i="65"/>
  <c r="M144" i="65"/>
  <c r="P143" i="65"/>
  <c r="O143" i="65"/>
  <c r="M143" i="65"/>
  <c r="P142" i="65"/>
  <c r="O142" i="65"/>
  <c r="M142" i="65"/>
  <c r="P141" i="65"/>
  <c r="O141" i="65"/>
  <c r="M141" i="65"/>
  <c r="P140" i="65"/>
  <c r="O140" i="65"/>
  <c r="M140" i="65"/>
  <c r="P139" i="65"/>
  <c r="O139" i="65"/>
  <c r="M139" i="65"/>
  <c r="P138" i="65"/>
  <c r="O138" i="65"/>
  <c r="M138" i="65"/>
  <c r="P137" i="65"/>
  <c r="O137" i="65"/>
  <c r="M137" i="65"/>
  <c r="P136" i="65"/>
  <c r="O136" i="65"/>
  <c r="M136" i="65"/>
  <c r="P135" i="65"/>
  <c r="O135" i="65"/>
  <c r="M135" i="65"/>
  <c r="P134" i="65"/>
  <c r="O134" i="65"/>
  <c r="M134" i="65"/>
  <c r="P133" i="65"/>
  <c r="O133" i="65"/>
  <c r="M133" i="65"/>
  <c r="P132" i="65"/>
  <c r="O132" i="65"/>
  <c r="M132" i="65"/>
  <c r="P131" i="65"/>
  <c r="O131" i="65"/>
  <c r="M131" i="65"/>
  <c r="O130" i="65"/>
  <c r="M130" i="65"/>
  <c r="O129" i="65"/>
  <c r="M129" i="65"/>
  <c r="O128" i="65"/>
  <c r="M128" i="65"/>
  <c r="O127" i="65"/>
  <c r="M127" i="65"/>
  <c r="O126" i="65"/>
  <c r="M126" i="65"/>
  <c r="O125" i="65"/>
  <c r="M125" i="65"/>
  <c r="O124" i="65"/>
  <c r="M124" i="65"/>
  <c r="O123" i="65"/>
  <c r="M123" i="65"/>
  <c r="O122" i="65"/>
  <c r="M122" i="65"/>
  <c r="O121" i="65"/>
  <c r="M121" i="65"/>
  <c r="O120" i="65"/>
  <c r="M120" i="65"/>
  <c r="O119" i="65"/>
  <c r="M119" i="65"/>
  <c r="O118" i="65"/>
  <c r="M118" i="65"/>
  <c r="O117" i="65"/>
  <c r="M117" i="65"/>
  <c r="O116" i="65"/>
  <c r="M116" i="65"/>
  <c r="O115" i="65"/>
  <c r="M115" i="65"/>
  <c r="O114" i="65"/>
  <c r="M114" i="65"/>
  <c r="O113" i="65"/>
  <c r="M113" i="65"/>
  <c r="O112" i="65"/>
  <c r="M112" i="65"/>
  <c r="O111" i="65"/>
  <c r="M111" i="65"/>
  <c r="O110" i="65"/>
  <c r="M110" i="65"/>
  <c r="O109" i="65"/>
  <c r="M109" i="65"/>
  <c r="O108" i="65"/>
  <c r="M108" i="65"/>
  <c r="O107" i="65"/>
  <c r="M107" i="65"/>
  <c r="O106" i="65"/>
  <c r="M106" i="65"/>
  <c r="O105" i="65"/>
  <c r="O104" i="65"/>
  <c r="D96" i="65"/>
  <c r="L93" i="65"/>
  <c r="J93" i="65"/>
  <c r="D91" i="65"/>
  <c r="D89" i="65"/>
  <c r="N72" i="65"/>
  <c r="L72" i="65"/>
  <c r="N71" i="65"/>
  <c r="L71" i="65"/>
  <c r="N70" i="65"/>
  <c r="L70" i="65"/>
  <c r="N69" i="65"/>
  <c r="L69" i="65"/>
  <c r="N68" i="65"/>
  <c r="L68" i="65"/>
  <c r="N67" i="65"/>
  <c r="L67" i="65"/>
  <c r="N66" i="65"/>
  <c r="L66" i="65"/>
  <c r="N65" i="65"/>
  <c r="L65" i="65"/>
  <c r="N64" i="65"/>
  <c r="L64" i="65"/>
  <c r="N63" i="65"/>
  <c r="L63" i="65"/>
  <c r="N62" i="65"/>
  <c r="L62" i="65"/>
  <c r="N61" i="65"/>
  <c r="L61" i="65"/>
  <c r="N60" i="65"/>
  <c r="L60" i="65"/>
  <c r="N59" i="65"/>
  <c r="L59" i="65"/>
  <c r="N58" i="65"/>
  <c r="L58" i="65"/>
  <c r="N57" i="65"/>
  <c r="L57" i="65"/>
  <c r="N56" i="65"/>
  <c r="L56" i="65"/>
  <c r="N55" i="65"/>
  <c r="L55" i="65"/>
  <c r="N54" i="65"/>
  <c r="L54" i="65"/>
  <c r="N53" i="65"/>
  <c r="L53" i="65"/>
  <c r="N52" i="65"/>
  <c r="L52" i="65"/>
  <c r="N51" i="65"/>
  <c r="L51" i="65"/>
  <c r="N50" i="65"/>
  <c r="L50" i="65"/>
  <c r="N49" i="65"/>
  <c r="L49" i="65"/>
  <c r="N48" i="65"/>
  <c r="L48" i="65"/>
  <c r="N47" i="65"/>
  <c r="L47" i="65"/>
  <c r="N46" i="65"/>
  <c r="L46" i="65"/>
  <c r="N45" i="65"/>
  <c r="L45" i="65"/>
  <c r="N44" i="65"/>
  <c r="L44" i="65"/>
  <c r="N43" i="65"/>
  <c r="L43" i="65"/>
  <c r="N42" i="65"/>
  <c r="L42" i="65"/>
  <c r="N41" i="65"/>
  <c r="L41" i="65"/>
  <c r="N40" i="65"/>
  <c r="L40" i="65"/>
  <c r="N39" i="65"/>
  <c r="L39" i="65"/>
  <c r="N38" i="65"/>
  <c r="L38" i="65"/>
  <c r="N37" i="65"/>
  <c r="L37" i="65"/>
  <c r="N36" i="65"/>
  <c r="L36" i="65"/>
  <c r="N35" i="65"/>
  <c r="L35" i="65"/>
  <c r="N34" i="65"/>
  <c r="L34" i="65"/>
  <c r="N33" i="65"/>
  <c r="L33" i="65"/>
  <c r="N32" i="65"/>
  <c r="L32" i="65"/>
  <c r="N31" i="65"/>
  <c r="L31" i="65"/>
  <c r="N30" i="65"/>
  <c r="L30" i="65"/>
  <c r="N29" i="65"/>
  <c r="L29" i="65"/>
  <c r="N28" i="65"/>
  <c r="L28" i="65"/>
  <c r="N27" i="65"/>
  <c r="L27" i="65"/>
  <c r="N26" i="65"/>
  <c r="L26" i="65"/>
  <c r="N25" i="65"/>
  <c r="N24" i="65"/>
  <c r="N23" i="65"/>
  <c r="N22" i="65"/>
  <c r="C17" i="65"/>
  <c r="C18" i="65" s="1"/>
  <c r="C19" i="65" s="1"/>
  <c r="C20" i="65" s="1"/>
  <c r="C21" i="65" s="1"/>
  <c r="C22" i="65" s="1"/>
  <c r="C23" i="65" s="1"/>
  <c r="C24" i="65" s="1"/>
  <c r="C25" i="65" s="1"/>
  <c r="C26" i="65" s="1"/>
  <c r="C27" i="65" s="1"/>
  <c r="C28" i="65" s="1"/>
  <c r="C29" i="65" s="1"/>
  <c r="C30" i="65" s="1"/>
  <c r="C31" i="65" s="1"/>
  <c r="C32" i="65" s="1"/>
  <c r="C33" i="65" s="1"/>
  <c r="C34" i="65" s="1"/>
  <c r="C35" i="65" s="1"/>
  <c r="C36" i="65" s="1"/>
  <c r="C37" i="65" s="1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C49" i="65" s="1"/>
  <c r="C50" i="65" s="1"/>
  <c r="C51" i="65" s="1"/>
  <c r="C52" i="65" s="1"/>
  <c r="C53" i="65" s="1"/>
  <c r="C54" i="65" s="1"/>
  <c r="C55" i="65" s="1"/>
  <c r="C56" i="65" s="1"/>
  <c r="C57" i="65" s="1"/>
  <c r="C58" i="65" s="1"/>
  <c r="C59" i="65" s="1"/>
  <c r="C60" i="65" s="1"/>
  <c r="C61" i="65" s="1"/>
  <c r="C62" i="65" s="1"/>
  <c r="C63" i="65" s="1"/>
  <c r="C64" i="65" s="1"/>
  <c r="C65" i="65" s="1"/>
  <c r="C66" i="65" s="1"/>
  <c r="C67" i="65" s="1"/>
  <c r="C68" i="65" s="1"/>
  <c r="C69" i="65" s="1"/>
  <c r="C70" i="65" s="1"/>
  <c r="C71" i="65" s="1"/>
  <c r="C72" i="65" s="1"/>
  <c r="K11" i="65"/>
  <c r="I11" i="65"/>
  <c r="D8" i="65"/>
  <c r="D90" i="65" s="1"/>
  <c r="P154" i="64"/>
  <c r="O154" i="64"/>
  <c r="M154" i="64"/>
  <c r="P153" i="64"/>
  <c r="O153" i="64"/>
  <c r="M153" i="64"/>
  <c r="P152" i="64"/>
  <c r="O152" i="64"/>
  <c r="M152" i="64"/>
  <c r="P151" i="64"/>
  <c r="O151" i="64"/>
  <c r="M151" i="64"/>
  <c r="P150" i="64"/>
  <c r="O150" i="64"/>
  <c r="M150" i="64"/>
  <c r="P149" i="64"/>
  <c r="O149" i="64"/>
  <c r="M149" i="64"/>
  <c r="P148" i="64"/>
  <c r="O148" i="64"/>
  <c r="M148" i="64"/>
  <c r="P147" i="64"/>
  <c r="O147" i="64"/>
  <c r="M147" i="64"/>
  <c r="P146" i="64"/>
  <c r="O146" i="64"/>
  <c r="M146" i="64"/>
  <c r="P145" i="64"/>
  <c r="O145" i="64"/>
  <c r="M145" i="64"/>
  <c r="P144" i="64"/>
  <c r="O144" i="64"/>
  <c r="M144" i="64"/>
  <c r="P143" i="64"/>
  <c r="O143" i="64"/>
  <c r="M143" i="64"/>
  <c r="P142" i="64"/>
  <c r="O142" i="64"/>
  <c r="M142" i="64"/>
  <c r="P141" i="64"/>
  <c r="O141" i="64"/>
  <c r="M141" i="64"/>
  <c r="P140" i="64"/>
  <c r="O140" i="64"/>
  <c r="M140" i="64"/>
  <c r="P139" i="64"/>
  <c r="O139" i="64"/>
  <c r="M139" i="64"/>
  <c r="P138" i="64"/>
  <c r="O138" i="64"/>
  <c r="M138" i="64"/>
  <c r="P137" i="64"/>
  <c r="O137" i="64"/>
  <c r="M137" i="64"/>
  <c r="P136" i="64"/>
  <c r="O136" i="64"/>
  <c r="M136" i="64"/>
  <c r="P135" i="64"/>
  <c r="O135" i="64"/>
  <c r="M135" i="64"/>
  <c r="P134" i="64"/>
  <c r="O134" i="64"/>
  <c r="M134" i="64"/>
  <c r="P133" i="64"/>
  <c r="O133" i="64"/>
  <c r="M133" i="64"/>
  <c r="P132" i="64"/>
  <c r="O132" i="64"/>
  <c r="M132" i="64"/>
  <c r="P131" i="64"/>
  <c r="O131" i="64"/>
  <c r="M131" i="64"/>
  <c r="O130" i="64"/>
  <c r="M130" i="64"/>
  <c r="O129" i="64"/>
  <c r="M129" i="64"/>
  <c r="O128" i="64"/>
  <c r="M128" i="64"/>
  <c r="O127" i="64"/>
  <c r="M127" i="64"/>
  <c r="O126" i="64"/>
  <c r="M126" i="64"/>
  <c r="O125" i="64"/>
  <c r="M125" i="64"/>
  <c r="O124" i="64"/>
  <c r="M124" i="64"/>
  <c r="O123" i="64"/>
  <c r="M123" i="64"/>
  <c r="O122" i="64"/>
  <c r="M122" i="64"/>
  <c r="O121" i="64"/>
  <c r="M121" i="64"/>
  <c r="O120" i="64"/>
  <c r="M120" i="64"/>
  <c r="O119" i="64"/>
  <c r="M119" i="64"/>
  <c r="O118" i="64"/>
  <c r="M118" i="64"/>
  <c r="O117" i="64"/>
  <c r="M117" i="64"/>
  <c r="O116" i="64"/>
  <c r="M116" i="64"/>
  <c r="O115" i="64"/>
  <c r="M115" i="64"/>
  <c r="O114" i="64"/>
  <c r="M114" i="64"/>
  <c r="O113" i="64"/>
  <c r="M113" i="64"/>
  <c r="O112" i="64"/>
  <c r="M112" i="64"/>
  <c r="O111" i="64"/>
  <c r="M111" i="64"/>
  <c r="O110" i="64"/>
  <c r="M110" i="64"/>
  <c r="O109" i="64"/>
  <c r="M109" i="64"/>
  <c r="O108" i="64"/>
  <c r="M108" i="64"/>
  <c r="O107" i="64"/>
  <c r="M107" i="64"/>
  <c r="O106" i="64"/>
  <c r="O105" i="64"/>
  <c r="O104" i="64"/>
  <c r="D96" i="64"/>
  <c r="L93" i="64"/>
  <c r="J93" i="64"/>
  <c r="D91" i="64"/>
  <c r="D89" i="64"/>
  <c r="N72" i="64"/>
  <c r="L72" i="64"/>
  <c r="N71" i="64"/>
  <c r="L71" i="64"/>
  <c r="N70" i="64"/>
  <c r="L70" i="64"/>
  <c r="N69" i="64"/>
  <c r="L69" i="64"/>
  <c r="N68" i="64"/>
  <c r="L68" i="64"/>
  <c r="N67" i="64"/>
  <c r="L67" i="64"/>
  <c r="N66" i="64"/>
  <c r="L66" i="64"/>
  <c r="N65" i="64"/>
  <c r="L65" i="64"/>
  <c r="N64" i="64"/>
  <c r="L64" i="64"/>
  <c r="N63" i="64"/>
  <c r="L63" i="64"/>
  <c r="N62" i="64"/>
  <c r="L62" i="64"/>
  <c r="N61" i="64"/>
  <c r="L61" i="64"/>
  <c r="N60" i="64"/>
  <c r="L60" i="64"/>
  <c r="N59" i="64"/>
  <c r="L59" i="64"/>
  <c r="N58" i="64"/>
  <c r="L58" i="64"/>
  <c r="N57" i="64"/>
  <c r="L57" i="64"/>
  <c r="N56" i="64"/>
  <c r="L56" i="64"/>
  <c r="N55" i="64"/>
  <c r="L55" i="64"/>
  <c r="N54" i="64"/>
  <c r="L54" i="64"/>
  <c r="N53" i="64"/>
  <c r="L53" i="64"/>
  <c r="N52" i="64"/>
  <c r="L52" i="64"/>
  <c r="N51" i="64"/>
  <c r="L51" i="64"/>
  <c r="N50" i="64"/>
  <c r="L50" i="64"/>
  <c r="N49" i="64"/>
  <c r="L49" i="64"/>
  <c r="N48" i="64"/>
  <c r="L48" i="64"/>
  <c r="N47" i="64"/>
  <c r="L47" i="64"/>
  <c r="N46" i="64"/>
  <c r="L46" i="64"/>
  <c r="N45" i="64"/>
  <c r="L45" i="64"/>
  <c r="N44" i="64"/>
  <c r="L44" i="64"/>
  <c r="N43" i="64"/>
  <c r="L43" i="64"/>
  <c r="N42" i="64"/>
  <c r="L42" i="64"/>
  <c r="N41" i="64"/>
  <c r="L41" i="64"/>
  <c r="N40" i="64"/>
  <c r="L40" i="64"/>
  <c r="N39" i="64"/>
  <c r="L39" i="64"/>
  <c r="N38" i="64"/>
  <c r="L38" i="64"/>
  <c r="N37" i="64"/>
  <c r="L37" i="64"/>
  <c r="N36" i="64"/>
  <c r="L36" i="64"/>
  <c r="N35" i="64"/>
  <c r="L35" i="64"/>
  <c r="N34" i="64"/>
  <c r="L34" i="64"/>
  <c r="N33" i="64"/>
  <c r="L33" i="64"/>
  <c r="N32" i="64"/>
  <c r="L32" i="64"/>
  <c r="N31" i="64"/>
  <c r="L31" i="64"/>
  <c r="N30" i="64"/>
  <c r="L30" i="64"/>
  <c r="N29" i="64"/>
  <c r="L29" i="64"/>
  <c r="N28" i="64"/>
  <c r="L28" i="64"/>
  <c r="N27" i="64"/>
  <c r="L27" i="64"/>
  <c r="N26" i="64"/>
  <c r="N25" i="64"/>
  <c r="N24" i="64"/>
  <c r="N23" i="64"/>
  <c r="O23" i="64" s="1"/>
  <c r="C17" i="64"/>
  <c r="C18" i="64" s="1"/>
  <c r="C19" i="64" s="1"/>
  <c r="C20" i="64" s="1"/>
  <c r="C21" i="64" s="1"/>
  <c r="C22" i="64" s="1"/>
  <c r="C23" i="64" s="1"/>
  <c r="C24" i="64" s="1"/>
  <c r="C25" i="64" s="1"/>
  <c r="C26" i="64" s="1"/>
  <c r="C27" i="64" s="1"/>
  <c r="C28" i="64" s="1"/>
  <c r="C29" i="64" s="1"/>
  <c r="C30" i="64" s="1"/>
  <c r="C31" i="64" s="1"/>
  <c r="C32" i="64" s="1"/>
  <c r="C33" i="64" s="1"/>
  <c r="C34" i="64" s="1"/>
  <c r="C35" i="64" s="1"/>
  <c r="C36" i="64" s="1"/>
  <c r="C37" i="64" s="1"/>
  <c r="C38" i="64" s="1"/>
  <c r="C39" i="64" s="1"/>
  <c r="C40" i="64" s="1"/>
  <c r="C41" i="64" s="1"/>
  <c r="C42" i="64" s="1"/>
  <c r="C43" i="64" s="1"/>
  <c r="C44" i="64" s="1"/>
  <c r="C45" i="64" s="1"/>
  <c r="C46" i="64" s="1"/>
  <c r="C47" i="64" s="1"/>
  <c r="C48" i="64" s="1"/>
  <c r="C49" i="64" s="1"/>
  <c r="C50" i="64" s="1"/>
  <c r="C51" i="64" s="1"/>
  <c r="C52" i="64" s="1"/>
  <c r="C53" i="64" s="1"/>
  <c r="C54" i="64" s="1"/>
  <c r="C55" i="64" s="1"/>
  <c r="C56" i="64" s="1"/>
  <c r="C57" i="64" s="1"/>
  <c r="C58" i="64" s="1"/>
  <c r="C59" i="64" s="1"/>
  <c r="C60" i="64" s="1"/>
  <c r="C61" i="64" s="1"/>
  <c r="C62" i="64" s="1"/>
  <c r="C63" i="64" s="1"/>
  <c r="C64" i="64" s="1"/>
  <c r="C65" i="64" s="1"/>
  <c r="C66" i="64" s="1"/>
  <c r="C67" i="64" s="1"/>
  <c r="C68" i="64" s="1"/>
  <c r="C69" i="64" s="1"/>
  <c r="C70" i="64" s="1"/>
  <c r="C71" i="64" s="1"/>
  <c r="C72" i="64" s="1"/>
  <c r="K11" i="64"/>
  <c r="I11" i="64"/>
  <c r="D8" i="64"/>
  <c r="D90" i="64" s="1"/>
  <c r="D94" i="60"/>
  <c r="D92" i="60"/>
  <c r="D94" i="62"/>
  <c r="D94" i="63"/>
  <c r="D94" i="61"/>
  <c r="D93" i="61"/>
  <c r="D94" i="59"/>
  <c r="D93" i="59"/>
  <c r="M22" i="34"/>
  <c r="N22" i="34" s="1"/>
  <c r="K22" i="34"/>
  <c r="L22" i="34" s="1"/>
  <c r="M21" i="22"/>
  <c r="N21" i="22" s="1"/>
  <c r="O21" i="22" s="1"/>
  <c r="K21" i="22"/>
  <c r="L21" i="22" s="1"/>
  <c r="M22" i="23"/>
  <c r="N22" i="23" s="1"/>
  <c r="K22" i="23"/>
  <c r="L22" i="23" s="1"/>
  <c r="M22" i="24"/>
  <c r="N22" i="24" s="1"/>
  <c r="K22" i="24"/>
  <c r="L22" i="24" s="1"/>
  <c r="M23" i="27"/>
  <c r="N23" i="27" s="1"/>
  <c r="K23" i="27"/>
  <c r="L23" i="27" s="1"/>
  <c r="M24" i="28"/>
  <c r="N24" i="28" s="1"/>
  <c r="K24" i="28"/>
  <c r="L24" i="28" s="1"/>
  <c r="M23" i="29"/>
  <c r="N23" i="29" s="1"/>
  <c r="K23" i="29"/>
  <c r="L23" i="29" s="1"/>
  <c r="M23" i="30"/>
  <c r="N23" i="30" s="1"/>
  <c r="K23" i="30"/>
  <c r="L23" i="30" s="1"/>
  <c r="M22" i="31"/>
  <c r="N22" i="31" s="1"/>
  <c r="K22" i="31"/>
  <c r="L22" i="31" s="1"/>
  <c r="O22" i="31" s="1"/>
  <c r="M22" i="32"/>
  <c r="N22" i="32" s="1"/>
  <c r="K22" i="32"/>
  <c r="L22" i="32" s="1"/>
  <c r="M20" i="39"/>
  <c r="N20" i="39" s="1"/>
  <c r="K20" i="39"/>
  <c r="L20" i="39" s="1"/>
  <c r="M20" i="41"/>
  <c r="N20" i="41" s="1"/>
  <c r="K20" i="41"/>
  <c r="L20" i="41" s="1"/>
  <c r="M20" i="42"/>
  <c r="N20" i="42" s="1"/>
  <c r="K20" i="42"/>
  <c r="L20" i="42" s="1"/>
  <c r="M20" i="43"/>
  <c r="N20" i="43" s="1"/>
  <c r="K20" i="43"/>
  <c r="L20" i="43" s="1"/>
  <c r="M20" i="44"/>
  <c r="N20" i="44" s="1"/>
  <c r="K20" i="44"/>
  <c r="L20" i="44" s="1"/>
  <c r="M19" i="45"/>
  <c r="N19" i="45" s="1"/>
  <c r="K19" i="45"/>
  <c r="L19" i="45" s="1"/>
  <c r="M18" i="46"/>
  <c r="N18" i="46" s="1"/>
  <c r="K18" i="46"/>
  <c r="L18" i="46" s="1"/>
  <c r="M18" i="53"/>
  <c r="N18" i="53" s="1"/>
  <c r="K18" i="53"/>
  <c r="L18" i="53" s="1"/>
  <c r="M18" i="54"/>
  <c r="N18" i="54" s="1"/>
  <c r="K18" i="54"/>
  <c r="L18" i="54" s="1"/>
  <c r="M18" i="55"/>
  <c r="N18" i="55" s="1"/>
  <c r="O18" i="55" s="1"/>
  <c r="K18" i="55"/>
  <c r="L18" i="55" s="1"/>
  <c r="M18" i="56"/>
  <c r="N18" i="56"/>
  <c r="K18" i="56"/>
  <c r="L18" i="56" s="1"/>
  <c r="M18" i="57"/>
  <c r="N18" i="57" s="1"/>
  <c r="K18" i="57"/>
  <c r="L18" i="57" s="1"/>
  <c r="M18" i="58"/>
  <c r="N18" i="58" s="1"/>
  <c r="K18" i="58"/>
  <c r="L18" i="58" s="1"/>
  <c r="M17" i="59"/>
  <c r="N17" i="59" s="1"/>
  <c r="K17" i="59"/>
  <c r="L17" i="59" s="1"/>
  <c r="M17" i="61"/>
  <c r="N17" i="61" s="1"/>
  <c r="K17" i="61"/>
  <c r="L17" i="61" s="1"/>
  <c r="M17" i="63"/>
  <c r="N17" i="63" s="1"/>
  <c r="K17" i="63"/>
  <c r="L17" i="63" s="1"/>
  <c r="M17" i="62"/>
  <c r="N17" i="62" s="1"/>
  <c r="K17" i="62"/>
  <c r="L17" i="62" s="1"/>
  <c r="M17" i="60"/>
  <c r="N17" i="60" s="1"/>
  <c r="K17" i="60"/>
  <c r="L17" i="60" s="1"/>
  <c r="N99" i="58"/>
  <c r="O99" i="58" s="1"/>
  <c r="L99" i="58"/>
  <c r="M99" i="58" s="1"/>
  <c r="N99" i="57"/>
  <c r="L99" i="57"/>
  <c r="N99" i="56"/>
  <c r="O99" i="56" s="1"/>
  <c r="L99" i="56"/>
  <c r="M99" i="56" s="1"/>
  <c r="N99" i="55"/>
  <c r="L99" i="55"/>
  <c r="N99" i="54"/>
  <c r="O99" i="54" s="1"/>
  <c r="L99" i="54"/>
  <c r="N99" i="53"/>
  <c r="L99" i="53"/>
  <c r="N99" i="46"/>
  <c r="O99" i="46" s="1"/>
  <c r="L99" i="46"/>
  <c r="N100" i="45"/>
  <c r="L100" i="45"/>
  <c r="N101" i="44"/>
  <c r="L101" i="44"/>
  <c r="M101" i="44" s="1"/>
  <c r="N101" i="43"/>
  <c r="L101" i="43"/>
  <c r="N101" i="42"/>
  <c r="O101" i="42" s="1"/>
  <c r="L101" i="42"/>
  <c r="M101" i="42" s="1"/>
  <c r="N101" i="41"/>
  <c r="L101" i="41"/>
  <c r="N101" i="39"/>
  <c r="L101" i="39"/>
  <c r="M101" i="39" s="1"/>
  <c r="N103" i="35"/>
  <c r="L103" i="35"/>
  <c r="N103" i="34"/>
  <c r="O103" i="34" s="1"/>
  <c r="L103" i="34"/>
  <c r="M103" i="34" s="1"/>
  <c r="N103" i="32"/>
  <c r="L103" i="32"/>
  <c r="N103" i="31"/>
  <c r="O103" i="31" s="1"/>
  <c r="L103" i="31"/>
  <c r="N104" i="30"/>
  <c r="L104" i="30"/>
  <c r="N104" i="29"/>
  <c r="O104" i="29" s="1"/>
  <c r="L104" i="29"/>
  <c r="M104" i="29" s="1"/>
  <c r="N105" i="28"/>
  <c r="L105" i="28"/>
  <c r="N104" i="27"/>
  <c r="O104" i="27" s="1"/>
  <c r="L104" i="27"/>
  <c r="M104" i="27" s="1"/>
  <c r="N103" i="24"/>
  <c r="L103" i="24"/>
  <c r="N103" i="23"/>
  <c r="O103" i="23" s="1"/>
  <c r="L103" i="23"/>
  <c r="N102" i="22"/>
  <c r="L102" i="22"/>
  <c r="N102" i="21"/>
  <c r="L102" i="21"/>
  <c r="M21" i="21"/>
  <c r="N21" i="21" s="1"/>
  <c r="K21" i="21"/>
  <c r="L21" i="21" s="1"/>
  <c r="M21" i="20"/>
  <c r="N21" i="20" s="1"/>
  <c r="K21" i="20"/>
  <c r="L21" i="20" s="1"/>
  <c r="N102" i="20"/>
  <c r="L102" i="20"/>
  <c r="N102" i="19"/>
  <c r="L102" i="19"/>
  <c r="M21" i="19"/>
  <c r="N21" i="19" s="1"/>
  <c r="K21" i="19"/>
  <c r="L21" i="19" s="1"/>
  <c r="N102" i="18"/>
  <c r="L102" i="18"/>
  <c r="M21" i="18"/>
  <c r="N21" i="18" s="1"/>
  <c r="K21" i="18"/>
  <c r="L21" i="18" s="1"/>
  <c r="N102" i="17"/>
  <c r="O102" i="17" s="1"/>
  <c r="L102" i="17"/>
  <c r="M21" i="17"/>
  <c r="N21" i="17" s="1"/>
  <c r="K21" i="17"/>
  <c r="L21" i="17" s="1"/>
  <c r="N102" i="3"/>
  <c r="O102" i="3" s="1"/>
  <c r="L102" i="3"/>
  <c r="M102" i="3" s="1"/>
  <c r="M21" i="3"/>
  <c r="N21" i="3" s="1"/>
  <c r="K21" i="3"/>
  <c r="L21" i="3" s="1"/>
  <c r="Q60" i="1"/>
  <c r="Q60" i="2"/>
  <c r="Q58" i="3"/>
  <c r="Q58" i="17"/>
  <c r="Q58" i="18"/>
  <c r="Q58" i="19"/>
  <c r="Q58" i="20"/>
  <c r="Q58" i="21"/>
  <c r="Q58" i="22"/>
  <c r="Q58" i="23"/>
  <c r="Q58" i="24"/>
  <c r="Q58" i="25"/>
  <c r="Q58" i="26"/>
  <c r="Q58" i="27"/>
  <c r="Q58" i="28"/>
  <c r="Q58" i="29"/>
  <c r="Q58" i="30"/>
  <c r="Q58" i="31"/>
  <c r="Q58" i="32"/>
  <c r="Q58" i="33"/>
  <c r="Q58" i="34"/>
  <c r="Q58" i="35"/>
  <c r="Q58" i="39"/>
  <c r="Q58" i="41"/>
  <c r="Q58" i="42"/>
  <c r="Q58" i="43"/>
  <c r="Q58" i="44"/>
  <c r="Q58" i="45"/>
  <c r="Q58" i="46"/>
  <c r="Q58" i="53"/>
  <c r="Q58" i="54"/>
  <c r="Q58" i="55"/>
  <c r="Q58" i="56"/>
  <c r="Q58" i="57"/>
  <c r="Q58" i="58"/>
  <c r="Q58" i="59"/>
  <c r="Q58" i="61"/>
  <c r="Q58" i="63"/>
  <c r="Q58" i="62"/>
  <c r="Q58" i="60"/>
  <c r="P1" i="60"/>
  <c r="P83" i="60" s="1"/>
  <c r="P1" i="62"/>
  <c r="P83" i="62" s="1"/>
  <c r="P1" i="63"/>
  <c r="P83" i="63" s="1"/>
  <c r="P1" i="61"/>
  <c r="P83" i="61" s="1"/>
  <c r="P1" i="59"/>
  <c r="P83" i="59" s="1"/>
  <c r="P1" i="58"/>
  <c r="P83" i="58" s="1"/>
  <c r="B21" i="21"/>
  <c r="N101" i="21"/>
  <c r="O101" i="21" s="1"/>
  <c r="L101" i="21"/>
  <c r="M101" i="21" s="1"/>
  <c r="I18" i="21"/>
  <c r="I19" i="21"/>
  <c r="M20" i="21"/>
  <c r="N20" i="21" s="1"/>
  <c r="K20" i="21"/>
  <c r="W55" i="36"/>
  <c r="P55" i="36"/>
  <c r="W54" i="36"/>
  <c r="P54" i="36"/>
  <c r="W53" i="36"/>
  <c r="P53" i="36"/>
  <c r="W52" i="36"/>
  <c r="P52" i="36"/>
  <c r="W51" i="36"/>
  <c r="P51" i="36"/>
  <c r="P154" i="63"/>
  <c r="O154" i="63"/>
  <c r="M154" i="63"/>
  <c r="P153" i="63"/>
  <c r="O153" i="63"/>
  <c r="M153" i="63"/>
  <c r="P152" i="63"/>
  <c r="O152" i="63"/>
  <c r="M152" i="63"/>
  <c r="P151" i="63"/>
  <c r="O151" i="63"/>
  <c r="M151" i="63"/>
  <c r="P150" i="63"/>
  <c r="O150" i="63"/>
  <c r="M150" i="63"/>
  <c r="P149" i="63"/>
  <c r="O149" i="63"/>
  <c r="M149" i="63"/>
  <c r="P148" i="63"/>
  <c r="O148" i="63"/>
  <c r="M148" i="63"/>
  <c r="P147" i="63"/>
  <c r="O147" i="63"/>
  <c r="M147" i="63"/>
  <c r="P146" i="63"/>
  <c r="O146" i="63"/>
  <c r="M146" i="63"/>
  <c r="P145" i="63"/>
  <c r="O145" i="63"/>
  <c r="M145" i="63"/>
  <c r="P144" i="63"/>
  <c r="O144" i="63"/>
  <c r="M144" i="63"/>
  <c r="P143" i="63"/>
  <c r="O143" i="63"/>
  <c r="M143" i="63"/>
  <c r="P142" i="63"/>
  <c r="O142" i="63"/>
  <c r="M142" i="63"/>
  <c r="P141" i="63"/>
  <c r="O141" i="63"/>
  <c r="M141" i="63"/>
  <c r="P140" i="63"/>
  <c r="O140" i="63"/>
  <c r="M140" i="63"/>
  <c r="P139" i="63"/>
  <c r="O139" i="63"/>
  <c r="M139" i="63"/>
  <c r="P138" i="63"/>
  <c r="O138" i="63"/>
  <c r="M138" i="63"/>
  <c r="P137" i="63"/>
  <c r="O137" i="63"/>
  <c r="M137" i="63"/>
  <c r="P136" i="63"/>
  <c r="O136" i="63"/>
  <c r="M136" i="63"/>
  <c r="P135" i="63"/>
  <c r="O135" i="63"/>
  <c r="M135" i="63"/>
  <c r="P134" i="63"/>
  <c r="O134" i="63"/>
  <c r="M134" i="63"/>
  <c r="P133" i="63"/>
  <c r="O133" i="63"/>
  <c r="M133" i="63"/>
  <c r="P132" i="63"/>
  <c r="O132" i="63"/>
  <c r="M132" i="63"/>
  <c r="P131" i="63"/>
  <c r="O131" i="63"/>
  <c r="M131" i="63"/>
  <c r="O130" i="63"/>
  <c r="M130" i="63"/>
  <c r="O129" i="63"/>
  <c r="M129" i="63"/>
  <c r="O128" i="63"/>
  <c r="M128" i="63"/>
  <c r="O127" i="63"/>
  <c r="M127" i="63"/>
  <c r="O126" i="63"/>
  <c r="M126" i="63"/>
  <c r="O125" i="63"/>
  <c r="M125" i="63"/>
  <c r="O124" i="63"/>
  <c r="M124" i="63"/>
  <c r="O123" i="63"/>
  <c r="M123" i="63"/>
  <c r="O122" i="63"/>
  <c r="M122" i="63"/>
  <c r="O121" i="63"/>
  <c r="M121" i="63"/>
  <c r="O120" i="63"/>
  <c r="M120" i="63"/>
  <c r="O119" i="63"/>
  <c r="M119" i="63"/>
  <c r="O118" i="63"/>
  <c r="M118" i="63"/>
  <c r="O117" i="63"/>
  <c r="M117" i="63"/>
  <c r="O116" i="63"/>
  <c r="M116" i="63"/>
  <c r="O115" i="63"/>
  <c r="M115" i="63"/>
  <c r="O114" i="63"/>
  <c r="M114" i="63"/>
  <c r="O113" i="63"/>
  <c r="M113" i="63"/>
  <c r="O112" i="63"/>
  <c r="M112" i="63"/>
  <c r="O111" i="63"/>
  <c r="M111" i="63"/>
  <c r="O110" i="63"/>
  <c r="M110" i="63"/>
  <c r="O109" i="63"/>
  <c r="M109" i="63"/>
  <c r="O108" i="63"/>
  <c r="M108" i="63"/>
  <c r="O107" i="63"/>
  <c r="M107" i="63"/>
  <c r="O106" i="63"/>
  <c r="O105" i="63"/>
  <c r="O104" i="63"/>
  <c r="D96" i="63"/>
  <c r="L93" i="63"/>
  <c r="J93" i="63"/>
  <c r="D91" i="63"/>
  <c r="D89" i="63"/>
  <c r="N72" i="63"/>
  <c r="L72" i="63"/>
  <c r="N71" i="63"/>
  <c r="L71" i="63"/>
  <c r="N70" i="63"/>
  <c r="L70" i="63"/>
  <c r="N69" i="63"/>
  <c r="L69" i="63"/>
  <c r="N68" i="63"/>
  <c r="L68" i="63"/>
  <c r="N67" i="63"/>
  <c r="L67" i="63"/>
  <c r="N66" i="63"/>
  <c r="L66" i="63"/>
  <c r="N65" i="63"/>
  <c r="L65" i="63"/>
  <c r="N64" i="63"/>
  <c r="L64" i="63"/>
  <c r="N63" i="63"/>
  <c r="L63" i="63"/>
  <c r="N62" i="63"/>
  <c r="L62" i="63"/>
  <c r="N61" i="63"/>
  <c r="L61" i="63"/>
  <c r="N60" i="63"/>
  <c r="L60" i="63"/>
  <c r="N59" i="63"/>
  <c r="L59" i="63"/>
  <c r="N58" i="63"/>
  <c r="L58" i="63"/>
  <c r="N57" i="63"/>
  <c r="L57" i="63"/>
  <c r="N56" i="63"/>
  <c r="L56" i="63"/>
  <c r="N55" i="63"/>
  <c r="L55" i="63"/>
  <c r="N54" i="63"/>
  <c r="L54" i="63"/>
  <c r="N53" i="63"/>
  <c r="L53" i="63"/>
  <c r="N52" i="63"/>
  <c r="L52" i="63"/>
  <c r="N51" i="63"/>
  <c r="L51" i="63"/>
  <c r="N50" i="63"/>
  <c r="L50" i="63"/>
  <c r="N49" i="63"/>
  <c r="L49" i="63"/>
  <c r="N48" i="63"/>
  <c r="L48" i="63"/>
  <c r="N47" i="63"/>
  <c r="L47" i="63"/>
  <c r="N46" i="63"/>
  <c r="L46" i="63"/>
  <c r="N45" i="63"/>
  <c r="L45" i="63"/>
  <c r="N44" i="63"/>
  <c r="L44" i="63"/>
  <c r="N43" i="63"/>
  <c r="L43" i="63"/>
  <c r="N42" i="63"/>
  <c r="L42" i="63"/>
  <c r="N41" i="63"/>
  <c r="L41" i="63"/>
  <c r="N40" i="63"/>
  <c r="L40" i="63"/>
  <c r="N39" i="63"/>
  <c r="L39" i="63"/>
  <c r="N38" i="63"/>
  <c r="L38" i="63"/>
  <c r="N37" i="63"/>
  <c r="L37" i="63"/>
  <c r="N36" i="63"/>
  <c r="L36" i="63"/>
  <c r="N35" i="63"/>
  <c r="L35" i="63"/>
  <c r="N34" i="63"/>
  <c r="L34" i="63"/>
  <c r="N33" i="63"/>
  <c r="L33" i="63"/>
  <c r="N32" i="63"/>
  <c r="L32" i="63"/>
  <c r="N31" i="63"/>
  <c r="L31" i="63"/>
  <c r="N30" i="63"/>
  <c r="L30" i="63"/>
  <c r="N29" i="63"/>
  <c r="L29" i="63"/>
  <c r="N28" i="63"/>
  <c r="L28" i="63"/>
  <c r="N27" i="63"/>
  <c r="L27" i="63"/>
  <c r="N26" i="63"/>
  <c r="N25" i="63"/>
  <c r="N24" i="63"/>
  <c r="N23" i="63"/>
  <c r="C17" i="63"/>
  <c r="C18" i="63" s="1"/>
  <c r="C19" i="63" s="1"/>
  <c r="C20" i="63" s="1"/>
  <c r="C21" i="63" s="1"/>
  <c r="C22" i="63" s="1"/>
  <c r="C23" i="63" s="1"/>
  <c r="C24" i="63" s="1"/>
  <c r="C25" i="63" s="1"/>
  <c r="C26" i="63" s="1"/>
  <c r="C27" i="63" s="1"/>
  <c r="C28" i="63" s="1"/>
  <c r="C29" i="63" s="1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K11" i="63"/>
  <c r="I11" i="63"/>
  <c r="D8" i="63"/>
  <c r="D90" i="63" s="1"/>
  <c r="P154" i="62"/>
  <c r="O154" i="62"/>
  <c r="M154" i="62"/>
  <c r="P153" i="62"/>
  <c r="O153" i="62"/>
  <c r="M153" i="62"/>
  <c r="P152" i="62"/>
  <c r="O152" i="62"/>
  <c r="M152" i="62"/>
  <c r="P151" i="62"/>
  <c r="O151" i="62"/>
  <c r="M151" i="62"/>
  <c r="P150" i="62"/>
  <c r="O150" i="62"/>
  <c r="M150" i="62"/>
  <c r="P149" i="62"/>
  <c r="O149" i="62"/>
  <c r="M149" i="62"/>
  <c r="P148" i="62"/>
  <c r="O148" i="62"/>
  <c r="M148" i="62"/>
  <c r="P147" i="62"/>
  <c r="O147" i="62"/>
  <c r="M147" i="62"/>
  <c r="P146" i="62"/>
  <c r="O146" i="62"/>
  <c r="M146" i="62"/>
  <c r="P145" i="62"/>
  <c r="O145" i="62"/>
  <c r="M145" i="62"/>
  <c r="P144" i="62"/>
  <c r="O144" i="62"/>
  <c r="M144" i="62"/>
  <c r="P143" i="62"/>
  <c r="O143" i="62"/>
  <c r="M143" i="62"/>
  <c r="P142" i="62"/>
  <c r="O142" i="62"/>
  <c r="M142" i="62"/>
  <c r="P141" i="62"/>
  <c r="O141" i="62"/>
  <c r="M141" i="62"/>
  <c r="P140" i="62"/>
  <c r="O140" i="62"/>
  <c r="M140" i="62"/>
  <c r="P139" i="62"/>
  <c r="O139" i="62"/>
  <c r="M139" i="62"/>
  <c r="P138" i="62"/>
  <c r="O138" i="62"/>
  <c r="M138" i="62"/>
  <c r="P137" i="62"/>
  <c r="O137" i="62"/>
  <c r="M137" i="62"/>
  <c r="P136" i="62"/>
  <c r="O136" i="62"/>
  <c r="M136" i="62"/>
  <c r="P135" i="62"/>
  <c r="O135" i="62"/>
  <c r="M135" i="62"/>
  <c r="P134" i="62"/>
  <c r="O134" i="62"/>
  <c r="M134" i="62"/>
  <c r="P133" i="62"/>
  <c r="O133" i="62"/>
  <c r="M133" i="62"/>
  <c r="P132" i="62"/>
  <c r="O132" i="62"/>
  <c r="M132" i="62"/>
  <c r="P131" i="62"/>
  <c r="O131" i="62"/>
  <c r="M131" i="62"/>
  <c r="O130" i="62"/>
  <c r="M130" i="62"/>
  <c r="O129" i="62"/>
  <c r="M129" i="62"/>
  <c r="O128" i="62"/>
  <c r="M128" i="62"/>
  <c r="O127" i="62"/>
  <c r="M127" i="62"/>
  <c r="O126" i="62"/>
  <c r="M126" i="62"/>
  <c r="O125" i="62"/>
  <c r="M125" i="62"/>
  <c r="O124" i="62"/>
  <c r="M124" i="62"/>
  <c r="O123" i="62"/>
  <c r="M123" i="62"/>
  <c r="O122" i="62"/>
  <c r="M122" i="62"/>
  <c r="O121" i="62"/>
  <c r="M121" i="62"/>
  <c r="O120" i="62"/>
  <c r="M120" i="62"/>
  <c r="O119" i="62"/>
  <c r="M119" i="62"/>
  <c r="O118" i="62"/>
  <c r="M118" i="62"/>
  <c r="O117" i="62"/>
  <c r="M117" i="62"/>
  <c r="O116" i="62"/>
  <c r="M116" i="62"/>
  <c r="O115" i="62"/>
  <c r="M115" i="62"/>
  <c r="O114" i="62"/>
  <c r="M114" i="62"/>
  <c r="O113" i="62"/>
  <c r="M113" i="62"/>
  <c r="O112" i="62"/>
  <c r="M112" i="62"/>
  <c r="O111" i="62"/>
  <c r="M111" i="62"/>
  <c r="O110" i="62"/>
  <c r="M110" i="62"/>
  <c r="O109" i="62"/>
  <c r="M109" i="62"/>
  <c r="O108" i="62"/>
  <c r="M108" i="62"/>
  <c r="O107" i="62"/>
  <c r="M107" i="62"/>
  <c r="O106" i="62"/>
  <c r="O105" i="62"/>
  <c r="O104" i="62"/>
  <c r="D96" i="62"/>
  <c r="L93" i="62"/>
  <c r="J93" i="62"/>
  <c r="D91" i="62"/>
  <c r="D89" i="62"/>
  <c r="N72" i="62"/>
  <c r="L72" i="62"/>
  <c r="N71" i="62"/>
  <c r="L71" i="62"/>
  <c r="N70" i="62"/>
  <c r="L70" i="62"/>
  <c r="N69" i="62"/>
  <c r="L69" i="62"/>
  <c r="N68" i="62"/>
  <c r="L68" i="62"/>
  <c r="N67" i="62"/>
  <c r="L67" i="62"/>
  <c r="N66" i="62"/>
  <c r="L66" i="62"/>
  <c r="N65" i="62"/>
  <c r="L65" i="62"/>
  <c r="N64" i="62"/>
  <c r="L64" i="62"/>
  <c r="N63" i="62"/>
  <c r="L63" i="62"/>
  <c r="N62" i="62"/>
  <c r="L62" i="62"/>
  <c r="N61" i="62"/>
  <c r="L61" i="62"/>
  <c r="N60" i="62"/>
  <c r="L60" i="62"/>
  <c r="N59" i="62"/>
  <c r="L59" i="62"/>
  <c r="N58" i="62"/>
  <c r="L58" i="62"/>
  <c r="N57" i="62"/>
  <c r="L57" i="62"/>
  <c r="N56" i="62"/>
  <c r="L56" i="62"/>
  <c r="N55" i="62"/>
  <c r="L55" i="62"/>
  <c r="N54" i="62"/>
  <c r="L54" i="62"/>
  <c r="N53" i="62"/>
  <c r="L53" i="62"/>
  <c r="N52" i="62"/>
  <c r="L52" i="62"/>
  <c r="N51" i="62"/>
  <c r="L51" i="62"/>
  <c r="N50" i="62"/>
  <c r="L50" i="62"/>
  <c r="N49" i="62"/>
  <c r="L49" i="62"/>
  <c r="N48" i="62"/>
  <c r="L48" i="62"/>
  <c r="N47" i="62"/>
  <c r="L47" i="62"/>
  <c r="N46" i="62"/>
  <c r="L46" i="62"/>
  <c r="N45" i="62"/>
  <c r="L45" i="62"/>
  <c r="N44" i="62"/>
  <c r="L44" i="62"/>
  <c r="N43" i="62"/>
  <c r="L43" i="62"/>
  <c r="N42" i="62"/>
  <c r="L42" i="62"/>
  <c r="N41" i="62"/>
  <c r="L41" i="62"/>
  <c r="N40" i="62"/>
  <c r="L40" i="62"/>
  <c r="N39" i="62"/>
  <c r="L39" i="62"/>
  <c r="N38" i="62"/>
  <c r="L38" i="62"/>
  <c r="N37" i="62"/>
  <c r="L37" i="62"/>
  <c r="N36" i="62"/>
  <c r="L36" i="62"/>
  <c r="N35" i="62"/>
  <c r="L35" i="62"/>
  <c r="N34" i="62"/>
  <c r="L34" i="62"/>
  <c r="N33" i="62"/>
  <c r="L33" i="62"/>
  <c r="N32" i="62"/>
  <c r="L32" i="62"/>
  <c r="N31" i="62"/>
  <c r="L31" i="62"/>
  <c r="N30" i="62"/>
  <c r="L30" i="62"/>
  <c r="N29" i="62"/>
  <c r="L29" i="62"/>
  <c r="N28" i="62"/>
  <c r="L28" i="62"/>
  <c r="N27" i="62"/>
  <c r="L27" i="62"/>
  <c r="N26" i="62"/>
  <c r="N25" i="62"/>
  <c r="N24" i="62"/>
  <c r="N23" i="62"/>
  <c r="O23" i="62" s="1"/>
  <c r="C17" i="62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K11" i="62"/>
  <c r="I11" i="62"/>
  <c r="D8" i="62"/>
  <c r="D90" i="62" s="1"/>
  <c r="P154" i="61"/>
  <c r="O154" i="61"/>
  <c r="M154" i="61"/>
  <c r="P153" i="61"/>
  <c r="O153" i="61"/>
  <c r="M153" i="61"/>
  <c r="P152" i="61"/>
  <c r="O152" i="61"/>
  <c r="M152" i="61"/>
  <c r="P151" i="61"/>
  <c r="O151" i="61"/>
  <c r="M151" i="61"/>
  <c r="P150" i="61"/>
  <c r="O150" i="61"/>
  <c r="M150" i="61"/>
  <c r="P149" i="61"/>
  <c r="O149" i="61"/>
  <c r="M149" i="61"/>
  <c r="P148" i="61"/>
  <c r="O148" i="61"/>
  <c r="M148" i="61"/>
  <c r="P147" i="61"/>
  <c r="O147" i="61"/>
  <c r="M147" i="61"/>
  <c r="P146" i="61"/>
  <c r="O146" i="61"/>
  <c r="M146" i="61"/>
  <c r="P145" i="61"/>
  <c r="O145" i="61"/>
  <c r="M145" i="61"/>
  <c r="P144" i="61"/>
  <c r="O144" i="61"/>
  <c r="M144" i="61"/>
  <c r="P143" i="61"/>
  <c r="O143" i="61"/>
  <c r="M143" i="61"/>
  <c r="P142" i="61"/>
  <c r="O142" i="61"/>
  <c r="M142" i="61"/>
  <c r="P141" i="61"/>
  <c r="O141" i="61"/>
  <c r="M141" i="61"/>
  <c r="P140" i="61"/>
  <c r="O140" i="61"/>
  <c r="M140" i="61"/>
  <c r="P139" i="61"/>
  <c r="O139" i="61"/>
  <c r="M139" i="61"/>
  <c r="P138" i="61"/>
  <c r="O138" i="61"/>
  <c r="M138" i="61"/>
  <c r="P137" i="61"/>
  <c r="O137" i="61"/>
  <c r="M137" i="61"/>
  <c r="P136" i="61"/>
  <c r="O136" i="61"/>
  <c r="M136" i="61"/>
  <c r="P135" i="61"/>
  <c r="O135" i="61"/>
  <c r="M135" i="61"/>
  <c r="P134" i="61"/>
  <c r="O134" i="61"/>
  <c r="M134" i="61"/>
  <c r="P133" i="61"/>
  <c r="O133" i="61"/>
  <c r="M133" i="61"/>
  <c r="P132" i="61"/>
  <c r="O132" i="61"/>
  <c r="M132" i="61"/>
  <c r="P131" i="61"/>
  <c r="O131" i="61"/>
  <c r="M131" i="61"/>
  <c r="O130" i="61"/>
  <c r="M130" i="61"/>
  <c r="O129" i="61"/>
  <c r="M129" i="61"/>
  <c r="O128" i="61"/>
  <c r="M128" i="61"/>
  <c r="O127" i="61"/>
  <c r="M127" i="61"/>
  <c r="O126" i="61"/>
  <c r="M126" i="61"/>
  <c r="O125" i="61"/>
  <c r="M125" i="61"/>
  <c r="O124" i="61"/>
  <c r="M124" i="61"/>
  <c r="O123" i="61"/>
  <c r="M123" i="61"/>
  <c r="O122" i="61"/>
  <c r="M122" i="61"/>
  <c r="O121" i="61"/>
  <c r="M121" i="61"/>
  <c r="O120" i="61"/>
  <c r="M120" i="61"/>
  <c r="O119" i="61"/>
  <c r="M119" i="61"/>
  <c r="O118" i="61"/>
  <c r="M118" i="61"/>
  <c r="O117" i="61"/>
  <c r="M117" i="61"/>
  <c r="O116" i="61"/>
  <c r="M116" i="61"/>
  <c r="O115" i="61"/>
  <c r="M115" i="61"/>
  <c r="O114" i="61"/>
  <c r="M114" i="61"/>
  <c r="O113" i="61"/>
  <c r="M113" i="61"/>
  <c r="O112" i="61"/>
  <c r="M112" i="61"/>
  <c r="O111" i="61"/>
  <c r="M111" i="61"/>
  <c r="O110" i="61"/>
  <c r="M110" i="61"/>
  <c r="O109" i="61"/>
  <c r="M109" i="61"/>
  <c r="O108" i="61"/>
  <c r="M108" i="61"/>
  <c r="O107" i="61"/>
  <c r="M107" i="61"/>
  <c r="O106" i="61"/>
  <c r="O105" i="61"/>
  <c r="O104" i="61"/>
  <c r="D96" i="61"/>
  <c r="L93" i="61"/>
  <c r="J93" i="61"/>
  <c r="D91" i="61"/>
  <c r="D89" i="61"/>
  <c r="N72" i="61"/>
  <c r="L72" i="61"/>
  <c r="N71" i="61"/>
  <c r="L71" i="61"/>
  <c r="N70" i="61"/>
  <c r="L70" i="61"/>
  <c r="N69" i="61"/>
  <c r="L69" i="61"/>
  <c r="N68" i="61"/>
  <c r="L68" i="61"/>
  <c r="N67" i="61"/>
  <c r="L67" i="61"/>
  <c r="N66" i="61"/>
  <c r="L66" i="61"/>
  <c r="N65" i="61"/>
  <c r="L65" i="61"/>
  <c r="N64" i="61"/>
  <c r="L64" i="61"/>
  <c r="N63" i="61"/>
  <c r="L63" i="61"/>
  <c r="N62" i="61"/>
  <c r="L62" i="61"/>
  <c r="N61" i="61"/>
  <c r="L61" i="61"/>
  <c r="N60" i="61"/>
  <c r="L60" i="61"/>
  <c r="N59" i="61"/>
  <c r="L59" i="61"/>
  <c r="N58" i="61"/>
  <c r="L58" i="61"/>
  <c r="N57" i="61"/>
  <c r="L57" i="61"/>
  <c r="N56" i="61"/>
  <c r="L56" i="61"/>
  <c r="N55" i="61"/>
  <c r="L55" i="61"/>
  <c r="N54" i="61"/>
  <c r="L54" i="61"/>
  <c r="N53" i="61"/>
  <c r="L53" i="61"/>
  <c r="N52" i="61"/>
  <c r="L52" i="61"/>
  <c r="N51" i="61"/>
  <c r="L51" i="61"/>
  <c r="N50" i="61"/>
  <c r="L50" i="61"/>
  <c r="N49" i="61"/>
  <c r="L49" i="61"/>
  <c r="N48" i="61"/>
  <c r="L48" i="61"/>
  <c r="N47" i="61"/>
  <c r="L47" i="61"/>
  <c r="N46" i="61"/>
  <c r="L46" i="61"/>
  <c r="N45" i="61"/>
  <c r="L45" i="61"/>
  <c r="N44" i="61"/>
  <c r="L44" i="61"/>
  <c r="N43" i="61"/>
  <c r="L43" i="61"/>
  <c r="N42" i="61"/>
  <c r="L42" i="61"/>
  <c r="N41" i="61"/>
  <c r="L41" i="61"/>
  <c r="N40" i="61"/>
  <c r="L40" i="61"/>
  <c r="N39" i="61"/>
  <c r="L39" i="61"/>
  <c r="N38" i="61"/>
  <c r="L38" i="61"/>
  <c r="N37" i="61"/>
  <c r="L37" i="61"/>
  <c r="N36" i="61"/>
  <c r="L36" i="61"/>
  <c r="N35" i="61"/>
  <c r="L35" i="61"/>
  <c r="N34" i="61"/>
  <c r="L34" i="61"/>
  <c r="N33" i="61"/>
  <c r="L33" i="61"/>
  <c r="N32" i="61"/>
  <c r="L32" i="61"/>
  <c r="N31" i="61"/>
  <c r="L31" i="61"/>
  <c r="N30" i="61"/>
  <c r="L30" i="61"/>
  <c r="N29" i="61"/>
  <c r="L29" i="61"/>
  <c r="N28" i="61"/>
  <c r="L28" i="61"/>
  <c r="N27" i="61"/>
  <c r="L27" i="61"/>
  <c r="N26" i="61"/>
  <c r="N25" i="61"/>
  <c r="N24" i="61"/>
  <c r="O24" i="61" s="1"/>
  <c r="N23" i="61"/>
  <c r="C17" i="61"/>
  <c r="C18" i="61" s="1"/>
  <c r="C19" i="61" s="1"/>
  <c r="C20" i="61" s="1"/>
  <c r="C21" i="61" s="1"/>
  <c r="C22" i="61" s="1"/>
  <c r="C23" i="61" s="1"/>
  <c r="C24" i="61" s="1"/>
  <c r="C25" i="61" s="1"/>
  <c r="C26" i="61" s="1"/>
  <c r="C27" i="61" s="1"/>
  <c r="C28" i="61" s="1"/>
  <c r="C29" i="61" s="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K11" i="61"/>
  <c r="I11" i="61"/>
  <c r="D8" i="61"/>
  <c r="D90" i="61" s="1"/>
  <c r="P154" i="60"/>
  <c r="O154" i="60"/>
  <c r="M154" i="60"/>
  <c r="P153" i="60"/>
  <c r="O153" i="60"/>
  <c r="M153" i="60"/>
  <c r="P152" i="60"/>
  <c r="O152" i="60"/>
  <c r="M152" i="60"/>
  <c r="P151" i="60"/>
  <c r="O151" i="60"/>
  <c r="M151" i="60"/>
  <c r="P150" i="60"/>
  <c r="O150" i="60"/>
  <c r="M150" i="60"/>
  <c r="P149" i="60"/>
  <c r="O149" i="60"/>
  <c r="M149" i="60"/>
  <c r="P148" i="60"/>
  <c r="O148" i="60"/>
  <c r="M148" i="60"/>
  <c r="P147" i="60"/>
  <c r="O147" i="60"/>
  <c r="M147" i="60"/>
  <c r="P146" i="60"/>
  <c r="O146" i="60"/>
  <c r="M146" i="60"/>
  <c r="P145" i="60"/>
  <c r="O145" i="60"/>
  <c r="M145" i="60"/>
  <c r="P144" i="60"/>
  <c r="O144" i="60"/>
  <c r="M144" i="60"/>
  <c r="P143" i="60"/>
  <c r="O143" i="60"/>
  <c r="M143" i="60"/>
  <c r="P142" i="60"/>
  <c r="O142" i="60"/>
  <c r="M142" i="60"/>
  <c r="P141" i="60"/>
  <c r="O141" i="60"/>
  <c r="M141" i="60"/>
  <c r="P140" i="60"/>
  <c r="O140" i="60"/>
  <c r="M140" i="60"/>
  <c r="P139" i="60"/>
  <c r="O139" i="60"/>
  <c r="M139" i="60"/>
  <c r="P138" i="60"/>
  <c r="O138" i="60"/>
  <c r="M138" i="60"/>
  <c r="P137" i="60"/>
  <c r="O137" i="60"/>
  <c r="M137" i="60"/>
  <c r="P136" i="60"/>
  <c r="O136" i="60"/>
  <c r="M136" i="60"/>
  <c r="P135" i="60"/>
  <c r="O135" i="60"/>
  <c r="M135" i="60"/>
  <c r="P134" i="60"/>
  <c r="O134" i="60"/>
  <c r="M134" i="60"/>
  <c r="P133" i="60"/>
  <c r="O133" i="60"/>
  <c r="M133" i="60"/>
  <c r="P132" i="60"/>
  <c r="O132" i="60"/>
  <c r="M132" i="60"/>
  <c r="P131" i="60"/>
  <c r="O131" i="60"/>
  <c r="M131" i="60"/>
  <c r="O130" i="60"/>
  <c r="M130" i="60"/>
  <c r="O129" i="60"/>
  <c r="M129" i="60"/>
  <c r="O128" i="60"/>
  <c r="M128" i="60"/>
  <c r="O127" i="60"/>
  <c r="M127" i="60"/>
  <c r="O126" i="60"/>
  <c r="M126" i="60"/>
  <c r="O125" i="60"/>
  <c r="M125" i="60"/>
  <c r="O124" i="60"/>
  <c r="M124" i="60"/>
  <c r="O123" i="60"/>
  <c r="M123" i="60"/>
  <c r="O122" i="60"/>
  <c r="M122" i="60"/>
  <c r="O121" i="60"/>
  <c r="M121" i="60"/>
  <c r="O120" i="60"/>
  <c r="M120" i="60"/>
  <c r="O119" i="60"/>
  <c r="M119" i="60"/>
  <c r="O118" i="60"/>
  <c r="M118" i="60"/>
  <c r="O117" i="60"/>
  <c r="M117" i="60"/>
  <c r="O116" i="60"/>
  <c r="M116" i="60"/>
  <c r="O115" i="60"/>
  <c r="M115" i="60"/>
  <c r="O114" i="60"/>
  <c r="M114" i="60"/>
  <c r="O113" i="60"/>
  <c r="M113" i="60"/>
  <c r="O112" i="60"/>
  <c r="M112" i="60"/>
  <c r="O111" i="60"/>
  <c r="M111" i="60"/>
  <c r="O110" i="60"/>
  <c r="M110" i="60"/>
  <c r="O109" i="60"/>
  <c r="M109" i="60"/>
  <c r="O108" i="60"/>
  <c r="M108" i="60"/>
  <c r="O107" i="60"/>
  <c r="M107" i="60"/>
  <c r="O106" i="60"/>
  <c r="O105" i="60"/>
  <c r="O104" i="60"/>
  <c r="D96" i="60"/>
  <c r="L93" i="60"/>
  <c r="J93" i="60"/>
  <c r="D91" i="60"/>
  <c r="D89" i="60"/>
  <c r="N72" i="60"/>
  <c r="L72" i="60"/>
  <c r="N71" i="60"/>
  <c r="L71" i="60"/>
  <c r="N70" i="60"/>
  <c r="L70" i="60"/>
  <c r="N69" i="60"/>
  <c r="L69" i="60"/>
  <c r="N68" i="60"/>
  <c r="L68" i="60"/>
  <c r="N67" i="60"/>
  <c r="L67" i="60"/>
  <c r="N66" i="60"/>
  <c r="L66" i="60"/>
  <c r="N65" i="60"/>
  <c r="L65" i="60"/>
  <c r="N64" i="60"/>
  <c r="L64" i="60"/>
  <c r="N63" i="60"/>
  <c r="L63" i="60"/>
  <c r="N62" i="60"/>
  <c r="L62" i="60"/>
  <c r="N61" i="60"/>
  <c r="L61" i="60"/>
  <c r="N60" i="60"/>
  <c r="L60" i="60"/>
  <c r="N59" i="60"/>
  <c r="L59" i="60"/>
  <c r="N58" i="60"/>
  <c r="L58" i="60"/>
  <c r="N57" i="60"/>
  <c r="L57" i="60"/>
  <c r="N56" i="60"/>
  <c r="L56" i="60"/>
  <c r="N55" i="60"/>
  <c r="L55" i="60"/>
  <c r="N54" i="60"/>
  <c r="L54" i="60"/>
  <c r="N53" i="60"/>
  <c r="L53" i="60"/>
  <c r="N52" i="60"/>
  <c r="L52" i="60"/>
  <c r="N51" i="60"/>
  <c r="L51" i="60"/>
  <c r="N50" i="60"/>
  <c r="L50" i="60"/>
  <c r="N49" i="60"/>
  <c r="L49" i="60"/>
  <c r="N48" i="60"/>
  <c r="L48" i="60"/>
  <c r="N47" i="60"/>
  <c r="L47" i="60"/>
  <c r="N46" i="60"/>
  <c r="L46" i="60"/>
  <c r="N45" i="60"/>
  <c r="L45" i="60"/>
  <c r="N44" i="60"/>
  <c r="L44" i="60"/>
  <c r="N43" i="60"/>
  <c r="L43" i="60"/>
  <c r="N42" i="60"/>
  <c r="L42" i="60"/>
  <c r="N41" i="60"/>
  <c r="L41" i="60"/>
  <c r="N40" i="60"/>
  <c r="L40" i="60"/>
  <c r="N39" i="60"/>
  <c r="L39" i="60"/>
  <c r="N38" i="60"/>
  <c r="L38" i="60"/>
  <c r="N37" i="60"/>
  <c r="L37" i="60"/>
  <c r="N36" i="60"/>
  <c r="L36" i="60"/>
  <c r="N35" i="60"/>
  <c r="L35" i="60"/>
  <c r="N34" i="60"/>
  <c r="L34" i="60"/>
  <c r="N33" i="60"/>
  <c r="L33" i="60"/>
  <c r="N32" i="60"/>
  <c r="L32" i="60"/>
  <c r="N31" i="60"/>
  <c r="L31" i="60"/>
  <c r="N30" i="60"/>
  <c r="L30" i="60"/>
  <c r="N29" i="60"/>
  <c r="L29" i="60"/>
  <c r="N28" i="60"/>
  <c r="L28" i="60"/>
  <c r="N27" i="60"/>
  <c r="L27" i="60"/>
  <c r="N26" i="60"/>
  <c r="N25" i="60"/>
  <c r="N24" i="60"/>
  <c r="N23" i="60"/>
  <c r="C17" i="60"/>
  <c r="C18" i="60" s="1"/>
  <c r="C19" i="60" s="1"/>
  <c r="C20" i="60" s="1"/>
  <c r="C21" i="60" s="1"/>
  <c r="C22" i="60" s="1"/>
  <c r="C23" i="60" s="1"/>
  <c r="C24" i="60" s="1"/>
  <c r="C25" i="60" s="1"/>
  <c r="C26" i="60" s="1"/>
  <c r="C27" i="60" s="1"/>
  <c r="C28" i="60" s="1"/>
  <c r="C29" i="60" s="1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67" i="60" s="1"/>
  <c r="C68" i="60" s="1"/>
  <c r="C69" i="60" s="1"/>
  <c r="C70" i="60" s="1"/>
  <c r="C71" i="60" s="1"/>
  <c r="C72" i="60" s="1"/>
  <c r="K11" i="60"/>
  <c r="I11" i="60"/>
  <c r="D8" i="60"/>
  <c r="D90" i="60" s="1"/>
  <c r="P154" i="59"/>
  <c r="O154" i="59"/>
  <c r="M154" i="59"/>
  <c r="P153" i="59"/>
  <c r="O153" i="59"/>
  <c r="M153" i="59"/>
  <c r="P152" i="59"/>
  <c r="O152" i="59"/>
  <c r="M152" i="59"/>
  <c r="P151" i="59"/>
  <c r="O151" i="59"/>
  <c r="M151" i="59"/>
  <c r="P150" i="59"/>
  <c r="O150" i="59"/>
  <c r="M150" i="59"/>
  <c r="P149" i="59"/>
  <c r="O149" i="59"/>
  <c r="M149" i="59"/>
  <c r="P148" i="59"/>
  <c r="O148" i="59"/>
  <c r="M148" i="59"/>
  <c r="P147" i="59"/>
  <c r="O147" i="59"/>
  <c r="M147" i="59"/>
  <c r="P146" i="59"/>
  <c r="O146" i="59"/>
  <c r="M146" i="59"/>
  <c r="P145" i="59"/>
  <c r="O145" i="59"/>
  <c r="M145" i="59"/>
  <c r="P144" i="59"/>
  <c r="O144" i="59"/>
  <c r="M144" i="59"/>
  <c r="P143" i="59"/>
  <c r="O143" i="59"/>
  <c r="M143" i="59"/>
  <c r="P142" i="59"/>
  <c r="O142" i="59"/>
  <c r="M142" i="59"/>
  <c r="P141" i="59"/>
  <c r="O141" i="59"/>
  <c r="M141" i="59"/>
  <c r="P140" i="59"/>
  <c r="O140" i="59"/>
  <c r="M140" i="59"/>
  <c r="P139" i="59"/>
  <c r="O139" i="59"/>
  <c r="M139" i="59"/>
  <c r="P138" i="59"/>
  <c r="O138" i="59"/>
  <c r="M138" i="59"/>
  <c r="P137" i="59"/>
  <c r="O137" i="59"/>
  <c r="M137" i="59"/>
  <c r="P136" i="59"/>
  <c r="O136" i="59"/>
  <c r="M136" i="59"/>
  <c r="P135" i="59"/>
  <c r="O135" i="59"/>
  <c r="M135" i="59"/>
  <c r="P134" i="59"/>
  <c r="O134" i="59"/>
  <c r="M134" i="59"/>
  <c r="P133" i="59"/>
  <c r="O133" i="59"/>
  <c r="M133" i="59"/>
  <c r="P132" i="59"/>
  <c r="O132" i="59"/>
  <c r="M132" i="59"/>
  <c r="P131" i="59"/>
  <c r="O131" i="59"/>
  <c r="M131" i="59"/>
  <c r="O130" i="59"/>
  <c r="M130" i="59"/>
  <c r="O129" i="59"/>
  <c r="M129" i="59"/>
  <c r="O128" i="59"/>
  <c r="M128" i="59"/>
  <c r="O127" i="59"/>
  <c r="M127" i="59"/>
  <c r="O126" i="59"/>
  <c r="M126" i="59"/>
  <c r="O125" i="59"/>
  <c r="M125" i="59"/>
  <c r="O124" i="59"/>
  <c r="M124" i="59"/>
  <c r="O123" i="59"/>
  <c r="M123" i="59"/>
  <c r="O122" i="59"/>
  <c r="M122" i="59"/>
  <c r="O121" i="59"/>
  <c r="M121" i="59"/>
  <c r="O120" i="59"/>
  <c r="M120" i="59"/>
  <c r="O119" i="59"/>
  <c r="M119" i="59"/>
  <c r="O118" i="59"/>
  <c r="M118" i="59"/>
  <c r="O117" i="59"/>
  <c r="M117" i="59"/>
  <c r="O116" i="59"/>
  <c r="M116" i="59"/>
  <c r="O115" i="59"/>
  <c r="M115" i="59"/>
  <c r="O114" i="59"/>
  <c r="M114" i="59"/>
  <c r="O113" i="59"/>
  <c r="M113" i="59"/>
  <c r="O112" i="59"/>
  <c r="M112" i="59"/>
  <c r="O111" i="59"/>
  <c r="M111" i="59"/>
  <c r="O110" i="59"/>
  <c r="M110" i="59"/>
  <c r="O109" i="59"/>
  <c r="M109" i="59"/>
  <c r="O108" i="59"/>
  <c r="M108" i="59"/>
  <c r="O107" i="59"/>
  <c r="M107" i="59"/>
  <c r="O106" i="59"/>
  <c r="O105" i="59"/>
  <c r="O104" i="59"/>
  <c r="D96" i="59"/>
  <c r="L93" i="59"/>
  <c r="J93" i="59"/>
  <c r="D91" i="59"/>
  <c r="D89" i="59"/>
  <c r="N72" i="59"/>
  <c r="L72" i="59"/>
  <c r="N71" i="59"/>
  <c r="L71" i="59"/>
  <c r="N70" i="59"/>
  <c r="L70" i="59"/>
  <c r="N69" i="59"/>
  <c r="L69" i="59"/>
  <c r="N68" i="59"/>
  <c r="L68" i="59"/>
  <c r="N67" i="59"/>
  <c r="L67" i="59"/>
  <c r="N66" i="59"/>
  <c r="L66" i="59"/>
  <c r="N65" i="59"/>
  <c r="L65" i="59"/>
  <c r="N64" i="59"/>
  <c r="L64" i="59"/>
  <c r="N63" i="59"/>
  <c r="L63" i="59"/>
  <c r="N62" i="59"/>
  <c r="L62" i="59"/>
  <c r="N61" i="59"/>
  <c r="L61" i="59"/>
  <c r="N60" i="59"/>
  <c r="L60" i="59"/>
  <c r="N59" i="59"/>
  <c r="L59" i="59"/>
  <c r="N58" i="59"/>
  <c r="L58" i="59"/>
  <c r="N57" i="59"/>
  <c r="L57" i="59"/>
  <c r="N56" i="59"/>
  <c r="L56" i="59"/>
  <c r="N55" i="59"/>
  <c r="L55" i="59"/>
  <c r="N54" i="59"/>
  <c r="L54" i="59"/>
  <c r="N53" i="59"/>
  <c r="L53" i="59"/>
  <c r="N52" i="59"/>
  <c r="L52" i="59"/>
  <c r="N51" i="59"/>
  <c r="L51" i="59"/>
  <c r="N50" i="59"/>
  <c r="L50" i="59"/>
  <c r="N49" i="59"/>
  <c r="L49" i="59"/>
  <c r="N48" i="59"/>
  <c r="L48" i="59"/>
  <c r="N47" i="59"/>
  <c r="L47" i="59"/>
  <c r="N46" i="59"/>
  <c r="L46" i="59"/>
  <c r="N45" i="59"/>
  <c r="L45" i="59"/>
  <c r="N44" i="59"/>
  <c r="L44" i="59"/>
  <c r="N43" i="59"/>
  <c r="L43" i="59"/>
  <c r="N42" i="59"/>
  <c r="L42" i="59"/>
  <c r="N41" i="59"/>
  <c r="L41" i="59"/>
  <c r="N40" i="59"/>
  <c r="L40" i="59"/>
  <c r="N39" i="59"/>
  <c r="L39" i="59"/>
  <c r="N38" i="59"/>
  <c r="L38" i="59"/>
  <c r="N37" i="59"/>
  <c r="L37" i="59"/>
  <c r="N36" i="59"/>
  <c r="L36" i="59"/>
  <c r="N35" i="59"/>
  <c r="L35" i="59"/>
  <c r="N34" i="59"/>
  <c r="L34" i="59"/>
  <c r="N33" i="59"/>
  <c r="L33" i="59"/>
  <c r="N32" i="59"/>
  <c r="L32" i="59"/>
  <c r="N31" i="59"/>
  <c r="L31" i="59"/>
  <c r="N30" i="59"/>
  <c r="L30" i="59"/>
  <c r="N29" i="59"/>
  <c r="L29" i="59"/>
  <c r="N28" i="59"/>
  <c r="L28" i="59"/>
  <c r="N27" i="59"/>
  <c r="L27" i="59"/>
  <c r="N26" i="59"/>
  <c r="N25" i="59"/>
  <c r="N24" i="59"/>
  <c r="O24" i="59" s="1"/>
  <c r="N23" i="59"/>
  <c r="C17" i="59"/>
  <c r="C18" i="59" s="1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C69" i="59" s="1"/>
  <c r="C70" i="59" s="1"/>
  <c r="C71" i="59" s="1"/>
  <c r="C72" i="59" s="1"/>
  <c r="K11" i="59"/>
  <c r="I11" i="59"/>
  <c r="D8" i="59"/>
  <c r="D90" i="59" s="1"/>
  <c r="M17" i="58"/>
  <c r="N17" i="58" s="1"/>
  <c r="K17" i="58"/>
  <c r="L17" i="58" s="1"/>
  <c r="M17" i="57"/>
  <c r="N17" i="57" s="1"/>
  <c r="O17" i="57" s="1"/>
  <c r="K17" i="57"/>
  <c r="L17" i="57" s="1"/>
  <c r="M17" i="56"/>
  <c r="K17" i="56"/>
  <c r="M17" i="55"/>
  <c r="K17" i="55"/>
  <c r="L17" i="55" s="1"/>
  <c r="M17" i="54"/>
  <c r="K17" i="54"/>
  <c r="L17" i="54" s="1"/>
  <c r="M17" i="53"/>
  <c r="K17" i="53"/>
  <c r="L17" i="53" s="1"/>
  <c r="M17" i="46"/>
  <c r="K17" i="46"/>
  <c r="L17" i="46" s="1"/>
  <c r="N99" i="45"/>
  <c r="L99" i="45"/>
  <c r="M18" i="45"/>
  <c r="N18" i="45" s="1"/>
  <c r="K18" i="45"/>
  <c r="L18" i="45" s="1"/>
  <c r="N100" i="44"/>
  <c r="O100" i="44" s="1"/>
  <c r="L100" i="44"/>
  <c r="M100" i="44" s="1"/>
  <c r="M19" i="44"/>
  <c r="K19" i="44"/>
  <c r="N100" i="43"/>
  <c r="L100" i="43"/>
  <c r="M100" i="43" s="1"/>
  <c r="M19" i="43"/>
  <c r="K19" i="43"/>
  <c r="N100" i="42"/>
  <c r="L100" i="42"/>
  <c r="M19" i="42"/>
  <c r="K19" i="42"/>
  <c r="L19" i="42" s="1"/>
  <c r="N100" i="41"/>
  <c r="O100" i="41" s="1"/>
  <c r="L100" i="41"/>
  <c r="M100" i="41" s="1"/>
  <c r="M19" i="41"/>
  <c r="K19" i="41"/>
  <c r="L19" i="41" s="1"/>
  <c r="N100" i="39"/>
  <c r="O100" i="39" s="1"/>
  <c r="P100" i="39" s="1"/>
  <c r="L100" i="39"/>
  <c r="M100" i="39" s="1"/>
  <c r="M19" i="39"/>
  <c r="K19" i="39"/>
  <c r="N102" i="34"/>
  <c r="O102" i="34" s="1"/>
  <c r="L102" i="34"/>
  <c r="M102" i="34" s="1"/>
  <c r="M21" i="34"/>
  <c r="K21" i="34"/>
  <c r="L21" i="34" s="1"/>
  <c r="N102" i="32"/>
  <c r="L102" i="32"/>
  <c r="M102" i="32" s="1"/>
  <c r="M21" i="32"/>
  <c r="K21" i="32"/>
  <c r="L21" i="32" s="1"/>
  <c r="N102" i="31"/>
  <c r="L102" i="31"/>
  <c r="M102" i="31" s="1"/>
  <c r="M21" i="31"/>
  <c r="K21" i="31"/>
  <c r="N103" i="30"/>
  <c r="O103" i="30" s="1"/>
  <c r="L103" i="30"/>
  <c r="M103" i="30" s="1"/>
  <c r="M22" i="30"/>
  <c r="K22" i="30"/>
  <c r="L22" i="30" s="1"/>
  <c r="N103" i="29"/>
  <c r="O103" i="29" s="1"/>
  <c r="L103" i="29"/>
  <c r="M22" i="29"/>
  <c r="K22" i="29"/>
  <c r="L22" i="29" s="1"/>
  <c r="N104" i="28"/>
  <c r="O104" i="28" s="1"/>
  <c r="L104" i="28"/>
  <c r="M23" i="28"/>
  <c r="K23" i="28"/>
  <c r="L23" i="28" s="1"/>
  <c r="N103" i="27"/>
  <c r="O103" i="27" s="1"/>
  <c r="L103" i="27"/>
  <c r="M22" i="27"/>
  <c r="K22" i="27"/>
  <c r="N102" i="24"/>
  <c r="O102" i="24" s="1"/>
  <c r="L102" i="24"/>
  <c r="M21" i="24"/>
  <c r="K21" i="24"/>
  <c r="N102" i="23"/>
  <c r="L102" i="23"/>
  <c r="M21" i="23"/>
  <c r="K21" i="23"/>
  <c r="N101" i="22"/>
  <c r="O101" i="22" s="1"/>
  <c r="L101" i="22"/>
  <c r="M20" i="22"/>
  <c r="N20" i="22" s="1"/>
  <c r="K20" i="22"/>
  <c r="L20" i="22" s="1"/>
  <c r="N101" i="20"/>
  <c r="O101" i="20" s="1"/>
  <c r="P101" i="20" s="1"/>
  <c r="L101" i="20"/>
  <c r="M20" i="20"/>
  <c r="K20" i="20"/>
  <c r="L20" i="20" s="1"/>
  <c r="N101" i="19"/>
  <c r="O101" i="19" s="1"/>
  <c r="P101" i="19" s="1"/>
  <c r="L101" i="19"/>
  <c r="M20" i="19"/>
  <c r="K20" i="19"/>
  <c r="L20" i="19" s="1"/>
  <c r="N101" i="18"/>
  <c r="L101" i="18"/>
  <c r="M20" i="18"/>
  <c r="N20" i="18" s="1"/>
  <c r="K20" i="18"/>
  <c r="N101" i="17"/>
  <c r="L101" i="17"/>
  <c r="M20" i="17"/>
  <c r="K20" i="17"/>
  <c r="N101" i="3"/>
  <c r="L101" i="3"/>
  <c r="M20" i="3"/>
  <c r="K20" i="3"/>
  <c r="J96" i="35"/>
  <c r="E101" i="35" s="1"/>
  <c r="F101" i="35" s="1"/>
  <c r="E102" i="35" s="1"/>
  <c r="F102" i="35" s="1"/>
  <c r="L19" i="1"/>
  <c r="I10" i="18" s="1"/>
  <c r="F81" i="2"/>
  <c r="F87" i="2"/>
  <c r="F86" i="2"/>
  <c r="F90" i="2"/>
  <c r="C17" i="3"/>
  <c r="C18" i="3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K19" i="3"/>
  <c r="L19" i="3" s="1"/>
  <c r="P18" i="36"/>
  <c r="F87" i="1"/>
  <c r="F86" i="1"/>
  <c r="F90" i="1"/>
  <c r="C17" i="17"/>
  <c r="C18" i="17"/>
  <c r="C19" i="17" s="1"/>
  <c r="C20" i="17" s="1"/>
  <c r="C21" i="17" s="1"/>
  <c r="K19" i="17"/>
  <c r="P19" i="36"/>
  <c r="C17" i="18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K19" i="18"/>
  <c r="L19" i="18" s="1"/>
  <c r="P20" i="36"/>
  <c r="C17" i="19"/>
  <c r="C18" i="19" s="1"/>
  <c r="C19" i="19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K19" i="19"/>
  <c r="L19" i="19" s="1"/>
  <c r="P21" i="36"/>
  <c r="C17" i="20"/>
  <c r="C18" i="20" s="1"/>
  <c r="C19" i="20" s="1"/>
  <c r="C20" i="20" s="1"/>
  <c r="C21" i="20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K19" i="20"/>
  <c r="P22" i="36"/>
  <c r="C17" i="2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K19" i="21"/>
  <c r="P23" i="36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K19" i="22"/>
  <c r="P24" i="36"/>
  <c r="C17" i="23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K20" i="23"/>
  <c r="L20" i="23" s="1"/>
  <c r="P25" i="36"/>
  <c r="C17" i="24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K20" i="24"/>
  <c r="L20" i="24" s="1"/>
  <c r="P26" i="36"/>
  <c r="C17" i="25"/>
  <c r="C18" i="25" s="1"/>
  <c r="C19" i="25" s="1"/>
  <c r="C20" i="25" s="1"/>
  <c r="C21" i="25" s="1"/>
  <c r="C22" i="25" s="1"/>
  <c r="C23" i="25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P27" i="36"/>
  <c r="C17" i="26"/>
  <c r="C18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P28" i="36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K21" i="27"/>
  <c r="P29" i="36"/>
  <c r="C17" i="28"/>
  <c r="C18" i="28" s="1"/>
  <c r="C19" i="28" s="1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K22" i="28"/>
  <c r="P30" i="36"/>
  <c r="C17" i="29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K21" i="29"/>
  <c r="P31" i="36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K21" i="30"/>
  <c r="P32" i="36"/>
  <c r="C17" i="3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K20" i="31"/>
  <c r="L20" i="31" s="1"/>
  <c r="P33" i="36"/>
  <c r="C17" i="32"/>
  <c r="C18" i="32" s="1"/>
  <c r="C19" i="32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5" i="32" s="1"/>
  <c r="C36" i="32" s="1"/>
  <c r="C37" i="32" s="1"/>
  <c r="C38" i="32" s="1"/>
  <c r="C39" i="32" s="1"/>
  <c r="C40" i="32" s="1"/>
  <c r="C41" i="32" s="1"/>
  <c r="C42" i="32" s="1"/>
  <c r="C43" i="32" s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C54" i="32" s="1"/>
  <c r="C55" i="32" s="1"/>
  <c r="C56" i="32" s="1"/>
  <c r="C57" i="32" s="1"/>
  <c r="C58" i="32" s="1"/>
  <c r="C59" i="32" s="1"/>
  <c r="C60" i="32" s="1"/>
  <c r="C61" i="32" s="1"/>
  <c r="C62" i="32" s="1"/>
  <c r="C63" i="32" s="1"/>
  <c r="C64" i="32" s="1"/>
  <c r="C65" i="32" s="1"/>
  <c r="C66" i="32" s="1"/>
  <c r="C67" i="32" s="1"/>
  <c r="C68" i="32" s="1"/>
  <c r="C69" i="32" s="1"/>
  <c r="C70" i="32" s="1"/>
  <c r="C71" i="32" s="1"/>
  <c r="C72" i="32" s="1"/>
  <c r="K20" i="32"/>
  <c r="L20" i="32" s="1"/>
  <c r="P34" i="36"/>
  <c r="C17" i="33"/>
  <c r="C18" i="33" s="1"/>
  <c r="C19" i="33" s="1"/>
  <c r="C20" i="33" s="1"/>
  <c r="C21" i="33"/>
  <c r="C22" i="33" s="1"/>
  <c r="C23" i="33" s="1"/>
  <c r="C24" i="33" s="1"/>
  <c r="C25" i="33" s="1"/>
  <c r="C26" i="33" s="1"/>
  <c r="C27" i="33" s="1"/>
  <c r="C28" i="33" s="1"/>
  <c r="C29" i="33" s="1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C44" i="33" s="1"/>
  <c r="C45" i="33" s="1"/>
  <c r="C46" i="33" s="1"/>
  <c r="C47" i="33" s="1"/>
  <c r="C48" i="33" s="1"/>
  <c r="C49" i="33" s="1"/>
  <c r="C50" i="33" s="1"/>
  <c r="C51" i="33" s="1"/>
  <c r="C52" i="33" s="1"/>
  <c r="C53" i="33" s="1"/>
  <c r="C54" i="33" s="1"/>
  <c r="C55" i="33" s="1"/>
  <c r="C56" i="33" s="1"/>
  <c r="C57" i="33" s="1"/>
  <c r="C58" i="33" s="1"/>
  <c r="C59" i="33" s="1"/>
  <c r="C60" i="33" s="1"/>
  <c r="C61" i="33" s="1"/>
  <c r="C62" i="33" s="1"/>
  <c r="C63" i="33" s="1"/>
  <c r="C64" i="33" s="1"/>
  <c r="C65" i="33" s="1"/>
  <c r="C66" i="33" s="1"/>
  <c r="C67" i="33" s="1"/>
  <c r="C68" i="33" s="1"/>
  <c r="C69" i="33" s="1"/>
  <c r="C70" i="33" s="1"/>
  <c r="C71" i="33" s="1"/>
  <c r="C72" i="33" s="1"/>
  <c r="P35" i="36"/>
  <c r="C17" i="34"/>
  <c r="C18" i="34"/>
  <c r="C19" i="34" s="1"/>
  <c r="C20" i="34" s="1"/>
  <c r="C21" i="34" s="1"/>
  <c r="C22" i="34" s="1"/>
  <c r="C23" i="34" s="1"/>
  <c r="C24" i="34" s="1"/>
  <c r="C25" i="34" s="1"/>
  <c r="C26" i="34" s="1"/>
  <c r="C27" i="34" s="1"/>
  <c r="C28" i="34" s="1"/>
  <c r="C29" i="34" s="1"/>
  <c r="C30" i="34" s="1"/>
  <c r="C31" i="34" s="1"/>
  <c r="C32" i="34" s="1"/>
  <c r="C33" i="34" s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s="1"/>
  <c r="C47" i="34" s="1"/>
  <c r="C48" i="34" s="1"/>
  <c r="C49" i="34" s="1"/>
  <c r="C50" i="34" s="1"/>
  <c r="C51" i="34" s="1"/>
  <c r="C52" i="34" s="1"/>
  <c r="C53" i="34" s="1"/>
  <c r="C54" i="34" s="1"/>
  <c r="C55" i="34" s="1"/>
  <c r="C56" i="34" s="1"/>
  <c r="C57" i="34" s="1"/>
  <c r="C58" i="34" s="1"/>
  <c r="C59" i="34" s="1"/>
  <c r="C60" i="34" s="1"/>
  <c r="C61" i="34" s="1"/>
  <c r="C62" i="34" s="1"/>
  <c r="C63" i="34" s="1"/>
  <c r="C64" i="34" s="1"/>
  <c r="C65" i="34" s="1"/>
  <c r="C66" i="34" s="1"/>
  <c r="C67" i="34" s="1"/>
  <c r="C68" i="34" s="1"/>
  <c r="C69" i="34" s="1"/>
  <c r="C70" i="34" s="1"/>
  <c r="C71" i="34" s="1"/>
  <c r="C72" i="34" s="1"/>
  <c r="K20" i="34"/>
  <c r="L20" i="34" s="1"/>
  <c r="P36" i="36"/>
  <c r="P37" i="36"/>
  <c r="C17" i="39"/>
  <c r="C18" i="39" s="1"/>
  <c r="C19" i="39" s="1"/>
  <c r="C20" i="39" s="1"/>
  <c r="C21" i="39" s="1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8" i="39"/>
  <c r="L18" i="39" s="1"/>
  <c r="P38" i="36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C45" i="41" s="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K18" i="41"/>
  <c r="P39" i="36"/>
  <c r="C17" i="42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C45" i="42" s="1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K18" i="42"/>
  <c r="P40" i="36"/>
  <c r="C17" i="43"/>
  <c r="C18" i="43" s="1"/>
  <c r="C19" i="43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8" i="43"/>
  <c r="L18" i="43" s="1"/>
  <c r="P41" i="36"/>
  <c r="C17" i="44"/>
  <c r="C18" i="44" s="1"/>
  <c r="C19" i="44" s="1"/>
  <c r="C20" i="44" s="1"/>
  <c r="C21" i="44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K18" i="44"/>
  <c r="P42" i="36"/>
  <c r="C17" i="45"/>
  <c r="C18" i="45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K17" i="45"/>
  <c r="P43" i="36"/>
  <c r="P44" i="36"/>
  <c r="P45" i="36"/>
  <c r="P46" i="36"/>
  <c r="P47" i="36"/>
  <c r="P48" i="36"/>
  <c r="P49" i="36"/>
  <c r="P50" i="36"/>
  <c r="W44" i="36"/>
  <c r="W45" i="36"/>
  <c r="W46" i="36"/>
  <c r="W47" i="36"/>
  <c r="W48" i="36"/>
  <c r="W49" i="36"/>
  <c r="W50" i="36"/>
  <c r="F81" i="1"/>
  <c r="I12" i="91" s="1"/>
  <c r="I13" i="91" s="1"/>
  <c r="C17" i="58"/>
  <c r="C18" i="58" s="1"/>
  <c r="C19" i="58" s="1"/>
  <c r="C20" i="58" s="1"/>
  <c r="C21" i="58" s="1"/>
  <c r="C22" i="58" s="1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C45" i="58" s="1"/>
  <c r="C46" i="58" s="1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C69" i="58" s="1"/>
  <c r="C70" i="58" s="1"/>
  <c r="C71" i="58" s="1"/>
  <c r="C72" i="58" s="1"/>
  <c r="C17" i="57"/>
  <c r="C18" i="57" s="1"/>
  <c r="C19" i="57" s="1"/>
  <c r="C20" i="57" s="1"/>
  <c r="C21" i="57" s="1"/>
  <c r="C22" i="57" s="1"/>
  <c r="C23" i="57" s="1"/>
  <c r="C24" i="57" s="1"/>
  <c r="C25" i="57" s="1"/>
  <c r="C26" i="57" s="1"/>
  <c r="C27" i="57" s="1"/>
  <c r="C28" i="57" s="1"/>
  <c r="C29" i="57" s="1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17" i="56"/>
  <c r="C18" i="56"/>
  <c r="C19" i="56" s="1"/>
  <c r="C20" i="56" s="1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C45" i="56" s="1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C17" i="55"/>
  <c r="C18" i="55"/>
  <c r="C19" i="55" s="1"/>
  <c r="C20" i="55" s="1"/>
  <c r="C21" i="55" s="1"/>
  <c r="C22" i="55" s="1"/>
  <c r="C23" i="55" s="1"/>
  <c r="C24" i="55" s="1"/>
  <c r="C25" i="55" s="1"/>
  <c r="C26" i="55" s="1"/>
  <c r="C27" i="55" s="1"/>
  <c r="C28" i="55" s="1"/>
  <c r="C29" i="55" s="1"/>
  <c r="C30" i="55" s="1"/>
  <c r="C31" i="55" s="1"/>
  <c r="C32" i="55" s="1"/>
  <c r="C33" i="55" s="1"/>
  <c r="C34" i="55" s="1"/>
  <c r="C35" i="55" s="1"/>
  <c r="C36" i="55" s="1"/>
  <c r="C37" i="55" s="1"/>
  <c r="C38" i="55" s="1"/>
  <c r="C39" i="55" s="1"/>
  <c r="C40" i="55" s="1"/>
  <c r="C41" i="55" s="1"/>
  <c r="C42" i="55" s="1"/>
  <c r="C43" i="55" s="1"/>
  <c r="C44" i="55" s="1"/>
  <c r="C17" i="54"/>
  <c r="C18" i="54" s="1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C31" i="54" s="1"/>
  <c r="C32" i="54" s="1"/>
  <c r="C33" i="54" s="1"/>
  <c r="C34" i="54" s="1"/>
  <c r="C35" i="54" s="1"/>
  <c r="C36" i="54" s="1"/>
  <c r="C37" i="54" s="1"/>
  <c r="C38" i="54" s="1"/>
  <c r="C39" i="54" s="1"/>
  <c r="C40" i="54" s="1"/>
  <c r="C41" i="54" s="1"/>
  <c r="C42" i="54" s="1"/>
  <c r="C43" i="54" s="1"/>
  <c r="C44" i="54" s="1"/>
  <c r="C17" i="53"/>
  <c r="C18" i="53" s="1"/>
  <c r="C19" i="53" s="1"/>
  <c r="C20" i="53" s="1"/>
  <c r="C21" i="53" s="1"/>
  <c r="C22" i="53" s="1"/>
  <c r="C23" i="53" s="1"/>
  <c r="C24" i="53" s="1"/>
  <c r="C25" i="53" s="1"/>
  <c r="C26" i="53" s="1"/>
  <c r="C27" i="53" s="1"/>
  <c r="C28" i="53" s="1"/>
  <c r="C29" i="53" s="1"/>
  <c r="C30" i="53" s="1"/>
  <c r="C31" i="53" s="1"/>
  <c r="C32" i="53" s="1"/>
  <c r="C33" i="53" s="1"/>
  <c r="C34" i="53" s="1"/>
  <c r="C35" i="53" s="1"/>
  <c r="C36" i="53" s="1"/>
  <c r="C37" i="53" s="1"/>
  <c r="C38" i="53" s="1"/>
  <c r="C39" i="53" s="1"/>
  <c r="C40" i="53" s="1"/>
  <c r="C41" i="53" s="1"/>
  <c r="C42" i="53" s="1"/>
  <c r="C43" i="53" s="1"/>
  <c r="C44" i="53" s="1"/>
  <c r="C45" i="53" s="1"/>
  <c r="C17" i="46"/>
  <c r="C18" i="46" s="1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C45" i="46" s="1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O3" i="58"/>
  <c r="D8" i="58"/>
  <c r="D90" i="58" s="1"/>
  <c r="K11" i="58"/>
  <c r="N24" i="58"/>
  <c r="N25" i="58"/>
  <c r="N26" i="58"/>
  <c r="N27" i="58"/>
  <c r="L28" i="58"/>
  <c r="N28" i="58"/>
  <c r="L29" i="58"/>
  <c r="N29" i="58"/>
  <c r="L30" i="58"/>
  <c r="N30" i="58"/>
  <c r="L31" i="58"/>
  <c r="N31" i="58"/>
  <c r="L32" i="58"/>
  <c r="N32" i="58"/>
  <c r="L33" i="58"/>
  <c r="N33" i="58"/>
  <c r="L34" i="58"/>
  <c r="N34" i="58"/>
  <c r="L35" i="58"/>
  <c r="N35" i="58"/>
  <c r="L36" i="58"/>
  <c r="N36" i="58"/>
  <c r="L37" i="58"/>
  <c r="N37" i="58"/>
  <c r="L38" i="58"/>
  <c r="N38" i="58"/>
  <c r="L39" i="58"/>
  <c r="N39" i="58"/>
  <c r="L40" i="58"/>
  <c r="N40" i="58"/>
  <c r="L41" i="58"/>
  <c r="N41" i="58"/>
  <c r="L42" i="58"/>
  <c r="N42" i="58"/>
  <c r="L43" i="58"/>
  <c r="N43" i="58"/>
  <c r="L44" i="58"/>
  <c r="N44" i="58"/>
  <c r="L45" i="58"/>
  <c r="N45" i="58"/>
  <c r="L46" i="58"/>
  <c r="N46" i="58"/>
  <c r="L47" i="58"/>
  <c r="N47" i="58"/>
  <c r="L48" i="58"/>
  <c r="N48" i="58"/>
  <c r="L49" i="58"/>
  <c r="N49" i="58"/>
  <c r="L50" i="58"/>
  <c r="N50" i="58"/>
  <c r="L51" i="58"/>
  <c r="N51" i="58"/>
  <c r="L52" i="58"/>
  <c r="N52" i="58"/>
  <c r="L53" i="58"/>
  <c r="N53" i="58"/>
  <c r="L54" i="58"/>
  <c r="N54" i="58"/>
  <c r="L55" i="58"/>
  <c r="N55" i="58"/>
  <c r="L56" i="58"/>
  <c r="N56" i="58"/>
  <c r="L57" i="58"/>
  <c r="N57" i="58"/>
  <c r="L58" i="58"/>
  <c r="N58" i="58"/>
  <c r="L59" i="58"/>
  <c r="N59" i="58"/>
  <c r="L60" i="58"/>
  <c r="N60" i="58"/>
  <c r="L61" i="58"/>
  <c r="N61" i="58"/>
  <c r="L62" i="58"/>
  <c r="N62" i="58"/>
  <c r="L63" i="58"/>
  <c r="N63" i="58"/>
  <c r="L64" i="58"/>
  <c r="N64" i="58"/>
  <c r="L65" i="58"/>
  <c r="N65" i="58"/>
  <c r="L66" i="58"/>
  <c r="N66" i="58"/>
  <c r="L67" i="58"/>
  <c r="N67" i="58"/>
  <c r="L68" i="58"/>
  <c r="N68" i="58"/>
  <c r="L69" i="58"/>
  <c r="N69" i="58"/>
  <c r="L70" i="58"/>
  <c r="N70" i="58"/>
  <c r="L71" i="58"/>
  <c r="N71" i="58"/>
  <c r="L72" i="58"/>
  <c r="N72" i="58"/>
  <c r="D89" i="58"/>
  <c r="D91" i="58"/>
  <c r="J93" i="58"/>
  <c r="L93" i="58"/>
  <c r="D96" i="58"/>
  <c r="O105" i="58"/>
  <c r="O106" i="58"/>
  <c r="O107" i="58"/>
  <c r="M108" i="58"/>
  <c r="O108" i="58"/>
  <c r="M109" i="58"/>
  <c r="O109" i="58"/>
  <c r="M110" i="58"/>
  <c r="O110" i="58"/>
  <c r="M111" i="58"/>
  <c r="O111" i="58"/>
  <c r="M112" i="58"/>
  <c r="O112" i="58"/>
  <c r="M113" i="58"/>
  <c r="O113" i="58"/>
  <c r="M114" i="58"/>
  <c r="O114" i="58"/>
  <c r="M115" i="58"/>
  <c r="O115" i="58"/>
  <c r="M116" i="58"/>
  <c r="O116" i="58"/>
  <c r="M117" i="58"/>
  <c r="O117" i="58"/>
  <c r="M118" i="58"/>
  <c r="O118" i="58"/>
  <c r="M119" i="58"/>
  <c r="O119" i="58"/>
  <c r="M120" i="58"/>
  <c r="O120" i="58"/>
  <c r="M121" i="58"/>
  <c r="O121" i="58"/>
  <c r="M122" i="58"/>
  <c r="O122" i="58"/>
  <c r="M123" i="58"/>
  <c r="O123" i="58"/>
  <c r="M124" i="58"/>
  <c r="O124" i="58"/>
  <c r="M125" i="58"/>
  <c r="O125" i="58"/>
  <c r="M126" i="58"/>
  <c r="O126" i="58"/>
  <c r="M127" i="58"/>
  <c r="O127" i="58"/>
  <c r="M128" i="58"/>
  <c r="O128" i="58"/>
  <c r="M129" i="58"/>
  <c r="O129" i="58"/>
  <c r="M130" i="58"/>
  <c r="O130" i="58"/>
  <c r="M131" i="58"/>
  <c r="O131" i="58"/>
  <c r="M132" i="58"/>
  <c r="O132" i="58"/>
  <c r="M133" i="58"/>
  <c r="O133" i="58"/>
  <c r="M134" i="58"/>
  <c r="O134" i="58"/>
  <c r="M135" i="58"/>
  <c r="O135" i="58"/>
  <c r="M136" i="58"/>
  <c r="O136" i="58"/>
  <c r="M137" i="58"/>
  <c r="O137" i="58"/>
  <c r="M138" i="58"/>
  <c r="O138" i="58"/>
  <c r="M139" i="58"/>
  <c r="O139" i="58"/>
  <c r="M140" i="58"/>
  <c r="O140" i="58"/>
  <c r="M141" i="58"/>
  <c r="O141" i="58"/>
  <c r="M142" i="58"/>
  <c r="O142" i="58"/>
  <c r="M143" i="58"/>
  <c r="O143" i="58"/>
  <c r="M144" i="58"/>
  <c r="O144" i="58"/>
  <c r="M145" i="58"/>
  <c r="O145" i="58"/>
  <c r="M146" i="58"/>
  <c r="O146" i="58"/>
  <c r="M147" i="58"/>
  <c r="O147" i="58"/>
  <c r="M148" i="58"/>
  <c r="O148" i="58"/>
  <c r="M149" i="58"/>
  <c r="O149" i="58"/>
  <c r="M150" i="58"/>
  <c r="O150" i="58"/>
  <c r="M151" i="58"/>
  <c r="O151" i="58"/>
  <c r="M152" i="58"/>
  <c r="O152" i="58"/>
  <c r="M153" i="58"/>
  <c r="O153" i="58"/>
  <c r="M154" i="58"/>
  <c r="O154" i="58"/>
  <c r="P1" i="57"/>
  <c r="P83" i="57" s="1"/>
  <c r="O3" i="57"/>
  <c r="D8" i="57"/>
  <c r="D90" i="57" s="1"/>
  <c r="K11" i="57"/>
  <c r="N24" i="57"/>
  <c r="N25" i="57"/>
  <c r="N26" i="57"/>
  <c r="N27" i="57"/>
  <c r="L28" i="57"/>
  <c r="N28" i="57"/>
  <c r="L29" i="57"/>
  <c r="N29" i="57"/>
  <c r="L30" i="57"/>
  <c r="N30" i="57"/>
  <c r="L31" i="57"/>
  <c r="N31" i="57"/>
  <c r="L32" i="57"/>
  <c r="N32" i="57"/>
  <c r="L33" i="57"/>
  <c r="N33" i="57"/>
  <c r="L34" i="57"/>
  <c r="N34" i="57"/>
  <c r="L35" i="57"/>
  <c r="N35" i="57"/>
  <c r="L36" i="57"/>
  <c r="N36" i="57"/>
  <c r="L37" i="57"/>
  <c r="N37" i="57"/>
  <c r="L38" i="57"/>
  <c r="N38" i="57"/>
  <c r="L39" i="57"/>
  <c r="N39" i="57"/>
  <c r="L40" i="57"/>
  <c r="N40" i="57"/>
  <c r="L41" i="57"/>
  <c r="N41" i="57"/>
  <c r="L42" i="57"/>
  <c r="N42" i="57"/>
  <c r="L43" i="57"/>
  <c r="N43" i="57"/>
  <c r="L44" i="57"/>
  <c r="N44" i="57"/>
  <c r="L45" i="57"/>
  <c r="N45" i="57"/>
  <c r="L46" i="57"/>
  <c r="N46" i="57"/>
  <c r="L47" i="57"/>
  <c r="N47" i="57"/>
  <c r="L48" i="57"/>
  <c r="N48" i="57"/>
  <c r="L49" i="57"/>
  <c r="N49" i="57"/>
  <c r="L50" i="57"/>
  <c r="N50" i="57"/>
  <c r="L51" i="57"/>
  <c r="N51" i="57"/>
  <c r="L52" i="57"/>
  <c r="N52" i="57"/>
  <c r="L53" i="57"/>
  <c r="N53" i="57"/>
  <c r="L54" i="57"/>
  <c r="N54" i="57"/>
  <c r="L55" i="57"/>
  <c r="N55" i="57"/>
  <c r="L56" i="57"/>
  <c r="N56" i="57"/>
  <c r="L57" i="57"/>
  <c r="N57" i="57"/>
  <c r="L58" i="57"/>
  <c r="N58" i="57"/>
  <c r="L59" i="57"/>
  <c r="N59" i="57"/>
  <c r="L60" i="57"/>
  <c r="N60" i="57"/>
  <c r="L61" i="57"/>
  <c r="N61" i="57"/>
  <c r="L62" i="57"/>
  <c r="N62" i="57"/>
  <c r="L63" i="57"/>
  <c r="N63" i="57"/>
  <c r="L64" i="57"/>
  <c r="N64" i="57"/>
  <c r="L65" i="57"/>
  <c r="N65" i="57"/>
  <c r="L66" i="57"/>
  <c r="N66" i="57"/>
  <c r="L67" i="57"/>
  <c r="N67" i="57"/>
  <c r="L68" i="57"/>
  <c r="N68" i="57"/>
  <c r="L69" i="57"/>
  <c r="N69" i="57"/>
  <c r="L70" i="57"/>
  <c r="N70" i="57"/>
  <c r="L71" i="57"/>
  <c r="N71" i="57"/>
  <c r="L72" i="57"/>
  <c r="N72" i="57"/>
  <c r="D89" i="57"/>
  <c r="D91" i="57"/>
  <c r="J93" i="57"/>
  <c r="L93" i="57"/>
  <c r="D96" i="57"/>
  <c r="M99" i="57"/>
  <c r="O99" i="57"/>
  <c r="O105" i="57"/>
  <c r="O106" i="57"/>
  <c r="O107" i="57"/>
  <c r="M108" i="57"/>
  <c r="O108" i="57"/>
  <c r="M109" i="57"/>
  <c r="O109" i="57"/>
  <c r="M110" i="57"/>
  <c r="O110" i="57"/>
  <c r="M111" i="57"/>
  <c r="O111" i="57"/>
  <c r="M112" i="57"/>
  <c r="O112" i="57"/>
  <c r="M113" i="57"/>
  <c r="O113" i="57"/>
  <c r="M114" i="57"/>
  <c r="O114" i="57"/>
  <c r="M115" i="57"/>
  <c r="O115" i="57"/>
  <c r="M116" i="57"/>
  <c r="O116" i="57"/>
  <c r="M117" i="57"/>
  <c r="O117" i="57"/>
  <c r="M118" i="57"/>
  <c r="O118" i="57"/>
  <c r="M119" i="57"/>
  <c r="O119" i="57"/>
  <c r="M120" i="57"/>
  <c r="O120" i="57"/>
  <c r="M121" i="57"/>
  <c r="O121" i="57"/>
  <c r="M122" i="57"/>
  <c r="O122" i="57"/>
  <c r="M123" i="57"/>
  <c r="O123" i="57"/>
  <c r="M124" i="57"/>
  <c r="O124" i="57"/>
  <c r="M125" i="57"/>
  <c r="O125" i="57"/>
  <c r="M126" i="57"/>
  <c r="O126" i="57"/>
  <c r="M127" i="57"/>
  <c r="O127" i="57"/>
  <c r="M128" i="57"/>
  <c r="O128" i="57"/>
  <c r="M129" i="57"/>
  <c r="O129" i="57"/>
  <c r="M130" i="57"/>
  <c r="O130" i="57"/>
  <c r="M131" i="57"/>
  <c r="O131" i="57"/>
  <c r="M132" i="57"/>
  <c r="O132" i="57"/>
  <c r="M133" i="57"/>
  <c r="O133" i="57"/>
  <c r="M134" i="57"/>
  <c r="O134" i="57"/>
  <c r="M135" i="57"/>
  <c r="O135" i="57"/>
  <c r="M136" i="57"/>
  <c r="O136" i="57"/>
  <c r="M137" i="57"/>
  <c r="O137" i="57"/>
  <c r="M138" i="57"/>
  <c r="O138" i="57"/>
  <c r="M139" i="57"/>
  <c r="O139" i="57"/>
  <c r="M140" i="57"/>
  <c r="O140" i="57"/>
  <c r="M141" i="57"/>
  <c r="O141" i="57"/>
  <c r="M142" i="57"/>
  <c r="O142" i="57"/>
  <c r="M143" i="57"/>
  <c r="O143" i="57"/>
  <c r="M144" i="57"/>
  <c r="O144" i="57"/>
  <c r="M145" i="57"/>
  <c r="O145" i="57"/>
  <c r="M146" i="57"/>
  <c r="O146" i="57"/>
  <c r="M147" i="57"/>
  <c r="O147" i="57"/>
  <c r="M148" i="57"/>
  <c r="O148" i="57"/>
  <c r="M149" i="57"/>
  <c r="O149" i="57"/>
  <c r="M150" i="57"/>
  <c r="O150" i="57"/>
  <c r="M151" i="57"/>
  <c r="O151" i="57"/>
  <c r="M152" i="57"/>
  <c r="O152" i="57"/>
  <c r="M153" i="57"/>
  <c r="O153" i="57"/>
  <c r="M154" i="57"/>
  <c r="O154" i="57"/>
  <c r="P1" i="56"/>
  <c r="P83" i="56" s="1"/>
  <c r="O3" i="56"/>
  <c r="D8" i="56"/>
  <c r="D90" i="56" s="1"/>
  <c r="K11" i="56"/>
  <c r="L17" i="56"/>
  <c r="N17" i="56"/>
  <c r="N24" i="56"/>
  <c r="N25" i="56"/>
  <c r="N26" i="56"/>
  <c r="N27" i="56"/>
  <c r="L28" i="56"/>
  <c r="N28" i="56"/>
  <c r="L29" i="56"/>
  <c r="N29" i="56"/>
  <c r="L30" i="56"/>
  <c r="N30" i="56"/>
  <c r="L31" i="56"/>
  <c r="N31" i="56"/>
  <c r="L32" i="56"/>
  <c r="N32" i="56"/>
  <c r="L33" i="56"/>
  <c r="N33" i="56"/>
  <c r="L34" i="56"/>
  <c r="N34" i="56"/>
  <c r="L35" i="56"/>
  <c r="N35" i="56"/>
  <c r="L36" i="56"/>
  <c r="N36" i="56"/>
  <c r="L37" i="56"/>
  <c r="N37" i="56"/>
  <c r="L38" i="56"/>
  <c r="N38" i="56"/>
  <c r="L39" i="56"/>
  <c r="N39" i="56"/>
  <c r="L40" i="56"/>
  <c r="N40" i="56"/>
  <c r="L41" i="56"/>
  <c r="N41" i="56"/>
  <c r="L42" i="56"/>
  <c r="N42" i="56"/>
  <c r="L43" i="56"/>
  <c r="N43" i="56"/>
  <c r="L44" i="56"/>
  <c r="N44" i="56"/>
  <c r="L45" i="56"/>
  <c r="N45" i="56"/>
  <c r="L46" i="56"/>
  <c r="N46" i="56"/>
  <c r="L47" i="56"/>
  <c r="N47" i="56"/>
  <c r="L48" i="56"/>
  <c r="N48" i="56"/>
  <c r="L49" i="56"/>
  <c r="N49" i="56"/>
  <c r="L50" i="56"/>
  <c r="N50" i="56"/>
  <c r="L51" i="56"/>
  <c r="N51" i="56"/>
  <c r="L52" i="56"/>
  <c r="N52" i="56"/>
  <c r="L53" i="56"/>
  <c r="N53" i="56"/>
  <c r="L54" i="56"/>
  <c r="N54" i="56"/>
  <c r="L55" i="56"/>
  <c r="N55" i="56"/>
  <c r="L56" i="56"/>
  <c r="N56" i="56"/>
  <c r="L57" i="56"/>
  <c r="N57" i="56"/>
  <c r="L58" i="56"/>
  <c r="N58" i="56"/>
  <c r="L59" i="56"/>
  <c r="N59" i="56"/>
  <c r="L60" i="56"/>
  <c r="N60" i="56"/>
  <c r="L61" i="56"/>
  <c r="N61" i="56"/>
  <c r="L62" i="56"/>
  <c r="N62" i="56"/>
  <c r="L63" i="56"/>
  <c r="N63" i="56"/>
  <c r="L64" i="56"/>
  <c r="N64" i="56"/>
  <c r="L65" i="56"/>
  <c r="N65" i="56"/>
  <c r="L66" i="56"/>
  <c r="N66" i="56"/>
  <c r="L67" i="56"/>
  <c r="N67" i="56"/>
  <c r="L68" i="56"/>
  <c r="N68" i="56"/>
  <c r="L69" i="56"/>
  <c r="N69" i="56"/>
  <c r="L70" i="56"/>
  <c r="N70" i="56"/>
  <c r="L71" i="56"/>
  <c r="N71" i="56"/>
  <c r="L72" i="56"/>
  <c r="N72" i="56"/>
  <c r="D89" i="56"/>
  <c r="D91" i="56"/>
  <c r="J93" i="56"/>
  <c r="L93" i="56"/>
  <c r="D96" i="56"/>
  <c r="O105" i="56"/>
  <c r="O106" i="56"/>
  <c r="O107" i="56"/>
  <c r="M108" i="56"/>
  <c r="O108" i="56"/>
  <c r="M109" i="56"/>
  <c r="O109" i="56"/>
  <c r="M110" i="56"/>
  <c r="O110" i="56"/>
  <c r="M111" i="56"/>
  <c r="O111" i="56"/>
  <c r="M112" i="56"/>
  <c r="O112" i="56"/>
  <c r="M113" i="56"/>
  <c r="O113" i="56"/>
  <c r="M114" i="56"/>
  <c r="O114" i="56"/>
  <c r="M115" i="56"/>
  <c r="O115" i="56"/>
  <c r="M116" i="56"/>
  <c r="O116" i="56"/>
  <c r="M117" i="56"/>
  <c r="O117" i="56"/>
  <c r="M118" i="56"/>
  <c r="O118" i="56"/>
  <c r="M119" i="56"/>
  <c r="O119" i="56"/>
  <c r="M120" i="56"/>
  <c r="O120" i="56"/>
  <c r="M121" i="56"/>
  <c r="O121" i="56"/>
  <c r="M122" i="56"/>
  <c r="O122" i="56"/>
  <c r="M123" i="56"/>
  <c r="O123" i="56"/>
  <c r="M124" i="56"/>
  <c r="O124" i="56"/>
  <c r="M125" i="56"/>
  <c r="O125" i="56"/>
  <c r="M126" i="56"/>
  <c r="O126" i="56"/>
  <c r="M127" i="56"/>
  <c r="O127" i="56"/>
  <c r="M128" i="56"/>
  <c r="O128" i="56"/>
  <c r="M129" i="56"/>
  <c r="O129" i="56"/>
  <c r="M130" i="56"/>
  <c r="O130" i="56"/>
  <c r="M131" i="56"/>
  <c r="O131" i="56"/>
  <c r="M132" i="56"/>
  <c r="O132" i="56"/>
  <c r="M133" i="56"/>
  <c r="O133" i="56"/>
  <c r="M134" i="56"/>
  <c r="O134" i="56"/>
  <c r="M135" i="56"/>
  <c r="O135" i="56"/>
  <c r="M136" i="56"/>
  <c r="O136" i="56"/>
  <c r="M137" i="56"/>
  <c r="O137" i="56"/>
  <c r="M138" i="56"/>
  <c r="O138" i="56"/>
  <c r="M139" i="56"/>
  <c r="O139" i="56"/>
  <c r="M140" i="56"/>
  <c r="O140" i="56"/>
  <c r="M141" i="56"/>
  <c r="O141" i="56"/>
  <c r="M142" i="56"/>
  <c r="O142" i="56"/>
  <c r="M143" i="56"/>
  <c r="O143" i="56"/>
  <c r="M144" i="56"/>
  <c r="O144" i="56"/>
  <c r="M145" i="56"/>
  <c r="O145" i="56"/>
  <c r="M146" i="56"/>
  <c r="O146" i="56"/>
  <c r="M147" i="56"/>
  <c r="O147" i="56"/>
  <c r="M148" i="56"/>
  <c r="O148" i="56"/>
  <c r="M149" i="56"/>
  <c r="O149" i="56"/>
  <c r="M150" i="56"/>
  <c r="O150" i="56"/>
  <c r="M151" i="56"/>
  <c r="O151" i="56"/>
  <c r="M152" i="56"/>
  <c r="O152" i="56"/>
  <c r="M153" i="56"/>
  <c r="O153" i="56"/>
  <c r="M154" i="56"/>
  <c r="O154" i="56"/>
  <c r="P1" i="55"/>
  <c r="P83" i="55" s="1"/>
  <c r="O3" i="55"/>
  <c r="D8" i="55"/>
  <c r="D90" i="55" s="1"/>
  <c r="K11" i="55"/>
  <c r="N17" i="55"/>
  <c r="O17" i="55" s="1"/>
  <c r="N24" i="55"/>
  <c r="N25" i="55"/>
  <c r="N26" i="55"/>
  <c r="N27" i="55"/>
  <c r="L28" i="55"/>
  <c r="N28" i="55"/>
  <c r="L29" i="55"/>
  <c r="N29" i="55"/>
  <c r="L30" i="55"/>
  <c r="N30" i="55"/>
  <c r="L31" i="55"/>
  <c r="N31" i="55"/>
  <c r="L32" i="55"/>
  <c r="N32" i="55"/>
  <c r="L33" i="55"/>
  <c r="N33" i="55"/>
  <c r="L34" i="55"/>
  <c r="N34" i="55"/>
  <c r="L35" i="55"/>
  <c r="N35" i="55"/>
  <c r="L36" i="55"/>
  <c r="N36" i="55"/>
  <c r="L37" i="55"/>
  <c r="N37" i="55"/>
  <c r="L38" i="55"/>
  <c r="N38" i="55"/>
  <c r="L39" i="55"/>
  <c r="N39" i="55"/>
  <c r="L40" i="55"/>
  <c r="N40" i="55"/>
  <c r="L41" i="55"/>
  <c r="N41" i="55"/>
  <c r="L42" i="55"/>
  <c r="N42" i="55"/>
  <c r="L43" i="55"/>
  <c r="N43" i="55"/>
  <c r="L44" i="55"/>
  <c r="N44" i="55"/>
  <c r="L45" i="55"/>
  <c r="N45" i="55"/>
  <c r="L46" i="55"/>
  <c r="N46" i="55"/>
  <c r="L47" i="55"/>
  <c r="N47" i="55"/>
  <c r="L48" i="55"/>
  <c r="N48" i="55"/>
  <c r="L49" i="55"/>
  <c r="N49" i="55"/>
  <c r="L50" i="55"/>
  <c r="N50" i="55"/>
  <c r="L51" i="55"/>
  <c r="N51" i="55"/>
  <c r="L52" i="55"/>
  <c r="N52" i="55"/>
  <c r="L53" i="55"/>
  <c r="N53" i="55"/>
  <c r="L54" i="55"/>
  <c r="N54" i="55"/>
  <c r="L55" i="55"/>
  <c r="N55" i="55"/>
  <c r="L56" i="55"/>
  <c r="N56" i="55"/>
  <c r="L57" i="55"/>
  <c r="N57" i="55"/>
  <c r="L58" i="55"/>
  <c r="N58" i="55"/>
  <c r="L59" i="55"/>
  <c r="N59" i="55"/>
  <c r="L60" i="55"/>
  <c r="N60" i="55"/>
  <c r="L61" i="55"/>
  <c r="N61" i="55"/>
  <c r="L62" i="55"/>
  <c r="N62" i="55"/>
  <c r="L63" i="55"/>
  <c r="N63" i="55"/>
  <c r="L64" i="55"/>
  <c r="N64" i="55"/>
  <c r="L65" i="55"/>
  <c r="N65" i="55"/>
  <c r="L66" i="55"/>
  <c r="N66" i="55"/>
  <c r="L67" i="55"/>
  <c r="N67" i="55"/>
  <c r="L68" i="55"/>
  <c r="N68" i="55"/>
  <c r="L69" i="55"/>
  <c r="N69" i="55"/>
  <c r="L70" i="55"/>
  <c r="N70" i="55"/>
  <c r="L71" i="55"/>
  <c r="N71" i="55"/>
  <c r="L72" i="55"/>
  <c r="N72" i="55"/>
  <c r="D89" i="55"/>
  <c r="J93" i="55"/>
  <c r="L93" i="55"/>
  <c r="D96" i="55"/>
  <c r="M99" i="55"/>
  <c r="O99" i="55"/>
  <c r="O105" i="55"/>
  <c r="O106" i="55"/>
  <c r="O107" i="55"/>
  <c r="M108" i="55"/>
  <c r="O108" i="55"/>
  <c r="M109" i="55"/>
  <c r="O109" i="55"/>
  <c r="M110" i="55"/>
  <c r="O110" i="55"/>
  <c r="M111" i="55"/>
  <c r="O111" i="55"/>
  <c r="M112" i="55"/>
  <c r="O112" i="55"/>
  <c r="M113" i="55"/>
  <c r="O113" i="55"/>
  <c r="M114" i="55"/>
  <c r="O114" i="55"/>
  <c r="M115" i="55"/>
  <c r="O115" i="55"/>
  <c r="M116" i="55"/>
  <c r="O116" i="55"/>
  <c r="M117" i="55"/>
  <c r="O117" i="55"/>
  <c r="M118" i="55"/>
  <c r="O118" i="55"/>
  <c r="M119" i="55"/>
  <c r="O119" i="55"/>
  <c r="M120" i="55"/>
  <c r="O120" i="55"/>
  <c r="M121" i="55"/>
  <c r="O121" i="55"/>
  <c r="M122" i="55"/>
  <c r="O122" i="55"/>
  <c r="M123" i="55"/>
  <c r="O123" i="55"/>
  <c r="M124" i="55"/>
  <c r="O124" i="55"/>
  <c r="M125" i="55"/>
  <c r="O125" i="55"/>
  <c r="M126" i="55"/>
  <c r="O126" i="55"/>
  <c r="M127" i="55"/>
  <c r="O127" i="55"/>
  <c r="M128" i="55"/>
  <c r="O128" i="55"/>
  <c r="M129" i="55"/>
  <c r="O129" i="55"/>
  <c r="M130" i="55"/>
  <c r="O130" i="55"/>
  <c r="M131" i="55"/>
  <c r="O131" i="55"/>
  <c r="M132" i="55"/>
  <c r="O132" i="55"/>
  <c r="M133" i="55"/>
  <c r="O133" i="55"/>
  <c r="M134" i="55"/>
  <c r="O134" i="55"/>
  <c r="M135" i="55"/>
  <c r="O135" i="55"/>
  <c r="M136" i="55"/>
  <c r="O136" i="55"/>
  <c r="M137" i="55"/>
  <c r="O137" i="55"/>
  <c r="M138" i="55"/>
  <c r="O138" i="55"/>
  <c r="M139" i="55"/>
  <c r="O139" i="55"/>
  <c r="M140" i="55"/>
  <c r="O140" i="55"/>
  <c r="M141" i="55"/>
  <c r="O141" i="55"/>
  <c r="M142" i="55"/>
  <c r="O142" i="55"/>
  <c r="M143" i="55"/>
  <c r="O143" i="55"/>
  <c r="M144" i="55"/>
  <c r="O144" i="55"/>
  <c r="M145" i="55"/>
  <c r="O145" i="55"/>
  <c r="M146" i="55"/>
  <c r="O146" i="55"/>
  <c r="M147" i="55"/>
  <c r="O147" i="55"/>
  <c r="M148" i="55"/>
  <c r="O148" i="55"/>
  <c r="M149" i="55"/>
  <c r="O149" i="55"/>
  <c r="M150" i="55"/>
  <c r="O150" i="55"/>
  <c r="M151" i="55"/>
  <c r="O151" i="55"/>
  <c r="M152" i="55"/>
  <c r="O152" i="55"/>
  <c r="M153" i="55"/>
  <c r="O153" i="55"/>
  <c r="M154" i="55"/>
  <c r="O154" i="55"/>
  <c r="P1" i="54"/>
  <c r="P83" i="54" s="1"/>
  <c r="O3" i="54"/>
  <c r="D8" i="54"/>
  <c r="D90" i="54" s="1"/>
  <c r="K11" i="54"/>
  <c r="N17" i="54"/>
  <c r="N24" i="54"/>
  <c r="N25" i="54"/>
  <c r="N26" i="54"/>
  <c r="N27" i="54"/>
  <c r="L28" i="54"/>
  <c r="N28" i="54"/>
  <c r="L29" i="54"/>
  <c r="N29" i="54"/>
  <c r="L30" i="54"/>
  <c r="N30" i="54"/>
  <c r="L31" i="54"/>
  <c r="N31" i="54"/>
  <c r="L32" i="54"/>
  <c r="N32" i="54"/>
  <c r="L33" i="54"/>
  <c r="N33" i="54"/>
  <c r="L34" i="54"/>
  <c r="N34" i="54"/>
  <c r="L35" i="54"/>
  <c r="N35" i="54"/>
  <c r="L36" i="54"/>
  <c r="N36" i="54"/>
  <c r="L37" i="54"/>
  <c r="N37" i="54"/>
  <c r="L38" i="54"/>
  <c r="N38" i="54"/>
  <c r="L39" i="54"/>
  <c r="N39" i="54"/>
  <c r="L40" i="54"/>
  <c r="N40" i="54"/>
  <c r="L41" i="54"/>
  <c r="N41" i="54"/>
  <c r="L42" i="54"/>
  <c r="N42" i="54"/>
  <c r="L43" i="54"/>
  <c r="N43" i="54"/>
  <c r="L44" i="54"/>
  <c r="N44" i="54"/>
  <c r="L45" i="54"/>
  <c r="N45" i="54"/>
  <c r="L46" i="54"/>
  <c r="N46" i="54"/>
  <c r="L47" i="54"/>
  <c r="N47" i="54"/>
  <c r="L48" i="54"/>
  <c r="N48" i="54"/>
  <c r="L49" i="54"/>
  <c r="N49" i="54"/>
  <c r="L50" i="54"/>
  <c r="N50" i="54"/>
  <c r="L51" i="54"/>
  <c r="N51" i="54"/>
  <c r="L52" i="54"/>
  <c r="N52" i="54"/>
  <c r="L53" i="54"/>
  <c r="N53" i="54"/>
  <c r="L54" i="54"/>
  <c r="N54" i="54"/>
  <c r="L55" i="54"/>
  <c r="N55" i="54"/>
  <c r="L56" i="54"/>
  <c r="N56" i="54"/>
  <c r="L57" i="54"/>
  <c r="N57" i="54"/>
  <c r="L58" i="54"/>
  <c r="N58" i="54"/>
  <c r="L59" i="54"/>
  <c r="N59" i="54"/>
  <c r="L60" i="54"/>
  <c r="N60" i="54"/>
  <c r="L61" i="54"/>
  <c r="N61" i="54"/>
  <c r="L62" i="54"/>
  <c r="N62" i="54"/>
  <c r="L63" i="54"/>
  <c r="N63" i="54"/>
  <c r="L64" i="54"/>
  <c r="N64" i="54"/>
  <c r="L65" i="54"/>
  <c r="N65" i="54"/>
  <c r="L66" i="54"/>
  <c r="N66" i="54"/>
  <c r="L67" i="54"/>
  <c r="N67" i="54"/>
  <c r="L68" i="54"/>
  <c r="N68" i="54"/>
  <c r="L69" i="54"/>
  <c r="N69" i="54"/>
  <c r="L70" i="54"/>
  <c r="N70" i="54"/>
  <c r="L71" i="54"/>
  <c r="N71" i="54"/>
  <c r="L72" i="54"/>
  <c r="N72" i="54"/>
  <c r="D89" i="54"/>
  <c r="D91" i="54"/>
  <c r="J93" i="54"/>
  <c r="L93" i="54"/>
  <c r="D96" i="54"/>
  <c r="M99" i="54"/>
  <c r="O105" i="54"/>
  <c r="O106" i="54"/>
  <c r="O107" i="54"/>
  <c r="M108" i="54"/>
  <c r="O108" i="54"/>
  <c r="M109" i="54"/>
  <c r="O109" i="54"/>
  <c r="M110" i="54"/>
  <c r="O110" i="54"/>
  <c r="M111" i="54"/>
  <c r="O111" i="54"/>
  <c r="M112" i="54"/>
  <c r="O112" i="54"/>
  <c r="M113" i="54"/>
  <c r="O113" i="54"/>
  <c r="M114" i="54"/>
  <c r="O114" i="54"/>
  <c r="M115" i="54"/>
  <c r="O115" i="54"/>
  <c r="M116" i="54"/>
  <c r="O116" i="54"/>
  <c r="M117" i="54"/>
  <c r="O117" i="54"/>
  <c r="M118" i="54"/>
  <c r="O118" i="54"/>
  <c r="M119" i="54"/>
  <c r="O119" i="54"/>
  <c r="M120" i="54"/>
  <c r="O120" i="54"/>
  <c r="M121" i="54"/>
  <c r="O121" i="54"/>
  <c r="M122" i="54"/>
  <c r="O122" i="54"/>
  <c r="M123" i="54"/>
  <c r="O123" i="54"/>
  <c r="M124" i="54"/>
  <c r="O124" i="54"/>
  <c r="M125" i="54"/>
  <c r="O125" i="54"/>
  <c r="M126" i="54"/>
  <c r="O126" i="54"/>
  <c r="M127" i="54"/>
  <c r="O127" i="54"/>
  <c r="M128" i="54"/>
  <c r="O128" i="54"/>
  <c r="M129" i="54"/>
  <c r="O129" i="54"/>
  <c r="M130" i="54"/>
  <c r="O130" i="54"/>
  <c r="M131" i="54"/>
  <c r="O131" i="54"/>
  <c r="M132" i="54"/>
  <c r="O132" i="54"/>
  <c r="M133" i="54"/>
  <c r="O133" i="54"/>
  <c r="M134" i="54"/>
  <c r="O134" i="54"/>
  <c r="M135" i="54"/>
  <c r="O135" i="54"/>
  <c r="M136" i="54"/>
  <c r="O136" i="54"/>
  <c r="M137" i="54"/>
  <c r="O137" i="54"/>
  <c r="M138" i="54"/>
  <c r="O138" i="54"/>
  <c r="M139" i="54"/>
  <c r="O139" i="54"/>
  <c r="M140" i="54"/>
  <c r="O140" i="54"/>
  <c r="M141" i="54"/>
  <c r="O141" i="54"/>
  <c r="M142" i="54"/>
  <c r="O142" i="54"/>
  <c r="M143" i="54"/>
  <c r="O143" i="54"/>
  <c r="M144" i="54"/>
  <c r="O144" i="54"/>
  <c r="M145" i="54"/>
  <c r="O145" i="54"/>
  <c r="M146" i="54"/>
  <c r="O146" i="54"/>
  <c r="M147" i="54"/>
  <c r="O147" i="54"/>
  <c r="M148" i="54"/>
  <c r="O148" i="54"/>
  <c r="M149" i="54"/>
  <c r="O149" i="54"/>
  <c r="M150" i="54"/>
  <c r="O150" i="54"/>
  <c r="M151" i="54"/>
  <c r="O151" i="54"/>
  <c r="M152" i="54"/>
  <c r="O152" i="54"/>
  <c r="M153" i="54"/>
  <c r="O153" i="54"/>
  <c r="M154" i="54"/>
  <c r="O154" i="54"/>
  <c r="P1" i="53"/>
  <c r="P83" i="53" s="1"/>
  <c r="O3" i="53"/>
  <c r="D8" i="53"/>
  <c r="D90" i="53" s="1"/>
  <c r="K11" i="53"/>
  <c r="N17" i="53"/>
  <c r="O17" i="53" s="1"/>
  <c r="N24" i="53"/>
  <c r="N25" i="53"/>
  <c r="N26" i="53"/>
  <c r="N27" i="53"/>
  <c r="L28" i="53"/>
  <c r="N28" i="53"/>
  <c r="L29" i="53"/>
  <c r="N29" i="53"/>
  <c r="L30" i="53"/>
  <c r="N30" i="53"/>
  <c r="L31" i="53"/>
  <c r="N31" i="53"/>
  <c r="L32" i="53"/>
  <c r="N32" i="53"/>
  <c r="L33" i="53"/>
  <c r="N33" i="53"/>
  <c r="L34" i="53"/>
  <c r="N34" i="53"/>
  <c r="L35" i="53"/>
  <c r="N35" i="53"/>
  <c r="L36" i="53"/>
  <c r="N36" i="53"/>
  <c r="L37" i="53"/>
  <c r="N37" i="53"/>
  <c r="L38" i="53"/>
  <c r="N38" i="53"/>
  <c r="L39" i="53"/>
  <c r="N39" i="53"/>
  <c r="L40" i="53"/>
  <c r="N40" i="53"/>
  <c r="L41" i="53"/>
  <c r="N41" i="53"/>
  <c r="L42" i="53"/>
  <c r="N42" i="53"/>
  <c r="L43" i="53"/>
  <c r="N43" i="53"/>
  <c r="L44" i="53"/>
  <c r="N44" i="53"/>
  <c r="L45" i="53"/>
  <c r="N45" i="53"/>
  <c r="L46" i="53"/>
  <c r="N46" i="53"/>
  <c r="L47" i="53"/>
  <c r="N47" i="53"/>
  <c r="L48" i="53"/>
  <c r="N48" i="53"/>
  <c r="L49" i="53"/>
  <c r="N49" i="53"/>
  <c r="L50" i="53"/>
  <c r="N50" i="53"/>
  <c r="L51" i="53"/>
  <c r="N51" i="53"/>
  <c r="L52" i="53"/>
  <c r="N52" i="53"/>
  <c r="L53" i="53"/>
  <c r="N53" i="53"/>
  <c r="L54" i="53"/>
  <c r="N54" i="53"/>
  <c r="L55" i="53"/>
  <c r="N55" i="53"/>
  <c r="L56" i="53"/>
  <c r="N56" i="53"/>
  <c r="L57" i="53"/>
  <c r="N57" i="53"/>
  <c r="L58" i="53"/>
  <c r="N58" i="53"/>
  <c r="L59" i="53"/>
  <c r="N59" i="53"/>
  <c r="L60" i="53"/>
  <c r="N60" i="53"/>
  <c r="L61" i="53"/>
  <c r="N61" i="53"/>
  <c r="L62" i="53"/>
  <c r="N62" i="53"/>
  <c r="L63" i="53"/>
  <c r="N63" i="53"/>
  <c r="L64" i="53"/>
  <c r="N64" i="53"/>
  <c r="L65" i="53"/>
  <c r="N65" i="53"/>
  <c r="L66" i="53"/>
  <c r="N66" i="53"/>
  <c r="L67" i="53"/>
  <c r="N67" i="53"/>
  <c r="L68" i="53"/>
  <c r="N68" i="53"/>
  <c r="L69" i="53"/>
  <c r="N69" i="53"/>
  <c r="L70" i="53"/>
  <c r="N70" i="53"/>
  <c r="L71" i="53"/>
  <c r="N71" i="53"/>
  <c r="L72" i="53"/>
  <c r="N72" i="53"/>
  <c r="D89" i="53"/>
  <c r="D91" i="53"/>
  <c r="J93" i="53"/>
  <c r="L93" i="53"/>
  <c r="D96" i="53"/>
  <c r="M99" i="53"/>
  <c r="O99" i="53"/>
  <c r="O105" i="53"/>
  <c r="O106" i="53"/>
  <c r="O107" i="53"/>
  <c r="M108" i="53"/>
  <c r="O108" i="53"/>
  <c r="M109" i="53"/>
  <c r="O109" i="53"/>
  <c r="M110" i="53"/>
  <c r="O110" i="53"/>
  <c r="M111" i="53"/>
  <c r="O111" i="53"/>
  <c r="M112" i="53"/>
  <c r="O112" i="53"/>
  <c r="M113" i="53"/>
  <c r="O113" i="53"/>
  <c r="M114" i="53"/>
  <c r="O114" i="53"/>
  <c r="M115" i="53"/>
  <c r="O115" i="53"/>
  <c r="M116" i="53"/>
  <c r="O116" i="53"/>
  <c r="M117" i="53"/>
  <c r="O117" i="53"/>
  <c r="M118" i="53"/>
  <c r="O118" i="53"/>
  <c r="M119" i="53"/>
  <c r="O119" i="53"/>
  <c r="M120" i="53"/>
  <c r="O120" i="53"/>
  <c r="M121" i="53"/>
  <c r="O121" i="53"/>
  <c r="M122" i="53"/>
  <c r="O122" i="53"/>
  <c r="M123" i="53"/>
  <c r="O123" i="53"/>
  <c r="M124" i="53"/>
  <c r="O124" i="53"/>
  <c r="M125" i="53"/>
  <c r="O125" i="53"/>
  <c r="M126" i="53"/>
  <c r="O126" i="53"/>
  <c r="M127" i="53"/>
  <c r="O127" i="53"/>
  <c r="M128" i="53"/>
  <c r="O128" i="53"/>
  <c r="M129" i="53"/>
  <c r="O129" i="53"/>
  <c r="M130" i="53"/>
  <c r="O130" i="53"/>
  <c r="M131" i="53"/>
  <c r="O131" i="53"/>
  <c r="M132" i="53"/>
  <c r="O132" i="53"/>
  <c r="M133" i="53"/>
  <c r="O133" i="53"/>
  <c r="M134" i="53"/>
  <c r="O134" i="53"/>
  <c r="M135" i="53"/>
  <c r="O135" i="53"/>
  <c r="M136" i="53"/>
  <c r="O136" i="53"/>
  <c r="M137" i="53"/>
  <c r="O137" i="53"/>
  <c r="M138" i="53"/>
  <c r="O138" i="53"/>
  <c r="M139" i="53"/>
  <c r="O139" i="53"/>
  <c r="M140" i="53"/>
  <c r="O140" i="53"/>
  <c r="M141" i="53"/>
  <c r="O141" i="53"/>
  <c r="M142" i="53"/>
  <c r="O142" i="53"/>
  <c r="M143" i="53"/>
  <c r="O143" i="53"/>
  <c r="M144" i="53"/>
  <c r="O144" i="53"/>
  <c r="M145" i="53"/>
  <c r="O145" i="53"/>
  <c r="M146" i="53"/>
  <c r="O146" i="53"/>
  <c r="M147" i="53"/>
  <c r="O147" i="53"/>
  <c r="M148" i="53"/>
  <c r="O148" i="53"/>
  <c r="M149" i="53"/>
  <c r="O149" i="53"/>
  <c r="M150" i="53"/>
  <c r="O150" i="53"/>
  <c r="M151" i="53"/>
  <c r="O151" i="53"/>
  <c r="M152" i="53"/>
  <c r="O152" i="53"/>
  <c r="M153" i="53"/>
  <c r="O153" i="53"/>
  <c r="M154" i="53"/>
  <c r="O154" i="53"/>
  <c r="N99" i="44"/>
  <c r="O99" i="44" s="1"/>
  <c r="L99" i="44"/>
  <c r="M99" i="44" s="1"/>
  <c r="N99" i="43"/>
  <c r="O99" i="43" s="1"/>
  <c r="L99" i="43"/>
  <c r="N99" i="42"/>
  <c r="O99" i="42" s="1"/>
  <c r="L99" i="42"/>
  <c r="M99" i="42" s="1"/>
  <c r="N99" i="41"/>
  <c r="O99" i="41" s="1"/>
  <c r="L99" i="41"/>
  <c r="N99" i="39"/>
  <c r="O99" i="39" s="1"/>
  <c r="L99" i="39"/>
  <c r="M99" i="39" s="1"/>
  <c r="N101" i="34"/>
  <c r="O101" i="34" s="1"/>
  <c r="L101" i="34"/>
  <c r="N101" i="32"/>
  <c r="O101" i="32" s="1"/>
  <c r="L101" i="32"/>
  <c r="M101" i="32" s="1"/>
  <c r="P101" i="32" s="1"/>
  <c r="N101" i="31"/>
  <c r="O101" i="31" s="1"/>
  <c r="L101" i="31"/>
  <c r="N102" i="30"/>
  <c r="O102" i="30" s="1"/>
  <c r="L102" i="30"/>
  <c r="M102" i="30" s="1"/>
  <c r="P102" i="30" s="1"/>
  <c r="N102" i="29"/>
  <c r="O102" i="29" s="1"/>
  <c r="L102" i="29"/>
  <c r="N103" i="28"/>
  <c r="L103" i="28"/>
  <c r="N102" i="27"/>
  <c r="O102" i="27" s="1"/>
  <c r="L102" i="27"/>
  <c r="N101" i="24"/>
  <c r="L101" i="24"/>
  <c r="M101" i="24" s="1"/>
  <c r="N101" i="23"/>
  <c r="L101" i="23"/>
  <c r="N100" i="22"/>
  <c r="L100" i="22"/>
  <c r="M100" i="22" s="1"/>
  <c r="N100" i="21"/>
  <c r="L100" i="21"/>
  <c r="N100" i="20"/>
  <c r="L100" i="20"/>
  <c r="N100" i="19"/>
  <c r="L100" i="19"/>
  <c r="N100" i="18"/>
  <c r="L100" i="18"/>
  <c r="M100" i="18" s="1"/>
  <c r="N100" i="17"/>
  <c r="L100" i="17"/>
  <c r="N100" i="3"/>
  <c r="L100" i="3"/>
  <c r="M17" i="45"/>
  <c r="N17" i="45" s="1"/>
  <c r="P1" i="46"/>
  <c r="P83" i="46" s="1"/>
  <c r="O3" i="46"/>
  <c r="D8" i="46"/>
  <c r="D90" i="46" s="1"/>
  <c r="K11" i="46"/>
  <c r="N17" i="46"/>
  <c r="N24" i="46"/>
  <c r="O24" i="46" s="1"/>
  <c r="N25" i="46"/>
  <c r="N26" i="46"/>
  <c r="N27" i="46"/>
  <c r="L28" i="46"/>
  <c r="N28" i="46"/>
  <c r="L29" i="46"/>
  <c r="N29" i="46"/>
  <c r="L30" i="46"/>
  <c r="N30" i="46"/>
  <c r="L31" i="46"/>
  <c r="N31" i="46"/>
  <c r="L32" i="46"/>
  <c r="N32" i="46"/>
  <c r="L33" i="46"/>
  <c r="N33" i="46"/>
  <c r="L34" i="46"/>
  <c r="N34" i="46"/>
  <c r="L35" i="46"/>
  <c r="N35" i="46"/>
  <c r="L36" i="46"/>
  <c r="N36" i="46"/>
  <c r="L37" i="46"/>
  <c r="N37" i="46"/>
  <c r="L38" i="46"/>
  <c r="N38" i="46"/>
  <c r="L39" i="46"/>
  <c r="N39" i="46"/>
  <c r="L40" i="46"/>
  <c r="N40" i="46"/>
  <c r="L41" i="46"/>
  <c r="N41" i="46"/>
  <c r="L42" i="46"/>
  <c r="N42" i="46"/>
  <c r="L43" i="46"/>
  <c r="N43" i="46"/>
  <c r="L44" i="46"/>
  <c r="N44" i="46"/>
  <c r="L45" i="46"/>
  <c r="N45" i="46"/>
  <c r="L46" i="46"/>
  <c r="N46" i="46"/>
  <c r="L47" i="46"/>
  <c r="N47" i="46"/>
  <c r="L48" i="46"/>
  <c r="N48" i="46"/>
  <c r="L49" i="46"/>
  <c r="N49" i="46"/>
  <c r="L50" i="46"/>
  <c r="N50" i="46"/>
  <c r="L51" i="46"/>
  <c r="N51" i="46"/>
  <c r="L52" i="46"/>
  <c r="N52" i="46"/>
  <c r="L53" i="46"/>
  <c r="N53" i="46"/>
  <c r="L54" i="46"/>
  <c r="N54" i="46"/>
  <c r="L55" i="46"/>
  <c r="N55" i="46"/>
  <c r="L56" i="46"/>
  <c r="N56" i="46"/>
  <c r="L57" i="46"/>
  <c r="N57" i="46"/>
  <c r="L58" i="46"/>
  <c r="N58" i="46"/>
  <c r="L59" i="46"/>
  <c r="N59" i="46"/>
  <c r="L60" i="46"/>
  <c r="N60" i="46"/>
  <c r="L61" i="46"/>
  <c r="N61" i="46"/>
  <c r="L62" i="46"/>
  <c r="N62" i="46"/>
  <c r="L63" i="46"/>
  <c r="N63" i="46"/>
  <c r="L64" i="46"/>
  <c r="N64" i="46"/>
  <c r="L65" i="46"/>
  <c r="N65" i="46"/>
  <c r="L66" i="46"/>
  <c r="N66" i="46"/>
  <c r="L67" i="46"/>
  <c r="N67" i="46"/>
  <c r="L68" i="46"/>
  <c r="N68" i="46"/>
  <c r="L69" i="46"/>
  <c r="N69" i="46"/>
  <c r="L70" i="46"/>
  <c r="N70" i="46"/>
  <c r="L71" i="46"/>
  <c r="N71" i="46"/>
  <c r="L72" i="46"/>
  <c r="N72" i="46"/>
  <c r="D89" i="46"/>
  <c r="D91" i="46"/>
  <c r="J93" i="46"/>
  <c r="L93" i="46"/>
  <c r="D96" i="46"/>
  <c r="M99" i="46"/>
  <c r="O105" i="46"/>
  <c r="O106" i="46"/>
  <c r="O107" i="46"/>
  <c r="M108" i="46"/>
  <c r="O108" i="46"/>
  <c r="M109" i="46"/>
  <c r="O109" i="46"/>
  <c r="M110" i="46"/>
  <c r="O110" i="46"/>
  <c r="M111" i="46"/>
  <c r="O111" i="46"/>
  <c r="M112" i="46"/>
  <c r="O112" i="46"/>
  <c r="M113" i="46"/>
  <c r="O113" i="46"/>
  <c r="M114" i="46"/>
  <c r="O114" i="46"/>
  <c r="M115" i="46"/>
  <c r="O115" i="46"/>
  <c r="M116" i="46"/>
  <c r="O116" i="46"/>
  <c r="M117" i="46"/>
  <c r="O117" i="46"/>
  <c r="M118" i="46"/>
  <c r="O118" i="46"/>
  <c r="M119" i="46"/>
  <c r="O119" i="46"/>
  <c r="M120" i="46"/>
  <c r="O120" i="46"/>
  <c r="M121" i="46"/>
  <c r="O121" i="46"/>
  <c r="M122" i="46"/>
  <c r="O122" i="46"/>
  <c r="M123" i="46"/>
  <c r="O123" i="46"/>
  <c r="M124" i="46"/>
  <c r="O124" i="46"/>
  <c r="M125" i="46"/>
  <c r="O125" i="46"/>
  <c r="M126" i="46"/>
  <c r="O126" i="46"/>
  <c r="M127" i="46"/>
  <c r="O127" i="46"/>
  <c r="M128" i="46"/>
  <c r="O128" i="46"/>
  <c r="M129" i="46"/>
  <c r="O129" i="46"/>
  <c r="M130" i="46"/>
  <c r="O130" i="46"/>
  <c r="M131" i="46"/>
  <c r="O131" i="46"/>
  <c r="M132" i="46"/>
  <c r="O132" i="46"/>
  <c r="M133" i="46"/>
  <c r="O133" i="46"/>
  <c r="M134" i="46"/>
  <c r="O134" i="46"/>
  <c r="M135" i="46"/>
  <c r="O135" i="46"/>
  <c r="M136" i="46"/>
  <c r="O136" i="46"/>
  <c r="M137" i="46"/>
  <c r="O137" i="46"/>
  <c r="M138" i="46"/>
  <c r="O138" i="46"/>
  <c r="M139" i="46"/>
  <c r="O139" i="46"/>
  <c r="M140" i="46"/>
  <c r="O140" i="46"/>
  <c r="M141" i="46"/>
  <c r="O141" i="46"/>
  <c r="M142" i="46"/>
  <c r="O142" i="46"/>
  <c r="M143" i="46"/>
  <c r="O143" i="46"/>
  <c r="M144" i="46"/>
  <c r="O144" i="46"/>
  <c r="M145" i="46"/>
  <c r="O145" i="46"/>
  <c r="M146" i="46"/>
  <c r="O146" i="46"/>
  <c r="M147" i="46"/>
  <c r="O147" i="46"/>
  <c r="M148" i="46"/>
  <c r="O148" i="46"/>
  <c r="M149" i="46"/>
  <c r="O149" i="46"/>
  <c r="M150" i="46"/>
  <c r="O150" i="46"/>
  <c r="M151" i="46"/>
  <c r="O151" i="46"/>
  <c r="M152" i="46"/>
  <c r="O152" i="46"/>
  <c r="M153" i="46"/>
  <c r="O153" i="46"/>
  <c r="M154" i="46"/>
  <c r="O154" i="46"/>
  <c r="M18" i="44"/>
  <c r="N18" i="44" s="1"/>
  <c r="M18" i="43"/>
  <c r="N18" i="43" s="1"/>
  <c r="M18" i="42"/>
  <c r="M18" i="41"/>
  <c r="M18" i="39"/>
  <c r="N18" i="39" s="1"/>
  <c r="M20" i="35"/>
  <c r="K20" i="35"/>
  <c r="M20" i="34"/>
  <c r="N20" i="34" s="1"/>
  <c r="M20" i="32"/>
  <c r="N20" i="32" s="1"/>
  <c r="M20" i="31"/>
  <c r="N20" i="31" s="1"/>
  <c r="M21" i="30"/>
  <c r="M21" i="29"/>
  <c r="M22" i="28"/>
  <c r="N22" i="28" s="1"/>
  <c r="M21" i="27"/>
  <c r="N21" i="27" s="1"/>
  <c r="M20" i="24"/>
  <c r="M20" i="23"/>
  <c r="M19" i="22"/>
  <c r="M19" i="21"/>
  <c r="N19" i="21" s="1"/>
  <c r="M19" i="20"/>
  <c r="M19" i="19"/>
  <c r="N19" i="19" s="1"/>
  <c r="M19" i="18"/>
  <c r="M19" i="17"/>
  <c r="N19" i="17" s="1"/>
  <c r="M19" i="3"/>
  <c r="N19" i="3" s="1"/>
  <c r="K18" i="3"/>
  <c r="L18" i="3" s="1"/>
  <c r="K18" i="17"/>
  <c r="K18" i="18"/>
  <c r="L18" i="18" s="1"/>
  <c r="K18" i="19"/>
  <c r="K18" i="20"/>
  <c r="K18" i="21"/>
  <c r="K18" i="22"/>
  <c r="K19" i="23"/>
  <c r="K19" i="24"/>
  <c r="L19" i="24" s="1"/>
  <c r="K20" i="27"/>
  <c r="K21" i="28"/>
  <c r="K20" i="29"/>
  <c r="K20" i="30"/>
  <c r="L20" i="30" s="1"/>
  <c r="K19" i="31"/>
  <c r="L19" i="31" s="1"/>
  <c r="K19" i="32"/>
  <c r="L19" i="32" s="1"/>
  <c r="K19" i="34"/>
  <c r="K17" i="39"/>
  <c r="L17" i="39" s="1"/>
  <c r="O17" i="39" s="1"/>
  <c r="K17" i="41"/>
  <c r="L17" i="41" s="1"/>
  <c r="K17" i="42"/>
  <c r="L17" i="42" s="1"/>
  <c r="K17" i="43"/>
  <c r="L17" i="43" s="1"/>
  <c r="K17" i="44"/>
  <c r="L17" i="44" s="1"/>
  <c r="W43" i="36"/>
  <c r="D17" i="25"/>
  <c r="I14" i="25"/>
  <c r="E17" i="25" s="1"/>
  <c r="D17" i="26"/>
  <c r="I14" i="26"/>
  <c r="E17" i="26" s="1"/>
  <c r="D17" i="33"/>
  <c r="I14" i="33"/>
  <c r="E17" i="33" s="1"/>
  <c r="C17" i="35"/>
  <c r="C18" i="35" s="1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C34" i="35" s="1"/>
  <c r="C35" i="35" s="1"/>
  <c r="C36" i="35" s="1"/>
  <c r="C37" i="35" s="1"/>
  <c r="C38" i="35" s="1"/>
  <c r="C39" i="35" s="1"/>
  <c r="C40" i="35" s="1"/>
  <c r="C41" i="35" s="1"/>
  <c r="C42" i="35" s="1"/>
  <c r="C43" i="35" s="1"/>
  <c r="C44" i="35" s="1"/>
  <c r="C45" i="35" s="1"/>
  <c r="C46" i="35" s="1"/>
  <c r="C47" i="35" s="1"/>
  <c r="C48" i="35" s="1"/>
  <c r="C49" i="35" s="1"/>
  <c r="C50" i="35" s="1"/>
  <c r="C51" i="35" s="1"/>
  <c r="C52" i="35" s="1"/>
  <c r="C53" i="35" s="1"/>
  <c r="C54" i="35" s="1"/>
  <c r="C55" i="35" s="1"/>
  <c r="C56" i="35" s="1"/>
  <c r="C57" i="35" s="1"/>
  <c r="C58" i="35" s="1"/>
  <c r="C59" i="35" s="1"/>
  <c r="C60" i="35" s="1"/>
  <c r="C61" i="35" s="1"/>
  <c r="C62" i="35" s="1"/>
  <c r="C63" i="35" s="1"/>
  <c r="C64" i="35" s="1"/>
  <c r="C65" i="35" s="1"/>
  <c r="C66" i="35" s="1"/>
  <c r="C67" i="35" s="1"/>
  <c r="C68" i="35" s="1"/>
  <c r="C69" i="35" s="1"/>
  <c r="C70" i="35" s="1"/>
  <c r="C71" i="35" s="1"/>
  <c r="C72" i="35" s="1"/>
  <c r="I14" i="35"/>
  <c r="E21" i="35" s="1"/>
  <c r="F21" i="35" s="1"/>
  <c r="K19" i="35"/>
  <c r="L19" i="35" s="1"/>
  <c r="P1" i="45"/>
  <c r="P83" i="45" s="1"/>
  <c r="O3" i="45"/>
  <c r="D8" i="45"/>
  <c r="D90" i="45" s="1"/>
  <c r="K11" i="45"/>
  <c r="L17" i="45"/>
  <c r="B18" i="45"/>
  <c r="N25" i="45"/>
  <c r="O25" i="45" s="1"/>
  <c r="N26" i="45"/>
  <c r="N27" i="45"/>
  <c r="N28" i="45"/>
  <c r="L29" i="45"/>
  <c r="N29" i="45"/>
  <c r="L30" i="45"/>
  <c r="N30" i="45"/>
  <c r="L31" i="45"/>
  <c r="N31" i="45"/>
  <c r="L32" i="45"/>
  <c r="N32" i="45"/>
  <c r="L33" i="45"/>
  <c r="N33" i="45"/>
  <c r="L34" i="45"/>
  <c r="N34" i="45"/>
  <c r="L35" i="45"/>
  <c r="N35" i="45"/>
  <c r="L36" i="45"/>
  <c r="N36" i="45"/>
  <c r="L37" i="45"/>
  <c r="N37" i="45"/>
  <c r="L38" i="45"/>
  <c r="N38" i="45"/>
  <c r="L39" i="45"/>
  <c r="N39" i="45"/>
  <c r="L40" i="45"/>
  <c r="N40" i="45"/>
  <c r="L41" i="45"/>
  <c r="N41" i="45"/>
  <c r="L42" i="45"/>
  <c r="N42" i="45"/>
  <c r="L43" i="45"/>
  <c r="N43" i="45"/>
  <c r="L44" i="45"/>
  <c r="N44" i="45"/>
  <c r="L45" i="45"/>
  <c r="N45" i="45"/>
  <c r="L46" i="45"/>
  <c r="N46" i="45"/>
  <c r="L47" i="45"/>
  <c r="N47" i="45"/>
  <c r="L48" i="45"/>
  <c r="N48" i="45"/>
  <c r="L49" i="45"/>
  <c r="N49" i="45"/>
  <c r="L50" i="45"/>
  <c r="N50" i="45"/>
  <c r="L51" i="45"/>
  <c r="N51" i="45"/>
  <c r="L52" i="45"/>
  <c r="N52" i="45"/>
  <c r="L53" i="45"/>
  <c r="N53" i="45"/>
  <c r="L54" i="45"/>
  <c r="N54" i="45"/>
  <c r="L55" i="45"/>
  <c r="N55" i="45"/>
  <c r="L56" i="45"/>
  <c r="N56" i="45"/>
  <c r="L57" i="45"/>
  <c r="N57" i="45"/>
  <c r="L58" i="45"/>
  <c r="N58" i="45"/>
  <c r="L59" i="45"/>
  <c r="N59" i="45"/>
  <c r="L60" i="45"/>
  <c r="N60" i="45"/>
  <c r="L61" i="45"/>
  <c r="N61" i="45"/>
  <c r="L62" i="45"/>
  <c r="N62" i="45"/>
  <c r="L63" i="45"/>
  <c r="N63" i="45"/>
  <c r="L64" i="45"/>
  <c r="N64" i="45"/>
  <c r="L65" i="45"/>
  <c r="N65" i="45"/>
  <c r="L66" i="45"/>
  <c r="N66" i="45"/>
  <c r="L67" i="45"/>
  <c r="N67" i="45"/>
  <c r="L68" i="45"/>
  <c r="N68" i="45"/>
  <c r="L69" i="45"/>
  <c r="N69" i="45"/>
  <c r="L70" i="45"/>
  <c r="N70" i="45"/>
  <c r="L71" i="45"/>
  <c r="N71" i="45"/>
  <c r="L72" i="45"/>
  <c r="N72" i="45"/>
  <c r="D89" i="45"/>
  <c r="D91" i="45"/>
  <c r="J93" i="45"/>
  <c r="L93" i="45"/>
  <c r="D96" i="45"/>
  <c r="M99" i="45"/>
  <c r="O99" i="45"/>
  <c r="M100" i="45"/>
  <c r="O100" i="45"/>
  <c r="O106" i="45"/>
  <c r="O107" i="45"/>
  <c r="O108" i="45"/>
  <c r="M109" i="45"/>
  <c r="O109" i="45"/>
  <c r="M110" i="45"/>
  <c r="O110" i="45"/>
  <c r="M111" i="45"/>
  <c r="O111" i="45"/>
  <c r="M112" i="45"/>
  <c r="O112" i="45"/>
  <c r="M113" i="45"/>
  <c r="O113" i="45"/>
  <c r="M114" i="45"/>
  <c r="O114" i="45"/>
  <c r="M115" i="45"/>
  <c r="O115" i="45"/>
  <c r="M116" i="45"/>
  <c r="O116" i="45"/>
  <c r="M117" i="45"/>
  <c r="O117" i="45"/>
  <c r="M118" i="45"/>
  <c r="O118" i="45"/>
  <c r="M119" i="45"/>
  <c r="O119" i="45"/>
  <c r="M120" i="45"/>
  <c r="O120" i="45"/>
  <c r="M121" i="45"/>
  <c r="O121" i="45"/>
  <c r="M122" i="45"/>
  <c r="O122" i="45"/>
  <c r="M123" i="45"/>
  <c r="O123" i="45"/>
  <c r="M124" i="45"/>
  <c r="O124" i="45"/>
  <c r="M125" i="45"/>
  <c r="O125" i="45"/>
  <c r="M126" i="45"/>
  <c r="O126" i="45"/>
  <c r="M127" i="45"/>
  <c r="O127" i="45"/>
  <c r="M128" i="45"/>
  <c r="O128" i="45"/>
  <c r="M129" i="45"/>
  <c r="O129" i="45"/>
  <c r="M130" i="45"/>
  <c r="O130" i="45"/>
  <c r="M131" i="45"/>
  <c r="O131" i="45"/>
  <c r="M132" i="45"/>
  <c r="O132" i="45"/>
  <c r="M133" i="45"/>
  <c r="O133" i="45"/>
  <c r="M134" i="45"/>
  <c r="O134" i="45"/>
  <c r="M135" i="45"/>
  <c r="O135" i="45"/>
  <c r="M136" i="45"/>
  <c r="O136" i="45"/>
  <c r="M137" i="45"/>
  <c r="O137" i="45"/>
  <c r="M138" i="45"/>
  <c r="O138" i="45"/>
  <c r="M139" i="45"/>
  <c r="O139" i="45"/>
  <c r="M140" i="45"/>
  <c r="O140" i="45"/>
  <c r="M141" i="45"/>
  <c r="O141" i="45"/>
  <c r="M142" i="45"/>
  <c r="O142" i="45"/>
  <c r="M143" i="45"/>
  <c r="O143" i="45"/>
  <c r="M144" i="45"/>
  <c r="O144" i="45"/>
  <c r="M145" i="45"/>
  <c r="O145" i="45"/>
  <c r="M146" i="45"/>
  <c r="O146" i="45"/>
  <c r="M147" i="45"/>
  <c r="O147" i="45"/>
  <c r="M148" i="45"/>
  <c r="O148" i="45"/>
  <c r="M149" i="45"/>
  <c r="O149" i="45"/>
  <c r="M150" i="45"/>
  <c r="O150" i="45"/>
  <c r="M151" i="45"/>
  <c r="O151" i="45"/>
  <c r="M152" i="45"/>
  <c r="O152" i="45"/>
  <c r="M153" i="45"/>
  <c r="O153" i="45"/>
  <c r="M154" i="45"/>
  <c r="O154" i="45"/>
  <c r="M17" i="44"/>
  <c r="N17" i="44" s="1"/>
  <c r="M17" i="43"/>
  <c r="N17" i="43" s="1"/>
  <c r="M17" i="42"/>
  <c r="N17" i="42" s="1"/>
  <c r="O17" i="42" s="1"/>
  <c r="M17" i="41"/>
  <c r="M17" i="39"/>
  <c r="N17" i="39" s="1"/>
  <c r="N100" i="35"/>
  <c r="L100" i="35"/>
  <c r="M100" i="35" s="1"/>
  <c r="M19" i="35"/>
  <c r="N19" i="35" s="1"/>
  <c r="N100" i="34"/>
  <c r="L100" i="34"/>
  <c r="M19" i="34"/>
  <c r="N19" i="34" s="1"/>
  <c r="N100" i="32"/>
  <c r="O100" i="32" s="1"/>
  <c r="L100" i="32"/>
  <c r="M19" i="32"/>
  <c r="N100" i="31"/>
  <c r="O100" i="31" s="1"/>
  <c r="P100" i="31" s="1"/>
  <c r="L100" i="31"/>
  <c r="M19" i="31"/>
  <c r="N101" i="30"/>
  <c r="O101" i="30" s="1"/>
  <c r="L101" i="30"/>
  <c r="M101" i="30" s="1"/>
  <c r="M20" i="30"/>
  <c r="N101" i="29"/>
  <c r="L101" i="29"/>
  <c r="M101" i="29" s="1"/>
  <c r="M20" i="29"/>
  <c r="N20" i="29" s="1"/>
  <c r="N102" i="28"/>
  <c r="L102" i="28"/>
  <c r="M21" i="28"/>
  <c r="N21" i="28" s="1"/>
  <c r="N101" i="27"/>
  <c r="O101" i="27" s="1"/>
  <c r="L101" i="27"/>
  <c r="M20" i="27"/>
  <c r="N20" i="27" s="1"/>
  <c r="N100" i="24"/>
  <c r="L100" i="24"/>
  <c r="M19" i="24"/>
  <c r="N100" i="23"/>
  <c r="L100" i="23"/>
  <c r="M19" i="23"/>
  <c r="N19" i="23" s="1"/>
  <c r="N99" i="22"/>
  <c r="L99" i="22"/>
  <c r="M18" i="22"/>
  <c r="N99" i="21"/>
  <c r="O99" i="21" s="1"/>
  <c r="L99" i="21"/>
  <c r="M18" i="21"/>
  <c r="N99" i="20"/>
  <c r="L99" i="20"/>
  <c r="M99" i="20" s="1"/>
  <c r="M18" i="20"/>
  <c r="N99" i="19"/>
  <c r="L99" i="19"/>
  <c r="M18" i="19"/>
  <c r="N18" i="19" s="1"/>
  <c r="N99" i="18"/>
  <c r="L99" i="18"/>
  <c r="M18" i="18"/>
  <c r="N99" i="17"/>
  <c r="L99" i="17"/>
  <c r="M18" i="17"/>
  <c r="N99" i="3"/>
  <c r="L99" i="3"/>
  <c r="M18" i="3"/>
  <c r="I17" i="3"/>
  <c r="I14" i="13"/>
  <c r="W100" i="29"/>
  <c r="W99" i="29"/>
  <c r="F99" i="27"/>
  <c r="B100" i="27" s="1"/>
  <c r="L17" i="25"/>
  <c r="B19" i="27"/>
  <c r="B101" i="17"/>
  <c r="B100" i="17"/>
  <c r="B101" i="18"/>
  <c r="B100" i="18"/>
  <c r="B101" i="19"/>
  <c r="B100" i="19"/>
  <c r="B101" i="20"/>
  <c r="B100" i="20"/>
  <c r="B101" i="21"/>
  <c r="B100" i="21"/>
  <c r="B101" i="22"/>
  <c r="B100" i="22"/>
  <c r="B102" i="23"/>
  <c r="B101" i="23"/>
  <c r="B100" i="23"/>
  <c r="B102" i="24"/>
  <c r="B101" i="24"/>
  <c r="B100" i="24"/>
  <c r="B103" i="27"/>
  <c r="B102" i="27"/>
  <c r="B104" i="28"/>
  <c r="B103" i="28"/>
  <c r="B102" i="28"/>
  <c r="B101" i="28"/>
  <c r="B100" i="28"/>
  <c r="B103" i="29"/>
  <c r="B102" i="29"/>
  <c r="B101" i="29"/>
  <c r="B100" i="29"/>
  <c r="B102" i="30"/>
  <c r="B101" i="30"/>
  <c r="B100" i="30"/>
  <c r="B101" i="31"/>
  <c r="B100" i="31"/>
  <c r="B102" i="32"/>
  <c r="B101" i="32"/>
  <c r="B100" i="32"/>
  <c r="B102" i="34"/>
  <c r="B101" i="34"/>
  <c r="B100" i="34"/>
  <c r="B101" i="35"/>
  <c r="B100" i="35"/>
  <c r="B100" i="39"/>
  <c r="B101" i="3"/>
  <c r="B100" i="3"/>
  <c r="B20" i="17"/>
  <c r="B19" i="17"/>
  <c r="B18" i="17"/>
  <c r="B20" i="18"/>
  <c r="B19" i="18"/>
  <c r="B18" i="18"/>
  <c r="B21" i="19"/>
  <c r="B20" i="19"/>
  <c r="B19" i="19"/>
  <c r="B18" i="19"/>
  <c r="B20" i="20"/>
  <c r="B19" i="20"/>
  <c r="B18" i="20"/>
  <c r="B20" i="21"/>
  <c r="B19" i="21"/>
  <c r="B18" i="21"/>
  <c r="B20" i="22"/>
  <c r="B19" i="22"/>
  <c r="B18" i="22"/>
  <c r="B22" i="23"/>
  <c r="B21" i="23"/>
  <c r="B20" i="23"/>
  <c r="B19" i="23"/>
  <c r="B18" i="23"/>
  <c r="B21" i="24"/>
  <c r="B20" i="24"/>
  <c r="B19" i="24"/>
  <c r="B18" i="24"/>
  <c r="B22" i="27"/>
  <c r="B21" i="27"/>
  <c r="B18" i="27"/>
  <c r="B23" i="28"/>
  <c r="B22" i="28"/>
  <c r="B21" i="28"/>
  <c r="B20" i="28"/>
  <c r="B19" i="28"/>
  <c r="B18" i="28"/>
  <c r="B22" i="29"/>
  <c r="B21" i="29"/>
  <c r="B20" i="29"/>
  <c r="B19" i="29"/>
  <c r="B18" i="29"/>
  <c r="B23" i="30"/>
  <c r="B22" i="30"/>
  <c r="B21" i="30"/>
  <c r="B20" i="30"/>
  <c r="B19" i="30"/>
  <c r="B18" i="30"/>
  <c r="B21" i="31"/>
  <c r="B20" i="31"/>
  <c r="B19" i="31"/>
  <c r="B18" i="31"/>
  <c r="B21" i="32"/>
  <c r="B20" i="32"/>
  <c r="B19" i="32"/>
  <c r="B18" i="32"/>
  <c r="B21" i="34"/>
  <c r="B20" i="34"/>
  <c r="B19" i="34"/>
  <c r="B18" i="34"/>
  <c r="B21" i="35"/>
  <c r="B20" i="35"/>
  <c r="B19" i="35"/>
  <c r="B18" i="35"/>
  <c r="B19" i="39"/>
  <c r="B18" i="39"/>
  <c r="B19" i="41"/>
  <c r="B18" i="41"/>
  <c r="B19" i="42"/>
  <c r="B18" i="42"/>
  <c r="B19" i="43"/>
  <c r="B18" i="43"/>
  <c r="B19" i="44"/>
  <c r="B18" i="44"/>
  <c r="B20" i="3"/>
  <c r="B19" i="3"/>
  <c r="B18" i="3"/>
  <c r="D8" i="17"/>
  <c r="D90" i="17" s="1"/>
  <c r="D8" i="18"/>
  <c r="D90" i="18" s="1"/>
  <c r="D8" i="19"/>
  <c r="D90" i="19" s="1"/>
  <c r="D8" i="20"/>
  <c r="D90" i="20" s="1"/>
  <c r="D8" i="21"/>
  <c r="D90" i="21" s="1"/>
  <c r="D8" i="22"/>
  <c r="D90" i="22" s="1"/>
  <c r="D8" i="23"/>
  <c r="D90" i="23" s="1"/>
  <c r="D8" i="24"/>
  <c r="D90" i="24" s="1"/>
  <c r="D8" i="25"/>
  <c r="D90" i="25" s="1"/>
  <c r="D8" i="26"/>
  <c r="D90" i="26" s="1"/>
  <c r="D8" i="27"/>
  <c r="D90" i="27" s="1"/>
  <c r="D8" i="28"/>
  <c r="D90" i="28" s="1"/>
  <c r="D8" i="29"/>
  <c r="D90" i="29" s="1"/>
  <c r="D8" i="30"/>
  <c r="D90" i="30" s="1"/>
  <c r="D8" i="31"/>
  <c r="D90" i="31" s="1"/>
  <c r="D8" i="32"/>
  <c r="D90" i="32" s="1"/>
  <c r="D8" i="33"/>
  <c r="D90" i="33" s="1"/>
  <c r="D8" i="34"/>
  <c r="D90" i="34" s="1"/>
  <c r="D8" i="39"/>
  <c r="D90" i="39" s="1"/>
  <c r="D8" i="41"/>
  <c r="D90" i="41" s="1"/>
  <c r="D8" i="42"/>
  <c r="D90" i="42" s="1"/>
  <c r="D8" i="43"/>
  <c r="D90" i="43" s="1"/>
  <c r="D8" i="44"/>
  <c r="D90" i="44" s="1"/>
  <c r="D8" i="13"/>
  <c r="D90" i="13" s="1"/>
  <c r="D8" i="3"/>
  <c r="D90" i="3" s="1"/>
  <c r="D90" i="35"/>
  <c r="C18" i="13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W42" i="36"/>
  <c r="W41" i="36"/>
  <c r="W40" i="36"/>
  <c r="W39" i="36"/>
  <c r="W38" i="36"/>
  <c r="P1" i="44"/>
  <c r="P83" i="44" s="1"/>
  <c r="O3" i="44"/>
  <c r="K11" i="44"/>
  <c r="L18" i="44"/>
  <c r="L19" i="44"/>
  <c r="N19" i="44"/>
  <c r="N26" i="44"/>
  <c r="O26" i="44" s="1"/>
  <c r="N27" i="44"/>
  <c r="N28" i="44"/>
  <c r="N29" i="44"/>
  <c r="L30" i="44"/>
  <c r="N30" i="44"/>
  <c r="L31" i="44"/>
  <c r="N31" i="44"/>
  <c r="L32" i="44"/>
  <c r="N32" i="44"/>
  <c r="L33" i="44"/>
  <c r="N33" i="44"/>
  <c r="L34" i="44"/>
  <c r="N34" i="44"/>
  <c r="L35" i="44"/>
  <c r="N35" i="44"/>
  <c r="L36" i="44"/>
  <c r="N36" i="44"/>
  <c r="L37" i="44"/>
  <c r="N37" i="44"/>
  <c r="L38" i="44"/>
  <c r="N38" i="44"/>
  <c r="L39" i="44"/>
  <c r="N39" i="44"/>
  <c r="L40" i="44"/>
  <c r="N40" i="44"/>
  <c r="L41" i="44"/>
  <c r="N41" i="44"/>
  <c r="L42" i="44"/>
  <c r="N42" i="44"/>
  <c r="L43" i="44"/>
  <c r="N43" i="44"/>
  <c r="L44" i="44"/>
  <c r="N44" i="44"/>
  <c r="L45" i="44"/>
  <c r="N45" i="44"/>
  <c r="L46" i="44"/>
  <c r="N46" i="44"/>
  <c r="L47" i="44"/>
  <c r="N47" i="44"/>
  <c r="L48" i="44"/>
  <c r="N48" i="44"/>
  <c r="L49" i="44"/>
  <c r="N49" i="44"/>
  <c r="L50" i="44"/>
  <c r="N50" i="44"/>
  <c r="L51" i="44"/>
  <c r="N51" i="44"/>
  <c r="L52" i="44"/>
  <c r="N52" i="44"/>
  <c r="L53" i="44"/>
  <c r="N53" i="44"/>
  <c r="L54" i="44"/>
  <c r="N54" i="44"/>
  <c r="L55" i="44"/>
  <c r="N55" i="44"/>
  <c r="L56" i="44"/>
  <c r="N56" i="44"/>
  <c r="L57" i="44"/>
  <c r="N57" i="44"/>
  <c r="L58" i="44"/>
  <c r="N58" i="44"/>
  <c r="L59" i="44"/>
  <c r="N59" i="44"/>
  <c r="L60" i="44"/>
  <c r="N60" i="44"/>
  <c r="L61" i="44"/>
  <c r="N61" i="44"/>
  <c r="L62" i="44"/>
  <c r="N62" i="44"/>
  <c r="L63" i="44"/>
  <c r="N63" i="44"/>
  <c r="L64" i="44"/>
  <c r="N64" i="44"/>
  <c r="L65" i="44"/>
  <c r="N65" i="44"/>
  <c r="L66" i="44"/>
  <c r="N66" i="44"/>
  <c r="L67" i="44"/>
  <c r="N67" i="44"/>
  <c r="L68" i="44"/>
  <c r="N68" i="44"/>
  <c r="L69" i="44"/>
  <c r="N69" i="44"/>
  <c r="L70" i="44"/>
  <c r="N70" i="44"/>
  <c r="L71" i="44"/>
  <c r="N71" i="44"/>
  <c r="L72" i="44"/>
  <c r="N72" i="44"/>
  <c r="D89" i="44"/>
  <c r="D91" i="44"/>
  <c r="J93" i="44"/>
  <c r="L93" i="44"/>
  <c r="D96" i="44"/>
  <c r="J99" i="44"/>
  <c r="O101" i="44"/>
  <c r="O107" i="44"/>
  <c r="O108" i="44"/>
  <c r="O109" i="44"/>
  <c r="M110" i="44"/>
  <c r="O110" i="44"/>
  <c r="M111" i="44"/>
  <c r="O111" i="44"/>
  <c r="M112" i="44"/>
  <c r="O112" i="44"/>
  <c r="M113" i="44"/>
  <c r="O113" i="44"/>
  <c r="M114" i="44"/>
  <c r="O114" i="44"/>
  <c r="M115" i="44"/>
  <c r="O115" i="44"/>
  <c r="M116" i="44"/>
  <c r="O116" i="44"/>
  <c r="M117" i="44"/>
  <c r="O117" i="44"/>
  <c r="M118" i="44"/>
  <c r="O118" i="44"/>
  <c r="M119" i="44"/>
  <c r="O119" i="44"/>
  <c r="M120" i="44"/>
  <c r="O120" i="44"/>
  <c r="M121" i="44"/>
  <c r="O121" i="44"/>
  <c r="M122" i="44"/>
  <c r="O122" i="44"/>
  <c r="M123" i="44"/>
  <c r="O123" i="44"/>
  <c r="M124" i="44"/>
  <c r="O124" i="44"/>
  <c r="M125" i="44"/>
  <c r="O125" i="44"/>
  <c r="M126" i="44"/>
  <c r="O126" i="44"/>
  <c r="M127" i="44"/>
  <c r="O127" i="44"/>
  <c r="M128" i="44"/>
  <c r="O128" i="44"/>
  <c r="M129" i="44"/>
  <c r="O129" i="44"/>
  <c r="M130" i="44"/>
  <c r="O130" i="44"/>
  <c r="M131" i="44"/>
  <c r="O131" i="44"/>
  <c r="M132" i="44"/>
  <c r="O132" i="44"/>
  <c r="M133" i="44"/>
  <c r="O133" i="44"/>
  <c r="M134" i="44"/>
  <c r="O134" i="44"/>
  <c r="M135" i="44"/>
  <c r="O135" i="44"/>
  <c r="M136" i="44"/>
  <c r="O136" i="44"/>
  <c r="M137" i="44"/>
  <c r="O137" i="44"/>
  <c r="M138" i="44"/>
  <c r="O138" i="44"/>
  <c r="M139" i="44"/>
  <c r="O139" i="44"/>
  <c r="M140" i="44"/>
  <c r="O140" i="44"/>
  <c r="M141" i="44"/>
  <c r="O141" i="44"/>
  <c r="M142" i="44"/>
  <c r="O142" i="44"/>
  <c r="M143" i="44"/>
  <c r="O143" i="44"/>
  <c r="M144" i="44"/>
  <c r="O144" i="44"/>
  <c r="M145" i="44"/>
  <c r="O145" i="44"/>
  <c r="M146" i="44"/>
  <c r="O146" i="44"/>
  <c r="M147" i="44"/>
  <c r="O147" i="44"/>
  <c r="M148" i="44"/>
  <c r="O148" i="44"/>
  <c r="M149" i="44"/>
  <c r="O149" i="44"/>
  <c r="M150" i="44"/>
  <c r="O150" i="44"/>
  <c r="M151" i="44"/>
  <c r="O151" i="44"/>
  <c r="M152" i="44"/>
  <c r="O152" i="44"/>
  <c r="M153" i="44"/>
  <c r="O153" i="44"/>
  <c r="M154" i="44"/>
  <c r="O154" i="44"/>
  <c r="P1" i="43"/>
  <c r="P83" i="43" s="1"/>
  <c r="O3" i="43"/>
  <c r="K11" i="43"/>
  <c r="L19" i="43"/>
  <c r="N19" i="43"/>
  <c r="N26" i="43"/>
  <c r="N27" i="43"/>
  <c r="N28" i="43"/>
  <c r="N29" i="43"/>
  <c r="L30" i="43"/>
  <c r="N30" i="43"/>
  <c r="L31" i="43"/>
  <c r="N31" i="43"/>
  <c r="L32" i="43"/>
  <c r="N32" i="43"/>
  <c r="L33" i="43"/>
  <c r="N33" i="43"/>
  <c r="L34" i="43"/>
  <c r="N34" i="43"/>
  <c r="L35" i="43"/>
  <c r="N35" i="43"/>
  <c r="L36" i="43"/>
  <c r="N36" i="43"/>
  <c r="L37" i="43"/>
  <c r="N37" i="43"/>
  <c r="L38" i="43"/>
  <c r="N38" i="43"/>
  <c r="L39" i="43"/>
  <c r="N39" i="43"/>
  <c r="L40" i="43"/>
  <c r="N40" i="43"/>
  <c r="L41" i="43"/>
  <c r="N41" i="43"/>
  <c r="L42" i="43"/>
  <c r="N42" i="43"/>
  <c r="L43" i="43"/>
  <c r="N43" i="43"/>
  <c r="L44" i="43"/>
  <c r="N44" i="43"/>
  <c r="L45" i="43"/>
  <c r="N45" i="43"/>
  <c r="L46" i="43"/>
  <c r="N46" i="43"/>
  <c r="L47" i="43"/>
  <c r="N47" i="43"/>
  <c r="L48" i="43"/>
  <c r="N48" i="43"/>
  <c r="L49" i="43"/>
  <c r="N49" i="43"/>
  <c r="L50" i="43"/>
  <c r="N50" i="43"/>
  <c r="L51" i="43"/>
  <c r="N51" i="43"/>
  <c r="L52" i="43"/>
  <c r="N52" i="43"/>
  <c r="L53" i="43"/>
  <c r="N53" i="43"/>
  <c r="L54" i="43"/>
  <c r="N54" i="43"/>
  <c r="L55" i="43"/>
  <c r="N55" i="43"/>
  <c r="L56" i="43"/>
  <c r="N56" i="43"/>
  <c r="L57" i="43"/>
  <c r="N57" i="43"/>
  <c r="L58" i="43"/>
  <c r="N58" i="43"/>
  <c r="L59" i="43"/>
  <c r="N59" i="43"/>
  <c r="L60" i="43"/>
  <c r="N60" i="43"/>
  <c r="L61" i="43"/>
  <c r="N61" i="43"/>
  <c r="L62" i="43"/>
  <c r="N62" i="43"/>
  <c r="L63" i="43"/>
  <c r="N63" i="43"/>
  <c r="L64" i="43"/>
  <c r="N64" i="43"/>
  <c r="L65" i="43"/>
  <c r="N65" i="43"/>
  <c r="L66" i="43"/>
  <c r="N66" i="43"/>
  <c r="L67" i="43"/>
  <c r="N67" i="43"/>
  <c r="L68" i="43"/>
  <c r="N68" i="43"/>
  <c r="L69" i="43"/>
  <c r="N69" i="43"/>
  <c r="L70" i="43"/>
  <c r="N70" i="43"/>
  <c r="L71" i="43"/>
  <c r="N71" i="43"/>
  <c r="L72" i="43"/>
  <c r="N72" i="43"/>
  <c r="D89" i="43"/>
  <c r="D91" i="43"/>
  <c r="J93" i="43"/>
  <c r="L93" i="43"/>
  <c r="D96" i="43"/>
  <c r="J99" i="43"/>
  <c r="M99" i="43"/>
  <c r="O100" i="43"/>
  <c r="M101" i="43"/>
  <c r="O101" i="43"/>
  <c r="P101" i="43" s="1"/>
  <c r="O107" i="43"/>
  <c r="O108" i="43"/>
  <c r="O109" i="43"/>
  <c r="M110" i="43"/>
  <c r="O110" i="43"/>
  <c r="M111" i="43"/>
  <c r="O111" i="43"/>
  <c r="M112" i="43"/>
  <c r="O112" i="43"/>
  <c r="M113" i="43"/>
  <c r="O113" i="43"/>
  <c r="M114" i="43"/>
  <c r="O114" i="43"/>
  <c r="M115" i="43"/>
  <c r="O115" i="43"/>
  <c r="M116" i="43"/>
  <c r="O116" i="43"/>
  <c r="M117" i="43"/>
  <c r="O117" i="43"/>
  <c r="M118" i="43"/>
  <c r="O118" i="43"/>
  <c r="M119" i="43"/>
  <c r="O119" i="43"/>
  <c r="M120" i="43"/>
  <c r="O120" i="43"/>
  <c r="M121" i="43"/>
  <c r="O121" i="43"/>
  <c r="M122" i="43"/>
  <c r="O122" i="43"/>
  <c r="M123" i="43"/>
  <c r="O123" i="43"/>
  <c r="M124" i="43"/>
  <c r="O124" i="43"/>
  <c r="M125" i="43"/>
  <c r="O125" i="43"/>
  <c r="M126" i="43"/>
  <c r="O126" i="43"/>
  <c r="M127" i="43"/>
  <c r="O127" i="43"/>
  <c r="M128" i="43"/>
  <c r="O128" i="43"/>
  <c r="M129" i="43"/>
  <c r="O129" i="43"/>
  <c r="M130" i="43"/>
  <c r="O130" i="43"/>
  <c r="M131" i="43"/>
  <c r="O131" i="43"/>
  <c r="M132" i="43"/>
  <c r="O132" i="43"/>
  <c r="M133" i="43"/>
  <c r="O133" i="43"/>
  <c r="M134" i="43"/>
  <c r="O134" i="43"/>
  <c r="M135" i="43"/>
  <c r="O135" i="43"/>
  <c r="M136" i="43"/>
  <c r="O136" i="43"/>
  <c r="M137" i="43"/>
  <c r="O137" i="43"/>
  <c r="M138" i="43"/>
  <c r="O138" i="43"/>
  <c r="M139" i="43"/>
  <c r="O139" i="43"/>
  <c r="M140" i="43"/>
  <c r="O140" i="43"/>
  <c r="M141" i="43"/>
  <c r="O141" i="43"/>
  <c r="M142" i="43"/>
  <c r="O142" i="43"/>
  <c r="M143" i="43"/>
  <c r="O143" i="43"/>
  <c r="M144" i="43"/>
  <c r="O144" i="43"/>
  <c r="M145" i="43"/>
  <c r="O145" i="43"/>
  <c r="M146" i="43"/>
  <c r="O146" i="43"/>
  <c r="M147" i="43"/>
  <c r="O147" i="43"/>
  <c r="M148" i="43"/>
  <c r="O148" i="43"/>
  <c r="M149" i="43"/>
  <c r="O149" i="43"/>
  <c r="M150" i="43"/>
  <c r="O150" i="43"/>
  <c r="M151" i="43"/>
  <c r="O151" i="43"/>
  <c r="M152" i="43"/>
  <c r="O152" i="43"/>
  <c r="M153" i="43"/>
  <c r="O153" i="43"/>
  <c r="M154" i="43"/>
  <c r="O154" i="43"/>
  <c r="P1" i="42"/>
  <c r="P83" i="42" s="1"/>
  <c r="O3" i="42"/>
  <c r="K11" i="42"/>
  <c r="L18" i="42"/>
  <c r="N18" i="42"/>
  <c r="N19" i="42"/>
  <c r="N26" i="42"/>
  <c r="O26" i="42" s="1"/>
  <c r="N27" i="42"/>
  <c r="N28" i="42"/>
  <c r="N29" i="42"/>
  <c r="L30" i="42"/>
  <c r="N30" i="42"/>
  <c r="L31" i="42"/>
  <c r="N31" i="42"/>
  <c r="L32" i="42"/>
  <c r="N32" i="42"/>
  <c r="L33" i="42"/>
  <c r="N33" i="42"/>
  <c r="L34" i="42"/>
  <c r="N34" i="42"/>
  <c r="L35" i="42"/>
  <c r="N35" i="42"/>
  <c r="L36" i="42"/>
  <c r="N36" i="42"/>
  <c r="L37" i="42"/>
  <c r="N37" i="42"/>
  <c r="L38" i="42"/>
  <c r="N38" i="42"/>
  <c r="L39" i="42"/>
  <c r="N39" i="42"/>
  <c r="L40" i="42"/>
  <c r="N40" i="42"/>
  <c r="L41" i="42"/>
  <c r="N41" i="42"/>
  <c r="L42" i="42"/>
  <c r="N42" i="42"/>
  <c r="L43" i="42"/>
  <c r="N43" i="42"/>
  <c r="L44" i="42"/>
  <c r="N44" i="42"/>
  <c r="L45" i="42"/>
  <c r="N45" i="42"/>
  <c r="L46" i="42"/>
  <c r="N46" i="42"/>
  <c r="L47" i="42"/>
  <c r="N47" i="42"/>
  <c r="L48" i="42"/>
  <c r="N48" i="42"/>
  <c r="L49" i="42"/>
  <c r="N49" i="42"/>
  <c r="L50" i="42"/>
  <c r="N50" i="42"/>
  <c r="L51" i="42"/>
  <c r="N51" i="42"/>
  <c r="L52" i="42"/>
  <c r="N52" i="42"/>
  <c r="L53" i="42"/>
  <c r="N53" i="42"/>
  <c r="L54" i="42"/>
  <c r="N54" i="42"/>
  <c r="L55" i="42"/>
  <c r="N55" i="42"/>
  <c r="L56" i="42"/>
  <c r="N56" i="42"/>
  <c r="L57" i="42"/>
  <c r="N57" i="42"/>
  <c r="L58" i="42"/>
  <c r="N58" i="42"/>
  <c r="L59" i="42"/>
  <c r="N59" i="42"/>
  <c r="L60" i="42"/>
  <c r="N60" i="42"/>
  <c r="L61" i="42"/>
  <c r="N61" i="42"/>
  <c r="L62" i="42"/>
  <c r="N62" i="42"/>
  <c r="L63" i="42"/>
  <c r="N63" i="42"/>
  <c r="L64" i="42"/>
  <c r="N64" i="42"/>
  <c r="L65" i="42"/>
  <c r="N65" i="42"/>
  <c r="L66" i="42"/>
  <c r="N66" i="42"/>
  <c r="L67" i="42"/>
  <c r="N67" i="42"/>
  <c r="L68" i="42"/>
  <c r="N68" i="42"/>
  <c r="L69" i="42"/>
  <c r="N69" i="42"/>
  <c r="L70" i="42"/>
  <c r="N70" i="42"/>
  <c r="L71" i="42"/>
  <c r="N71" i="42"/>
  <c r="L72" i="42"/>
  <c r="N72" i="42"/>
  <c r="D89" i="42"/>
  <c r="D91" i="42"/>
  <c r="J93" i="42"/>
  <c r="L93" i="42"/>
  <c r="D96" i="42"/>
  <c r="J99" i="42"/>
  <c r="M100" i="42"/>
  <c r="O100" i="42"/>
  <c r="O107" i="42"/>
  <c r="O108" i="42"/>
  <c r="O109" i="42"/>
  <c r="M110" i="42"/>
  <c r="O110" i="42"/>
  <c r="M111" i="42"/>
  <c r="O111" i="42"/>
  <c r="M112" i="42"/>
  <c r="O112" i="42"/>
  <c r="M113" i="42"/>
  <c r="O113" i="42"/>
  <c r="M114" i="42"/>
  <c r="O114" i="42"/>
  <c r="M115" i="42"/>
  <c r="O115" i="42"/>
  <c r="M116" i="42"/>
  <c r="O116" i="42"/>
  <c r="M117" i="42"/>
  <c r="O117" i="42"/>
  <c r="M118" i="42"/>
  <c r="O118" i="42"/>
  <c r="M119" i="42"/>
  <c r="O119" i="42"/>
  <c r="M120" i="42"/>
  <c r="O120" i="42"/>
  <c r="M121" i="42"/>
  <c r="O121" i="42"/>
  <c r="M122" i="42"/>
  <c r="O122" i="42"/>
  <c r="M123" i="42"/>
  <c r="O123" i="42"/>
  <c r="M124" i="42"/>
  <c r="O124" i="42"/>
  <c r="M125" i="42"/>
  <c r="O125" i="42"/>
  <c r="M126" i="42"/>
  <c r="O126" i="42"/>
  <c r="M127" i="42"/>
  <c r="O127" i="42"/>
  <c r="M128" i="42"/>
  <c r="O128" i="42"/>
  <c r="M129" i="42"/>
  <c r="O129" i="42"/>
  <c r="M130" i="42"/>
  <c r="O130" i="42"/>
  <c r="M131" i="42"/>
  <c r="O131" i="42"/>
  <c r="M132" i="42"/>
  <c r="O132" i="42"/>
  <c r="M133" i="42"/>
  <c r="O133" i="42"/>
  <c r="M134" i="42"/>
  <c r="O134" i="42"/>
  <c r="M135" i="42"/>
  <c r="O135" i="42"/>
  <c r="M136" i="42"/>
  <c r="O136" i="42"/>
  <c r="M137" i="42"/>
  <c r="O137" i="42"/>
  <c r="M138" i="42"/>
  <c r="O138" i="42"/>
  <c r="M139" i="42"/>
  <c r="O139" i="42"/>
  <c r="M140" i="42"/>
  <c r="O140" i="42"/>
  <c r="M141" i="42"/>
  <c r="O141" i="42"/>
  <c r="M142" i="42"/>
  <c r="O142" i="42"/>
  <c r="M143" i="42"/>
  <c r="O143" i="42"/>
  <c r="M144" i="42"/>
  <c r="O144" i="42"/>
  <c r="M145" i="42"/>
  <c r="O145" i="42"/>
  <c r="M146" i="42"/>
  <c r="O146" i="42"/>
  <c r="M147" i="42"/>
  <c r="O147" i="42"/>
  <c r="M148" i="42"/>
  <c r="O148" i="42"/>
  <c r="M149" i="42"/>
  <c r="O149" i="42"/>
  <c r="M150" i="42"/>
  <c r="O150" i="42"/>
  <c r="M151" i="42"/>
  <c r="O151" i="42"/>
  <c r="M152" i="42"/>
  <c r="O152" i="42"/>
  <c r="M153" i="42"/>
  <c r="O153" i="42"/>
  <c r="M154" i="42"/>
  <c r="O154" i="42"/>
  <c r="P1" i="41"/>
  <c r="P83" i="41" s="1"/>
  <c r="O3" i="41"/>
  <c r="K11" i="41"/>
  <c r="N17" i="41"/>
  <c r="L18" i="41"/>
  <c r="N18" i="41"/>
  <c r="N19" i="41"/>
  <c r="N26" i="41"/>
  <c r="N27" i="41"/>
  <c r="O27" i="41" s="1"/>
  <c r="N28" i="41"/>
  <c r="N29" i="41"/>
  <c r="L30" i="41"/>
  <c r="N30" i="41"/>
  <c r="L31" i="41"/>
  <c r="N31" i="41"/>
  <c r="L32" i="41"/>
  <c r="N32" i="41"/>
  <c r="L33" i="41"/>
  <c r="N33" i="41"/>
  <c r="L34" i="41"/>
  <c r="N34" i="41"/>
  <c r="L35" i="41"/>
  <c r="N35" i="41"/>
  <c r="L36" i="41"/>
  <c r="N36" i="41"/>
  <c r="L37" i="41"/>
  <c r="N37" i="41"/>
  <c r="L38" i="41"/>
  <c r="N38" i="41"/>
  <c r="L39" i="41"/>
  <c r="N39" i="41"/>
  <c r="L40" i="41"/>
  <c r="N40" i="41"/>
  <c r="L41" i="41"/>
  <c r="N41" i="41"/>
  <c r="L42" i="41"/>
  <c r="N42" i="41"/>
  <c r="L43" i="41"/>
  <c r="N43" i="41"/>
  <c r="L44" i="41"/>
  <c r="N44" i="41"/>
  <c r="L45" i="41"/>
  <c r="N45" i="41"/>
  <c r="L46" i="41"/>
  <c r="N46" i="41"/>
  <c r="L47" i="41"/>
  <c r="N47" i="41"/>
  <c r="L48" i="41"/>
  <c r="N48" i="41"/>
  <c r="L49" i="41"/>
  <c r="N49" i="41"/>
  <c r="L50" i="41"/>
  <c r="N50" i="41"/>
  <c r="L51" i="41"/>
  <c r="N51" i="41"/>
  <c r="L52" i="41"/>
  <c r="N52" i="41"/>
  <c r="L53" i="41"/>
  <c r="N53" i="41"/>
  <c r="L54" i="41"/>
  <c r="N54" i="41"/>
  <c r="L55" i="41"/>
  <c r="N55" i="41"/>
  <c r="L56" i="41"/>
  <c r="N56" i="41"/>
  <c r="L57" i="41"/>
  <c r="N57" i="41"/>
  <c r="L58" i="41"/>
  <c r="N58" i="41"/>
  <c r="L59" i="41"/>
  <c r="N59" i="41"/>
  <c r="L60" i="41"/>
  <c r="N60" i="41"/>
  <c r="L61" i="41"/>
  <c r="N61" i="41"/>
  <c r="L62" i="41"/>
  <c r="N62" i="41"/>
  <c r="L63" i="41"/>
  <c r="N63" i="41"/>
  <c r="L64" i="41"/>
  <c r="N64" i="41"/>
  <c r="L65" i="41"/>
  <c r="N65" i="41"/>
  <c r="L66" i="41"/>
  <c r="N66" i="41"/>
  <c r="L67" i="41"/>
  <c r="N67" i="41"/>
  <c r="L68" i="41"/>
  <c r="N68" i="41"/>
  <c r="L69" i="41"/>
  <c r="N69" i="41"/>
  <c r="L70" i="41"/>
  <c r="N70" i="41"/>
  <c r="L71" i="41"/>
  <c r="N71" i="41"/>
  <c r="L72" i="41"/>
  <c r="N72" i="41"/>
  <c r="D89" i="41"/>
  <c r="D91" i="41"/>
  <c r="J93" i="41"/>
  <c r="L93" i="41"/>
  <c r="D96" i="41"/>
  <c r="J99" i="41"/>
  <c r="M99" i="41"/>
  <c r="P100" i="41"/>
  <c r="M101" i="41"/>
  <c r="O101" i="41"/>
  <c r="O107" i="41"/>
  <c r="O108" i="41"/>
  <c r="O109" i="41"/>
  <c r="M110" i="41"/>
  <c r="O110" i="41"/>
  <c r="M111" i="41"/>
  <c r="O111" i="41"/>
  <c r="M112" i="41"/>
  <c r="O112" i="41"/>
  <c r="M113" i="41"/>
  <c r="O113" i="41"/>
  <c r="M114" i="41"/>
  <c r="O114" i="41"/>
  <c r="M115" i="41"/>
  <c r="O115" i="41"/>
  <c r="M116" i="41"/>
  <c r="O116" i="41"/>
  <c r="M117" i="41"/>
  <c r="O117" i="41"/>
  <c r="M118" i="41"/>
  <c r="O118" i="41"/>
  <c r="M119" i="41"/>
  <c r="O119" i="41"/>
  <c r="M120" i="41"/>
  <c r="O120" i="41"/>
  <c r="M121" i="41"/>
  <c r="O121" i="41"/>
  <c r="M122" i="41"/>
  <c r="O122" i="41"/>
  <c r="M123" i="41"/>
  <c r="O123" i="41"/>
  <c r="M124" i="41"/>
  <c r="O124" i="41"/>
  <c r="M125" i="41"/>
  <c r="O125" i="41"/>
  <c r="M126" i="41"/>
  <c r="O126" i="41"/>
  <c r="M127" i="41"/>
  <c r="O127" i="41"/>
  <c r="M128" i="41"/>
  <c r="O128" i="41"/>
  <c r="M129" i="41"/>
  <c r="O129" i="41"/>
  <c r="M130" i="41"/>
  <c r="O130" i="41"/>
  <c r="M131" i="41"/>
  <c r="O131" i="41"/>
  <c r="M132" i="41"/>
  <c r="O132" i="41"/>
  <c r="M133" i="41"/>
  <c r="O133" i="41"/>
  <c r="M134" i="41"/>
  <c r="O134" i="41"/>
  <c r="M135" i="41"/>
  <c r="O135" i="41"/>
  <c r="M136" i="41"/>
  <c r="O136" i="41"/>
  <c r="M137" i="41"/>
  <c r="O137" i="41"/>
  <c r="M138" i="41"/>
  <c r="O138" i="41"/>
  <c r="M139" i="41"/>
  <c r="O139" i="41"/>
  <c r="M140" i="41"/>
  <c r="O140" i="41"/>
  <c r="M141" i="41"/>
  <c r="O141" i="41"/>
  <c r="M142" i="41"/>
  <c r="O142" i="41"/>
  <c r="M143" i="41"/>
  <c r="O143" i="41"/>
  <c r="M144" i="41"/>
  <c r="O144" i="41"/>
  <c r="M145" i="41"/>
  <c r="O145" i="41"/>
  <c r="M146" i="41"/>
  <c r="O146" i="41"/>
  <c r="M147" i="41"/>
  <c r="O147" i="41"/>
  <c r="M148" i="41"/>
  <c r="O148" i="41"/>
  <c r="M149" i="41"/>
  <c r="O149" i="41"/>
  <c r="M150" i="41"/>
  <c r="O150" i="41"/>
  <c r="M151" i="41"/>
  <c r="O151" i="41"/>
  <c r="M152" i="41"/>
  <c r="O152" i="41"/>
  <c r="M153" i="41"/>
  <c r="O153" i="41"/>
  <c r="M154" i="41"/>
  <c r="O154" i="41"/>
  <c r="P1" i="39"/>
  <c r="P83" i="39" s="1"/>
  <c r="O3" i="39"/>
  <c r="K11" i="39"/>
  <c r="L19" i="39"/>
  <c r="O19" i="39" s="1"/>
  <c r="N19" i="39"/>
  <c r="N26" i="39"/>
  <c r="O26" i="39" s="1"/>
  <c r="N27" i="39"/>
  <c r="N28" i="39"/>
  <c r="N29" i="39"/>
  <c r="L30" i="39"/>
  <c r="N30" i="39"/>
  <c r="L31" i="39"/>
  <c r="N31" i="39"/>
  <c r="L32" i="39"/>
  <c r="N32" i="39"/>
  <c r="L33" i="39"/>
  <c r="N33" i="39"/>
  <c r="L34" i="39"/>
  <c r="N34" i="39"/>
  <c r="L35" i="39"/>
  <c r="N35" i="39"/>
  <c r="L36" i="39"/>
  <c r="N36" i="39"/>
  <c r="L37" i="39"/>
  <c r="N37" i="39"/>
  <c r="L38" i="39"/>
  <c r="N38" i="39"/>
  <c r="L39" i="39"/>
  <c r="N39" i="39"/>
  <c r="L40" i="39"/>
  <c r="N40" i="39"/>
  <c r="L41" i="39"/>
  <c r="N41" i="39"/>
  <c r="L42" i="39"/>
  <c r="N42" i="39"/>
  <c r="L43" i="39"/>
  <c r="N43" i="39"/>
  <c r="L44" i="39"/>
  <c r="N44" i="39"/>
  <c r="L45" i="39"/>
  <c r="N45" i="39"/>
  <c r="L46" i="39"/>
  <c r="N46" i="39"/>
  <c r="L47" i="39"/>
  <c r="N47" i="39"/>
  <c r="L48" i="39"/>
  <c r="N48" i="39"/>
  <c r="L49" i="39"/>
  <c r="N49" i="39"/>
  <c r="L50" i="39"/>
  <c r="N50" i="39"/>
  <c r="L51" i="39"/>
  <c r="N51" i="39"/>
  <c r="L52" i="39"/>
  <c r="N52" i="39"/>
  <c r="L53" i="39"/>
  <c r="N53" i="39"/>
  <c r="L54" i="39"/>
  <c r="N54" i="39"/>
  <c r="L55" i="39"/>
  <c r="N55" i="39"/>
  <c r="L56" i="39"/>
  <c r="N56" i="39"/>
  <c r="L57" i="39"/>
  <c r="N57" i="39"/>
  <c r="L58" i="39"/>
  <c r="N58" i="39"/>
  <c r="L59" i="39"/>
  <c r="N59" i="39"/>
  <c r="L60" i="39"/>
  <c r="N60" i="39"/>
  <c r="L61" i="39"/>
  <c r="N61" i="39"/>
  <c r="L62" i="39"/>
  <c r="N62" i="39"/>
  <c r="L63" i="39"/>
  <c r="N63" i="39"/>
  <c r="L64" i="39"/>
  <c r="N64" i="39"/>
  <c r="L65" i="39"/>
  <c r="N65" i="39"/>
  <c r="L66" i="39"/>
  <c r="N66" i="39"/>
  <c r="L67" i="39"/>
  <c r="N67" i="39"/>
  <c r="L68" i="39"/>
  <c r="N68" i="39"/>
  <c r="L69" i="39"/>
  <c r="N69" i="39"/>
  <c r="L70" i="39"/>
  <c r="N70" i="39"/>
  <c r="L71" i="39"/>
  <c r="N71" i="39"/>
  <c r="L72" i="39"/>
  <c r="N72" i="39"/>
  <c r="D89" i="39"/>
  <c r="D91" i="39"/>
  <c r="J93" i="39"/>
  <c r="L93" i="39"/>
  <c r="D96" i="39"/>
  <c r="J99" i="39"/>
  <c r="O101" i="39"/>
  <c r="O107" i="39"/>
  <c r="O108" i="39"/>
  <c r="O109" i="39"/>
  <c r="M110" i="39"/>
  <c r="O110" i="39"/>
  <c r="M111" i="39"/>
  <c r="O111" i="39"/>
  <c r="M112" i="39"/>
  <c r="O112" i="39"/>
  <c r="M113" i="39"/>
  <c r="O113" i="39"/>
  <c r="M114" i="39"/>
  <c r="O114" i="39"/>
  <c r="M115" i="39"/>
  <c r="O115" i="39"/>
  <c r="M116" i="39"/>
  <c r="O116" i="39"/>
  <c r="M117" i="39"/>
  <c r="O117" i="39"/>
  <c r="M118" i="39"/>
  <c r="O118" i="39"/>
  <c r="M119" i="39"/>
  <c r="O119" i="39"/>
  <c r="M120" i="39"/>
  <c r="O120" i="39"/>
  <c r="M121" i="39"/>
  <c r="O121" i="39"/>
  <c r="M122" i="39"/>
  <c r="O122" i="39"/>
  <c r="M123" i="39"/>
  <c r="O123" i="39"/>
  <c r="M124" i="39"/>
  <c r="O124" i="39"/>
  <c r="M125" i="39"/>
  <c r="O125" i="39"/>
  <c r="M126" i="39"/>
  <c r="O126" i="39"/>
  <c r="M127" i="39"/>
  <c r="O127" i="39"/>
  <c r="M128" i="39"/>
  <c r="O128" i="39"/>
  <c r="M129" i="39"/>
  <c r="O129" i="39"/>
  <c r="M130" i="39"/>
  <c r="O130" i="39"/>
  <c r="M131" i="39"/>
  <c r="O131" i="39"/>
  <c r="M132" i="39"/>
  <c r="O132" i="39"/>
  <c r="M133" i="39"/>
  <c r="O133" i="39"/>
  <c r="M134" i="39"/>
  <c r="O134" i="39"/>
  <c r="M135" i="39"/>
  <c r="O135" i="39"/>
  <c r="M136" i="39"/>
  <c r="O136" i="39"/>
  <c r="M137" i="39"/>
  <c r="O137" i="39"/>
  <c r="M138" i="39"/>
  <c r="O138" i="39"/>
  <c r="M139" i="39"/>
  <c r="O139" i="39"/>
  <c r="M140" i="39"/>
  <c r="O140" i="39"/>
  <c r="M141" i="39"/>
  <c r="O141" i="39"/>
  <c r="M142" i="39"/>
  <c r="O142" i="39"/>
  <c r="M143" i="39"/>
  <c r="O143" i="39"/>
  <c r="M144" i="39"/>
  <c r="O144" i="39"/>
  <c r="M145" i="39"/>
  <c r="O145" i="39"/>
  <c r="M146" i="39"/>
  <c r="O146" i="39"/>
  <c r="M147" i="39"/>
  <c r="O147" i="39"/>
  <c r="M148" i="39"/>
  <c r="O148" i="39"/>
  <c r="M149" i="39"/>
  <c r="O149" i="39"/>
  <c r="M150" i="39"/>
  <c r="O150" i="39"/>
  <c r="M151" i="39"/>
  <c r="O151" i="39"/>
  <c r="M152" i="39"/>
  <c r="O152" i="39"/>
  <c r="M153" i="39"/>
  <c r="O153" i="39"/>
  <c r="M154" i="39"/>
  <c r="O154" i="39"/>
  <c r="J92" i="13"/>
  <c r="O100" i="28"/>
  <c r="O101" i="28"/>
  <c r="O102" i="28"/>
  <c r="O103" i="28"/>
  <c r="M100" i="28"/>
  <c r="M101" i="28"/>
  <c r="W19" i="36"/>
  <c r="W20" i="36"/>
  <c r="W21" i="36"/>
  <c r="W22" i="36"/>
  <c r="W23" i="36"/>
  <c r="W24" i="36"/>
  <c r="W25" i="36"/>
  <c r="W26" i="36"/>
  <c r="W27" i="36"/>
  <c r="W28" i="36"/>
  <c r="W29" i="36"/>
  <c r="W30" i="36"/>
  <c r="W31" i="36"/>
  <c r="W32" i="36"/>
  <c r="W33" i="36"/>
  <c r="W34" i="36"/>
  <c r="W35" i="36"/>
  <c r="W36" i="36"/>
  <c r="W37" i="36"/>
  <c r="W18" i="36"/>
  <c r="L12" i="36"/>
  <c r="P12" i="36"/>
  <c r="G12" i="36"/>
  <c r="A9" i="36" s="1"/>
  <c r="N96" i="36"/>
  <c r="O96" i="36"/>
  <c r="D89" i="35"/>
  <c r="P1" i="35"/>
  <c r="P83" i="35" s="1"/>
  <c r="O3" i="35"/>
  <c r="K11" i="35"/>
  <c r="I17" i="35"/>
  <c r="L17" i="35"/>
  <c r="N17" i="35"/>
  <c r="I18" i="35"/>
  <c r="L18" i="35"/>
  <c r="N18" i="35"/>
  <c r="L20" i="35"/>
  <c r="N20" i="35"/>
  <c r="L21" i="35"/>
  <c r="N21" i="35"/>
  <c r="L22" i="35"/>
  <c r="N22" i="35"/>
  <c r="L23" i="35"/>
  <c r="N23" i="35"/>
  <c r="L24" i="35"/>
  <c r="N24" i="35"/>
  <c r="L25" i="35"/>
  <c r="N25" i="35"/>
  <c r="L26" i="35"/>
  <c r="N26" i="35"/>
  <c r="L27" i="35"/>
  <c r="N27" i="35"/>
  <c r="L28" i="35"/>
  <c r="N28" i="35"/>
  <c r="L29" i="35"/>
  <c r="N29" i="35"/>
  <c r="L30" i="35"/>
  <c r="N30" i="35"/>
  <c r="L31" i="35"/>
  <c r="N31" i="35"/>
  <c r="L32" i="35"/>
  <c r="N32" i="35"/>
  <c r="L33" i="35"/>
  <c r="N33" i="35"/>
  <c r="L34" i="35"/>
  <c r="N34" i="35"/>
  <c r="L35" i="35"/>
  <c r="N35" i="35"/>
  <c r="L36" i="35"/>
  <c r="N36" i="35"/>
  <c r="L37" i="35"/>
  <c r="N37" i="35"/>
  <c r="L38" i="35"/>
  <c r="N38" i="35"/>
  <c r="L39" i="35"/>
  <c r="N39" i="35"/>
  <c r="L40" i="35"/>
  <c r="N40" i="35"/>
  <c r="L41" i="35"/>
  <c r="N41" i="35"/>
  <c r="L42" i="35"/>
  <c r="N42" i="35"/>
  <c r="L43" i="35"/>
  <c r="N43" i="35"/>
  <c r="L44" i="35"/>
  <c r="N44" i="35"/>
  <c r="L45" i="35"/>
  <c r="N45" i="35"/>
  <c r="L46" i="35"/>
  <c r="N46" i="35"/>
  <c r="L47" i="35"/>
  <c r="N47" i="35"/>
  <c r="L48" i="35"/>
  <c r="N48" i="35"/>
  <c r="L49" i="35"/>
  <c r="N49" i="35"/>
  <c r="L50" i="35"/>
  <c r="N50" i="35"/>
  <c r="L51" i="35"/>
  <c r="N51" i="35"/>
  <c r="L52" i="35"/>
  <c r="N52" i="35"/>
  <c r="L53" i="35"/>
  <c r="N53" i="35"/>
  <c r="L54" i="35"/>
  <c r="N54" i="35"/>
  <c r="L55" i="35"/>
  <c r="N55" i="35"/>
  <c r="L56" i="35"/>
  <c r="N56" i="35"/>
  <c r="L57" i="35"/>
  <c r="N57" i="35"/>
  <c r="L58" i="35"/>
  <c r="N58" i="35"/>
  <c r="L59" i="35"/>
  <c r="N59" i="35"/>
  <c r="L60" i="35"/>
  <c r="N60" i="35"/>
  <c r="L61" i="35"/>
  <c r="N61" i="35"/>
  <c r="L62" i="35"/>
  <c r="N62" i="35"/>
  <c r="L63" i="35"/>
  <c r="N63" i="35"/>
  <c r="L64" i="35"/>
  <c r="N64" i="35"/>
  <c r="L65" i="35"/>
  <c r="N65" i="35"/>
  <c r="L66" i="35"/>
  <c r="N66" i="35"/>
  <c r="L67" i="35"/>
  <c r="N67" i="35"/>
  <c r="L68" i="35"/>
  <c r="N68" i="35"/>
  <c r="L69" i="35"/>
  <c r="N69" i="35"/>
  <c r="L70" i="35"/>
  <c r="N70" i="35"/>
  <c r="L71" i="35"/>
  <c r="N71" i="35"/>
  <c r="L72" i="35"/>
  <c r="N72" i="35"/>
  <c r="O87" i="35"/>
  <c r="D91" i="35"/>
  <c r="J93" i="35"/>
  <c r="L93" i="35"/>
  <c r="D96" i="35"/>
  <c r="J99" i="35"/>
  <c r="M99" i="35"/>
  <c r="O99" i="35"/>
  <c r="J100" i="35"/>
  <c r="O100" i="35"/>
  <c r="M101" i="35"/>
  <c r="O101" i="35"/>
  <c r="M102" i="35"/>
  <c r="O102" i="35"/>
  <c r="M103" i="35"/>
  <c r="P103" i="35" s="1"/>
  <c r="O103" i="35"/>
  <c r="M104" i="35"/>
  <c r="O104" i="35"/>
  <c r="M105" i="35"/>
  <c r="O105" i="35"/>
  <c r="M106" i="35"/>
  <c r="O106" i="35"/>
  <c r="M107" i="35"/>
  <c r="O107" i="35"/>
  <c r="M108" i="35"/>
  <c r="O108" i="35"/>
  <c r="M109" i="35"/>
  <c r="O109" i="35"/>
  <c r="M110" i="35"/>
  <c r="O110" i="35"/>
  <c r="M111" i="35"/>
  <c r="O111" i="35"/>
  <c r="M112" i="35"/>
  <c r="O112" i="35"/>
  <c r="M113" i="35"/>
  <c r="O113" i="35"/>
  <c r="M114" i="35"/>
  <c r="O114" i="35"/>
  <c r="M115" i="35"/>
  <c r="O115" i="35"/>
  <c r="M116" i="35"/>
  <c r="O116" i="35"/>
  <c r="M117" i="35"/>
  <c r="O117" i="35"/>
  <c r="M118" i="35"/>
  <c r="O118" i="35"/>
  <c r="M119" i="35"/>
  <c r="O119" i="35"/>
  <c r="M120" i="35"/>
  <c r="O120" i="35"/>
  <c r="M121" i="35"/>
  <c r="O121" i="35"/>
  <c r="M122" i="35"/>
  <c r="O122" i="35"/>
  <c r="M123" i="35"/>
  <c r="O123" i="35"/>
  <c r="M124" i="35"/>
  <c r="O124" i="35"/>
  <c r="M125" i="35"/>
  <c r="O125" i="35"/>
  <c r="M126" i="35"/>
  <c r="O126" i="35"/>
  <c r="M127" i="35"/>
  <c r="O127" i="35"/>
  <c r="M128" i="35"/>
  <c r="O128" i="35"/>
  <c r="M129" i="35"/>
  <c r="O129" i="35"/>
  <c r="M130" i="35"/>
  <c r="O130" i="35"/>
  <c r="M131" i="35"/>
  <c r="O131" i="35"/>
  <c r="M132" i="35"/>
  <c r="O132" i="35"/>
  <c r="M133" i="35"/>
  <c r="O133" i="35"/>
  <c r="M134" i="35"/>
  <c r="O134" i="35"/>
  <c r="M135" i="35"/>
  <c r="O135" i="35"/>
  <c r="M136" i="35"/>
  <c r="O136" i="35"/>
  <c r="M137" i="35"/>
  <c r="O137" i="35"/>
  <c r="M138" i="35"/>
  <c r="O138" i="35"/>
  <c r="M139" i="35"/>
  <c r="O139" i="35"/>
  <c r="M140" i="35"/>
  <c r="O140" i="35"/>
  <c r="M141" i="35"/>
  <c r="O141" i="35"/>
  <c r="M142" i="35"/>
  <c r="O142" i="35"/>
  <c r="M143" i="35"/>
  <c r="O143" i="35"/>
  <c r="M144" i="35"/>
  <c r="O144" i="35"/>
  <c r="M145" i="35"/>
  <c r="O145" i="35"/>
  <c r="M146" i="35"/>
  <c r="O146" i="35"/>
  <c r="M147" i="35"/>
  <c r="O147" i="35"/>
  <c r="M148" i="35"/>
  <c r="O148" i="35"/>
  <c r="M149" i="35"/>
  <c r="O149" i="35"/>
  <c r="M150" i="35"/>
  <c r="O150" i="35"/>
  <c r="M151" i="35"/>
  <c r="O151" i="35"/>
  <c r="M152" i="35"/>
  <c r="O152" i="35"/>
  <c r="M153" i="35"/>
  <c r="O153" i="35"/>
  <c r="M154" i="35"/>
  <c r="O154" i="35"/>
  <c r="M17" i="24"/>
  <c r="N17" i="24" s="1"/>
  <c r="M19" i="28"/>
  <c r="M17" i="23"/>
  <c r="N99" i="28"/>
  <c r="O99" i="28" s="1"/>
  <c r="L99" i="28"/>
  <c r="M17" i="26"/>
  <c r="N99" i="26" s="1"/>
  <c r="L99" i="26"/>
  <c r="P1" i="26"/>
  <c r="P83" i="26" s="1"/>
  <c r="P1" i="27"/>
  <c r="P83" i="27" s="1"/>
  <c r="P1" i="28"/>
  <c r="P83" i="28" s="1"/>
  <c r="P1" i="29"/>
  <c r="P83" i="29" s="1"/>
  <c r="P1" i="30"/>
  <c r="P83" i="30" s="1"/>
  <c r="P1" i="31"/>
  <c r="P83" i="31" s="1"/>
  <c r="P1" i="32"/>
  <c r="P83" i="32" s="1"/>
  <c r="P1" i="33"/>
  <c r="P83" i="33" s="1"/>
  <c r="P1" i="34"/>
  <c r="P83" i="34" s="1"/>
  <c r="P1" i="13"/>
  <c r="P83" i="13" s="1"/>
  <c r="P1" i="25"/>
  <c r="P83" i="25" s="1"/>
  <c r="P1" i="3"/>
  <c r="P83" i="3" s="1"/>
  <c r="P1" i="17"/>
  <c r="P83" i="17" s="1"/>
  <c r="P1" i="18"/>
  <c r="P83" i="18" s="1"/>
  <c r="P1" i="19"/>
  <c r="P83" i="19" s="1"/>
  <c r="P1" i="20"/>
  <c r="P83" i="20" s="1"/>
  <c r="P1" i="21"/>
  <c r="P83" i="21" s="1"/>
  <c r="P1" i="22"/>
  <c r="P83" i="22" s="1"/>
  <c r="P1" i="23"/>
  <c r="P83" i="23" s="1"/>
  <c r="P1" i="24"/>
  <c r="P83" i="24" s="1"/>
  <c r="O3" i="34"/>
  <c r="K11" i="34"/>
  <c r="I17" i="34"/>
  <c r="L17" i="34"/>
  <c r="N17" i="34"/>
  <c r="I18" i="34"/>
  <c r="L18" i="34"/>
  <c r="N18" i="34"/>
  <c r="L19" i="34"/>
  <c r="N21" i="34"/>
  <c r="N28" i="34"/>
  <c r="N29" i="34"/>
  <c r="N30" i="34"/>
  <c r="N31" i="34"/>
  <c r="L32" i="34"/>
  <c r="N32" i="34"/>
  <c r="L33" i="34"/>
  <c r="N33" i="34"/>
  <c r="L34" i="34"/>
  <c r="N34" i="34"/>
  <c r="L35" i="34"/>
  <c r="N35" i="34"/>
  <c r="L36" i="34"/>
  <c r="N36" i="34"/>
  <c r="L37" i="34"/>
  <c r="N37" i="34"/>
  <c r="L38" i="34"/>
  <c r="N38" i="34"/>
  <c r="L39" i="34"/>
  <c r="N39" i="34"/>
  <c r="L40" i="34"/>
  <c r="N40" i="34"/>
  <c r="L41" i="34"/>
  <c r="N41" i="34"/>
  <c r="L42" i="34"/>
  <c r="N42" i="34"/>
  <c r="L43" i="34"/>
  <c r="N43" i="34"/>
  <c r="L44" i="34"/>
  <c r="N44" i="34"/>
  <c r="L45" i="34"/>
  <c r="N45" i="34"/>
  <c r="L46" i="34"/>
  <c r="N46" i="34"/>
  <c r="L47" i="34"/>
  <c r="N47" i="34"/>
  <c r="L48" i="34"/>
  <c r="N48" i="34"/>
  <c r="L49" i="34"/>
  <c r="N49" i="34"/>
  <c r="L50" i="34"/>
  <c r="N50" i="34"/>
  <c r="L51" i="34"/>
  <c r="N51" i="34"/>
  <c r="L52" i="34"/>
  <c r="N52" i="34"/>
  <c r="L53" i="34"/>
  <c r="N53" i="34"/>
  <c r="L54" i="34"/>
  <c r="N54" i="34"/>
  <c r="L55" i="34"/>
  <c r="N55" i="34"/>
  <c r="L56" i="34"/>
  <c r="N56" i="34"/>
  <c r="L57" i="34"/>
  <c r="N57" i="34"/>
  <c r="L58" i="34"/>
  <c r="N58" i="34"/>
  <c r="L59" i="34"/>
  <c r="N59" i="34"/>
  <c r="L60" i="34"/>
  <c r="N60" i="34"/>
  <c r="L61" i="34"/>
  <c r="N61" i="34"/>
  <c r="L62" i="34"/>
  <c r="N62" i="34"/>
  <c r="L63" i="34"/>
  <c r="N63" i="34"/>
  <c r="L64" i="34"/>
  <c r="N64" i="34"/>
  <c r="L65" i="34"/>
  <c r="N65" i="34"/>
  <c r="L66" i="34"/>
  <c r="N66" i="34"/>
  <c r="L67" i="34"/>
  <c r="N67" i="34"/>
  <c r="L68" i="34"/>
  <c r="N68" i="34"/>
  <c r="L69" i="34"/>
  <c r="N69" i="34"/>
  <c r="L70" i="34"/>
  <c r="N70" i="34"/>
  <c r="L71" i="34"/>
  <c r="N71" i="34"/>
  <c r="L72" i="34"/>
  <c r="N72" i="34"/>
  <c r="D89" i="34"/>
  <c r="D91" i="34"/>
  <c r="J93" i="34"/>
  <c r="L93" i="34"/>
  <c r="D96" i="34"/>
  <c r="J99" i="34"/>
  <c r="M99" i="34"/>
  <c r="O99" i="34"/>
  <c r="J100" i="34"/>
  <c r="M100" i="34"/>
  <c r="O100" i="34"/>
  <c r="J101" i="34"/>
  <c r="M101" i="34"/>
  <c r="O110" i="34"/>
  <c r="O111" i="34"/>
  <c r="M112" i="34"/>
  <c r="O112" i="34"/>
  <c r="M113" i="34"/>
  <c r="O113" i="34"/>
  <c r="M114" i="34"/>
  <c r="O114" i="34"/>
  <c r="M115" i="34"/>
  <c r="O115" i="34"/>
  <c r="M116" i="34"/>
  <c r="O116" i="34"/>
  <c r="M117" i="34"/>
  <c r="O117" i="34"/>
  <c r="M118" i="34"/>
  <c r="O118" i="34"/>
  <c r="M119" i="34"/>
  <c r="O119" i="34"/>
  <c r="M120" i="34"/>
  <c r="O120" i="34"/>
  <c r="M121" i="34"/>
  <c r="O121" i="34"/>
  <c r="M122" i="34"/>
  <c r="O122" i="34"/>
  <c r="M123" i="34"/>
  <c r="O123" i="34"/>
  <c r="M124" i="34"/>
  <c r="O124" i="34"/>
  <c r="M125" i="34"/>
  <c r="O125" i="34"/>
  <c r="M126" i="34"/>
  <c r="O126" i="34"/>
  <c r="M127" i="34"/>
  <c r="O127" i="34"/>
  <c r="M128" i="34"/>
  <c r="O128" i="34"/>
  <c r="M129" i="34"/>
  <c r="O129" i="34"/>
  <c r="M130" i="34"/>
  <c r="O130" i="34"/>
  <c r="M131" i="34"/>
  <c r="O131" i="34"/>
  <c r="M132" i="34"/>
  <c r="O132" i="34"/>
  <c r="M133" i="34"/>
  <c r="O133" i="34"/>
  <c r="M134" i="34"/>
  <c r="O134" i="34"/>
  <c r="M135" i="34"/>
  <c r="O135" i="34"/>
  <c r="M136" i="34"/>
  <c r="O136" i="34"/>
  <c r="M137" i="34"/>
  <c r="O137" i="34"/>
  <c r="M138" i="34"/>
  <c r="O138" i="34"/>
  <c r="M139" i="34"/>
  <c r="O139" i="34"/>
  <c r="M140" i="34"/>
  <c r="O140" i="34"/>
  <c r="M141" i="34"/>
  <c r="O141" i="34"/>
  <c r="M142" i="34"/>
  <c r="O142" i="34"/>
  <c r="M143" i="34"/>
  <c r="O143" i="34"/>
  <c r="M144" i="34"/>
  <c r="O144" i="34"/>
  <c r="M145" i="34"/>
  <c r="O145" i="34"/>
  <c r="M146" i="34"/>
  <c r="O146" i="34"/>
  <c r="M147" i="34"/>
  <c r="O147" i="34"/>
  <c r="M148" i="34"/>
  <c r="O148" i="34"/>
  <c r="M149" i="34"/>
  <c r="O149" i="34"/>
  <c r="M150" i="34"/>
  <c r="O150" i="34"/>
  <c r="M151" i="34"/>
  <c r="O151" i="34"/>
  <c r="M152" i="34"/>
  <c r="O152" i="34"/>
  <c r="M153" i="34"/>
  <c r="O153" i="34"/>
  <c r="M154" i="34"/>
  <c r="O154" i="34"/>
  <c r="O3" i="33"/>
  <c r="K11" i="33"/>
  <c r="L17" i="33"/>
  <c r="N17" i="33"/>
  <c r="L18" i="33"/>
  <c r="N18" i="33"/>
  <c r="L19" i="33"/>
  <c r="N19" i="33"/>
  <c r="L20" i="33"/>
  <c r="N20" i="33"/>
  <c r="L21" i="33"/>
  <c r="N21" i="33"/>
  <c r="L22" i="33"/>
  <c r="N22" i="33"/>
  <c r="L23" i="33"/>
  <c r="N23" i="33"/>
  <c r="L24" i="33"/>
  <c r="N24" i="33"/>
  <c r="L25" i="33"/>
  <c r="N25" i="33"/>
  <c r="L26" i="33"/>
  <c r="N26" i="33"/>
  <c r="L27" i="33"/>
  <c r="N27" i="33"/>
  <c r="L28" i="33"/>
  <c r="N28" i="33"/>
  <c r="L29" i="33"/>
  <c r="N29" i="33"/>
  <c r="L30" i="33"/>
  <c r="N30" i="33"/>
  <c r="L31" i="33"/>
  <c r="N31" i="33"/>
  <c r="L32" i="33"/>
  <c r="N32" i="33"/>
  <c r="L33" i="33"/>
  <c r="N33" i="33"/>
  <c r="L34" i="33"/>
  <c r="N34" i="33"/>
  <c r="L35" i="33"/>
  <c r="N35" i="33"/>
  <c r="L36" i="33"/>
  <c r="N36" i="33"/>
  <c r="L37" i="33"/>
  <c r="N37" i="33"/>
  <c r="L38" i="33"/>
  <c r="N38" i="33"/>
  <c r="L39" i="33"/>
  <c r="N39" i="33"/>
  <c r="L40" i="33"/>
  <c r="N40" i="33"/>
  <c r="L41" i="33"/>
  <c r="N41" i="33"/>
  <c r="L42" i="33"/>
  <c r="N42" i="33"/>
  <c r="L43" i="33"/>
  <c r="N43" i="33"/>
  <c r="L44" i="33"/>
  <c r="N44" i="33"/>
  <c r="L45" i="33"/>
  <c r="N45" i="33"/>
  <c r="L46" i="33"/>
  <c r="N46" i="33"/>
  <c r="L47" i="33"/>
  <c r="N47" i="33"/>
  <c r="L48" i="33"/>
  <c r="N48" i="33"/>
  <c r="L49" i="33"/>
  <c r="N49" i="33"/>
  <c r="L50" i="33"/>
  <c r="N50" i="33"/>
  <c r="L51" i="33"/>
  <c r="N51" i="33"/>
  <c r="L52" i="33"/>
  <c r="N52" i="33"/>
  <c r="L53" i="33"/>
  <c r="N53" i="33"/>
  <c r="L54" i="33"/>
  <c r="N54" i="33"/>
  <c r="L55" i="33"/>
  <c r="N55" i="33"/>
  <c r="L56" i="33"/>
  <c r="N56" i="33"/>
  <c r="L57" i="33"/>
  <c r="N57" i="33"/>
  <c r="L58" i="33"/>
  <c r="N58" i="33"/>
  <c r="L59" i="33"/>
  <c r="N59" i="33"/>
  <c r="L60" i="33"/>
  <c r="N60" i="33"/>
  <c r="L61" i="33"/>
  <c r="N61" i="33"/>
  <c r="L62" i="33"/>
  <c r="N62" i="33"/>
  <c r="L63" i="33"/>
  <c r="N63" i="33"/>
  <c r="L64" i="33"/>
  <c r="N64" i="33"/>
  <c r="L65" i="33"/>
  <c r="N65" i="33"/>
  <c r="L66" i="33"/>
  <c r="N66" i="33"/>
  <c r="L67" i="33"/>
  <c r="N67" i="33"/>
  <c r="L68" i="33"/>
  <c r="N68" i="33"/>
  <c r="L69" i="33"/>
  <c r="N69" i="33"/>
  <c r="L70" i="33"/>
  <c r="N70" i="33"/>
  <c r="L71" i="33"/>
  <c r="N71" i="33"/>
  <c r="L72" i="33"/>
  <c r="N72" i="33"/>
  <c r="D89" i="33"/>
  <c r="D91" i="33"/>
  <c r="J93" i="33"/>
  <c r="L93" i="33"/>
  <c r="D96" i="33"/>
  <c r="M99" i="33"/>
  <c r="O99" i="33"/>
  <c r="M100" i="33"/>
  <c r="O100" i="33"/>
  <c r="M101" i="33"/>
  <c r="O101" i="33"/>
  <c r="M102" i="33"/>
  <c r="O102" i="33"/>
  <c r="M103" i="33"/>
  <c r="O103" i="33"/>
  <c r="M104" i="33"/>
  <c r="O104" i="33"/>
  <c r="M105" i="33"/>
  <c r="O105" i="33"/>
  <c r="M106" i="33"/>
  <c r="O106" i="33"/>
  <c r="M107" i="33"/>
  <c r="O107" i="33"/>
  <c r="M108" i="33"/>
  <c r="O108" i="33"/>
  <c r="M109" i="33"/>
  <c r="O109" i="33"/>
  <c r="M110" i="33"/>
  <c r="O110" i="33"/>
  <c r="M111" i="33"/>
  <c r="O111" i="33"/>
  <c r="M112" i="33"/>
  <c r="O112" i="33"/>
  <c r="M113" i="33"/>
  <c r="O113" i="33"/>
  <c r="M114" i="33"/>
  <c r="O114" i="33"/>
  <c r="M115" i="33"/>
  <c r="O115" i="33"/>
  <c r="M116" i="33"/>
  <c r="O116" i="33"/>
  <c r="M117" i="33"/>
  <c r="O117" i="33"/>
  <c r="M118" i="33"/>
  <c r="O118" i="33"/>
  <c r="M119" i="33"/>
  <c r="O119" i="33"/>
  <c r="M120" i="33"/>
  <c r="O120" i="33"/>
  <c r="M121" i="33"/>
  <c r="O121" i="33"/>
  <c r="M122" i="33"/>
  <c r="O122" i="33"/>
  <c r="M123" i="33"/>
  <c r="O123" i="33"/>
  <c r="M124" i="33"/>
  <c r="O124" i="33"/>
  <c r="M125" i="33"/>
  <c r="O125" i="33"/>
  <c r="M126" i="33"/>
  <c r="O126" i="33"/>
  <c r="M127" i="33"/>
  <c r="O127" i="33"/>
  <c r="M128" i="33"/>
  <c r="O128" i="33"/>
  <c r="M129" i="33"/>
  <c r="O129" i="33"/>
  <c r="M130" i="33"/>
  <c r="O130" i="33"/>
  <c r="M131" i="33"/>
  <c r="O131" i="33"/>
  <c r="M132" i="33"/>
  <c r="O132" i="33"/>
  <c r="M133" i="33"/>
  <c r="O133" i="33"/>
  <c r="M134" i="33"/>
  <c r="O134" i="33"/>
  <c r="M135" i="33"/>
  <c r="O135" i="33"/>
  <c r="M136" i="33"/>
  <c r="O136" i="33"/>
  <c r="M137" i="33"/>
  <c r="O137" i="33"/>
  <c r="M138" i="33"/>
  <c r="O138" i="33"/>
  <c r="M139" i="33"/>
  <c r="O139" i="33"/>
  <c r="M140" i="33"/>
  <c r="O140" i="33"/>
  <c r="M141" i="33"/>
  <c r="O141" i="33"/>
  <c r="M142" i="33"/>
  <c r="O142" i="33"/>
  <c r="M143" i="33"/>
  <c r="O143" i="33"/>
  <c r="M144" i="33"/>
  <c r="O144" i="33"/>
  <c r="M145" i="33"/>
  <c r="O145" i="33"/>
  <c r="M146" i="33"/>
  <c r="O146" i="33"/>
  <c r="M147" i="33"/>
  <c r="O147" i="33"/>
  <c r="M148" i="33"/>
  <c r="O148" i="33"/>
  <c r="M149" i="33"/>
  <c r="O149" i="33"/>
  <c r="M150" i="33"/>
  <c r="O150" i="33"/>
  <c r="M151" i="33"/>
  <c r="O151" i="33"/>
  <c r="M152" i="33"/>
  <c r="O152" i="33"/>
  <c r="M153" i="33"/>
  <c r="O153" i="33"/>
  <c r="M154" i="33"/>
  <c r="O154" i="33"/>
  <c r="O3" i="32"/>
  <c r="K11" i="32"/>
  <c r="I17" i="32"/>
  <c r="L17" i="32"/>
  <c r="N17" i="32"/>
  <c r="O17" i="32" s="1"/>
  <c r="I18" i="32"/>
  <c r="L18" i="32"/>
  <c r="N18" i="32"/>
  <c r="N19" i="32"/>
  <c r="N21" i="32"/>
  <c r="N28" i="32"/>
  <c r="N29" i="32"/>
  <c r="N30" i="32"/>
  <c r="N31" i="32"/>
  <c r="L32" i="32"/>
  <c r="N32" i="32"/>
  <c r="L33" i="32"/>
  <c r="N33" i="32"/>
  <c r="L34" i="32"/>
  <c r="N34" i="32"/>
  <c r="L35" i="32"/>
  <c r="N35" i="32"/>
  <c r="L36" i="32"/>
  <c r="N36" i="32"/>
  <c r="L37" i="32"/>
  <c r="N37" i="32"/>
  <c r="L38" i="32"/>
  <c r="N38" i="32"/>
  <c r="L39" i="32"/>
  <c r="N39" i="32"/>
  <c r="L40" i="32"/>
  <c r="N40" i="32"/>
  <c r="L41" i="32"/>
  <c r="N41" i="32"/>
  <c r="L42" i="32"/>
  <c r="N42" i="32"/>
  <c r="L43" i="32"/>
  <c r="N43" i="32"/>
  <c r="L44" i="32"/>
  <c r="N44" i="32"/>
  <c r="L45" i="32"/>
  <c r="N45" i="32"/>
  <c r="L46" i="32"/>
  <c r="N46" i="32"/>
  <c r="L47" i="32"/>
  <c r="N47" i="32"/>
  <c r="L48" i="32"/>
  <c r="N48" i="32"/>
  <c r="L49" i="32"/>
  <c r="N49" i="32"/>
  <c r="L50" i="32"/>
  <c r="N50" i="32"/>
  <c r="L51" i="32"/>
  <c r="N51" i="32"/>
  <c r="L52" i="32"/>
  <c r="N52" i="32"/>
  <c r="L53" i="32"/>
  <c r="N53" i="32"/>
  <c r="L54" i="32"/>
  <c r="N54" i="32"/>
  <c r="L55" i="32"/>
  <c r="N55" i="32"/>
  <c r="L56" i="32"/>
  <c r="N56" i="32"/>
  <c r="L57" i="32"/>
  <c r="N57" i="32"/>
  <c r="L58" i="32"/>
  <c r="N58" i="32"/>
  <c r="L59" i="32"/>
  <c r="N59" i="32"/>
  <c r="L60" i="32"/>
  <c r="N60" i="32"/>
  <c r="L61" i="32"/>
  <c r="N61" i="32"/>
  <c r="L62" i="32"/>
  <c r="N62" i="32"/>
  <c r="L63" i="32"/>
  <c r="N63" i="32"/>
  <c r="L64" i="32"/>
  <c r="N64" i="32"/>
  <c r="L65" i="32"/>
  <c r="N65" i="32"/>
  <c r="L66" i="32"/>
  <c r="N66" i="32"/>
  <c r="L67" i="32"/>
  <c r="N67" i="32"/>
  <c r="L68" i="32"/>
  <c r="N68" i="32"/>
  <c r="L69" i="32"/>
  <c r="N69" i="32"/>
  <c r="L70" i="32"/>
  <c r="N70" i="32"/>
  <c r="L71" i="32"/>
  <c r="N71" i="32"/>
  <c r="L72" i="32"/>
  <c r="N72" i="32"/>
  <c r="D89" i="32"/>
  <c r="D91" i="32"/>
  <c r="J93" i="32"/>
  <c r="L93" i="32"/>
  <c r="D96" i="32"/>
  <c r="J99" i="32"/>
  <c r="M99" i="32"/>
  <c r="O99" i="32"/>
  <c r="J100" i="32"/>
  <c r="M100" i="32"/>
  <c r="P100" i="32" s="1"/>
  <c r="J101" i="32"/>
  <c r="O102" i="32"/>
  <c r="M103" i="32"/>
  <c r="O103" i="32"/>
  <c r="O110" i="32"/>
  <c r="O111" i="32"/>
  <c r="M112" i="32"/>
  <c r="O112" i="32"/>
  <c r="M113" i="32"/>
  <c r="O113" i="32"/>
  <c r="M114" i="32"/>
  <c r="O114" i="32"/>
  <c r="M115" i="32"/>
  <c r="O115" i="32"/>
  <c r="M116" i="32"/>
  <c r="O116" i="32"/>
  <c r="M117" i="32"/>
  <c r="O117" i="32"/>
  <c r="M118" i="32"/>
  <c r="O118" i="32"/>
  <c r="M119" i="32"/>
  <c r="O119" i="32"/>
  <c r="M120" i="32"/>
  <c r="O120" i="32"/>
  <c r="M121" i="32"/>
  <c r="O121" i="32"/>
  <c r="M122" i="32"/>
  <c r="O122" i="32"/>
  <c r="M123" i="32"/>
  <c r="O123" i="32"/>
  <c r="M124" i="32"/>
  <c r="O124" i="32"/>
  <c r="M125" i="32"/>
  <c r="O125" i="32"/>
  <c r="M126" i="32"/>
  <c r="O126" i="32"/>
  <c r="M127" i="32"/>
  <c r="O127" i="32"/>
  <c r="M128" i="32"/>
  <c r="O128" i="32"/>
  <c r="M129" i="32"/>
  <c r="O129" i="32"/>
  <c r="M130" i="32"/>
  <c r="O130" i="32"/>
  <c r="M131" i="32"/>
  <c r="O131" i="32"/>
  <c r="M132" i="32"/>
  <c r="O132" i="32"/>
  <c r="M133" i="32"/>
  <c r="O133" i="32"/>
  <c r="M134" i="32"/>
  <c r="O134" i="32"/>
  <c r="M135" i="32"/>
  <c r="O135" i="32"/>
  <c r="M136" i="32"/>
  <c r="O136" i="32"/>
  <c r="M137" i="32"/>
  <c r="O137" i="32"/>
  <c r="M138" i="32"/>
  <c r="O138" i="32"/>
  <c r="M139" i="32"/>
  <c r="O139" i="32"/>
  <c r="M140" i="32"/>
  <c r="O140" i="32"/>
  <c r="M141" i="32"/>
  <c r="O141" i="32"/>
  <c r="M142" i="32"/>
  <c r="O142" i="32"/>
  <c r="M143" i="32"/>
  <c r="O143" i="32"/>
  <c r="M144" i="32"/>
  <c r="O144" i="32"/>
  <c r="M145" i="32"/>
  <c r="O145" i="32"/>
  <c r="M146" i="32"/>
  <c r="O146" i="32"/>
  <c r="M147" i="32"/>
  <c r="O147" i="32"/>
  <c r="M148" i="32"/>
  <c r="O148" i="32"/>
  <c r="M149" i="32"/>
  <c r="O149" i="32"/>
  <c r="M150" i="32"/>
  <c r="O150" i="32"/>
  <c r="M151" i="32"/>
  <c r="O151" i="32"/>
  <c r="M152" i="32"/>
  <c r="O152" i="32"/>
  <c r="M153" i="32"/>
  <c r="O153" i="32"/>
  <c r="M154" i="32"/>
  <c r="O154" i="32"/>
  <c r="O3" i="31"/>
  <c r="K11" i="31"/>
  <c r="I17" i="31"/>
  <c r="L17" i="31"/>
  <c r="N17" i="31"/>
  <c r="O17" i="31" s="1"/>
  <c r="I18" i="31"/>
  <c r="L18" i="31"/>
  <c r="N18" i="31"/>
  <c r="N19" i="31"/>
  <c r="O19" i="31" s="1"/>
  <c r="L21" i="31"/>
  <c r="N21" i="31"/>
  <c r="N28" i="31"/>
  <c r="O28" i="31" s="1"/>
  <c r="N29" i="31"/>
  <c r="N30" i="31"/>
  <c r="N31" i="31"/>
  <c r="L32" i="31"/>
  <c r="N32" i="31"/>
  <c r="L33" i="31"/>
  <c r="N33" i="31"/>
  <c r="L34" i="31"/>
  <c r="N34" i="31"/>
  <c r="L35" i="31"/>
  <c r="N35" i="31"/>
  <c r="L36" i="31"/>
  <c r="N36" i="31"/>
  <c r="L37" i="31"/>
  <c r="N37" i="31"/>
  <c r="L38" i="31"/>
  <c r="N38" i="31"/>
  <c r="L39" i="31"/>
  <c r="N39" i="31"/>
  <c r="L40" i="31"/>
  <c r="N40" i="31"/>
  <c r="L41" i="31"/>
  <c r="N41" i="31"/>
  <c r="L42" i="31"/>
  <c r="N42" i="31"/>
  <c r="L43" i="31"/>
  <c r="N43" i="31"/>
  <c r="L44" i="31"/>
  <c r="N44" i="31"/>
  <c r="L45" i="31"/>
  <c r="N45" i="31"/>
  <c r="L46" i="31"/>
  <c r="N46" i="31"/>
  <c r="L47" i="31"/>
  <c r="N47" i="31"/>
  <c r="L48" i="31"/>
  <c r="N48" i="31"/>
  <c r="L49" i="31"/>
  <c r="N49" i="31"/>
  <c r="L50" i="31"/>
  <c r="N50" i="31"/>
  <c r="L51" i="31"/>
  <c r="N51" i="31"/>
  <c r="L52" i="31"/>
  <c r="N52" i="31"/>
  <c r="L53" i="31"/>
  <c r="N53" i="31"/>
  <c r="L54" i="31"/>
  <c r="N54" i="31"/>
  <c r="L55" i="31"/>
  <c r="N55" i="31"/>
  <c r="L56" i="31"/>
  <c r="N56" i="31"/>
  <c r="L57" i="31"/>
  <c r="N57" i="31"/>
  <c r="L58" i="31"/>
  <c r="N58" i="31"/>
  <c r="L59" i="31"/>
  <c r="N59" i="31"/>
  <c r="L60" i="31"/>
  <c r="N60" i="31"/>
  <c r="L61" i="31"/>
  <c r="N61" i="31"/>
  <c r="L62" i="31"/>
  <c r="N62" i="31"/>
  <c r="L63" i="31"/>
  <c r="N63" i="31"/>
  <c r="L64" i="31"/>
  <c r="N64" i="31"/>
  <c r="L65" i="31"/>
  <c r="N65" i="31"/>
  <c r="L66" i="31"/>
  <c r="N66" i="31"/>
  <c r="L67" i="31"/>
  <c r="N67" i="31"/>
  <c r="L68" i="31"/>
  <c r="N68" i="31"/>
  <c r="L69" i="31"/>
  <c r="N69" i="31"/>
  <c r="L70" i="31"/>
  <c r="N70" i="31"/>
  <c r="L71" i="31"/>
  <c r="N71" i="31"/>
  <c r="L72" i="31"/>
  <c r="N72" i="31"/>
  <c r="D89" i="31"/>
  <c r="D91" i="31"/>
  <c r="J93" i="31"/>
  <c r="L93" i="31"/>
  <c r="D96" i="31"/>
  <c r="J99" i="31"/>
  <c r="M99" i="31"/>
  <c r="O99" i="31"/>
  <c r="P99" i="31" s="1"/>
  <c r="J100" i="31"/>
  <c r="M100" i="31"/>
  <c r="J101" i="31"/>
  <c r="M101" i="31"/>
  <c r="O102" i="31"/>
  <c r="M103" i="31"/>
  <c r="O110" i="31"/>
  <c r="O111" i="31"/>
  <c r="M112" i="31"/>
  <c r="O112" i="31"/>
  <c r="M113" i="31"/>
  <c r="O113" i="31"/>
  <c r="M114" i="31"/>
  <c r="O114" i="31"/>
  <c r="M115" i="31"/>
  <c r="O115" i="31"/>
  <c r="M116" i="31"/>
  <c r="O116" i="31"/>
  <c r="M117" i="31"/>
  <c r="O117" i="31"/>
  <c r="M118" i="31"/>
  <c r="O118" i="31"/>
  <c r="M119" i="31"/>
  <c r="O119" i="31"/>
  <c r="M120" i="31"/>
  <c r="O120" i="31"/>
  <c r="M121" i="31"/>
  <c r="O121" i="31"/>
  <c r="M122" i="31"/>
  <c r="O122" i="31"/>
  <c r="M123" i="31"/>
  <c r="O123" i="31"/>
  <c r="M124" i="31"/>
  <c r="O124" i="31"/>
  <c r="M125" i="31"/>
  <c r="O125" i="31"/>
  <c r="M126" i="31"/>
  <c r="O126" i="31"/>
  <c r="M127" i="31"/>
  <c r="O127" i="31"/>
  <c r="M128" i="31"/>
  <c r="O128" i="31"/>
  <c r="M129" i="31"/>
  <c r="O129" i="31"/>
  <c r="M130" i="31"/>
  <c r="O130" i="31"/>
  <c r="M131" i="31"/>
  <c r="O131" i="31"/>
  <c r="M132" i="31"/>
  <c r="O132" i="31"/>
  <c r="M133" i="31"/>
  <c r="O133" i="31"/>
  <c r="M134" i="31"/>
  <c r="O134" i="31"/>
  <c r="M135" i="31"/>
  <c r="O135" i="31"/>
  <c r="M136" i="31"/>
  <c r="O136" i="31"/>
  <c r="M137" i="31"/>
  <c r="O137" i="31"/>
  <c r="M138" i="31"/>
  <c r="O138" i="31"/>
  <c r="M139" i="31"/>
  <c r="O139" i="31"/>
  <c r="M140" i="31"/>
  <c r="O140" i="31"/>
  <c r="M141" i="31"/>
  <c r="O141" i="31"/>
  <c r="M142" i="31"/>
  <c r="O142" i="31"/>
  <c r="M143" i="31"/>
  <c r="O143" i="31"/>
  <c r="M144" i="31"/>
  <c r="O144" i="31"/>
  <c r="M145" i="31"/>
  <c r="O145" i="31"/>
  <c r="M146" i="31"/>
  <c r="O146" i="31"/>
  <c r="M147" i="31"/>
  <c r="O147" i="31"/>
  <c r="M148" i="31"/>
  <c r="O148" i="31"/>
  <c r="M149" i="31"/>
  <c r="O149" i="31"/>
  <c r="M150" i="31"/>
  <c r="O150" i="31"/>
  <c r="M151" i="31"/>
  <c r="O151" i="31"/>
  <c r="M152" i="31"/>
  <c r="O152" i="31"/>
  <c r="M153" i="31"/>
  <c r="O153" i="31"/>
  <c r="M154" i="31"/>
  <c r="O154" i="31"/>
  <c r="O3" i="30"/>
  <c r="K11" i="30"/>
  <c r="I17" i="30"/>
  <c r="L17" i="30"/>
  <c r="N17" i="30"/>
  <c r="I18" i="30"/>
  <c r="L18" i="30"/>
  <c r="N18" i="30"/>
  <c r="I19" i="30"/>
  <c r="L19" i="30"/>
  <c r="N19" i="30"/>
  <c r="N20" i="30"/>
  <c r="L21" i="30"/>
  <c r="N21" i="30"/>
  <c r="N22" i="30"/>
  <c r="N29" i="30"/>
  <c r="O29" i="30" s="1"/>
  <c r="N30" i="30"/>
  <c r="N31" i="30"/>
  <c r="N32" i="30"/>
  <c r="L33" i="30"/>
  <c r="N33" i="30"/>
  <c r="L34" i="30"/>
  <c r="N34" i="30"/>
  <c r="L35" i="30"/>
  <c r="N35" i="30"/>
  <c r="L36" i="30"/>
  <c r="N36" i="30"/>
  <c r="L37" i="30"/>
  <c r="N37" i="30"/>
  <c r="L38" i="30"/>
  <c r="N38" i="30"/>
  <c r="L39" i="30"/>
  <c r="N39" i="30"/>
  <c r="L40" i="30"/>
  <c r="N40" i="30"/>
  <c r="L41" i="30"/>
  <c r="N41" i="30"/>
  <c r="L42" i="30"/>
  <c r="N42" i="30"/>
  <c r="L43" i="30"/>
  <c r="N43" i="30"/>
  <c r="L44" i="30"/>
  <c r="N44" i="30"/>
  <c r="L45" i="30"/>
  <c r="N45" i="30"/>
  <c r="L46" i="30"/>
  <c r="N46" i="30"/>
  <c r="L47" i="30"/>
  <c r="N47" i="30"/>
  <c r="L48" i="30"/>
  <c r="N48" i="30"/>
  <c r="L49" i="30"/>
  <c r="N49" i="30"/>
  <c r="L50" i="30"/>
  <c r="N50" i="30"/>
  <c r="L51" i="30"/>
  <c r="N51" i="30"/>
  <c r="L52" i="30"/>
  <c r="N52" i="30"/>
  <c r="L53" i="30"/>
  <c r="N53" i="30"/>
  <c r="L54" i="30"/>
  <c r="N54" i="30"/>
  <c r="L55" i="30"/>
  <c r="N55" i="30"/>
  <c r="L56" i="30"/>
  <c r="N56" i="30"/>
  <c r="L57" i="30"/>
  <c r="N57" i="30"/>
  <c r="L58" i="30"/>
  <c r="N58" i="30"/>
  <c r="L59" i="30"/>
  <c r="N59" i="30"/>
  <c r="L60" i="30"/>
  <c r="N60" i="30"/>
  <c r="L61" i="30"/>
  <c r="N61" i="30"/>
  <c r="L62" i="30"/>
  <c r="N62" i="30"/>
  <c r="L63" i="30"/>
  <c r="N63" i="30"/>
  <c r="L64" i="30"/>
  <c r="N64" i="30"/>
  <c r="L65" i="30"/>
  <c r="N65" i="30"/>
  <c r="L66" i="30"/>
  <c r="N66" i="30"/>
  <c r="L67" i="30"/>
  <c r="N67" i="30"/>
  <c r="L68" i="30"/>
  <c r="N68" i="30"/>
  <c r="L69" i="30"/>
  <c r="N69" i="30"/>
  <c r="L70" i="30"/>
  <c r="N70" i="30"/>
  <c r="L71" i="30"/>
  <c r="N71" i="30"/>
  <c r="L72" i="30"/>
  <c r="N72" i="30"/>
  <c r="D89" i="30"/>
  <c r="D91" i="30"/>
  <c r="J93" i="30"/>
  <c r="L93" i="30"/>
  <c r="D96" i="30"/>
  <c r="J99" i="30"/>
  <c r="M99" i="30"/>
  <c r="O99" i="30"/>
  <c r="P99" i="30" s="1"/>
  <c r="J100" i="30"/>
  <c r="M100" i="30"/>
  <c r="O100" i="30"/>
  <c r="P100" i="30" s="1"/>
  <c r="J101" i="30"/>
  <c r="J102" i="30"/>
  <c r="M104" i="30"/>
  <c r="O104" i="30"/>
  <c r="O111" i="30"/>
  <c r="O112" i="30"/>
  <c r="M113" i="30"/>
  <c r="O113" i="30"/>
  <c r="M114" i="30"/>
  <c r="O114" i="30"/>
  <c r="M115" i="30"/>
  <c r="O115" i="30"/>
  <c r="M116" i="30"/>
  <c r="O116" i="30"/>
  <c r="M117" i="30"/>
  <c r="O117" i="30"/>
  <c r="M118" i="30"/>
  <c r="O118" i="30"/>
  <c r="M119" i="30"/>
  <c r="O119" i="30"/>
  <c r="M120" i="30"/>
  <c r="O120" i="30"/>
  <c r="M121" i="30"/>
  <c r="O121" i="30"/>
  <c r="M122" i="30"/>
  <c r="O122" i="30"/>
  <c r="M123" i="30"/>
  <c r="O123" i="30"/>
  <c r="M124" i="30"/>
  <c r="O124" i="30"/>
  <c r="M125" i="30"/>
  <c r="O125" i="30"/>
  <c r="M126" i="30"/>
  <c r="O126" i="30"/>
  <c r="M127" i="30"/>
  <c r="O127" i="30"/>
  <c r="M128" i="30"/>
  <c r="O128" i="30"/>
  <c r="M129" i="30"/>
  <c r="O129" i="30"/>
  <c r="M130" i="30"/>
  <c r="O130" i="30"/>
  <c r="M131" i="30"/>
  <c r="O131" i="30"/>
  <c r="M132" i="30"/>
  <c r="O132" i="30"/>
  <c r="M133" i="30"/>
  <c r="O133" i="30"/>
  <c r="M134" i="30"/>
  <c r="O134" i="30"/>
  <c r="M135" i="30"/>
  <c r="O135" i="30"/>
  <c r="M136" i="30"/>
  <c r="O136" i="30"/>
  <c r="M137" i="30"/>
  <c r="O137" i="30"/>
  <c r="M138" i="30"/>
  <c r="O138" i="30"/>
  <c r="M139" i="30"/>
  <c r="O139" i="30"/>
  <c r="M140" i="30"/>
  <c r="O140" i="30"/>
  <c r="M141" i="30"/>
  <c r="O141" i="30"/>
  <c r="M142" i="30"/>
  <c r="O142" i="30"/>
  <c r="M143" i="30"/>
  <c r="O143" i="30"/>
  <c r="M144" i="30"/>
  <c r="O144" i="30"/>
  <c r="M145" i="30"/>
  <c r="O145" i="30"/>
  <c r="M146" i="30"/>
  <c r="O146" i="30"/>
  <c r="M147" i="30"/>
  <c r="O147" i="30"/>
  <c r="M148" i="30"/>
  <c r="O148" i="30"/>
  <c r="M149" i="30"/>
  <c r="O149" i="30"/>
  <c r="M150" i="30"/>
  <c r="O150" i="30"/>
  <c r="M151" i="30"/>
  <c r="O151" i="30"/>
  <c r="M152" i="30"/>
  <c r="O152" i="30"/>
  <c r="M153" i="30"/>
  <c r="O153" i="30"/>
  <c r="M154" i="30"/>
  <c r="O154" i="30"/>
  <c r="O3" i="29"/>
  <c r="K11" i="29"/>
  <c r="I17" i="29"/>
  <c r="L17" i="29"/>
  <c r="N17" i="29"/>
  <c r="O17" i="29" s="1"/>
  <c r="I18" i="29"/>
  <c r="L18" i="29"/>
  <c r="N18" i="29"/>
  <c r="I19" i="29"/>
  <c r="L20" i="29"/>
  <c r="L21" i="29"/>
  <c r="N21" i="29"/>
  <c r="N22" i="29"/>
  <c r="O29" i="29"/>
  <c r="N30" i="29"/>
  <c r="N31" i="29"/>
  <c r="N32" i="29"/>
  <c r="L33" i="29"/>
  <c r="N33" i="29"/>
  <c r="L34" i="29"/>
  <c r="N34" i="29"/>
  <c r="L35" i="29"/>
  <c r="N35" i="29"/>
  <c r="L36" i="29"/>
  <c r="N36" i="29"/>
  <c r="L37" i="29"/>
  <c r="N37" i="29"/>
  <c r="L38" i="29"/>
  <c r="N38" i="29"/>
  <c r="L39" i="29"/>
  <c r="N39" i="29"/>
  <c r="L40" i="29"/>
  <c r="N40" i="29"/>
  <c r="L41" i="29"/>
  <c r="N41" i="29"/>
  <c r="L42" i="29"/>
  <c r="N42" i="29"/>
  <c r="L43" i="29"/>
  <c r="N43" i="29"/>
  <c r="L44" i="29"/>
  <c r="N44" i="29"/>
  <c r="L45" i="29"/>
  <c r="N45" i="29"/>
  <c r="L46" i="29"/>
  <c r="N46" i="29"/>
  <c r="L47" i="29"/>
  <c r="N47" i="29"/>
  <c r="L48" i="29"/>
  <c r="N48" i="29"/>
  <c r="L49" i="29"/>
  <c r="N49" i="29"/>
  <c r="L50" i="29"/>
  <c r="N50" i="29"/>
  <c r="L51" i="29"/>
  <c r="N51" i="29"/>
  <c r="L52" i="29"/>
  <c r="N52" i="29"/>
  <c r="L53" i="29"/>
  <c r="N53" i="29"/>
  <c r="L54" i="29"/>
  <c r="N54" i="29"/>
  <c r="L55" i="29"/>
  <c r="N55" i="29"/>
  <c r="L56" i="29"/>
  <c r="N56" i="29"/>
  <c r="L57" i="29"/>
  <c r="N57" i="29"/>
  <c r="L58" i="29"/>
  <c r="N58" i="29"/>
  <c r="L59" i="29"/>
  <c r="N59" i="29"/>
  <c r="L60" i="29"/>
  <c r="N60" i="29"/>
  <c r="L61" i="29"/>
  <c r="N61" i="29"/>
  <c r="L62" i="29"/>
  <c r="N62" i="29"/>
  <c r="L63" i="29"/>
  <c r="N63" i="29"/>
  <c r="L64" i="29"/>
  <c r="N64" i="29"/>
  <c r="L65" i="29"/>
  <c r="N65" i="29"/>
  <c r="L66" i="29"/>
  <c r="N66" i="29"/>
  <c r="L67" i="29"/>
  <c r="N67" i="29"/>
  <c r="L68" i="29"/>
  <c r="N68" i="29"/>
  <c r="L69" i="29"/>
  <c r="N69" i="29"/>
  <c r="L70" i="29"/>
  <c r="N70" i="29"/>
  <c r="L71" i="29"/>
  <c r="N71" i="29"/>
  <c r="L72" i="29"/>
  <c r="N72" i="29"/>
  <c r="D89" i="29"/>
  <c r="D91" i="29"/>
  <c r="J93" i="29"/>
  <c r="L93" i="29"/>
  <c r="D96" i="29"/>
  <c r="J99" i="29"/>
  <c r="M99" i="29"/>
  <c r="O99" i="29"/>
  <c r="J100" i="29"/>
  <c r="M100" i="29"/>
  <c r="O100" i="29"/>
  <c r="P100" i="29" s="1"/>
  <c r="J101" i="29"/>
  <c r="O101" i="29"/>
  <c r="J102" i="29"/>
  <c r="M102" i="29"/>
  <c r="M103" i="29"/>
  <c r="P104" i="29"/>
  <c r="O111" i="29"/>
  <c r="O112" i="29"/>
  <c r="M113" i="29"/>
  <c r="O113" i="29"/>
  <c r="M114" i="29"/>
  <c r="O114" i="29"/>
  <c r="M115" i="29"/>
  <c r="O115" i="29"/>
  <c r="M116" i="29"/>
  <c r="O116" i="29"/>
  <c r="M117" i="29"/>
  <c r="O117" i="29"/>
  <c r="M118" i="29"/>
  <c r="O118" i="29"/>
  <c r="M119" i="29"/>
  <c r="O119" i="29"/>
  <c r="M120" i="29"/>
  <c r="O120" i="29"/>
  <c r="M121" i="29"/>
  <c r="O121" i="29"/>
  <c r="M122" i="29"/>
  <c r="O122" i="29"/>
  <c r="M123" i="29"/>
  <c r="O123" i="29"/>
  <c r="M124" i="29"/>
  <c r="O124" i="29"/>
  <c r="M125" i="29"/>
  <c r="O125" i="29"/>
  <c r="M126" i="29"/>
  <c r="O126" i="29"/>
  <c r="M127" i="29"/>
  <c r="O127" i="29"/>
  <c r="M128" i="29"/>
  <c r="O128" i="29"/>
  <c r="M129" i="29"/>
  <c r="O129" i="29"/>
  <c r="M130" i="29"/>
  <c r="O130" i="29"/>
  <c r="M131" i="29"/>
  <c r="O131" i="29"/>
  <c r="M132" i="29"/>
  <c r="O132" i="29"/>
  <c r="M133" i="29"/>
  <c r="O133" i="29"/>
  <c r="M134" i="29"/>
  <c r="O134" i="29"/>
  <c r="M135" i="29"/>
  <c r="O135" i="29"/>
  <c r="M136" i="29"/>
  <c r="O136" i="29"/>
  <c r="M137" i="29"/>
  <c r="O137" i="29"/>
  <c r="M138" i="29"/>
  <c r="O138" i="29"/>
  <c r="M139" i="29"/>
  <c r="O139" i="29"/>
  <c r="M140" i="29"/>
  <c r="O140" i="29"/>
  <c r="M141" i="29"/>
  <c r="O141" i="29"/>
  <c r="M142" i="29"/>
  <c r="O142" i="29"/>
  <c r="M143" i="29"/>
  <c r="O143" i="29"/>
  <c r="M144" i="29"/>
  <c r="O144" i="29"/>
  <c r="M145" i="29"/>
  <c r="O145" i="29"/>
  <c r="M146" i="29"/>
  <c r="O146" i="29"/>
  <c r="M147" i="29"/>
  <c r="O147" i="29"/>
  <c r="M148" i="29"/>
  <c r="O148" i="29"/>
  <c r="M149" i="29"/>
  <c r="O149" i="29"/>
  <c r="M150" i="29"/>
  <c r="O150" i="29"/>
  <c r="M151" i="29"/>
  <c r="O151" i="29"/>
  <c r="M152" i="29"/>
  <c r="O152" i="29"/>
  <c r="M153" i="29"/>
  <c r="O153" i="29"/>
  <c r="M154" i="29"/>
  <c r="O154" i="29"/>
  <c r="O3" i="28"/>
  <c r="K11" i="28"/>
  <c r="I17" i="28"/>
  <c r="L17" i="28"/>
  <c r="N17" i="28"/>
  <c r="I18" i="28"/>
  <c r="L18" i="28"/>
  <c r="N18" i="28"/>
  <c r="I19" i="28"/>
  <c r="L19" i="28"/>
  <c r="N19" i="28"/>
  <c r="I20" i="28"/>
  <c r="L20" i="28"/>
  <c r="N20" i="28"/>
  <c r="L21" i="28"/>
  <c r="L22" i="28"/>
  <c r="N23" i="28"/>
  <c r="N30" i="28"/>
  <c r="N31" i="28"/>
  <c r="O31" i="28" s="1"/>
  <c r="N32" i="28"/>
  <c r="N33" i="28"/>
  <c r="L34" i="28"/>
  <c r="N34" i="28"/>
  <c r="L35" i="28"/>
  <c r="N35" i="28"/>
  <c r="L36" i="28"/>
  <c r="N36" i="28"/>
  <c r="L37" i="28"/>
  <c r="N37" i="28"/>
  <c r="L38" i="28"/>
  <c r="N38" i="28"/>
  <c r="L39" i="28"/>
  <c r="N39" i="28"/>
  <c r="L40" i="28"/>
  <c r="N40" i="28"/>
  <c r="L41" i="28"/>
  <c r="N41" i="28"/>
  <c r="L42" i="28"/>
  <c r="N42" i="28"/>
  <c r="L43" i="28"/>
  <c r="N43" i="28"/>
  <c r="L44" i="28"/>
  <c r="N44" i="28"/>
  <c r="L45" i="28"/>
  <c r="N45" i="28"/>
  <c r="L46" i="28"/>
  <c r="N46" i="28"/>
  <c r="L47" i="28"/>
  <c r="N47" i="28"/>
  <c r="L48" i="28"/>
  <c r="N48" i="28"/>
  <c r="L49" i="28"/>
  <c r="N49" i="28"/>
  <c r="L50" i="28"/>
  <c r="N50" i="28"/>
  <c r="L51" i="28"/>
  <c r="N51" i="28"/>
  <c r="L52" i="28"/>
  <c r="N52" i="28"/>
  <c r="L53" i="28"/>
  <c r="N53" i="28"/>
  <c r="L54" i="28"/>
  <c r="N54" i="28"/>
  <c r="L55" i="28"/>
  <c r="N55" i="28"/>
  <c r="L56" i="28"/>
  <c r="N56" i="28"/>
  <c r="L57" i="28"/>
  <c r="N57" i="28"/>
  <c r="L58" i="28"/>
  <c r="N58" i="28"/>
  <c r="L59" i="28"/>
  <c r="N59" i="28"/>
  <c r="L60" i="28"/>
  <c r="N60" i="28"/>
  <c r="L61" i="28"/>
  <c r="N61" i="28"/>
  <c r="L62" i="28"/>
  <c r="N62" i="28"/>
  <c r="L63" i="28"/>
  <c r="N63" i="28"/>
  <c r="L64" i="28"/>
  <c r="N64" i="28"/>
  <c r="L65" i="28"/>
  <c r="N65" i="28"/>
  <c r="L66" i="28"/>
  <c r="N66" i="28"/>
  <c r="L67" i="28"/>
  <c r="N67" i="28"/>
  <c r="L68" i="28"/>
  <c r="N68" i="28"/>
  <c r="L69" i="28"/>
  <c r="N69" i="28"/>
  <c r="L70" i="28"/>
  <c r="N70" i="28"/>
  <c r="L71" i="28"/>
  <c r="N71" i="28"/>
  <c r="L72" i="28"/>
  <c r="N72" i="28"/>
  <c r="D89" i="28"/>
  <c r="D91" i="28"/>
  <c r="J93" i="28"/>
  <c r="L93" i="28"/>
  <c r="D96" i="28"/>
  <c r="J99" i="28"/>
  <c r="M99" i="28"/>
  <c r="J100" i="28"/>
  <c r="P100" i="28"/>
  <c r="J101" i="28"/>
  <c r="J102" i="28"/>
  <c r="M102" i="28"/>
  <c r="P102" i="28"/>
  <c r="J103" i="28"/>
  <c r="M103" i="28"/>
  <c r="M104" i="28"/>
  <c r="M105" i="28"/>
  <c r="O105" i="28"/>
  <c r="O112" i="28"/>
  <c r="O113" i="28"/>
  <c r="M114" i="28"/>
  <c r="O114" i="28"/>
  <c r="M115" i="28"/>
  <c r="O115" i="28"/>
  <c r="M116" i="28"/>
  <c r="O116" i="28"/>
  <c r="M117" i="28"/>
  <c r="O117" i="28"/>
  <c r="M118" i="28"/>
  <c r="O118" i="28"/>
  <c r="M119" i="28"/>
  <c r="O119" i="28"/>
  <c r="M120" i="28"/>
  <c r="O120" i="28"/>
  <c r="M121" i="28"/>
  <c r="O121" i="28"/>
  <c r="M122" i="28"/>
  <c r="O122" i="28"/>
  <c r="M123" i="28"/>
  <c r="O123" i="28"/>
  <c r="M124" i="28"/>
  <c r="O124" i="28"/>
  <c r="M125" i="28"/>
  <c r="O125" i="28"/>
  <c r="M126" i="28"/>
  <c r="O126" i="28"/>
  <c r="M127" i="28"/>
  <c r="O127" i="28"/>
  <c r="M128" i="28"/>
  <c r="O128" i="28"/>
  <c r="M129" i="28"/>
  <c r="O129" i="28"/>
  <c r="M130" i="28"/>
  <c r="O130" i="28"/>
  <c r="M131" i="28"/>
  <c r="O131" i="28"/>
  <c r="M132" i="28"/>
  <c r="O132" i="28"/>
  <c r="M133" i="28"/>
  <c r="O133" i="28"/>
  <c r="M134" i="28"/>
  <c r="O134" i="28"/>
  <c r="M135" i="28"/>
  <c r="O135" i="28"/>
  <c r="M136" i="28"/>
  <c r="O136" i="28"/>
  <c r="M137" i="28"/>
  <c r="O137" i="28"/>
  <c r="M138" i="28"/>
  <c r="O138" i="28"/>
  <c r="M139" i="28"/>
  <c r="O139" i="28"/>
  <c r="M140" i="28"/>
  <c r="O140" i="28"/>
  <c r="M141" i="28"/>
  <c r="O141" i="28"/>
  <c r="M142" i="28"/>
  <c r="O142" i="28"/>
  <c r="M143" i="28"/>
  <c r="O143" i="28"/>
  <c r="M144" i="28"/>
  <c r="O144" i="28"/>
  <c r="M145" i="28"/>
  <c r="O145" i="28"/>
  <c r="M146" i="28"/>
  <c r="O146" i="28"/>
  <c r="M147" i="28"/>
  <c r="O147" i="28"/>
  <c r="M148" i="28"/>
  <c r="O148" i="28"/>
  <c r="M149" i="28"/>
  <c r="O149" i="28"/>
  <c r="M150" i="28"/>
  <c r="O150" i="28"/>
  <c r="M151" i="28"/>
  <c r="O151" i="28"/>
  <c r="M152" i="28"/>
  <c r="O152" i="28"/>
  <c r="M153" i="28"/>
  <c r="O153" i="28"/>
  <c r="M154" i="28"/>
  <c r="O154" i="28"/>
  <c r="O3" i="27"/>
  <c r="K11" i="27"/>
  <c r="I17" i="27"/>
  <c r="L17" i="27"/>
  <c r="N17" i="27"/>
  <c r="I18" i="27"/>
  <c r="L18" i="27"/>
  <c r="N18" i="27"/>
  <c r="I19" i="27"/>
  <c r="L19" i="27"/>
  <c r="N19" i="27"/>
  <c r="L20" i="27"/>
  <c r="L21" i="27"/>
  <c r="L22" i="27"/>
  <c r="N22" i="27"/>
  <c r="N29" i="27"/>
  <c r="N30" i="27"/>
  <c r="N31" i="27"/>
  <c r="N32" i="27"/>
  <c r="L33" i="27"/>
  <c r="N33" i="27"/>
  <c r="L34" i="27"/>
  <c r="N34" i="27"/>
  <c r="L35" i="27"/>
  <c r="N35" i="27"/>
  <c r="L36" i="27"/>
  <c r="N36" i="27"/>
  <c r="L37" i="27"/>
  <c r="N37" i="27"/>
  <c r="L38" i="27"/>
  <c r="N38" i="27"/>
  <c r="L39" i="27"/>
  <c r="N39" i="27"/>
  <c r="L40" i="27"/>
  <c r="N40" i="27"/>
  <c r="L41" i="27"/>
  <c r="N41" i="27"/>
  <c r="L42" i="27"/>
  <c r="N42" i="27"/>
  <c r="L43" i="27"/>
  <c r="N43" i="27"/>
  <c r="L44" i="27"/>
  <c r="N44" i="27"/>
  <c r="C45" i="27"/>
  <c r="C46" i="27" s="1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L45" i="27"/>
  <c r="N45" i="27"/>
  <c r="L46" i="27"/>
  <c r="N46" i="27"/>
  <c r="L47" i="27"/>
  <c r="N47" i="27"/>
  <c r="L48" i="27"/>
  <c r="N48" i="27"/>
  <c r="L49" i="27"/>
  <c r="N49" i="27"/>
  <c r="L50" i="27"/>
  <c r="N50" i="27"/>
  <c r="L51" i="27"/>
  <c r="N51" i="27"/>
  <c r="L52" i="27"/>
  <c r="N52" i="27"/>
  <c r="L53" i="27"/>
  <c r="N53" i="27"/>
  <c r="L54" i="27"/>
  <c r="N54" i="27"/>
  <c r="L55" i="27"/>
  <c r="N55" i="27"/>
  <c r="L56" i="27"/>
  <c r="N56" i="27"/>
  <c r="L57" i="27"/>
  <c r="N57" i="27"/>
  <c r="L58" i="27"/>
  <c r="N58" i="27"/>
  <c r="L59" i="27"/>
  <c r="N59" i="27"/>
  <c r="L60" i="27"/>
  <c r="N60" i="27"/>
  <c r="L61" i="27"/>
  <c r="N61" i="27"/>
  <c r="L62" i="27"/>
  <c r="N62" i="27"/>
  <c r="L63" i="27"/>
  <c r="N63" i="27"/>
  <c r="L64" i="27"/>
  <c r="N64" i="27"/>
  <c r="L65" i="27"/>
  <c r="N65" i="27"/>
  <c r="L66" i="27"/>
  <c r="N66" i="27"/>
  <c r="L67" i="27"/>
  <c r="N67" i="27"/>
  <c r="L68" i="27"/>
  <c r="N68" i="27"/>
  <c r="L69" i="27"/>
  <c r="N69" i="27"/>
  <c r="L70" i="27"/>
  <c r="N70" i="27"/>
  <c r="L71" i="27"/>
  <c r="N71" i="27"/>
  <c r="L72" i="27"/>
  <c r="N72" i="27"/>
  <c r="D89" i="27"/>
  <c r="D91" i="27"/>
  <c r="J93" i="27"/>
  <c r="L93" i="27"/>
  <c r="D96" i="27"/>
  <c r="J99" i="27"/>
  <c r="M99" i="27"/>
  <c r="O99" i="27"/>
  <c r="J100" i="27"/>
  <c r="M100" i="27"/>
  <c r="O100" i="27"/>
  <c r="P100" i="27" s="1"/>
  <c r="J101" i="27"/>
  <c r="M101" i="27"/>
  <c r="J102" i="27"/>
  <c r="M102" i="27"/>
  <c r="M103" i="27"/>
  <c r="O111" i="27"/>
  <c r="O112" i="27"/>
  <c r="M113" i="27"/>
  <c r="O113" i="27"/>
  <c r="M114" i="27"/>
  <c r="O114" i="27"/>
  <c r="M115" i="27"/>
  <c r="O115" i="27"/>
  <c r="M116" i="27"/>
  <c r="O116" i="27"/>
  <c r="M117" i="27"/>
  <c r="O117" i="27"/>
  <c r="M118" i="27"/>
  <c r="O118" i="27"/>
  <c r="M119" i="27"/>
  <c r="O119" i="27"/>
  <c r="M120" i="27"/>
  <c r="O120" i="27"/>
  <c r="M121" i="27"/>
  <c r="O121" i="27"/>
  <c r="M122" i="27"/>
  <c r="O122" i="27"/>
  <c r="M123" i="27"/>
  <c r="O123" i="27"/>
  <c r="M124" i="27"/>
  <c r="O124" i="27"/>
  <c r="M125" i="27"/>
  <c r="O125" i="27"/>
  <c r="M126" i="27"/>
  <c r="O126" i="27"/>
  <c r="M127" i="27"/>
  <c r="O127" i="27"/>
  <c r="M128" i="27"/>
  <c r="O128" i="27"/>
  <c r="M129" i="27"/>
  <c r="O129" i="27"/>
  <c r="M130" i="27"/>
  <c r="O130" i="27"/>
  <c r="M131" i="27"/>
  <c r="O131" i="27"/>
  <c r="M132" i="27"/>
  <c r="O132" i="27"/>
  <c r="M133" i="27"/>
  <c r="O133" i="27"/>
  <c r="M134" i="27"/>
  <c r="O134" i="27"/>
  <c r="M135" i="27"/>
  <c r="O135" i="27"/>
  <c r="M136" i="27"/>
  <c r="O136" i="27"/>
  <c r="M137" i="27"/>
  <c r="O137" i="27"/>
  <c r="M138" i="27"/>
  <c r="O138" i="27"/>
  <c r="M139" i="27"/>
  <c r="O139" i="27"/>
  <c r="M140" i="27"/>
  <c r="O140" i="27"/>
  <c r="M141" i="27"/>
  <c r="O141" i="27"/>
  <c r="M142" i="27"/>
  <c r="O142" i="27"/>
  <c r="M143" i="27"/>
  <c r="O143" i="27"/>
  <c r="M144" i="27"/>
  <c r="O144" i="27"/>
  <c r="M145" i="27"/>
  <c r="O145" i="27"/>
  <c r="M146" i="27"/>
  <c r="O146" i="27"/>
  <c r="M147" i="27"/>
  <c r="O147" i="27"/>
  <c r="M148" i="27"/>
  <c r="O148" i="27"/>
  <c r="M149" i="27"/>
  <c r="O149" i="27"/>
  <c r="M150" i="27"/>
  <c r="O150" i="27"/>
  <c r="M151" i="27"/>
  <c r="O151" i="27"/>
  <c r="M152" i="27"/>
  <c r="O152" i="27"/>
  <c r="M153" i="27"/>
  <c r="O153" i="27"/>
  <c r="M154" i="27"/>
  <c r="O154" i="27"/>
  <c r="O3" i="26"/>
  <c r="K11" i="26"/>
  <c r="L18" i="26"/>
  <c r="N18" i="26"/>
  <c r="L19" i="26"/>
  <c r="N19" i="26"/>
  <c r="L20" i="26"/>
  <c r="N20" i="26"/>
  <c r="L21" i="26"/>
  <c r="N21" i="26"/>
  <c r="L22" i="26"/>
  <c r="N22" i="26"/>
  <c r="L23" i="26"/>
  <c r="N23" i="26"/>
  <c r="L24" i="26"/>
  <c r="N24" i="26"/>
  <c r="L25" i="26"/>
  <c r="N25" i="26"/>
  <c r="L26" i="26"/>
  <c r="N26" i="26"/>
  <c r="L27" i="26"/>
  <c r="N27" i="26"/>
  <c r="L28" i="26"/>
  <c r="N28" i="26"/>
  <c r="L29" i="26"/>
  <c r="N29" i="26"/>
  <c r="L30" i="26"/>
  <c r="N30" i="26"/>
  <c r="L31" i="26"/>
  <c r="N31" i="26"/>
  <c r="L32" i="26"/>
  <c r="N32" i="26"/>
  <c r="L33" i="26"/>
  <c r="N33" i="26"/>
  <c r="L34" i="26"/>
  <c r="N34" i="26"/>
  <c r="L35" i="26"/>
  <c r="N35" i="26"/>
  <c r="L36" i="26"/>
  <c r="N36" i="26"/>
  <c r="L37" i="26"/>
  <c r="N37" i="26"/>
  <c r="L38" i="26"/>
  <c r="N38" i="26"/>
  <c r="L39" i="26"/>
  <c r="N39" i="26"/>
  <c r="L40" i="26"/>
  <c r="N40" i="26"/>
  <c r="L41" i="26"/>
  <c r="N41" i="26"/>
  <c r="L42" i="26"/>
  <c r="N42" i="26"/>
  <c r="L43" i="26"/>
  <c r="N43" i="26"/>
  <c r="L44" i="26"/>
  <c r="N44" i="26"/>
  <c r="L45" i="26"/>
  <c r="N45" i="26"/>
  <c r="L46" i="26"/>
  <c r="N46" i="26"/>
  <c r="L47" i="26"/>
  <c r="N47" i="26"/>
  <c r="L48" i="26"/>
  <c r="N48" i="26"/>
  <c r="L49" i="26"/>
  <c r="N49" i="26"/>
  <c r="L50" i="26"/>
  <c r="N50" i="26"/>
  <c r="L51" i="26"/>
  <c r="N51" i="26"/>
  <c r="L52" i="26"/>
  <c r="N52" i="26"/>
  <c r="L53" i="26"/>
  <c r="N53" i="26"/>
  <c r="L54" i="26"/>
  <c r="N54" i="26"/>
  <c r="L55" i="26"/>
  <c r="N55" i="26"/>
  <c r="L56" i="26"/>
  <c r="N56" i="26"/>
  <c r="L57" i="26"/>
  <c r="N57" i="26"/>
  <c r="L58" i="26"/>
  <c r="N58" i="26"/>
  <c r="L59" i="26"/>
  <c r="N59" i="26"/>
  <c r="L60" i="26"/>
  <c r="N60" i="26"/>
  <c r="L61" i="26"/>
  <c r="N61" i="26"/>
  <c r="L62" i="26"/>
  <c r="N62" i="26"/>
  <c r="L63" i="26"/>
  <c r="N63" i="26"/>
  <c r="L64" i="26"/>
  <c r="N64" i="26"/>
  <c r="L65" i="26"/>
  <c r="N65" i="26"/>
  <c r="L66" i="26"/>
  <c r="N66" i="26"/>
  <c r="L67" i="26"/>
  <c r="N67" i="26"/>
  <c r="L68" i="26"/>
  <c r="N68" i="26"/>
  <c r="L69" i="26"/>
  <c r="N69" i="26"/>
  <c r="L70" i="26"/>
  <c r="N70" i="26"/>
  <c r="L71" i="26"/>
  <c r="N71" i="26"/>
  <c r="L72" i="26"/>
  <c r="N72" i="26"/>
  <c r="D89" i="26"/>
  <c r="D91" i="26"/>
  <c r="J93" i="26"/>
  <c r="L93" i="26"/>
  <c r="D96" i="26"/>
  <c r="M100" i="26"/>
  <c r="O100" i="26"/>
  <c r="M101" i="26"/>
  <c r="O101" i="26"/>
  <c r="M102" i="26"/>
  <c r="O102" i="26"/>
  <c r="M103" i="26"/>
  <c r="O103" i="26"/>
  <c r="M104" i="26"/>
  <c r="O104" i="26"/>
  <c r="M105" i="26"/>
  <c r="O105" i="26"/>
  <c r="M106" i="26"/>
  <c r="O106" i="26"/>
  <c r="M107" i="26"/>
  <c r="O107" i="26"/>
  <c r="M108" i="26"/>
  <c r="O108" i="26"/>
  <c r="M109" i="26"/>
  <c r="O109" i="26"/>
  <c r="M110" i="26"/>
  <c r="O110" i="26"/>
  <c r="M111" i="26"/>
  <c r="O111" i="26"/>
  <c r="M112" i="26"/>
  <c r="O112" i="26"/>
  <c r="M113" i="26"/>
  <c r="O113" i="26"/>
  <c r="M114" i="26"/>
  <c r="O114" i="26"/>
  <c r="M115" i="26"/>
  <c r="O115" i="26"/>
  <c r="M116" i="26"/>
  <c r="O116" i="26"/>
  <c r="M117" i="26"/>
  <c r="O117" i="26"/>
  <c r="M118" i="26"/>
  <c r="O118" i="26"/>
  <c r="M119" i="26"/>
  <c r="O119" i="26"/>
  <c r="M120" i="26"/>
  <c r="O120" i="26"/>
  <c r="M121" i="26"/>
  <c r="O121" i="26"/>
  <c r="M122" i="26"/>
  <c r="O122" i="26"/>
  <c r="M123" i="26"/>
  <c r="O123" i="26"/>
  <c r="M124" i="26"/>
  <c r="O124" i="26"/>
  <c r="M125" i="26"/>
  <c r="O125" i="26"/>
  <c r="M126" i="26"/>
  <c r="O126" i="26"/>
  <c r="M127" i="26"/>
  <c r="O127" i="26"/>
  <c r="M128" i="26"/>
  <c r="O128" i="26"/>
  <c r="M129" i="26"/>
  <c r="O129" i="26"/>
  <c r="M130" i="26"/>
  <c r="O130" i="26"/>
  <c r="M131" i="26"/>
  <c r="O131" i="26"/>
  <c r="M132" i="26"/>
  <c r="O132" i="26"/>
  <c r="M133" i="26"/>
  <c r="O133" i="26"/>
  <c r="M134" i="26"/>
  <c r="O134" i="26"/>
  <c r="M135" i="26"/>
  <c r="O135" i="26"/>
  <c r="M136" i="26"/>
  <c r="O136" i="26"/>
  <c r="M137" i="26"/>
  <c r="O137" i="26"/>
  <c r="M138" i="26"/>
  <c r="O138" i="26"/>
  <c r="M139" i="26"/>
  <c r="O139" i="26"/>
  <c r="M140" i="26"/>
  <c r="O140" i="26"/>
  <c r="M141" i="26"/>
  <c r="O141" i="26"/>
  <c r="M142" i="26"/>
  <c r="O142" i="26"/>
  <c r="M143" i="26"/>
  <c r="O143" i="26"/>
  <c r="M144" i="26"/>
  <c r="O144" i="26"/>
  <c r="M145" i="26"/>
  <c r="O145" i="26"/>
  <c r="M146" i="26"/>
  <c r="O146" i="26"/>
  <c r="M147" i="26"/>
  <c r="O147" i="26"/>
  <c r="M148" i="26"/>
  <c r="O148" i="26"/>
  <c r="M149" i="26"/>
  <c r="O149" i="26"/>
  <c r="M150" i="26"/>
  <c r="O150" i="26"/>
  <c r="M151" i="26"/>
  <c r="O151" i="26"/>
  <c r="M152" i="26"/>
  <c r="O152" i="26"/>
  <c r="M153" i="26"/>
  <c r="O153" i="26"/>
  <c r="M154" i="26"/>
  <c r="O154" i="26"/>
  <c r="O3" i="25"/>
  <c r="K11" i="25"/>
  <c r="N17" i="25"/>
  <c r="L18" i="25"/>
  <c r="N18" i="25"/>
  <c r="L19" i="25"/>
  <c r="N19" i="25"/>
  <c r="L20" i="25"/>
  <c r="N20" i="25"/>
  <c r="L21" i="25"/>
  <c r="N21" i="25"/>
  <c r="L22" i="25"/>
  <c r="N22" i="25"/>
  <c r="L23" i="25"/>
  <c r="N23" i="25"/>
  <c r="L24" i="25"/>
  <c r="N24" i="25"/>
  <c r="L25" i="25"/>
  <c r="N25" i="25"/>
  <c r="L26" i="25"/>
  <c r="N26" i="25"/>
  <c r="L27" i="25"/>
  <c r="N27" i="25"/>
  <c r="L28" i="25"/>
  <c r="N28" i="25"/>
  <c r="L29" i="25"/>
  <c r="N29" i="25"/>
  <c r="L30" i="25"/>
  <c r="N30" i="25"/>
  <c r="L31" i="25"/>
  <c r="N31" i="25"/>
  <c r="L32" i="25"/>
  <c r="N32" i="25"/>
  <c r="L33" i="25"/>
  <c r="N33" i="25"/>
  <c r="L34" i="25"/>
  <c r="N34" i="25"/>
  <c r="L35" i="25"/>
  <c r="N35" i="25"/>
  <c r="L36" i="25"/>
  <c r="N36" i="25"/>
  <c r="L37" i="25"/>
  <c r="N37" i="25"/>
  <c r="L38" i="25"/>
  <c r="N38" i="25"/>
  <c r="L39" i="25"/>
  <c r="N39" i="25"/>
  <c r="L40" i="25"/>
  <c r="N40" i="25"/>
  <c r="L41" i="25"/>
  <c r="N41" i="25"/>
  <c r="L42" i="25"/>
  <c r="N42" i="25"/>
  <c r="L43" i="25"/>
  <c r="N43" i="25"/>
  <c r="L44" i="25"/>
  <c r="N44" i="25"/>
  <c r="L45" i="25"/>
  <c r="N45" i="25"/>
  <c r="L46" i="25"/>
  <c r="N46" i="25"/>
  <c r="L47" i="25"/>
  <c r="N47" i="25"/>
  <c r="L48" i="25"/>
  <c r="N48" i="25"/>
  <c r="L49" i="25"/>
  <c r="N49" i="25"/>
  <c r="L50" i="25"/>
  <c r="N50" i="25"/>
  <c r="L51" i="25"/>
  <c r="N51" i="25"/>
  <c r="L52" i="25"/>
  <c r="N52" i="25"/>
  <c r="L53" i="25"/>
  <c r="N53" i="25"/>
  <c r="L54" i="25"/>
  <c r="N54" i="25"/>
  <c r="L55" i="25"/>
  <c r="N55" i="25"/>
  <c r="L56" i="25"/>
  <c r="N56" i="25"/>
  <c r="L57" i="25"/>
  <c r="N57" i="25"/>
  <c r="L58" i="25"/>
  <c r="N58" i="25"/>
  <c r="L59" i="25"/>
  <c r="N59" i="25"/>
  <c r="L60" i="25"/>
  <c r="N60" i="25"/>
  <c r="L61" i="25"/>
  <c r="N61" i="25"/>
  <c r="L62" i="25"/>
  <c r="N62" i="25"/>
  <c r="L63" i="25"/>
  <c r="N63" i="25"/>
  <c r="L64" i="25"/>
  <c r="N64" i="25"/>
  <c r="L65" i="25"/>
  <c r="N65" i="25"/>
  <c r="L66" i="25"/>
  <c r="N66" i="25"/>
  <c r="L67" i="25"/>
  <c r="N67" i="25"/>
  <c r="L68" i="25"/>
  <c r="N68" i="25"/>
  <c r="L69" i="25"/>
  <c r="N69" i="25"/>
  <c r="L70" i="25"/>
  <c r="N70" i="25"/>
  <c r="L71" i="25"/>
  <c r="N71" i="25"/>
  <c r="L72" i="25"/>
  <c r="N72" i="25"/>
  <c r="D89" i="25"/>
  <c r="D91" i="25"/>
  <c r="J93" i="25"/>
  <c r="L93" i="25"/>
  <c r="D96" i="25"/>
  <c r="M99" i="25"/>
  <c r="O99" i="25"/>
  <c r="M100" i="25"/>
  <c r="O100" i="25"/>
  <c r="M101" i="25"/>
  <c r="O101" i="25"/>
  <c r="M102" i="25"/>
  <c r="O102" i="25"/>
  <c r="M103" i="25"/>
  <c r="O103" i="25"/>
  <c r="M104" i="25"/>
  <c r="O104" i="25"/>
  <c r="M105" i="25"/>
  <c r="O105" i="25"/>
  <c r="M106" i="25"/>
  <c r="O106" i="25"/>
  <c r="M107" i="25"/>
  <c r="O107" i="25"/>
  <c r="M108" i="25"/>
  <c r="O108" i="25"/>
  <c r="M109" i="25"/>
  <c r="O109" i="25"/>
  <c r="M110" i="25"/>
  <c r="O110" i="25"/>
  <c r="M111" i="25"/>
  <c r="O111" i="25"/>
  <c r="M112" i="25"/>
  <c r="O112" i="25"/>
  <c r="M113" i="25"/>
  <c r="O113" i="25"/>
  <c r="M114" i="25"/>
  <c r="O114" i="25"/>
  <c r="M115" i="25"/>
  <c r="O115" i="25"/>
  <c r="M116" i="25"/>
  <c r="O116" i="25"/>
  <c r="M117" i="25"/>
  <c r="O117" i="25"/>
  <c r="M118" i="25"/>
  <c r="O118" i="25"/>
  <c r="M119" i="25"/>
  <c r="O119" i="25"/>
  <c r="M120" i="25"/>
  <c r="O120" i="25"/>
  <c r="M121" i="25"/>
  <c r="O121" i="25"/>
  <c r="M122" i="25"/>
  <c r="O122" i="25"/>
  <c r="M123" i="25"/>
  <c r="O123" i="25"/>
  <c r="M124" i="25"/>
  <c r="O124" i="25"/>
  <c r="M125" i="25"/>
  <c r="O125" i="25"/>
  <c r="M126" i="25"/>
  <c r="O126" i="25"/>
  <c r="M127" i="25"/>
  <c r="O127" i="25"/>
  <c r="M128" i="25"/>
  <c r="O128" i="25"/>
  <c r="M129" i="25"/>
  <c r="O129" i="25"/>
  <c r="M130" i="25"/>
  <c r="O130" i="25"/>
  <c r="M131" i="25"/>
  <c r="O131" i="25"/>
  <c r="M132" i="25"/>
  <c r="O132" i="25"/>
  <c r="M133" i="25"/>
  <c r="O133" i="25"/>
  <c r="M134" i="25"/>
  <c r="O134" i="25"/>
  <c r="M135" i="25"/>
  <c r="O135" i="25"/>
  <c r="M136" i="25"/>
  <c r="O136" i="25"/>
  <c r="M137" i="25"/>
  <c r="O137" i="25"/>
  <c r="M138" i="25"/>
  <c r="O138" i="25"/>
  <c r="M139" i="25"/>
  <c r="O139" i="25"/>
  <c r="M140" i="25"/>
  <c r="O140" i="25"/>
  <c r="M141" i="25"/>
  <c r="O141" i="25"/>
  <c r="M142" i="25"/>
  <c r="O142" i="25"/>
  <c r="M143" i="25"/>
  <c r="O143" i="25"/>
  <c r="M144" i="25"/>
  <c r="O144" i="25"/>
  <c r="M145" i="25"/>
  <c r="O145" i="25"/>
  <c r="M146" i="25"/>
  <c r="O146" i="25"/>
  <c r="M147" i="25"/>
  <c r="O147" i="25"/>
  <c r="M148" i="25"/>
  <c r="O148" i="25"/>
  <c r="M149" i="25"/>
  <c r="O149" i="25"/>
  <c r="M150" i="25"/>
  <c r="O150" i="25"/>
  <c r="M151" i="25"/>
  <c r="O151" i="25"/>
  <c r="M152" i="25"/>
  <c r="O152" i="25"/>
  <c r="M153" i="25"/>
  <c r="O153" i="25"/>
  <c r="M154" i="25"/>
  <c r="O154" i="25"/>
  <c r="O3" i="24"/>
  <c r="K11" i="24"/>
  <c r="I17" i="24"/>
  <c r="L17" i="24"/>
  <c r="I18" i="24"/>
  <c r="L18" i="24"/>
  <c r="N18" i="24"/>
  <c r="N19" i="24"/>
  <c r="N20" i="24"/>
  <c r="O20" i="24" s="1"/>
  <c r="L21" i="24"/>
  <c r="N21" i="24"/>
  <c r="N28" i="24"/>
  <c r="O28" i="24" s="1"/>
  <c r="N29" i="24"/>
  <c r="O29" i="24" s="1"/>
  <c r="N30" i="24"/>
  <c r="N31" i="24"/>
  <c r="L32" i="24"/>
  <c r="N32" i="24"/>
  <c r="L33" i="24"/>
  <c r="N33" i="24"/>
  <c r="L34" i="24"/>
  <c r="N34" i="24"/>
  <c r="L35" i="24"/>
  <c r="N35" i="24"/>
  <c r="L36" i="24"/>
  <c r="N36" i="24"/>
  <c r="L37" i="24"/>
  <c r="N37" i="24"/>
  <c r="L38" i="24"/>
  <c r="N38" i="24"/>
  <c r="L39" i="24"/>
  <c r="N39" i="24"/>
  <c r="L40" i="24"/>
  <c r="N40" i="24"/>
  <c r="L41" i="24"/>
  <c r="N41" i="24"/>
  <c r="L42" i="24"/>
  <c r="N42" i="24"/>
  <c r="L43" i="24"/>
  <c r="N43" i="24"/>
  <c r="L44" i="24"/>
  <c r="N44" i="24"/>
  <c r="C45" i="24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L45" i="24"/>
  <c r="N45" i="24"/>
  <c r="L46" i="24"/>
  <c r="N46" i="24"/>
  <c r="L47" i="24"/>
  <c r="N47" i="24"/>
  <c r="L48" i="24"/>
  <c r="N48" i="24"/>
  <c r="L49" i="24"/>
  <c r="N49" i="24"/>
  <c r="L50" i="24"/>
  <c r="N50" i="24"/>
  <c r="L51" i="24"/>
  <c r="N51" i="24"/>
  <c r="L52" i="24"/>
  <c r="N52" i="24"/>
  <c r="L53" i="24"/>
  <c r="N53" i="24"/>
  <c r="L54" i="24"/>
  <c r="N54" i="24"/>
  <c r="L55" i="24"/>
  <c r="N55" i="24"/>
  <c r="L56" i="24"/>
  <c r="N56" i="24"/>
  <c r="L57" i="24"/>
  <c r="N57" i="24"/>
  <c r="L58" i="24"/>
  <c r="N58" i="24"/>
  <c r="L59" i="24"/>
  <c r="N59" i="24"/>
  <c r="L60" i="24"/>
  <c r="N60" i="24"/>
  <c r="L61" i="24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N70" i="24"/>
  <c r="L71" i="24"/>
  <c r="N71" i="24"/>
  <c r="L72" i="24"/>
  <c r="N72" i="24"/>
  <c r="D89" i="24"/>
  <c r="D91" i="24"/>
  <c r="J93" i="24"/>
  <c r="L93" i="24"/>
  <c r="D96" i="24"/>
  <c r="J99" i="24"/>
  <c r="M99" i="24"/>
  <c r="O99" i="24"/>
  <c r="J100" i="24"/>
  <c r="M100" i="24"/>
  <c r="O100" i="24"/>
  <c r="J101" i="24"/>
  <c r="O101" i="24"/>
  <c r="M102" i="24"/>
  <c r="M103" i="24"/>
  <c r="O103" i="24"/>
  <c r="O110" i="24"/>
  <c r="O111" i="24"/>
  <c r="M112" i="24"/>
  <c r="O112" i="24"/>
  <c r="M113" i="24"/>
  <c r="O113" i="24"/>
  <c r="M114" i="24"/>
  <c r="O114" i="24"/>
  <c r="M115" i="24"/>
  <c r="O115" i="24"/>
  <c r="M116" i="24"/>
  <c r="O116" i="24"/>
  <c r="M117" i="24"/>
  <c r="O117" i="24"/>
  <c r="M118" i="24"/>
  <c r="O118" i="24"/>
  <c r="M119" i="24"/>
  <c r="O119" i="24"/>
  <c r="M120" i="24"/>
  <c r="O120" i="24"/>
  <c r="M121" i="24"/>
  <c r="O121" i="24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M132" i="24"/>
  <c r="O132" i="24"/>
  <c r="M133" i="24"/>
  <c r="O133" i="24"/>
  <c r="M134" i="24"/>
  <c r="O134" i="24"/>
  <c r="M135" i="24"/>
  <c r="O135" i="24"/>
  <c r="M136" i="24"/>
  <c r="O136" i="24"/>
  <c r="M137" i="24"/>
  <c r="O137" i="24"/>
  <c r="M138" i="24"/>
  <c r="O138" i="24"/>
  <c r="M139" i="24"/>
  <c r="O139" i="24"/>
  <c r="M140" i="24"/>
  <c r="O140" i="24"/>
  <c r="M141" i="24"/>
  <c r="O141" i="24"/>
  <c r="M142" i="24"/>
  <c r="O142" i="24"/>
  <c r="M143" i="24"/>
  <c r="O143" i="24"/>
  <c r="M144" i="24"/>
  <c r="O144" i="24"/>
  <c r="M145" i="24"/>
  <c r="O145" i="24"/>
  <c r="M146" i="24"/>
  <c r="O146" i="24"/>
  <c r="M147" i="24"/>
  <c r="O147" i="24"/>
  <c r="M148" i="24"/>
  <c r="O148" i="24"/>
  <c r="M149" i="24"/>
  <c r="O149" i="24"/>
  <c r="M150" i="24"/>
  <c r="O150" i="24"/>
  <c r="M151" i="24"/>
  <c r="O151" i="24"/>
  <c r="M152" i="24"/>
  <c r="O152" i="24"/>
  <c r="M153" i="24"/>
  <c r="O153" i="24"/>
  <c r="M154" i="24"/>
  <c r="O154" i="24"/>
  <c r="O3" i="23"/>
  <c r="K11" i="23"/>
  <c r="I17" i="23"/>
  <c r="L17" i="23"/>
  <c r="N17" i="23"/>
  <c r="I18" i="23"/>
  <c r="L18" i="23"/>
  <c r="N18" i="23"/>
  <c r="L19" i="23"/>
  <c r="N20" i="23"/>
  <c r="O20" i="23" s="1"/>
  <c r="L21" i="23"/>
  <c r="N21" i="23"/>
  <c r="N28" i="23"/>
  <c r="O28" i="23" s="1"/>
  <c r="N29" i="23"/>
  <c r="N30" i="23"/>
  <c r="N31" i="23"/>
  <c r="L32" i="23"/>
  <c r="N32" i="23"/>
  <c r="L33" i="23"/>
  <c r="N33" i="23"/>
  <c r="L34" i="23"/>
  <c r="N34" i="23"/>
  <c r="L35" i="23"/>
  <c r="N35" i="23"/>
  <c r="L36" i="23"/>
  <c r="N36" i="23"/>
  <c r="L37" i="23"/>
  <c r="N37" i="23"/>
  <c r="L38" i="23"/>
  <c r="N38" i="23"/>
  <c r="L39" i="23"/>
  <c r="N39" i="23"/>
  <c r="L40" i="23"/>
  <c r="N40" i="23"/>
  <c r="L41" i="23"/>
  <c r="N41" i="23"/>
  <c r="L42" i="23"/>
  <c r="N42" i="23"/>
  <c r="L43" i="23"/>
  <c r="N43" i="23"/>
  <c r="L44" i="23"/>
  <c r="N44" i="23"/>
  <c r="L45" i="23"/>
  <c r="N45" i="23"/>
  <c r="L46" i="23"/>
  <c r="N46" i="23"/>
  <c r="L47" i="23"/>
  <c r="N47" i="23"/>
  <c r="L48" i="23"/>
  <c r="N48" i="23"/>
  <c r="L49" i="23"/>
  <c r="N49" i="23"/>
  <c r="L50" i="23"/>
  <c r="N50" i="23"/>
  <c r="L51" i="23"/>
  <c r="N51" i="23"/>
  <c r="L52" i="23"/>
  <c r="N52" i="23"/>
  <c r="L53" i="23"/>
  <c r="N53" i="23"/>
  <c r="L54" i="23"/>
  <c r="N54" i="23"/>
  <c r="L55" i="23"/>
  <c r="N55" i="23"/>
  <c r="L56" i="23"/>
  <c r="N56" i="23"/>
  <c r="L57" i="23"/>
  <c r="N57" i="23"/>
  <c r="L58" i="23"/>
  <c r="N58" i="23"/>
  <c r="L59" i="23"/>
  <c r="N59" i="23"/>
  <c r="L60" i="23"/>
  <c r="N60" i="23"/>
  <c r="L61" i="23"/>
  <c r="N61" i="23"/>
  <c r="L62" i="23"/>
  <c r="N62" i="23"/>
  <c r="L63" i="23"/>
  <c r="N63" i="23"/>
  <c r="L64" i="23"/>
  <c r="N64" i="23"/>
  <c r="L65" i="23"/>
  <c r="N65" i="23"/>
  <c r="L66" i="23"/>
  <c r="N66" i="23"/>
  <c r="L67" i="23"/>
  <c r="N67" i="23"/>
  <c r="L68" i="23"/>
  <c r="N68" i="23"/>
  <c r="L69" i="23"/>
  <c r="N69" i="23"/>
  <c r="L70" i="23"/>
  <c r="N70" i="23"/>
  <c r="L71" i="23"/>
  <c r="N71" i="23"/>
  <c r="L72" i="23"/>
  <c r="N72" i="23"/>
  <c r="D89" i="23"/>
  <c r="D91" i="23"/>
  <c r="J93" i="23"/>
  <c r="L93" i="23"/>
  <c r="D96" i="23"/>
  <c r="J99" i="23"/>
  <c r="M99" i="23"/>
  <c r="O99" i="23"/>
  <c r="P99" i="23" s="1"/>
  <c r="J100" i="23"/>
  <c r="M100" i="23"/>
  <c r="O100" i="23"/>
  <c r="J101" i="23"/>
  <c r="M101" i="23"/>
  <c r="O101" i="23"/>
  <c r="M102" i="23"/>
  <c r="O102" i="23"/>
  <c r="P102" i="23" s="1"/>
  <c r="M103" i="23"/>
  <c r="O110" i="23"/>
  <c r="O111" i="23"/>
  <c r="M112" i="23"/>
  <c r="O112" i="23"/>
  <c r="M113" i="23"/>
  <c r="O113" i="23"/>
  <c r="M114" i="23"/>
  <c r="O114" i="23"/>
  <c r="M115" i="23"/>
  <c r="O115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M131" i="23"/>
  <c r="O131" i="23"/>
  <c r="M132" i="23"/>
  <c r="O132" i="23"/>
  <c r="M133" i="23"/>
  <c r="O133" i="23"/>
  <c r="M134" i="23"/>
  <c r="O134" i="23"/>
  <c r="M135" i="23"/>
  <c r="O135" i="23"/>
  <c r="M136" i="23"/>
  <c r="O136" i="23"/>
  <c r="M137" i="23"/>
  <c r="O137" i="23"/>
  <c r="M138" i="23"/>
  <c r="O138" i="23"/>
  <c r="M139" i="23"/>
  <c r="O139" i="23"/>
  <c r="M140" i="23"/>
  <c r="O140" i="23"/>
  <c r="M141" i="23"/>
  <c r="O141" i="23"/>
  <c r="M142" i="23"/>
  <c r="O142" i="23"/>
  <c r="M143" i="23"/>
  <c r="O143" i="23"/>
  <c r="M144" i="23"/>
  <c r="O144" i="23"/>
  <c r="M145" i="23"/>
  <c r="O145" i="23"/>
  <c r="M146" i="23"/>
  <c r="O146" i="23"/>
  <c r="M147" i="23"/>
  <c r="O147" i="23"/>
  <c r="M148" i="23"/>
  <c r="O148" i="23"/>
  <c r="M149" i="23"/>
  <c r="O149" i="23"/>
  <c r="M150" i="23"/>
  <c r="O150" i="23"/>
  <c r="M151" i="23"/>
  <c r="O151" i="23"/>
  <c r="M152" i="23"/>
  <c r="O152" i="23"/>
  <c r="M153" i="23"/>
  <c r="O153" i="23"/>
  <c r="M154" i="23"/>
  <c r="O154" i="23"/>
  <c r="O3" i="22"/>
  <c r="K11" i="22"/>
  <c r="I17" i="22"/>
  <c r="L17" i="22"/>
  <c r="N17" i="22"/>
  <c r="L18" i="22"/>
  <c r="N18" i="22"/>
  <c r="L19" i="22"/>
  <c r="N19" i="22"/>
  <c r="N27" i="22"/>
  <c r="O27" i="22" s="1"/>
  <c r="N28" i="22"/>
  <c r="N29" i="22"/>
  <c r="N30" i="22"/>
  <c r="L31" i="22"/>
  <c r="N31" i="22"/>
  <c r="L32" i="22"/>
  <c r="N32" i="22"/>
  <c r="L33" i="22"/>
  <c r="N33" i="22"/>
  <c r="L34" i="22"/>
  <c r="N34" i="22"/>
  <c r="L35" i="22"/>
  <c r="N35" i="22"/>
  <c r="L36" i="22"/>
  <c r="N36" i="22"/>
  <c r="L37" i="22"/>
  <c r="N37" i="22"/>
  <c r="L38" i="22"/>
  <c r="N38" i="22"/>
  <c r="L39" i="22"/>
  <c r="N39" i="22"/>
  <c r="L40" i="22"/>
  <c r="N40" i="22"/>
  <c r="L41" i="22"/>
  <c r="N41" i="22"/>
  <c r="L42" i="22"/>
  <c r="N42" i="22"/>
  <c r="L43" i="22"/>
  <c r="N43" i="22"/>
  <c r="L44" i="22"/>
  <c r="N44" i="22"/>
  <c r="L45" i="22"/>
  <c r="N45" i="22"/>
  <c r="L46" i="22"/>
  <c r="N46" i="22"/>
  <c r="C49" i="22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L47" i="22"/>
  <c r="N47" i="22"/>
  <c r="L48" i="22"/>
  <c r="N48" i="22"/>
  <c r="L49" i="22"/>
  <c r="N49" i="22"/>
  <c r="L50" i="22"/>
  <c r="N50" i="22"/>
  <c r="L51" i="22"/>
  <c r="N51" i="22"/>
  <c r="L52" i="22"/>
  <c r="N52" i="22"/>
  <c r="L53" i="22"/>
  <c r="N53" i="22"/>
  <c r="L54" i="22"/>
  <c r="N54" i="22"/>
  <c r="L55" i="22"/>
  <c r="N55" i="22"/>
  <c r="L56" i="22"/>
  <c r="N56" i="22"/>
  <c r="L57" i="22"/>
  <c r="N57" i="22"/>
  <c r="L58" i="22"/>
  <c r="N58" i="22"/>
  <c r="L59" i="22"/>
  <c r="N59" i="22"/>
  <c r="L60" i="22"/>
  <c r="N60" i="22"/>
  <c r="L61" i="22"/>
  <c r="N61" i="22"/>
  <c r="L62" i="22"/>
  <c r="N62" i="22"/>
  <c r="L63" i="22"/>
  <c r="N63" i="22"/>
  <c r="L64" i="22"/>
  <c r="N64" i="22"/>
  <c r="L65" i="22"/>
  <c r="N65" i="22"/>
  <c r="L66" i="22"/>
  <c r="N66" i="22"/>
  <c r="L67" i="22"/>
  <c r="N67" i="22"/>
  <c r="L68" i="22"/>
  <c r="N68" i="22"/>
  <c r="L69" i="22"/>
  <c r="N69" i="22"/>
  <c r="L70" i="22"/>
  <c r="N70" i="22"/>
  <c r="L71" i="22"/>
  <c r="N71" i="22"/>
  <c r="L72" i="22"/>
  <c r="N72" i="22"/>
  <c r="D89" i="22"/>
  <c r="D91" i="22"/>
  <c r="J93" i="22"/>
  <c r="L93" i="22"/>
  <c r="D96" i="22"/>
  <c r="J99" i="22"/>
  <c r="M99" i="22"/>
  <c r="O99" i="22"/>
  <c r="P99" i="22" s="1"/>
  <c r="J100" i="22"/>
  <c r="O100" i="22"/>
  <c r="M101" i="22"/>
  <c r="M102" i="22"/>
  <c r="O102" i="22"/>
  <c r="O109" i="22"/>
  <c r="O110" i="22"/>
  <c r="M111" i="22"/>
  <c r="O111" i="22"/>
  <c r="M112" i="22"/>
  <c r="O112" i="22"/>
  <c r="M113" i="22"/>
  <c r="O113" i="22"/>
  <c r="M114" i="22"/>
  <c r="O114" i="22"/>
  <c r="M115" i="22"/>
  <c r="O115" i="22"/>
  <c r="M116" i="22"/>
  <c r="O116" i="22"/>
  <c r="M117" i="22"/>
  <c r="O117" i="22"/>
  <c r="M118" i="22"/>
  <c r="O118" i="22"/>
  <c r="M119" i="22"/>
  <c r="O119" i="22"/>
  <c r="M120" i="22"/>
  <c r="O120" i="22"/>
  <c r="M121" i="22"/>
  <c r="O121" i="22"/>
  <c r="M122" i="22"/>
  <c r="O122" i="22"/>
  <c r="M123" i="22"/>
  <c r="O123" i="22"/>
  <c r="M124" i="22"/>
  <c r="O124" i="22"/>
  <c r="M125" i="22"/>
  <c r="O125" i="22"/>
  <c r="M126" i="22"/>
  <c r="O126" i="22"/>
  <c r="M127" i="22"/>
  <c r="O127" i="22"/>
  <c r="M128" i="22"/>
  <c r="O128" i="22"/>
  <c r="M129" i="22"/>
  <c r="O129" i="22"/>
  <c r="M130" i="22"/>
  <c r="O130" i="22"/>
  <c r="M131" i="22"/>
  <c r="O131" i="22"/>
  <c r="M132" i="22"/>
  <c r="O132" i="22"/>
  <c r="M133" i="22"/>
  <c r="O133" i="22"/>
  <c r="M134" i="22"/>
  <c r="O134" i="22"/>
  <c r="M135" i="22"/>
  <c r="O135" i="22"/>
  <c r="M136" i="22"/>
  <c r="O136" i="22"/>
  <c r="M137" i="22"/>
  <c r="O137" i="22"/>
  <c r="M138" i="22"/>
  <c r="O138" i="22"/>
  <c r="M139" i="22"/>
  <c r="O139" i="22"/>
  <c r="M140" i="22"/>
  <c r="O140" i="22"/>
  <c r="M141" i="22"/>
  <c r="O141" i="22"/>
  <c r="M142" i="22"/>
  <c r="O142" i="22"/>
  <c r="M143" i="22"/>
  <c r="O143" i="22"/>
  <c r="M144" i="22"/>
  <c r="O144" i="22"/>
  <c r="M145" i="22"/>
  <c r="O145" i="22"/>
  <c r="M146" i="22"/>
  <c r="O146" i="22"/>
  <c r="M147" i="22"/>
  <c r="O147" i="22"/>
  <c r="M148" i="22"/>
  <c r="O148" i="22"/>
  <c r="M149" i="22"/>
  <c r="O149" i="22"/>
  <c r="M150" i="22"/>
  <c r="O150" i="22"/>
  <c r="M151" i="22"/>
  <c r="O151" i="22"/>
  <c r="M152" i="22"/>
  <c r="O152" i="22"/>
  <c r="M153" i="22"/>
  <c r="O153" i="22"/>
  <c r="M154" i="22"/>
  <c r="O154" i="22"/>
  <c r="O3" i="21"/>
  <c r="K11" i="21"/>
  <c r="I17" i="21"/>
  <c r="L17" i="21"/>
  <c r="N17" i="21"/>
  <c r="L18" i="21"/>
  <c r="N18" i="21"/>
  <c r="L19" i="21"/>
  <c r="L20" i="21"/>
  <c r="N27" i="21"/>
  <c r="N28" i="21"/>
  <c r="N29" i="21"/>
  <c r="N30" i="21"/>
  <c r="L31" i="21"/>
  <c r="N31" i="21"/>
  <c r="L32" i="21"/>
  <c r="N32" i="21"/>
  <c r="L33" i="21"/>
  <c r="N33" i="21"/>
  <c r="L34" i="21"/>
  <c r="N34" i="21"/>
  <c r="L35" i="21"/>
  <c r="N35" i="21"/>
  <c r="L36" i="21"/>
  <c r="N36" i="21"/>
  <c r="L37" i="21"/>
  <c r="N37" i="21"/>
  <c r="L38" i="21"/>
  <c r="N38" i="21"/>
  <c r="L39" i="21"/>
  <c r="N39" i="21"/>
  <c r="L40" i="21"/>
  <c r="N40" i="21"/>
  <c r="L41" i="21"/>
  <c r="N41" i="21"/>
  <c r="L42" i="21"/>
  <c r="N42" i="21"/>
  <c r="L43" i="21"/>
  <c r="N43" i="21"/>
  <c r="L44" i="21"/>
  <c r="N44" i="21"/>
  <c r="L45" i="21"/>
  <c r="N45" i="21"/>
  <c r="L46" i="21"/>
  <c r="N46" i="21"/>
  <c r="L47" i="21"/>
  <c r="N47" i="21"/>
  <c r="L48" i="21"/>
  <c r="N48" i="21"/>
  <c r="L49" i="21"/>
  <c r="N49" i="21"/>
  <c r="L50" i="21"/>
  <c r="N50" i="21"/>
  <c r="L51" i="21"/>
  <c r="N51" i="21"/>
  <c r="L52" i="21"/>
  <c r="N52" i="21"/>
  <c r="L53" i="21"/>
  <c r="N53" i="21"/>
  <c r="L54" i="21"/>
  <c r="N54" i="21"/>
  <c r="L55" i="21"/>
  <c r="N55" i="21"/>
  <c r="L56" i="21"/>
  <c r="N56" i="21"/>
  <c r="L57" i="21"/>
  <c r="N57" i="21"/>
  <c r="L58" i="21"/>
  <c r="N58" i="21"/>
  <c r="L59" i="21"/>
  <c r="N59" i="21"/>
  <c r="L60" i="21"/>
  <c r="N60" i="21"/>
  <c r="L61" i="21"/>
  <c r="N61" i="21"/>
  <c r="L62" i="21"/>
  <c r="N62" i="21"/>
  <c r="L63" i="21"/>
  <c r="N63" i="21"/>
  <c r="L64" i="21"/>
  <c r="N64" i="21"/>
  <c r="L65" i="21"/>
  <c r="N65" i="21"/>
  <c r="L66" i="21"/>
  <c r="N66" i="21"/>
  <c r="L67" i="21"/>
  <c r="N67" i="21"/>
  <c r="L68" i="21"/>
  <c r="N68" i="21"/>
  <c r="L69" i="21"/>
  <c r="N69" i="21"/>
  <c r="L70" i="21"/>
  <c r="N70" i="21"/>
  <c r="L71" i="21"/>
  <c r="N71" i="21"/>
  <c r="L72" i="21"/>
  <c r="N72" i="21"/>
  <c r="D89" i="21"/>
  <c r="D91" i="21"/>
  <c r="J93" i="21"/>
  <c r="L93" i="21"/>
  <c r="D96" i="21"/>
  <c r="J99" i="21"/>
  <c r="M99" i="21"/>
  <c r="J100" i="21"/>
  <c r="M100" i="21"/>
  <c r="O100" i="21"/>
  <c r="M102" i="21"/>
  <c r="O102" i="21"/>
  <c r="P102" i="21" s="1"/>
  <c r="O109" i="21"/>
  <c r="O110" i="21"/>
  <c r="M111" i="21"/>
  <c r="O111" i="21"/>
  <c r="M112" i="21"/>
  <c r="O112" i="21"/>
  <c r="M113" i="21"/>
  <c r="O113" i="21"/>
  <c r="M114" i="21"/>
  <c r="O114" i="21"/>
  <c r="M115" i="21"/>
  <c r="O115" i="21"/>
  <c r="M116" i="21"/>
  <c r="O116" i="21"/>
  <c r="M117" i="21"/>
  <c r="O117" i="21"/>
  <c r="M118" i="21"/>
  <c r="O118" i="21"/>
  <c r="M119" i="21"/>
  <c r="O119" i="21"/>
  <c r="M120" i="21"/>
  <c r="O120" i="21"/>
  <c r="M121" i="21"/>
  <c r="O121" i="21"/>
  <c r="M122" i="21"/>
  <c r="O122" i="21"/>
  <c r="M123" i="21"/>
  <c r="O123" i="21"/>
  <c r="M124" i="21"/>
  <c r="O124" i="21"/>
  <c r="M125" i="21"/>
  <c r="O125" i="21"/>
  <c r="M126" i="21"/>
  <c r="O126" i="21"/>
  <c r="M127" i="21"/>
  <c r="O127" i="21"/>
  <c r="M128" i="21"/>
  <c r="O128" i="21"/>
  <c r="M129" i="21"/>
  <c r="O129" i="21"/>
  <c r="M130" i="21"/>
  <c r="O130" i="21"/>
  <c r="M131" i="21"/>
  <c r="O131" i="21"/>
  <c r="M132" i="21"/>
  <c r="O132" i="21"/>
  <c r="M133" i="21"/>
  <c r="O133" i="21"/>
  <c r="M134" i="21"/>
  <c r="O134" i="21"/>
  <c r="M135" i="21"/>
  <c r="O135" i="21"/>
  <c r="M136" i="21"/>
  <c r="O136" i="21"/>
  <c r="M137" i="21"/>
  <c r="O137" i="21"/>
  <c r="M138" i="21"/>
  <c r="O138" i="21"/>
  <c r="M139" i="21"/>
  <c r="O139" i="21"/>
  <c r="M140" i="21"/>
  <c r="O140" i="21"/>
  <c r="M141" i="21"/>
  <c r="O141" i="21"/>
  <c r="M142" i="21"/>
  <c r="O142" i="21"/>
  <c r="M143" i="21"/>
  <c r="O143" i="21"/>
  <c r="M144" i="21"/>
  <c r="O144" i="21"/>
  <c r="M145" i="21"/>
  <c r="O145" i="21"/>
  <c r="M146" i="21"/>
  <c r="O146" i="21"/>
  <c r="M147" i="21"/>
  <c r="O147" i="21"/>
  <c r="M148" i="21"/>
  <c r="O148" i="21"/>
  <c r="M149" i="21"/>
  <c r="O149" i="21"/>
  <c r="M150" i="21"/>
  <c r="O150" i="21"/>
  <c r="M151" i="21"/>
  <c r="O151" i="21"/>
  <c r="M152" i="21"/>
  <c r="O152" i="21"/>
  <c r="M153" i="21"/>
  <c r="O153" i="21"/>
  <c r="M154" i="21"/>
  <c r="O154" i="21"/>
  <c r="O3" i="20"/>
  <c r="K11" i="20"/>
  <c r="I17" i="20"/>
  <c r="L17" i="20"/>
  <c r="N17" i="20"/>
  <c r="O17" i="20" s="1"/>
  <c r="L18" i="20"/>
  <c r="N18" i="20"/>
  <c r="L19" i="20"/>
  <c r="N19" i="20"/>
  <c r="O19" i="20" s="1"/>
  <c r="N20" i="20"/>
  <c r="O20" i="20" s="1"/>
  <c r="N27" i="20"/>
  <c r="N28" i="20"/>
  <c r="N29" i="20"/>
  <c r="N30" i="20"/>
  <c r="L31" i="20"/>
  <c r="N31" i="20"/>
  <c r="L32" i="20"/>
  <c r="N32" i="20"/>
  <c r="L33" i="20"/>
  <c r="N33" i="20"/>
  <c r="L34" i="20"/>
  <c r="N34" i="20"/>
  <c r="L35" i="20"/>
  <c r="N35" i="20"/>
  <c r="L36" i="20"/>
  <c r="N36" i="20"/>
  <c r="L37" i="20"/>
  <c r="N37" i="20"/>
  <c r="L38" i="20"/>
  <c r="N38" i="20"/>
  <c r="L39" i="20"/>
  <c r="N39" i="20"/>
  <c r="L40" i="20"/>
  <c r="N40" i="20"/>
  <c r="L41" i="20"/>
  <c r="N41" i="20"/>
  <c r="L42" i="20"/>
  <c r="N42" i="20"/>
  <c r="L43" i="20"/>
  <c r="N43" i="20"/>
  <c r="L44" i="20"/>
  <c r="N44" i="20"/>
  <c r="C45" i="20"/>
  <c r="C46" i="20" s="1"/>
  <c r="C47" i="20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L45" i="20"/>
  <c r="N45" i="20"/>
  <c r="L46" i="20"/>
  <c r="N46" i="20"/>
  <c r="L47" i="20"/>
  <c r="N47" i="20"/>
  <c r="L48" i="20"/>
  <c r="N48" i="20"/>
  <c r="L49" i="20"/>
  <c r="N49" i="20"/>
  <c r="L50" i="20"/>
  <c r="N50" i="20"/>
  <c r="L51" i="20"/>
  <c r="N51" i="20"/>
  <c r="L52" i="20"/>
  <c r="N52" i="20"/>
  <c r="L53" i="20"/>
  <c r="N53" i="20"/>
  <c r="L54" i="20"/>
  <c r="N54" i="20"/>
  <c r="L55" i="20"/>
  <c r="N55" i="20"/>
  <c r="L56" i="20"/>
  <c r="N56" i="20"/>
  <c r="L57" i="20"/>
  <c r="N57" i="20"/>
  <c r="L58" i="20"/>
  <c r="N58" i="20"/>
  <c r="L59" i="20"/>
  <c r="N59" i="20"/>
  <c r="L60" i="20"/>
  <c r="N60" i="20"/>
  <c r="L61" i="20"/>
  <c r="N61" i="20"/>
  <c r="L62" i="20"/>
  <c r="N62" i="20"/>
  <c r="L63" i="20"/>
  <c r="N63" i="20"/>
  <c r="L64" i="20"/>
  <c r="N64" i="20"/>
  <c r="L65" i="20"/>
  <c r="N65" i="20"/>
  <c r="L66" i="20"/>
  <c r="N66" i="20"/>
  <c r="L67" i="20"/>
  <c r="N67" i="20"/>
  <c r="L68" i="20"/>
  <c r="N68" i="20"/>
  <c r="L69" i="20"/>
  <c r="N69" i="20"/>
  <c r="L70" i="20"/>
  <c r="N70" i="20"/>
  <c r="L71" i="20"/>
  <c r="N71" i="20"/>
  <c r="L72" i="20"/>
  <c r="N72" i="20"/>
  <c r="D89" i="20"/>
  <c r="D91" i="20"/>
  <c r="J93" i="20"/>
  <c r="L93" i="20"/>
  <c r="D96" i="20"/>
  <c r="J99" i="20"/>
  <c r="O99" i="20"/>
  <c r="J100" i="20"/>
  <c r="M100" i="20"/>
  <c r="O100" i="20"/>
  <c r="M101" i="20"/>
  <c r="M102" i="20"/>
  <c r="O102" i="20"/>
  <c r="O109" i="20"/>
  <c r="O110" i="20"/>
  <c r="M111" i="20"/>
  <c r="O111" i="20"/>
  <c r="M112" i="20"/>
  <c r="O112" i="20"/>
  <c r="M113" i="20"/>
  <c r="O113" i="20"/>
  <c r="M114" i="20"/>
  <c r="O114" i="20"/>
  <c r="M115" i="20"/>
  <c r="O115" i="20"/>
  <c r="M116" i="20"/>
  <c r="O116" i="20"/>
  <c r="M117" i="20"/>
  <c r="O117" i="20"/>
  <c r="M118" i="20"/>
  <c r="O118" i="20"/>
  <c r="M119" i="20"/>
  <c r="O119" i="20"/>
  <c r="M120" i="20"/>
  <c r="O120" i="20"/>
  <c r="M121" i="20"/>
  <c r="O121" i="20"/>
  <c r="M122" i="20"/>
  <c r="O122" i="20"/>
  <c r="M123" i="20"/>
  <c r="O123" i="20"/>
  <c r="M124" i="20"/>
  <c r="O124" i="20"/>
  <c r="M125" i="20"/>
  <c r="O125" i="20"/>
  <c r="M126" i="20"/>
  <c r="O126" i="20"/>
  <c r="M127" i="20"/>
  <c r="O127" i="20"/>
  <c r="M128" i="20"/>
  <c r="O128" i="20"/>
  <c r="M129" i="20"/>
  <c r="O129" i="20"/>
  <c r="M130" i="20"/>
  <c r="O130" i="20"/>
  <c r="M131" i="20"/>
  <c r="O131" i="20"/>
  <c r="M132" i="20"/>
  <c r="O132" i="20"/>
  <c r="M133" i="20"/>
  <c r="O133" i="20"/>
  <c r="M134" i="20"/>
  <c r="O134" i="20"/>
  <c r="M135" i="20"/>
  <c r="O135" i="20"/>
  <c r="M136" i="20"/>
  <c r="O136" i="20"/>
  <c r="M137" i="20"/>
  <c r="O137" i="20"/>
  <c r="M138" i="20"/>
  <c r="O138" i="20"/>
  <c r="M139" i="20"/>
  <c r="O139" i="20"/>
  <c r="M140" i="20"/>
  <c r="O140" i="20"/>
  <c r="M141" i="20"/>
  <c r="O141" i="20"/>
  <c r="M142" i="20"/>
  <c r="O142" i="20"/>
  <c r="M143" i="20"/>
  <c r="O143" i="20"/>
  <c r="M144" i="20"/>
  <c r="O144" i="20"/>
  <c r="M145" i="20"/>
  <c r="O145" i="20"/>
  <c r="M146" i="20"/>
  <c r="O146" i="20"/>
  <c r="M147" i="20"/>
  <c r="O147" i="20"/>
  <c r="M148" i="20"/>
  <c r="O148" i="20"/>
  <c r="M149" i="20"/>
  <c r="O149" i="20"/>
  <c r="M150" i="20"/>
  <c r="O150" i="20"/>
  <c r="M151" i="20"/>
  <c r="O151" i="20"/>
  <c r="M152" i="20"/>
  <c r="O152" i="20"/>
  <c r="M153" i="20"/>
  <c r="O153" i="20"/>
  <c r="M154" i="20"/>
  <c r="O154" i="20"/>
  <c r="O3" i="19"/>
  <c r="K11" i="19"/>
  <c r="I17" i="19"/>
  <c r="L17" i="19"/>
  <c r="N17" i="19"/>
  <c r="L18" i="19"/>
  <c r="N20" i="19"/>
  <c r="N27" i="19"/>
  <c r="N28" i="19"/>
  <c r="N29" i="19"/>
  <c r="N30" i="19"/>
  <c r="L31" i="19"/>
  <c r="N31" i="19"/>
  <c r="L32" i="19"/>
  <c r="N32" i="19"/>
  <c r="L33" i="19"/>
  <c r="N33" i="19"/>
  <c r="L34" i="19"/>
  <c r="N34" i="19"/>
  <c r="L35" i="19"/>
  <c r="N35" i="19"/>
  <c r="L36" i="19"/>
  <c r="N36" i="19"/>
  <c r="L37" i="19"/>
  <c r="N37" i="19"/>
  <c r="L38" i="19"/>
  <c r="N38" i="19"/>
  <c r="L39" i="19"/>
  <c r="N39" i="19"/>
  <c r="L40" i="19"/>
  <c r="N40" i="19"/>
  <c r="L41" i="19"/>
  <c r="N41" i="19"/>
  <c r="L42" i="19"/>
  <c r="N42" i="19"/>
  <c r="L43" i="19"/>
  <c r="N43" i="19"/>
  <c r="L44" i="19"/>
  <c r="N44" i="19"/>
  <c r="C45" i="19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L45" i="19"/>
  <c r="N45" i="19"/>
  <c r="L46" i="19"/>
  <c r="N46" i="19"/>
  <c r="L47" i="19"/>
  <c r="N47" i="19"/>
  <c r="L48" i="19"/>
  <c r="N48" i="19"/>
  <c r="L49" i="19"/>
  <c r="N49" i="19"/>
  <c r="L50" i="19"/>
  <c r="N50" i="19"/>
  <c r="L51" i="19"/>
  <c r="N51" i="19"/>
  <c r="L52" i="19"/>
  <c r="N52" i="19"/>
  <c r="L53" i="19"/>
  <c r="N53" i="19"/>
  <c r="L54" i="19"/>
  <c r="N54" i="19"/>
  <c r="L55" i="19"/>
  <c r="N55" i="19"/>
  <c r="L56" i="19"/>
  <c r="N56" i="19"/>
  <c r="L57" i="19"/>
  <c r="N57" i="19"/>
  <c r="L58" i="19"/>
  <c r="N58" i="19"/>
  <c r="L59" i="19"/>
  <c r="N59" i="19"/>
  <c r="L60" i="19"/>
  <c r="N60" i="19"/>
  <c r="L61" i="19"/>
  <c r="N61" i="19"/>
  <c r="L62" i="19"/>
  <c r="N62" i="19"/>
  <c r="L63" i="19"/>
  <c r="N63" i="19"/>
  <c r="L64" i="19"/>
  <c r="N64" i="19"/>
  <c r="L65" i="19"/>
  <c r="N65" i="19"/>
  <c r="L66" i="19"/>
  <c r="N66" i="19"/>
  <c r="L67" i="19"/>
  <c r="N67" i="19"/>
  <c r="L68" i="19"/>
  <c r="N68" i="19"/>
  <c r="L69" i="19"/>
  <c r="N69" i="19"/>
  <c r="L70" i="19"/>
  <c r="N70" i="19"/>
  <c r="L71" i="19"/>
  <c r="N71" i="19"/>
  <c r="L72" i="19"/>
  <c r="N72" i="19"/>
  <c r="D89" i="19"/>
  <c r="D91" i="19"/>
  <c r="J93" i="19"/>
  <c r="L93" i="19"/>
  <c r="D96" i="19"/>
  <c r="J99" i="19"/>
  <c r="M99" i="19"/>
  <c r="O99" i="19"/>
  <c r="J100" i="19"/>
  <c r="M100" i="19"/>
  <c r="O100" i="19"/>
  <c r="P100" i="19" s="1"/>
  <c r="M101" i="19"/>
  <c r="M102" i="19"/>
  <c r="O102" i="19"/>
  <c r="P102" i="19" s="1"/>
  <c r="O109" i="19"/>
  <c r="O110" i="19"/>
  <c r="M111" i="19"/>
  <c r="O111" i="19"/>
  <c r="M112" i="19"/>
  <c r="O112" i="19"/>
  <c r="M113" i="19"/>
  <c r="O113" i="19"/>
  <c r="M114" i="19"/>
  <c r="O114" i="19"/>
  <c r="M115" i="19"/>
  <c r="O115" i="19"/>
  <c r="M116" i="19"/>
  <c r="O116" i="19"/>
  <c r="M117" i="19"/>
  <c r="O117" i="19"/>
  <c r="M118" i="19"/>
  <c r="O118" i="19"/>
  <c r="M119" i="19"/>
  <c r="O119" i="19"/>
  <c r="M120" i="19"/>
  <c r="O120" i="19"/>
  <c r="M121" i="19"/>
  <c r="O121" i="19"/>
  <c r="M122" i="19"/>
  <c r="O122" i="19"/>
  <c r="M123" i="19"/>
  <c r="O123" i="19"/>
  <c r="M124" i="19"/>
  <c r="O124" i="19"/>
  <c r="M125" i="19"/>
  <c r="O125" i="19"/>
  <c r="M126" i="19"/>
  <c r="O126" i="19"/>
  <c r="M127" i="19"/>
  <c r="O127" i="19"/>
  <c r="M128" i="19"/>
  <c r="O128" i="19"/>
  <c r="M129" i="19"/>
  <c r="O129" i="19"/>
  <c r="M130" i="19"/>
  <c r="O130" i="19"/>
  <c r="M131" i="19"/>
  <c r="O131" i="19"/>
  <c r="M132" i="19"/>
  <c r="O132" i="19"/>
  <c r="M133" i="19"/>
  <c r="O133" i="19"/>
  <c r="M134" i="19"/>
  <c r="O134" i="19"/>
  <c r="M135" i="19"/>
  <c r="O135" i="19"/>
  <c r="M136" i="19"/>
  <c r="O136" i="19"/>
  <c r="M137" i="19"/>
  <c r="O137" i="19"/>
  <c r="M138" i="19"/>
  <c r="O138" i="19"/>
  <c r="M139" i="19"/>
  <c r="O139" i="19"/>
  <c r="M140" i="19"/>
  <c r="O140" i="19"/>
  <c r="M141" i="19"/>
  <c r="O141" i="19"/>
  <c r="M142" i="19"/>
  <c r="O142" i="19"/>
  <c r="M143" i="19"/>
  <c r="O143" i="19"/>
  <c r="M144" i="19"/>
  <c r="O144" i="19"/>
  <c r="M145" i="19"/>
  <c r="O145" i="19"/>
  <c r="M146" i="19"/>
  <c r="O146" i="19"/>
  <c r="M147" i="19"/>
  <c r="O147" i="19"/>
  <c r="M148" i="19"/>
  <c r="O148" i="19"/>
  <c r="M149" i="19"/>
  <c r="O149" i="19"/>
  <c r="M150" i="19"/>
  <c r="O150" i="19"/>
  <c r="M151" i="19"/>
  <c r="O151" i="19"/>
  <c r="M152" i="19"/>
  <c r="O152" i="19"/>
  <c r="M153" i="19"/>
  <c r="O153" i="19"/>
  <c r="M154" i="19"/>
  <c r="O154" i="19"/>
  <c r="O3" i="18"/>
  <c r="K11" i="18"/>
  <c r="I17" i="18"/>
  <c r="L17" i="18"/>
  <c r="N17" i="18"/>
  <c r="N18" i="18"/>
  <c r="N19" i="18"/>
  <c r="L20" i="18"/>
  <c r="N27" i="18"/>
  <c r="N28" i="18"/>
  <c r="N29" i="18"/>
  <c r="N30" i="18"/>
  <c r="L31" i="18"/>
  <c r="N31" i="18"/>
  <c r="L32" i="18"/>
  <c r="N32" i="18"/>
  <c r="L33" i="18"/>
  <c r="N33" i="18"/>
  <c r="L34" i="18"/>
  <c r="N34" i="18"/>
  <c r="L35" i="18"/>
  <c r="N35" i="18"/>
  <c r="L36" i="18"/>
  <c r="N36" i="18"/>
  <c r="L37" i="18"/>
  <c r="N37" i="18"/>
  <c r="L38" i="18"/>
  <c r="N38" i="18"/>
  <c r="L39" i="18"/>
  <c r="N39" i="18"/>
  <c r="L40" i="18"/>
  <c r="N40" i="18"/>
  <c r="L41" i="18"/>
  <c r="N41" i="18"/>
  <c r="L42" i="18"/>
  <c r="N42" i="18"/>
  <c r="L43" i="18"/>
  <c r="N43" i="18"/>
  <c r="L44" i="18"/>
  <c r="N44" i="18"/>
  <c r="C45" i="18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L45" i="18"/>
  <c r="N45" i="18"/>
  <c r="L46" i="18"/>
  <c r="N46" i="18"/>
  <c r="L47" i="18"/>
  <c r="N47" i="18"/>
  <c r="L48" i="18"/>
  <c r="N48" i="18"/>
  <c r="L49" i="18"/>
  <c r="N49" i="18"/>
  <c r="L50" i="18"/>
  <c r="N50" i="18"/>
  <c r="L51" i="18"/>
  <c r="N51" i="18"/>
  <c r="L52" i="18"/>
  <c r="N52" i="18"/>
  <c r="L53" i="18"/>
  <c r="N53" i="18"/>
  <c r="L54" i="18"/>
  <c r="N54" i="18"/>
  <c r="L55" i="18"/>
  <c r="N55" i="18"/>
  <c r="L56" i="18"/>
  <c r="N56" i="18"/>
  <c r="L57" i="18"/>
  <c r="N57" i="18"/>
  <c r="L58" i="18"/>
  <c r="N58" i="18"/>
  <c r="L59" i="18"/>
  <c r="N59" i="18"/>
  <c r="L60" i="18"/>
  <c r="N60" i="18"/>
  <c r="L61" i="18"/>
  <c r="N61" i="18"/>
  <c r="L62" i="18"/>
  <c r="N62" i="18"/>
  <c r="L63" i="18"/>
  <c r="N63" i="18"/>
  <c r="L64" i="18"/>
  <c r="N64" i="18"/>
  <c r="L65" i="18"/>
  <c r="N65" i="18"/>
  <c r="L66" i="18"/>
  <c r="N66" i="18"/>
  <c r="L67" i="18"/>
  <c r="N67" i="18"/>
  <c r="L68" i="18"/>
  <c r="N68" i="18"/>
  <c r="L69" i="18"/>
  <c r="N69" i="18"/>
  <c r="L70" i="18"/>
  <c r="N70" i="18"/>
  <c r="L71" i="18"/>
  <c r="N71" i="18"/>
  <c r="L72" i="18"/>
  <c r="N72" i="18"/>
  <c r="D89" i="18"/>
  <c r="D91" i="18"/>
  <c r="J93" i="18"/>
  <c r="L93" i="18"/>
  <c r="D96" i="18"/>
  <c r="J99" i="18"/>
  <c r="M99" i="18"/>
  <c r="O99" i="18"/>
  <c r="J100" i="18"/>
  <c r="O100" i="18"/>
  <c r="M101" i="18"/>
  <c r="O101" i="18"/>
  <c r="M102" i="18"/>
  <c r="O102" i="18"/>
  <c r="P102" i="18" s="1"/>
  <c r="O109" i="18"/>
  <c r="O110" i="18"/>
  <c r="M111" i="18"/>
  <c r="O111" i="18"/>
  <c r="M112" i="18"/>
  <c r="O112" i="18"/>
  <c r="M113" i="18"/>
  <c r="O113" i="18"/>
  <c r="M114" i="18"/>
  <c r="O114" i="18"/>
  <c r="M115" i="18"/>
  <c r="O115" i="18"/>
  <c r="M116" i="18"/>
  <c r="O116" i="18"/>
  <c r="M117" i="18"/>
  <c r="O117" i="18"/>
  <c r="M118" i="18"/>
  <c r="O118" i="18"/>
  <c r="M119" i="18"/>
  <c r="O119" i="18"/>
  <c r="M120" i="18"/>
  <c r="O120" i="18"/>
  <c r="M121" i="18"/>
  <c r="O121" i="18"/>
  <c r="M122" i="18"/>
  <c r="O122" i="18"/>
  <c r="M123" i="18"/>
  <c r="O123" i="18"/>
  <c r="M124" i="18"/>
  <c r="O124" i="18"/>
  <c r="M125" i="18"/>
  <c r="O125" i="18"/>
  <c r="M126" i="18"/>
  <c r="O126" i="18"/>
  <c r="M127" i="18"/>
  <c r="O127" i="18"/>
  <c r="M128" i="18"/>
  <c r="O128" i="18"/>
  <c r="M129" i="18"/>
  <c r="O129" i="18"/>
  <c r="M130" i="18"/>
  <c r="O130" i="18"/>
  <c r="M131" i="18"/>
  <c r="O131" i="18"/>
  <c r="M132" i="18"/>
  <c r="O132" i="18"/>
  <c r="M133" i="18"/>
  <c r="O133" i="18"/>
  <c r="M134" i="18"/>
  <c r="O134" i="18"/>
  <c r="M135" i="18"/>
  <c r="O135" i="18"/>
  <c r="M136" i="18"/>
  <c r="O136" i="18"/>
  <c r="M137" i="18"/>
  <c r="O137" i="18"/>
  <c r="M138" i="18"/>
  <c r="O138" i="18"/>
  <c r="M139" i="18"/>
  <c r="O139" i="18"/>
  <c r="M140" i="18"/>
  <c r="O140" i="18"/>
  <c r="M141" i="18"/>
  <c r="O141" i="18"/>
  <c r="M142" i="18"/>
  <c r="O142" i="18"/>
  <c r="M143" i="18"/>
  <c r="O143" i="18"/>
  <c r="M144" i="18"/>
  <c r="O144" i="18"/>
  <c r="M145" i="18"/>
  <c r="O145" i="18"/>
  <c r="M146" i="18"/>
  <c r="O146" i="18"/>
  <c r="M147" i="18"/>
  <c r="O147" i="18"/>
  <c r="M148" i="18"/>
  <c r="O148" i="18"/>
  <c r="M149" i="18"/>
  <c r="O149" i="18"/>
  <c r="M150" i="18"/>
  <c r="O150" i="18"/>
  <c r="M151" i="18"/>
  <c r="O151" i="18"/>
  <c r="M152" i="18"/>
  <c r="O152" i="18"/>
  <c r="M153" i="18"/>
  <c r="O153" i="18"/>
  <c r="M154" i="18"/>
  <c r="O154" i="18"/>
  <c r="O3" i="17"/>
  <c r="K11" i="17"/>
  <c r="I17" i="17"/>
  <c r="L17" i="17"/>
  <c r="N17" i="17"/>
  <c r="L18" i="17"/>
  <c r="N18" i="17"/>
  <c r="L19" i="17"/>
  <c r="L20" i="17"/>
  <c r="N20" i="17"/>
  <c r="N27" i="17"/>
  <c r="N28" i="17"/>
  <c r="O28" i="17" s="1"/>
  <c r="N29" i="17"/>
  <c r="N30" i="17"/>
  <c r="L31" i="17"/>
  <c r="N31" i="17"/>
  <c r="L32" i="17"/>
  <c r="N32" i="17"/>
  <c r="L33" i="17"/>
  <c r="N33" i="17"/>
  <c r="L34" i="17"/>
  <c r="N34" i="17"/>
  <c r="L35" i="17"/>
  <c r="N35" i="17"/>
  <c r="L36" i="17"/>
  <c r="N36" i="17"/>
  <c r="L37" i="17"/>
  <c r="N37" i="17"/>
  <c r="L38" i="17"/>
  <c r="N38" i="17"/>
  <c r="L39" i="17"/>
  <c r="N39" i="17"/>
  <c r="L40" i="17"/>
  <c r="N40" i="17"/>
  <c r="L41" i="17"/>
  <c r="N41" i="17"/>
  <c r="L42" i="17"/>
  <c r="N42" i="17"/>
  <c r="L43" i="17"/>
  <c r="N43" i="17"/>
  <c r="L44" i="17"/>
  <c r="N44" i="17"/>
  <c r="L45" i="17"/>
  <c r="N45" i="17"/>
  <c r="L46" i="17"/>
  <c r="N46" i="17"/>
  <c r="L47" i="17"/>
  <c r="N47" i="17"/>
  <c r="L48" i="17"/>
  <c r="N48" i="17"/>
  <c r="L49" i="17"/>
  <c r="N49" i="17"/>
  <c r="L50" i="17"/>
  <c r="N50" i="17"/>
  <c r="L51" i="17"/>
  <c r="N51" i="17"/>
  <c r="L52" i="17"/>
  <c r="N52" i="17"/>
  <c r="L53" i="17"/>
  <c r="N53" i="17"/>
  <c r="L54" i="17"/>
  <c r="N54" i="17"/>
  <c r="L55" i="17"/>
  <c r="N55" i="17"/>
  <c r="L56" i="17"/>
  <c r="N56" i="17"/>
  <c r="L57" i="17"/>
  <c r="N57" i="17"/>
  <c r="L58" i="17"/>
  <c r="N58" i="17"/>
  <c r="L59" i="17"/>
  <c r="N59" i="17"/>
  <c r="L60" i="17"/>
  <c r="N60" i="17"/>
  <c r="L61" i="17"/>
  <c r="N61" i="17"/>
  <c r="L62" i="17"/>
  <c r="N62" i="17"/>
  <c r="L63" i="17"/>
  <c r="N63" i="17"/>
  <c r="L64" i="17"/>
  <c r="N64" i="17"/>
  <c r="L65" i="17"/>
  <c r="N65" i="17"/>
  <c r="L66" i="17"/>
  <c r="N66" i="17"/>
  <c r="L67" i="17"/>
  <c r="N67" i="17"/>
  <c r="L68" i="17"/>
  <c r="N68" i="17"/>
  <c r="L69" i="17"/>
  <c r="N69" i="17"/>
  <c r="L70" i="17"/>
  <c r="N70" i="17"/>
  <c r="L71" i="17"/>
  <c r="N71" i="17"/>
  <c r="L72" i="17"/>
  <c r="N72" i="17"/>
  <c r="D89" i="17"/>
  <c r="D91" i="17"/>
  <c r="J93" i="17"/>
  <c r="L93" i="17"/>
  <c r="D96" i="17"/>
  <c r="J99" i="17"/>
  <c r="M99" i="17"/>
  <c r="O99" i="17"/>
  <c r="J100" i="17"/>
  <c r="M100" i="17"/>
  <c r="O100" i="17"/>
  <c r="M101" i="17"/>
  <c r="O101" i="17"/>
  <c r="M102" i="17"/>
  <c r="O109" i="17"/>
  <c r="O110" i="17"/>
  <c r="M111" i="17"/>
  <c r="O111" i="17"/>
  <c r="M112" i="17"/>
  <c r="O112" i="17"/>
  <c r="M113" i="17"/>
  <c r="O113" i="17"/>
  <c r="M114" i="17"/>
  <c r="O114" i="17"/>
  <c r="M115" i="17"/>
  <c r="O115" i="17"/>
  <c r="M116" i="17"/>
  <c r="O116" i="17"/>
  <c r="M117" i="17"/>
  <c r="O117" i="17"/>
  <c r="M118" i="17"/>
  <c r="O118" i="17"/>
  <c r="M119" i="17"/>
  <c r="O119" i="17"/>
  <c r="M120" i="17"/>
  <c r="O120" i="17"/>
  <c r="M121" i="17"/>
  <c r="O121" i="17"/>
  <c r="M122" i="17"/>
  <c r="O122" i="17"/>
  <c r="M123" i="17"/>
  <c r="O123" i="17"/>
  <c r="M124" i="17"/>
  <c r="O124" i="17"/>
  <c r="M125" i="17"/>
  <c r="O125" i="17"/>
  <c r="M126" i="17"/>
  <c r="O126" i="17"/>
  <c r="M127" i="17"/>
  <c r="O127" i="17"/>
  <c r="M128" i="17"/>
  <c r="O128" i="17"/>
  <c r="M129" i="17"/>
  <c r="O129" i="17"/>
  <c r="M130" i="17"/>
  <c r="O130" i="17"/>
  <c r="M131" i="17"/>
  <c r="O131" i="17"/>
  <c r="M132" i="17"/>
  <c r="O132" i="17"/>
  <c r="M133" i="17"/>
  <c r="O133" i="17"/>
  <c r="M134" i="17"/>
  <c r="O134" i="17"/>
  <c r="M135" i="17"/>
  <c r="O135" i="17"/>
  <c r="M136" i="17"/>
  <c r="O136" i="17"/>
  <c r="M137" i="17"/>
  <c r="O137" i="17"/>
  <c r="M138" i="17"/>
  <c r="O138" i="17"/>
  <c r="M139" i="17"/>
  <c r="O139" i="17"/>
  <c r="M140" i="17"/>
  <c r="O140" i="17"/>
  <c r="M141" i="17"/>
  <c r="O141" i="17"/>
  <c r="M142" i="17"/>
  <c r="O142" i="17"/>
  <c r="M143" i="17"/>
  <c r="O143" i="17"/>
  <c r="M144" i="17"/>
  <c r="O144" i="17"/>
  <c r="M145" i="17"/>
  <c r="O145" i="17"/>
  <c r="M146" i="17"/>
  <c r="O146" i="17"/>
  <c r="M147" i="17"/>
  <c r="O147" i="17"/>
  <c r="M148" i="17"/>
  <c r="O148" i="17"/>
  <c r="M149" i="17"/>
  <c r="O149" i="17"/>
  <c r="M150" i="17"/>
  <c r="O150" i="17"/>
  <c r="M151" i="17"/>
  <c r="O151" i="17"/>
  <c r="M152" i="17"/>
  <c r="O152" i="17"/>
  <c r="M153" i="17"/>
  <c r="O153" i="17"/>
  <c r="M154" i="17"/>
  <c r="O154" i="17"/>
  <c r="C12" i="2"/>
  <c r="C12" i="1"/>
  <c r="O3" i="3"/>
  <c r="A5" i="2"/>
  <c r="A1" i="2"/>
  <c r="F13" i="2"/>
  <c r="C8" i="2" s="1"/>
  <c r="F13" i="1"/>
  <c r="C56" i="1" s="1"/>
  <c r="C89" i="2"/>
  <c r="I11" i="13"/>
  <c r="K11" i="13"/>
  <c r="L17" i="13"/>
  <c r="N17" i="13"/>
  <c r="L18" i="13"/>
  <c r="N18" i="13"/>
  <c r="L19" i="13"/>
  <c r="N19" i="13"/>
  <c r="L20" i="13"/>
  <c r="N20" i="13"/>
  <c r="L21" i="13"/>
  <c r="N21" i="13"/>
  <c r="L22" i="13"/>
  <c r="N22" i="13"/>
  <c r="L23" i="13"/>
  <c r="N23" i="13"/>
  <c r="L24" i="13"/>
  <c r="N24" i="13"/>
  <c r="L25" i="13"/>
  <c r="N25" i="13"/>
  <c r="L26" i="13"/>
  <c r="N26" i="13"/>
  <c r="L27" i="13"/>
  <c r="N27" i="13"/>
  <c r="L28" i="13"/>
  <c r="N28" i="13"/>
  <c r="L29" i="13"/>
  <c r="N29" i="13"/>
  <c r="L30" i="13"/>
  <c r="N30" i="13"/>
  <c r="L31" i="13"/>
  <c r="N31" i="13"/>
  <c r="L32" i="13"/>
  <c r="N32" i="13"/>
  <c r="L33" i="13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L49" i="13"/>
  <c r="N49" i="13"/>
  <c r="L50" i="13"/>
  <c r="N50" i="13"/>
  <c r="L51" i="13"/>
  <c r="N51" i="13"/>
  <c r="L52" i="13"/>
  <c r="N52" i="13"/>
  <c r="L53" i="13"/>
  <c r="N53" i="13"/>
  <c r="L54" i="13"/>
  <c r="N54" i="13"/>
  <c r="L55" i="13"/>
  <c r="N55" i="13"/>
  <c r="L56" i="13"/>
  <c r="N56" i="13"/>
  <c r="L57" i="13"/>
  <c r="N57" i="13"/>
  <c r="L58" i="13"/>
  <c r="N58" i="13"/>
  <c r="L59" i="13"/>
  <c r="N59" i="13"/>
  <c r="L60" i="13"/>
  <c r="N60" i="13"/>
  <c r="L61" i="13"/>
  <c r="N61" i="13"/>
  <c r="L62" i="13"/>
  <c r="N62" i="13"/>
  <c r="L63" i="13"/>
  <c r="N63" i="13"/>
  <c r="L64" i="13"/>
  <c r="N64" i="13"/>
  <c r="L65" i="13"/>
  <c r="N65" i="13"/>
  <c r="L66" i="13"/>
  <c r="N66" i="13"/>
  <c r="L67" i="13"/>
  <c r="N67" i="13"/>
  <c r="L68" i="13"/>
  <c r="N68" i="13"/>
  <c r="L69" i="13"/>
  <c r="N69" i="13"/>
  <c r="L70" i="13"/>
  <c r="N70" i="13"/>
  <c r="L71" i="13"/>
  <c r="N71" i="13"/>
  <c r="L72" i="13"/>
  <c r="N72" i="13"/>
  <c r="D89" i="13"/>
  <c r="D91" i="13"/>
  <c r="J93" i="13"/>
  <c r="L93" i="13"/>
  <c r="D96" i="13"/>
  <c r="M99" i="13"/>
  <c r="O99" i="13"/>
  <c r="M100" i="13"/>
  <c r="O100" i="13"/>
  <c r="M101" i="13"/>
  <c r="O101" i="13"/>
  <c r="M102" i="13"/>
  <c r="O102" i="13"/>
  <c r="M103" i="13"/>
  <c r="O103" i="13"/>
  <c r="M104" i="13"/>
  <c r="O104" i="13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K11" i="3"/>
  <c r="L17" i="3"/>
  <c r="N17" i="3"/>
  <c r="N18" i="3"/>
  <c r="O18" i="3" s="1"/>
  <c r="L20" i="3"/>
  <c r="N20" i="3"/>
  <c r="N27" i="3"/>
  <c r="N28" i="3"/>
  <c r="O28" i="3" s="1"/>
  <c r="N29" i="3"/>
  <c r="N30" i="3"/>
  <c r="L31" i="3"/>
  <c r="N31" i="3"/>
  <c r="L32" i="3"/>
  <c r="N32" i="3"/>
  <c r="L33" i="3"/>
  <c r="N33" i="3"/>
  <c r="L34" i="3"/>
  <c r="N34" i="3"/>
  <c r="L35" i="3"/>
  <c r="N35" i="3"/>
  <c r="L36" i="3"/>
  <c r="N36" i="3"/>
  <c r="L37" i="3"/>
  <c r="N37" i="3"/>
  <c r="L38" i="3"/>
  <c r="N38" i="3"/>
  <c r="L39" i="3"/>
  <c r="N39" i="3"/>
  <c r="L40" i="3"/>
  <c r="N40" i="3"/>
  <c r="L41" i="3"/>
  <c r="N41" i="3"/>
  <c r="L42" i="3"/>
  <c r="N42" i="3"/>
  <c r="L43" i="3"/>
  <c r="N43" i="3"/>
  <c r="L44" i="3"/>
  <c r="N44" i="3"/>
  <c r="C45" i="3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L45" i="3"/>
  <c r="N45" i="3"/>
  <c r="L46" i="3"/>
  <c r="N46" i="3"/>
  <c r="L47" i="3"/>
  <c r="N47" i="3"/>
  <c r="L48" i="3"/>
  <c r="N48" i="3"/>
  <c r="L49" i="3"/>
  <c r="N49" i="3"/>
  <c r="L50" i="3"/>
  <c r="N50" i="3"/>
  <c r="L51" i="3"/>
  <c r="N51" i="3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L59" i="3"/>
  <c r="N59" i="3"/>
  <c r="L60" i="3"/>
  <c r="N60" i="3"/>
  <c r="L61" i="3"/>
  <c r="N61" i="3"/>
  <c r="L62" i="3"/>
  <c r="N62" i="3"/>
  <c r="L63" i="3"/>
  <c r="N63" i="3"/>
  <c r="L64" i="3"/>
  <c r="N64" i="3"/>
  <c r="L65" i="3"/>
  <c r="N65" i="3"/>
  <c r="L66" i="3"/>
  <c r="N66" i="3"/>
  <c r="L67" i="3"/>
  <c r="N67" i="3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M99" i="3"/>
  <c r="O99" i="3"/>
  <c r="J100" i="3"/>
  <c r="M100" i="3"/>
  <c r="P100" i="3" s="1"/>
  <c r="O100" i="3"/>
  <c r="M101" i="3"/>
  <c r="O101" i="3"/>
  <c r="P101" i="3" s="1"/>
  <c r="O109" i="3"/>
  <c r="O110" i="3"/>
  <c r="M111" i="3"/>
  <c r="O111" i="3"/>
  <c r="M112" i="3"/>
  <c r="O112" i="3"/>
  <c r="M113" i="3"/>
  <c r="O113" i="3"/>
  <c r="M114" i="3"/>
  <c r="O114" i="3"/>
  <c r="M115" i="3"/>
  <c r="O115" i="3"/>
  <c r="M116" i="3"/>
  <c r="O116" i="3"/>
  <c r="M117" i="3"/>
  <c r="O117" i="3"/>
  <c r="M118" i="3"/>
  <c r="O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M127" i="3"/>
  <c r="O127" i="3"/>
  <c r="M128" i="3"/>
  <c r="O128" i="3"/>
  <c r="M129" i="3"/>
  <c r="O129" i="3"/>
  <c r="M130" i="3"/>
  <c r="O130" i="3"/>
  <c r="M131" i="3"/>
  <c r="O131" i="3"/>
  <c r="M132" i="3"/>
  <c r="O132" i="3"/>
  <c r="M133" i="3"/>
  <c r="O133" i="3"/>
  <c r="M134" i="3"/>
  <c r="O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F12" i="2"/>
  <c r="D17" i="2"/>
  <c r="E17" i="2"/>
  <c r="D18" i="2"/>
  <c r="E18" i="2"/>
  <c r="D19" i="2"/>
  <c r="C24" i="2"/>
  <c r="E24" i="2"/>
  <c r="C31" i="2"/>
  <c r="E31" i="2"/>
  <c r="C34" i="2"/>
  <c r="E34" i="2"/>
  <c r="C40" i="2"/>
  <c r="C44" i="2"/>
  <c r="F44" i="2"/>
  <c r="C45" i="2"/>
  <c r="F45" i="2"/>
  <c r="C46" i="2"/>
  <c r="F46" i="2"/>
  <c r="C47" i="2"/>
  <c r="F47" i="2"/>
  <c r="C52" i="2"/>
  <c r="F64" i="2"/>
  <c r="C58" i="2"/>
  <c r="F58" i="2"/>
  <c r="C64" i="2"/>
  <c r="C75" i="2"/>
  <c r="F75" i="2"/>
  <c r="C81" i="2"/>
  <c r="C90" i="2"/>
  <c r="F12" i="1"/>
  <c r="D17" i="1"/>
  <c r="E17" i="1"/>
  <c r="D18" i="1"/>
  <c r="E18" i="1"/>
  <c r="D19" i="1"/>
  <c r="C24" i="1"/>
  <c r="E24" i="1"/>
  <c r="C31" i="1"/>
  <c r="E31" i="1"/>
  <c r="C34" i="1"/>
  <c r="E34" i="1"/>
  <c r="C40" i="1"/>
  <c r="C44" i="1"/>
  <c r="F44" i="1"/>
  <c r="C45" i="1"/>
  <c r="F45" i="1"/>
  <c r="C46" i="1"/>
  <c r="F46" i="1"/>
  <c r="C47" i="1"/>
  <c r="F47" i="1"/>
  <c r="C52" i="1"/>
  <c r="F64" i="1"/>
  <c r="C58" i="1"/>
  <c r="F58" i="1"/>
  <c r="C64" i="1"/>
  <c r="C75" i="1"/>
  <c r="F75" i="1"/>
  <c r="C81" i="1"/>
  <c r="C89" i="1"/>
  <c r="C90" i="1"/>
  <c r="S132" i="1"/>
  <c r="S133" i="1"/>
  <c r="S134" i="1"/>
  <c r="O20" i="31"/>
  <c r="O18" i="32"/>
  <c r="P99" i="34"/>
  <c r="C46" i="53"/>
  <c r="C47" i="53" s="1"/>
  <c r="C48" i="53" s="1"/>
  <c r="C49" i="53" s="1"/>
  <c r="C50" i="53" s="1"/>
  <c r="C51" i="53" s="1"/>
  <c r="C52" i="53" s="1"/>
  <c r="C53" i="53" s="1"/>
  <c r="C54" i="53" s="1"/>
  <c r="C55" i="53" s="1"/>
  <c r="C56" i="53" s="1"/>
  <c r="C57" i="53" s="1"/>
  <c r="C58" i="53" s="1"/>
  <c r="C59" i="53" s="1"/>
  <c r="C60" i="53" s="1"/>
  <c r="C61" i="53" s="1"/>
  <c r="C62" i="53" s="1"/>
  <c r="C63" i="53" s="1"/>
  <c r="C64" i="53" s="1"/>
  <c r="C65" i="53" s="1"/>
  <c r="C66" i="53" s="1"/>
  <c r="C67" i="53" s="1"/>
  <c r="C68" i="53" s="1"/>
  <c r="C69" i="53" s="1"/>
  <c r="C70" i="53" s="1"/>
  <c r="C71" i="53" s="1"/>
  <c r="C72" i="53" s="1"/>
  <c r="C45" i="54"/>
  <c r="C46" i="54" s="1"/>
  <c r="C47" i="54" s="1"/>
  <c r="C48" i="54" s="1"/>
  <c r="C49" i="54" s="1"/>
  <c r="C50" i="54" s="1"/>
  <c r="C51" i="54" s="1"/>
  <c r="C52" i="54" s="1"/>
  <c r="C53" i="54" s="1"/>
  <c r="C54" i="54" s="1"/>
  <c r="C55" i="54" s="1"/>
  <c r="C56" i="54" s="1"/>
  <c r="C57" i="54" s="1"/>
  <c r="C58" i="54" s="1"/>
  <c r="C59" i="54" s="1"/>
  <c r="C60" i="54" s="1"/>
  <c r="C61" i="54" s="1"/>
  <c r="C62" i="54" s="1"/>
  <c r="C63" i="54" s="1"/>
  <c r="C64" i="54" s="1"/>
  <c r="C65" i="54" s="1"/>
  <c r="C66" i="54" s="1"/>
  <c r="C67" i="54" s="1"/>
  <c r="C68" i="54" s="1"/>
  <c r="C69" i="54" s="1"/>
  <c r="C70" i="54" s="1"/>
  <c r="C71" i="54" s="1"/>
  <c r="C72" i="54" s="1"/>
  <c r="P99" i="29"/>
  <c r="O19" i="35"/>
  <c r="B23" i="27"/>
  <c r="C45" i="55"/>
  <c r="C46" i="55" s="1"/>
  <c r="C47" i="55" s="1"/>
  <c r="C48" i="55" s="1"/>
  <c r="C49" i="55" s="1"/>
  <c r="C50" i="55" s="1"/>
  <c r="C51" i="55" s="1"/>
  <c r="C52" i="55" s="1"/>
  <c r="C53" i="55" s="1"/>
  <c r="C54" i="55" s="1"/>
  <c r="C55" i="55" s="1"/>
  <c r="C56" i="55" s="1"/>
  <c r="C57" i="55" s="1"/>
  <c r="C58" i="55" s="1"/>
  <c r="C59" i="55" s="1"/>
  <c r="C60" i="55" s="1"/>
  <c r="C61" i="55" s="1"/>
  <c r="C62" i="55" s="1"/>
  <c r="C63" i="55" s="1"/>
  <c r="C64" i="55" s="1"/>
  <c r="C65" i="55" s="1"/>
  <c r="C66" i="55" s="1"/>
  <c r="C67" i="55" s="1"/>
  <c r="C68" i="55" s="1"/>
  <c r="C69" i="55" s="1"/>
  <c r="C70" i="55" s="1"/>
  <c r="C71" i="55" s="1"/>
  <c r="C72" i="55" s="1"/>
  <c r="B22" i="34"/>
  <c r="B19" i="45"/>
  <c r="B21" i="3"/>
  <c r="B20" i="43"/>
  <c r="B20" i="41"/>
  <c r="B20" i="44"/>
  <c r="I20" i="21"/>
  <c r="B23" i="29"/>
  <c r="B103" i="30"/>
  <c r="B18" i="57"/>
  <c r="B21" i="22"/>
  <c r="B18" i="53"/>
  <c r="B22" i="24"/>
  <c r="B18" i="55"/>
  <c r="B21" i="18"/>
  <c r="B22" i="31"/>
  <c r="B18" i="58"/>
  <c r="B21" i="20"/>
  <c r="B104" i="27"/>
  <c r="B18" i="54"/>
  <c r="B102" i="21"/>
  <c r="B102" i="17"/>
  <c r="B102" i="22"/>
  <c r="B103" i="24"/>
  <c r="B101" i="39"/>
  <c r="B21" i="17"/>
  <c r="B102" i="20"/>
  <c r="B102" i="19"/>
  <c r="B102" i="3"/>
  <c r="B102" i="18"/>
  <c r="B103" i="23"/>
  <c r="B104" i="29"/>
  <c r="B103" i="34"/>
  <c r="B105" i="28"/>
  <c r="J103" i="29"/>
  <c r="J100" i="39"/>
  <c r="J102" i="24"/>
  <c r="J101" i="20"/>
  <c r="J102" i="32"/>
  <c r="J102" i="23"/>
  <c r="J101" i="3"/>
  <c r="J103" i="27"/>
  <c r="J101" i="17"/>
  <c r="J101" i="19"/>
  <c r="J101" i="22"/>
  <c r="J101" i="21"/>
  <c r="J101" i="18"/>
  <c r="J104" i="28"/>
  <c r="J102" i="34"/>
  <c r="C45" i="63"/>
  <c r="C46" i="63" s="1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C69" i="63" s="1"/>
  <c r="C70" i="63" s="1"/>
  <c r="C71" i="63" s="1"/>
  <c r="C72" i="63" s="1"/>
  <c r="C45" i="62"/>
  <c r="C46" i="62" s="1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C69" i="62" s="1"/>
  <c r="C70" i="62" s="1"/>
  <c r="C71" i="62" s="1"/>
  <c r="C72" i="62" s="1"/>
  <c r="C45" i="61"/>
  <c r="C46" i="61" s="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 s="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C69" i="61" s="1"/>
  <c r="C70" i="61" s="1"/>
  <c r="C71" i="61" s="1"/>
  <c r="C72" i="61" s="1"/>
  <c r="B18" i="56"/>
  <c r="B18" i="46"/>
  <c r="P99" i="45"/>
  <c r="P100" i="44"/>
  <c r="P100" i="42"/>
  <c r="B20" i="42"/>
  <c r="O19" i="42"/>
  <c r="B20" i="39"/>
  <c r="P102" i="34"/>
  <c r="B103" i="32"/>
  <c r="B22" i="32"/>
  <c r="P103" i="30"/>
  <c r="O22" i="30"/>
  <c r="B24" i="28"/>
  <c r="P101" i="22"/>
  <c r="P101" i="18"/>
  <c r="P101" i="17"/>
  <c r="O20" i="17"/>
  <c r="B100" i="42"/>
  <c r="B100" i="41"/>
  <c r="B102" i="31"/>
  <c r="B100" i="43"/>
  <c r="B100" i="44"/>
  <c r="J99" i="45"/>
  <c r="J103" i="30"/>
  <c r="J100" i="42"/>
  <c r="J100" i="41"/>
  <c r="J100" i="44"/>
  <c r="J102" i="31"/>
  <c r="J100" i="43"/>
  <c r="C45" i="21"/>
  <c r="C46" i="21" s="1"/>
  <c r="C47" i="21" s="1"/>
  <c r="C48" i="21" s="1"/>
  <c r="C49" i="21" s="1"/>
  <c r="C50" i="21" s="1"/>
  <c r="C51" i="21" s="1"/>
  <c r="C52" i="21" s="1"/>
  <c r="C53" i="21" s="1"/>
  <c r="C54" i="21" s="1"/>
  <c r="C55" i="21" s="1"/>
  <c r="C56" i="21" s="1"/>
  <c r="C57" i="21" s="1"/>
  <c r="C58" i="21" s="1"/>
  <c r="C59" i="21" s="1"/>
  <c r="C60" i="21" s="1"/>
  <c r="C61" i="21" s="1"/>
  <c r="C62" i="21" s="1"/>
  <c r="C63" i="21" s="1"/>
  <c r="C64" i="21" s="1"/>
  <c r="C65" i="21" s="1"/>
  <c r="C66" i="21" s="1"/>
  <c r="C67" i="21" s="1"/>
  <c r="C68" i="21" s="1"/>
  <c r="C69" i="21" s="1"/>
  <c r="C70" i="21" s="1"/>
  <c r="C71" i="21" s="1"/>
  <c r="C72" i="21" s="1"/>
  <c r="P101" i="21"/>
  <c r="B101" i="43"/>
  <c r="B101" i="44"/>
  <c r="B103" i="31"/>
  <c r="C99" i="63"/>
  <c r="C100" i="63" s="1"/>
  <c r="C101" i="63" s="1"/>
  <c r="C102" i="63" s="1"/>
  <c r="C103" i="63" s="1"/>
  <c r="C104" i="63" s="1"/>
  <c r="C105" i="63" s="1"/>
  <c r="C106" i="63" s="1"/>
  <c r="C107" i="63" s="1"/>
  <c r="C108" i="63" s="1"/>
  <c r="C109" i="63" s="1"/>
  <c r="C110" i="63" s="1"/>
  <c r="C111" i="63" s="1"/>
  <c r="C112" i="63" s="1"/>
  <c r="C113" i="63" s="1"/>
  <c r="C114" i="63" s="1"/>
  <c r="C115" i="63" s="1"/>
  <c r="C116" i="63" s="1"/>
  <c r="C117" i="63" s="1"/>
  <c r="C118" i="63" s="1"/>
  <c r="C119" i="63" s="1"/>
  <c r="C120" i="63" s="1"/>
  <c r="C121" i="63" s="1"/>
  <c r="C122" i="63" s="1"/>
  <c r="C123" i="63" s="1"/>
  <c r="C124" i="63" s="1"/>
  <c r="C125" i="63" s="1"/>
  <c r="C126" i="63" s="1"/>
  <c r="C127" i="63" s="1"/>
  <c r="C128" i="63" s="1"/>
  <c r="C129" i="63" s="1"/>
  <c r="C130" i="63" s="1"/>
  <c r="C131" i="63" s="1"/>
  <c r="C132" i="63" s="1"/>
  <c r="C133" i="63" s="1"/>
  <c r="C134" i="63" s="1"/>
  <c r="C135" i="63" s="1"/>
  <c r="C136" i="63" s="1"/>
  <c r="C137" i="63" s="1"/>
  <c r="C138" i="63" s="1"/>
  <c r="C139" i="63" s="1"/>
  <c r="C140" i="63" s="1"/>
  <c r="C141" i="63" s="1"/>
  <c r="C142" i="63" s="1"/>
  <c r="C143" i="63" s="1"/>
  <c r="C144" i="63" s="1"/>
  <c r="C145" i="63" s="1"/>
  <c r="C146" i="63" s="1"/>
  <c r="C147" i="63" s="1"/>
  <c r="C148" i="63" s="1"/>
  <c r="C149" i="63" s="1"/>
  <c r="C150" i="63" s="1"/>
  <c r="C151" i="63" s="1"/>
  <c r="C152" i="63" s="1"/>
  <c r="C153" i="63" s="1"/>
  <c r="C154" i="63" s="1"/>
  <c r="C99" i="61"/>
  <c r="C100" i="61" s="1"/>
  <c r="C101" i="61" s="1"/>
  <c r="C102" i="61" s="1"/>
  <c r="C103" i="61" s="1"/>
  <c r="C104" i="61" s="1"/>
  <c r="C105" i="61" s="1"/>
  <c r="C106" i="61" s="1"/>
  <c r="C107" i="61" s="1"/>
  <c r="C108" i="61" s="1"/>
  <c r="C109" i="61" s="1"/>
  <c r="C110" i="61" s="1"/>
  <c r="C111" i="61" s="1"/>
  <c r="C112" i="61" s="1"/>
  <c r="C113" i="61" s="1"/>
  <c r="C114" i="61" s="1"/>
  <c r="C115" i="61" s="1"/>
  <c r="C116" i="61" s="1"/>
  <c r="C117" i="61" s="1"/>
  <c r="C118" i="61" s="1"/>
  <c r="C119" i="61" s="1"/>
  <c r="C120" i="61" s="1"/>
  <c r="C121" i="61" s="1"/>
  <c r="C122" i="61" s="1"/>
  <c r="C123" i="61" s="1"/>
  <c r="C124" i="61" s="1"/>
  <c r="C125" i="61" s="1"/>
  <c r="C126" i="61" s="1"/>
  <c r="C127" i="61" s="1"/>
  <c r="C128" i="61" s="1"/>
  <c r="C129" i="61" s="1"/>
  <c r="C130" i="61" s="1"/>
  <c r="C131" i="61" s="1"/>
  <c r="C132" i="61" s="1"/>
  <c r="C133" i="61" s="1"/>
  <c r="C134" i="61" s="1"/>
  <c r="C135" i="61" s="1"/>
  <c r="C136" i="61" s="1"/>
  <c r="C137" i="61" s="1"/>
  <c r="C138" i="61" s="1"/>
  <c r="C139" i="61" s="1"/>
  <c r="C140" i="61" s="1"/>
  <c r="C141" i="61" s="1"/>
  <c r="C142" i="61" s="1"/>
  <c r="C143" i="61" s="1"/>
  <c r="C144" i="61" s="1"/>
  <c r="C145" i="61" s="1"/>
  <c r="C146" i="61" s="1"/>
  <c r="C147" i="61" s="1"/>
  <c r="C148" i="61" s="1"/>
  <c r="C149" i="61" s="1"/>
  <c r="C150" i="61" s="1"/>
  <c r="C151" i="61" s="1"/>
  <c r="C152" i="61" s="1"/>
  <c r="C153" i="61" s="1"/>
  <c r="C154" i="61" s="1"/>
  <c r="C99" i="62"/>
  <c r="C100" i="62" s="1"/>
  <c r="C101" i="62" s="1"/>
  <c r="C102" i="62" s="1"/>
  <c r="C103" i="62" s="1"/>
  <c r="C104" i="62" s="1"/>
  <c r="C105" i="62" s="1"/>
  <c r="C106" i="62" s="1"/>
  <c r="C107" i="62" s="1"/>
  <c r="C108" i="62" s="1"/>
  <c r="C109" i="62" s="1"/>
  <c r="C110" i="62" s="1"/>
  <c r="C111" i="62" s="1"/>
  <c r="C112" i="62" s="1"/>
  <c r="C113" i="62" s="1"/>
  <c r="C114" i="62" s="1"/>
  <c r="C115" i="62" s="1"/>
  <c r="C116" i="62" s="1"/>
  <c r="C117" i="62" s="1"/>
  <c r="C118" i="62" s="1"/>
  <c r="C119" i="62" s="1"/>
  <c r="C120" i="62" s="1"/>
  <c r="C121" i="62" s="1"/>
  <c r="C122" i="62" s="1"/>
  <c r="C123" i="62" s="1"/>
  <c r="C124" i="62" s="1"/>
  <c r="C125" i="62" s="1"/>
  <c r="C126" i="62" s="1"/>
  <c r="C127" i="62" s="1"/>
  <c r="C128" i="62" s="1"/>
  <c r="C129" i="62" s="1"/>
  <c r="C130" i="62" s="1"/>
  <c r="C131" i="62" s="1"/>
  <c r="C132" i="62" s="1"/>
  <c r="C133" i="62" s="1"/>
  <c r="C134" i="62" s="1"/>
  <c r="C135" i="62" s="1"/>
  <c r="C136" i="62" s="1"/>
  <c r="C137" i="62" s="1"/>
  <c r="C138" i="62" s="1"/>
  <c r="C139" i="62" s="1"/>
  <c r="C140" i="62" s="1"/>
  <c r="C141" i="62" s="1"/>
  <c r="C142" i="62" s="1"/>
  <c r="C143" i="62" s="1"/>
  <c r="C144" i="62" s="1"/>
  <c r="C145" i="62" s="1"/>
  <c r="C146" i="62" s="1"/>
  <c r="C147" i="62" s="1"/>
  <c r="C148" i="62" s="1"/>
  <c r="C149" i="62" s="1"/>
  <c r="C150" i="62" s="1"/>
  <c r="C151" i="62" s="1"/>
  <c r="C152" i="62" s="1"/>
  <c r="C153" i="62" s="1"/>
  <c r="C154" i="62" s="1"/>
  <c r="B101" i="41"/>
  <c r="B100" i="45"/>
  <c r="C99" i="59"/>
  <c r="C100" i="59" s="1"/>
  <c r="C101" i="59" s="1"/>
  <c r="C102" i="59" s="1"/>
  <c r="C103" i="59" s="1"/>
  <c r="C104" i="59" s="1"/>
  <c r="C105" i="59" s="1"/>
  <c r="C106" i="59" s="1"/>
  <c r="C107" i="59" s="1"/>
  <c r="C108" i="59" s="1"/>
  <c r="C109" i="59" s="1"/>
  <c r="C110" i="59" s="1"/>
  <c r="C111" i="59" s="1"/>
  <c r="C112" i="59" s="1"/>
  <c r="C113" i="59" s="1"/>
  <c r="C114" i="59" s="1"/>
  <c r="C115" i="59" s="1"/>
  <c r="C116" i="59" s="1"/>
  <c r="C117" i="59" s="1"/>
  <c r="C118" i="59" s="1"/>
  <c r="C119" i="59" s="1"/>
  <c r="C120" i="59" s="1"/>
  <c r="C121" i="59" s="1"/>
  <c r="C122" i="59" s="1"/>
  <c r="C123" i="59" s="1"/>
  <c r="C124" i="59" s="1"/>
  <c r="C125" i="59" s="1"/>
  <c r="C126" i="59" s="1"/>
  <c r="C127" i="59" s="1"/>
  <c r="C128" i="59" s="1"/>
  <c r="C129" i="59" s="1"/>
  <c r="C130" i="59" s="1"/>
  <c r="C131" i="59" s="1"/>
  <c r="C132" i="59" s="1"/>
  <c r="C133" i="59" s="1"/>
  <c r="C134" i="59" s="1"/>
  <c r="C135" i="59" s="1"/>
  <c r="C136" i="59" s="1"/>
  <c r="C137" i="59" s="1"/>
  <c r="C138" i="59" s="1"/>
  <c r="C139" i="59" s="1"/>
  <c r="C140" i="59" s="1"/>
  <c r="C141" i="59" s="1"/>
  <c r="C142" i="59" s="1"/>
  <c r="C143" i="59" s="1"/>
  <c r="C144" i="59" s="1"/>
  <c r="C145" i="59" s="1"/>
  <c r="C146" i="59" s="1"/>
  <c r="C147" i="59" s="1"/>
  <c r="C148" i="59" s="1"/>
  <c r="C149" i="59" s="1"/>
  <c r="C150" i="59" s="1"/>
  <c r="C151" i="59" s="1"/>
  <c r="C152" i="59" s="1"/>
  <c r="C153" i="59" s="1"/>
  <c r="C154" i="59" s="1"/>
  <c r="C99" i="60"/>
  <c r="C100" i="60" s="1"/>
  <c r="C101" i="60" s="1"/>
  <c r="C102" i="60" s="1"/>
  <c r="C103" i="60" s="1"/>
  <c r="C104" i="60" s="1"/>
  <c r="C105" i="60" s="1"/>
  <c r="C106" i="60" s="1"/>
  <c r="C107" i="60" s="1"/>
  <c r="C108" i="60" s="1"/>
  <c r="C109" i="60" s="1"/>
  <c r="C110" i="60" s="1"/>
  <c r="C111" i="60" s="1"/>
  <c r="C112" i="60" s="1"/>
  <c r="C113" i="60" s="1"/>
  <c r="C114" i="60" s="1"/>
  <c r="C115" i="60" s="1"/>
  <c r="C116" i="60" s="1"/>
  <c r="C117" i="60" s="1"/>
  <c r="C118" i="60" s="1"/>
  <c r="C119" i="60" s="1"/>
  <c r="C120" i="60" s="1"/>
  <c r="C121" i="60" s="1"/>
  <c r="C122" i="60" s="1"/>
  <c r="C123" i="60" s="1"/>
  <c r="C124" i="60" s="1"/>
  <c r="C125" i="60" s="1"/>
  <c r="C126" i="60" s="1"/>
  <c r="C127" i="60" s="1"/>
  <c r="C128" i="60" s="1"/>
  <c r="C129" i="60" s="1"/>
  <c r="C130" i="60" s="1"/>
  <c r="C131" i="60" s="1"/>
  <c r="C132" i="60" s="1"/>
  <c r="C133" i="60" s="1"/>
  <c r="C134" i="60" s="1"/>
  <c r="C135" i="60" s="1"/>
  <c r="C136" i="60" s="1"/>
  <c r="C137" i="60" s="1"/>
  <c r="C138" i="60" s="1"/>
  <c r="C139" i="60" s="1"/>
  <c r="C140" i="60" s="1"/>
  <c r="C141" i="60" s="1"/>
  <c r="C142" i="60" s="1"/>
  <c r="C143" i="60" s="1"/>
  <c r="C144" i="60" s="1"/>
  <c r="C145" i="60" s="1"/>
  <c r="C146" i="60" s="1"/>
  <c r="C147" i="60" s="1"/>
  <c r="C148" i="60" s="1"/>
  <c r="C149" i="60" s="1"/>
  <c r="C150" i="60" s="1"/>
  <c r="C151" i="60" s="1"/>
  <c r="C152" i="60" s="1"/>
  <c r="C153" i="60" s="1"/>
  <c r="C154" i="60" s="1"/>
  <c r="J103" i="31"/>
  <c r="B104" i="35"/>
  <c r="J99" i="53"/>
  <c r="B104" i="30"/>
  <c r="B101" i="42"/>
  <c r="J99" i="56"/>
  <c r="J100" i="45"/>
  <c r="B105" i="29"/>
  <c r="J99" i="46"/>
  <c r="B18" i="59"/>
  <c r="B23" i="32"/>
  <c r="B25" i="28"/>
  <c r="B19" i="54"/>
  <c r="B21" i="43"/>
  <c r="B22" i="21"/>
  <c r="B19" i="53"/>
  <c r="B19" i="56"/>
  <c r="B100" i="58"/>
  <c r="J101" i="41"/>
  <c r="B103" i="18"/>
  <c r="B104" i="24"/>
  <c r="B104" i="23"/>
  <c r="B104" i="34"/>
  <c r="B106" i="28"/>
  <c r="B103" i="19"/>
  <c r="J103" i="35"/>
  <c r="J101" i="44"/>
  <c r="B103" i="22"/>
  <c r="J101" i="43"/>
  <c r="B103" i="17"/>
  <c r="B105" i="27"/>
  <c r="B19" i="58"/>
  <c r="B23" i="31"/>
  <c r="B22" i="19"/>
  <c r="B19" i="46"/>
  <c r="B18" i="63"/>
  <c r="B21" i="41"/>
  <c r="B24" i="27"/>
  <c r="B23" i="34"/>
  <c r="B24" i="30"/>
  <c r="B21" i="44"/>
  <c r="B19" i="57"/>
  <c r="B22" i="3"/>
  <c r="J99" i="55"/>
  <c r="J99" i="58"/>
  <c r="B21" i="42"/>
  <c r="B24" i="29"/>
  <c r="B18" i="62"/>
  <c r="B22" i="20"/>
  <c r="B23" i="23"/>
  <c r="B22" i="18"/>
  <c r="B22" i="22"/>
  <c r="B23" i="24"/>
  <c r="B18" i="61"/>
  <c r="B21" i="39"/>
  <c r="J104" i="29"/>
  <c r="J102" i="20"/>
  <c r="J103" i="23"/>
  <c r="J103" i="34"/>
  <c r="J102" i="19"/>
  <c r="J105" i="28"/>
  <c r="J101" i="39"/>
  <c r="J103" i="24"/>
  <c r="J103" i="32"/>
  <c r="J104" i="27"/>
  <c r="J102" i="22"/>
  <c r="J102" i="21"/>
  <c r="J102" i="18"/>
  <c r="J102" i="17"/>
  <c r="I21" i="17"/>
  <c r="J99" i="57"/>
  <c r="J99" i="54"/>
  <c r="J101" i="42"/>
  <c r="J104" i="30"/>
  <c r="B22" i="17"/>
  <c r="P102" i="3"/>
  <c r="B103" i="3"/>
  <c r="C45" i="68"/>
  <c r="C46" i="68"/>
  <c r="C47" i="68" s="1"/>
  <c r="C48" i="68" s="1"/>
  <c r="C49" i="68" s="1"/>
  <c r="C50" i="68" s="1"/>
  <c r="C51" i="68" s="1"/>
  <c r="C52" i="68" s="1"/>
  <c r="C53" i="68" s="1"/>
  <c r="C54" i="68" s="1"/>
  <c r="C55" i="68" s="1"/>
  <c r="C56" i="68" s="1"/>
  <c r="C57" i="68" s="1"/>
  <c r="C58" i="68" s="1"/>
  <c r="C59" i="68" s="1"/>
  <c r="C60" i="68" s="1"/>
  <c r="C61" i="68" s="1"/>
  <c r="C62" i="68" s="1"/>
  <c r="C63" i="68" s="1"/>
  <c r="C64" i="68" s="1"/>
  <c r="C65" i="68" s="1"/>
  <c r="C66" i="68" s="1"/>
  <c r="C67" i="68" s="1"/>
  <c r="C68" i="68" s="1"/>
  <c r="C69" i="68" s="1"/>
  <c r="C70" i="68" s="1"/>
  <c r="C71" i="68" s="1"/>
  <c r="C72" i="68" s="1"/>
  <c r="C45" i="66"/>
  <c r="C46" i="66" s="1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C58" i="66" s="1"/>
  <c r="C59" i="66" s="1"/>
  <c r="C60" i="66" s="1"/>
  <c r="C61" i="66" s="1"/>
  <c r="C62" i="66" s="1"/>
  <c r="C63" i="66" s="1"/>
  <c r="C64" i="66" s="1"/>
  <c r="C65" i="66" s="1"/>
  <c r="C66" i="66" s="1"/>
  <c r="C67" i="66" s="1"/>
  <c r="C68" i="66" s="1"/>
  <c r="C69" i="66" s="1"/>
  <c r="C70" i="66" s="1"/>
  <c r="C71" i="66" s="1"/>
  <c r="C72" i="66" s="1"/>
  <c r="O20" i="43"/>
  <c r="B20" i="45"/>
  <c r="O18" i="46"/>
  <c r="O18" i="53"/>
  <c r="B19" i="55"/>
  <c r="B18" i="60"/>
  <c r="P99" i="58"/>
  <c r="P99" i="57"/>
  <c r="P99" i="56"/>
  <c r="P99" i="54"/>
  <c r="P100" i="45"/>
  <c r="P101" i="44"/>
  <c r="P101" i="41"/>
  <c r="P103" i="34"/>
  <c r="B104" i="32"/>
  <c r="P103" i="31"/>
  <c r="P104" i="30"/>
  <c r="P104" i="27"/>
  <c r="P103" i="23"/>
  <c r="P102" i="22"/>
  <c r="B103" i="20"/>
  <c r="P102" i="20"/>
  <c r="B103" i="21"/>
  <c r="B24" i="34"/>
  <c r="B25" i="29"/>
  <c r="B19" i="59"/>
  <c r="B22" i="39"/>
  <c r="B18" i="67"/>
  <c r="B19" i="63"/>
  <c r="B26" i="28"/>
  <c r="B25" i="27"/>
  <c r="B19" i="61"/>
  <c r="B23" i="3"/>
  <c r="B23" i="21"/>
  <c r="B23" i="18"/>
  <c r="B22" i="42"/>
  <c r="B19" i="62"/>
  <c r="B23" i="19"/>
  <c r="B105" i="24"/>
  <c r="B104" i="3"/>
  <c r="B106" i="27"/>
  <c r="B101" i="58"/>
  <c r="B104" i="20"/>
  <c r="B105" i="32"/>
  <c r="B20" i="54"/>
  <c r="B20" i="58"/>
  <c r="B20" i="53"/>
  <c r="B18" i="68"/>
  <c r="B22" i="43"/>
  <c r="B23" i="20"/>
  <c r="B23" i="22"/>
  <c r="B18" i="64"/>
  <c r="B18" i="65"/>
  <c r="B21" i="45"/>
  <c r="B20" i="46"/>
  <c r="B20" i="57"/>
  <c r="B24" i="32"/>
  <c r="B105" i="23"/>
  <c r="B104" i="17"/>
  <c r="B104" i="19"/>
  <c r="B107" i="28"/>
  <c r="B24" i="31"/>
  <c r="B22" i="41"/>
  <c r="B20" i="55"/>
  <c r="B23" i="17"/>
  <c r="B19" i="64"/>
  <c r="B18" i="66"/>
  <c r="B19" i="60"/>
  <c r="B20" i="56"/>
  <c r="O19" i="53"/>
  <c r="P100" i="46"/>
  <c r="B22" i="44"/>
  <c r="O23" i="32"/>
  <c r="P104" i="31"/>
  <c r="B25" i="30"/>
  <c r="B106" i="29"/>
  <c r="P106" i="28"/>
  <c r="B24" i="24"/>
  <c r="B24" i="23"/>
  <c r="P103" i="22"/>
  <c r="B104" i="22"/>
  <c r="P103" i="21"/>
  <c r="B104" i="18"/>
  <c r="B101" i="54"/>
  <c r="B101" i="45"/>
  <c r="B100" i="57"/>
  <c r="B100" i="53"/>
  <c r="B104" i="31"/>
  <c r="B100" i="54"/>
  <c r="B105" i="30"/>
  <c r="B102" i="43"/>
  <c r="B102" i="41"/>
  <c r="B100" i="46"/>
  <c r="B100" i="55"/>
  <c r="B102" i="44"/>
  <c r="B100" i="56"/>
  <c r="B102" i="42"/>
  <c r="B100" i="63"/>
  <c r="B100" i="59"/>
  <c r="B100" i="60"/>
  <c r="B100" i="61"/>
  <c r="B100" i="62"/>
  <c r="B101" i="55"/>
  <c r="B101" i="57"/>
  <c r="B100" i="64"/>
  <c r="C45" i="78"/>
  <c r="C46" i="78" s="1"/>
  <c r="C47" i="78" s="1"/>
  <c r="C48" i="78" s="1"/>
  <c r="C49" i="78" s="1"/>
  <c r="C50" i="78" s="1"/>
  <c r="C51" i="78" s="1"/>
  <c r="C52" i="78" s="1"/>
  <c r="C53" i="78" s="1"/>
  <c r="C54" i="78" s="1"/>
  <c r="C55" i="78" s="1"/>
  <c r="C56" i="78" s="1"/>
  <c r="C57" i="78" s="1"/>
  <c r="C58" i="78" s="1"/>
  <c r="C59" i="78" s="1"/>
  <c r="C60" i="78" s="1"/>
  <c r="C61" i="78" s="1"/>
  <c r="C62" i="78" s="1"/>
  <c r="C63" i="78" s="1"/>
  <c r="C64" i="78" s="1"/>
  <c r="C65" i="78" s="1"/>
  <c r="C66" i="78" s="1"/>
  <c r="C67" i="78" s="1"/>
  <c r="C68" i="78" s="1"/>
  <c r="C69" i="78" s="1"/>
  <c r="C70" i="78" s="1"/>
  <c r="C71" i="78" s="1"/>
  <c r="C72" i="78" s="1"/>
  <c r="C45" i="77"/>
  <c r="C46" i="77" s="1"/>
  <c r="C47" i="77" s="1"/>
  <c r="C48" i="77" s="1"/>
  <c r="C49" i="77" s="1"/>
  <c r="C50" i="77" s="1"/>
  <c r="C51" i="77" s="1"/>
  <c r="C52" i="77" s="1"/>
  <c r="C53" i="77" s="1"/>
  <c r="C54" i="77" s="1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C45" i="75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C58" i="75" s="1"/>
  <c r="C59" i="75" s="1"/>
  <c r="C60" i="75" s="1"/>
  <c r="C61" i="75" s="1"/>
  <c r="C62" i="75" s="1"/>
  <c r="C63" i="75" s="1"/>
  <c r="C64" i="75" s="1"/>
  <c r="C65" i="75" s="1"/>
  <c r="C66" i="75" s="1"/>
  <c r="C67" i="75" s="1"/>
  <c r="C68" i="75" s="1"/>
  <c r="C69" i="75" s="1"/>
  <c r="C70" i="75" s="1"/>
  <c r="C71" i="75" s="1"/>
  <c r="C72" i="75" s="1"/>
  <c r="C99" i="73"/>
  <c r="C100" i="73" s="1"/>
  <c r="C101" i="73" s="1"/>
  <c r="C102" i="73" s="1"/>
  <c r="C103" i="73" s="1"/>
  <c r="C104" i="73" s="1"/>
  <c r="C105" i="73" s="1"/>
  <c r="C106" i="73" s="1"/>
  <c r="C107" i="73" s="1"/>
  <c r="C108" i="73" s="1"/>
  <c r="C109" i="73" s="1"/>
  <c r="C110" i="73" s="1"/>
  <c r="C111" i="73" s="1"/>
  <c r="C112" i="73" s="1"/>
  <c r="C113" i="73" s="1"/>
  <c r="C114" i="73" s="1"/>
  <c r="C115" i="73" s="1"/>
  <c r="C116" i="73" s="1"/>
  <c r="C117" i="73" s="1"/>
  <c r="C118" i="73" s="1"/>
  <c r="C119" i="73" s="1"/>
  <c r="C120" i="73" s="1"/>
  <c r="C121" i="73" s="1"/>
  <c r="C122" i="73" s="1"/>
  <c r="C123" i="73" s="1"/>
  <c r="C124" i="73" s="1"/>
  <c r="C125" i="73" s="1"/>
  <c r="C126" i="73" s="1"/>
  <c r="C127" i="73" s="1"/>
  <c r="C128" i="73" s="1"/>
  <c r="C129" i="73" s="1"/>
  <c r="C130" i="73" s="1"/>
  <c r="C131" i="73" s="1"/>
  <c r="C132" i="73" s="1"/>
  <c r="C133" i="73" s="1"/>
  <c r="C134" i="73" s="1"/>
  <c r="C135" i="73" s="1"/>
  <c r="C136" i="73" s="1"/>
  <c r="C137" i="73" s="1"/>
  <c r="C138" i="73" s="1"/>
  <c r="C139" i="73" s="1"/>
  <c r="C140" i="73" s="1"/>
  <c r="C141" i="73" s="1"/>
  <c r="C142" i="73" s="1"/>
  <c r="C143" i="73" s="1"/>
  <c r="C144" i="73" s="1"/>
  <c r="C145" i="73" s="1"/>
  <c r="C146" i="73" s="1"/>
  <c r="C147" i="73" s="1"/>
  <c r="C148" i="73" s="1"/>
  <c r="C149" i="73" s="1"/>
  <c r="C150" i="73" s="1"/>
  <c r="C151" i="73" s="1"/>
  <c r="C152" i="73" s="1"/>
  <c r="C153" i="73" s="1"/>
  <c r="C154" i="73" s="1"/>
  <c r="C99" i="70"/>
  <c r="C99" i="71"/>
  <c r="C100" i="71" s="1"/>
  <c r="C101" i="71" s="1"/>
  <c r="C102" i="71" s="1"/>
  <c r="C103" i="71" s="1"/>
  <c r="C104" i="71" s="1"/>
  <c r="C105" i="71" s="1"/>
  <c r="C106" i="71" s="1"/>
  <c r="C107" i="71" s="1"/>
  <c r="C108" i="71" s="1"/>
  <c r="C109" i="71" s="1"/>
  <c r="C110" i="71" s="1"/>
  <c r="C111" i="71" s="1"/>
  <c r="C112" i="71" s="1"/>
  <c r="C113" i="71" s="1"/>
  <c r="C114" i="71" s="1"/>
  <c r="C115" i="71" s="1"/>
  <c r="C116" i="71" s="1"/>
  <c r="C117" i="71" s="1"/>
  <c r="C118" i="71" s="1"/>
  <c r="C119" i="71" s="1"/>
  <c r="C120" i="71" s="1"/>
  <c r="C121" i="71" s="1"/>
  <c r="C122" i="71" s="1"/>
  <c r="C123" i="71" s="1"/>
  <c r="C124" i="71" s="1"/>
  <c r="C125" i="71" s="1"/>
  <c r="C126" i="71" s="1"/>
  <c r="C127" i="71" s="1"/>
  <c r="C128" i="71" s="1"/>
  <c r="C129" i="71" s="1"/>
  <c r="C130" i="71" s="1"/>
  <c r="C131" i="71" s="1"/>
  <c r="C132" i="71" s="1"/>
  <c r="C133" i="71" s="1"/>
  <c r="C134" i="71" s="1"/>
  <c r="C135" i="71" s="1"/>
  <c r="C136" i="71" s="1"/>
  <c r="C137" i="71" s="1"/>
  <c r="C138" i="71" s="1"/>
  <c r="C139" i="71" s="1"/>
  <c r="C140" i="71" s="1"/>
  <c r="C141" i="71" s="1"/>
  <c r="C142" i="71" s="1"/>
  <c r="C143" i="71" s="1"/>
  <c r="C144" i="71" s="1"/>
  <c r="C145" i="71" s="1"/>
  <c r="C146" i="71" s="1"/>
  <c r="C147" i="71" s="1"/>
  <c r="C148" i="71" s="1"/>
  <c r="C149" i="71" s="1"/>
  <c r="C150" i="71" s="1"/>
  <c r="C151" i="71" s="1"/>
  <c r="C152" i="71" s="1"/>
  <c r="C153" i="71" s="1"/>
  <c r="C154" i="71" s="1"/>
  <c r="C99" i="69"/>
  <c r="K17" i="74"/>
  <c r="L17" i="74" s="1"/>
  <c r="K17" i="73"/>
  <c r="L17" i="73" s="1"/>
  <c r="K17" i="71"/>
  <c r="L17" i="71" s="1"/>
  <c r="M17" i="71"/>
  <c r="N17" i="71" s="1"/>
  <c r="C45" i="76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C59" i="76" s="1"/>
  <c r="C60" i="76" s="1"/>
  <c r="C61" i="76" s="1"/>
  <c r="C62" i="76" s="1"/>
  <c r="C63" i="76" s="1"/>
  <c r="C64" i="76" s="1"/>
  <c r="C65" i="76" s="1"/>
  <c r="C66" i="76" s="1"/>
  <c r="C67" i="76" s="1"/>
  <c r="C68" i="76" s="1"/>
  <c r="C69" i="76" s="1"/>
  <c r="C70" i="76" s="1"/>
  <c r="C71" i="76" s="1"/>
  <c r="C72" i="76" s="1"/>
  <c r="B101" i="46"/>
  <c r="B104" i="21"/>
  <c r="C45" i="73"/>
  <c r="C46" i="73" s="1"/>
  <c r="C47" i="73" s="1"/>
  <c r="C48" i="73" s="1"/>
  <c r="C49" i="73" s="1"/>
  <c r="C50" i="73" s="1"/>
  <c r="C51" i="73" s="1"/>
  <c r="C52" i="73" s="1"/>
  <c r="C53" i="73" s="1"/>
  <c r="C54" i="73" s="1"/>
  <c r="C55" i="73" s="1"/>
  <c r="C56" i="73" s="1"/>
  <c r="C57" i="73" s="1"/>
  <c r="C58" i="73" s="1"/>
  <c r="C59" i="73" s="1"/>
  <c r="C60" i="73" s="1"/>
  <c r="C61" i="73" s="1"/>
  <c r="C62" i="73" s="1"/>
  <c r="C63" i="73" s="1"/>
  <c r="C64" i="73" s="1"/>
  <c r="C65" i="73" s="1"/>
  <c r="C66" i="73" s="1"/>
  <c r="C67" i="73" s="1"/>
  <c r="C68" i="73" s="1"/>
  <c r="C69" i="73" s="1"/>
  <c r="C70" i="73" s="1"/>
  <c r="C71" i="73" s="1"/>
  <c r="C72" i="73" s="1"/>
  <c r="C45" i="72"/>
  <c r="C46" i="72" s="1"/>
  <c r="C47" i="72" s="1"/>
  <c r="C48" i="72" s="1"/>
  <c r="C49" i="72" s="1"/>
  <c r="C50" i="72" s="1"/>
  <c r="C51" i="72" s="1"/>
  <c r="C52" i="72" s="1"/>
  <c r="C53" i="72" s="1"/>
  <c r="C54" i="72" s="1"/>
  <c r="C55" i="72" s="1"/>
  <c r="C56" i="72" s="1"/>
  <c r="C57" i="72" s="1"/>
  <c r="C58" i="72" s="1"/>
  <c r="C59" i="72" s="1"/>
  <c r="C60" i="72" s="1"/>
  <c r="C61" i="72" s="1"/>
  <c r="C62" i="72" s="1"/>
  <c r="C63" i="72" s="1"/>
  <c r="C64" i="72" s="1"/>
  <c r="C65" i="72" s="1"/>
  <c r="C66" i="72" s="1"/>
  <c r="C67" i="72" s="1"/>
  <c r="C68" i="72" s="1"/>
  <c r="C69" i="72" s="1"/>
  <c r="C70" i="72" s="1"/>
  <c r="C71" i="72" s="1"/>
  <c r="C72" i="72" s="1"/>
  <c r="C99" i="72"/>
  <c r="C100" i="72" s="1"/>
  <c r="C101" i="72" s="1"/>
  <c r="C102" i="72" s="1"/>
  <c r="C103" i="72" s="1"/>
  <c r="C104" i="72" s="1"/>
  <c r="C105" i="72" s="1"/>
  <c r="C106" i="72" s="1"/>
  <c r="C107" i="72" s="1"/>
  <c r="C108" i="72" s="1"/>
  <c r="C109" i="72" s="1"/>
  <c r="C110" i="72" s="1"/>
  <c r="C111" i="72" s="1"/>
  <c r="C112" i="72" s="1"/>
  <c r="C113" i="72" s="1"/>
  <c r="C114" i="72" s="1"/>
  <c r="C115" i="72" s="1"/>
  <c r="C116" i="72" s="1"/>
  <c r="C117" i="72" s="1"/>
  <c r="C118" i="72" s="1"/>
  <c r="C119" i="72" s="1"/>
  <c r="C120" i="72" s="1"/>
  <c r="C121" i="72" s="1"/>
  <c r="C122" i="72" s="1"/>
  <c r="C123" i="72" s="1"/>
  <c r="C124" i="72" s="1"/>
  <c r="C125" i="72" s="1"/>
  <c r="C126" i="72" s="1"/>
  <c r="C127" i="72" s="1"/>
  <c r="C128" i="72" s="1"/>
  <c r="C129" i="72" s="1"/>
  <c r="C130" i="72" s="1"/>
  <c r="C131" i="72" s="1"/>
  <c r="C132" i="72" s="1"/>
  <c r="C133" i="72" s="1"/>
  <c r="C134" i="72" s="1"/>
  <c r="C135" i="72" s="1"/>
  <c r="C136" i="72" s="1"/>
  <c r="C137" i="72" s="1"/>
  <c r="C138" i="72" s="1"/>
  <c r="C139" i="72" s="1"/>
  <c r="C140" i="72" s="1"/>
  <c r="C141" i="72" s="1"/>
  <c r="C142" i="72" s="1"/>
  <c r="C143" i="72" s="1"/>
  <c r="C144" i="72" s="1"/>
  <c r="C145" i="72" s="1"/>
  <c r="C146" i="72" s="1"/>
  <c r="C147" i="72" s="1"/>
  <c r="C148" i="72" s="1"/>
  <c r="C149" i="72" s="1"/>
  <c r="C150" i="72" s="1"/>
  <c r="C151" i="72" s="1"/>
  <c r="C152" i="72" s="1"/>
  <c r="C153" i="72" s="1"/>
  <c r="C154" i="72" s="1"/>
  <c r="C45" i="71"/>
  <c r="C46" i="71" s="1"/>
  <c r="C47" i="71" s="1"/>
  <c r="C48" i="71" s="1"/>
  <c r="C49" i="71" s="1"/>
  <c r="C50" i="71" s="1"/>
  <c r="C51" i="71" s="1"/>
  <c r="C52" i="71" s="1"/>
  <c r="C53" i="71" s="1"/>
  <c r="C54" i="71" s="1"/>
  <c r="C55" i="71" s="1"/>
  <c r="C56" i="71" s="1"/>
  <c r="C57" i="71" s="1"/>
  <c r="C58" i="71" s="1"/>
  <c r="C59" i="71" s="1"/>
  <c r="C60" i="71" s="1"/>
  <c r="C61" i="71" s="1"/>
  <c r="C62" i="71" s="1"/>
  <c r="C63" i="71" s="1"/>
  <c r="C64" i="71" s="1"/>
  <c r="C65" i="71" s="1"/>
  <c r="C66" i="71" s="1"/>
  <c r="C67" i="71" s="1"/>
  <c r="C68" i="71" s="1"/>
  <c r="C69" i="71" s="1"/>
  <c r="C70" i="71" s="1"/>
  <c r="C71" i="71" s="1"/>
  <c r="C72" i="71" s="1"/>
  <c r="C45" i="70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C58" i="70" s="1"/>
  <c r="C59" i="70" s="1"/>
  <c r="C60" i="70" s="1"/>
  <c r="C61" i="70" s="1"/>
  <c r="C62" i="70" s="1"/>
  <c r="C63" i="70" s="1"/>
  <c r="C64" i="70" s="1"/>
  <c r="C65" i="70" s="1"/>
  <c r="C66" i="70" s="1"/>
  <c r="C67" i="70" s="1"/>
  <c r="C68" i="70" s="1"/>
  <c r="C69" i="70" s="1"/>
  <c r="C70" i="70" s="1"/>
  <c r="C71" i="70" s="1"/>
  <c r="C72" i="70" s="1"/>
  <c r="C100" i="70"/>
  <c r="C101" i="70" s="1"/>
  <c r="C102" i="70" s="1"/>
  <c r="C103" i="70" s="1"/>
  <c r="C104" i="70" s="1"/>
  <c r="C105" i="70" s="1"/>
  <c r="C106" i="70" s="1"/>
  <c r="C107" i="70" s="1"/>
  <c r="C108" i="70" s="1"/>
  <c r="C109" i="70" s="1"/>
  <c r="C110" i="70" s="1"/>
  <c r="C111" i="70" s="1"/>
  <c r="C112" i="70" s="1"/>
  <c r="C113" i="70" s="1"/>
  <c r="C114" i="70" s="1"/>
  <c r="C115" i="70" s="1"/>
  <c r="C116" i="70" s="1"/>
  <c r="C117" i="70" s="1"/>
  <c r="C118" i="70" s="1"/>
  <c r="C119" i="70" s="1"/>
  <c r="C120" i="70" s="1"/>
  <c r="C121" i="70" s="1"/>
  <c r="C122" i="70" s="1"/>
  <c r="C123" i="70" s="1"/>
  <c r="C124" i="70" s="1"/>
  <c r="C125" i="70" s="1"/>
  <c r="C126" i="70" s="1"/>
  <c r="C127" i="70" s="1"/>
  <c r="C128" i="70" s="1"/>
  <c r="C129" i="70" s="1"/>
  <c r="C130" i="70" s="1"/>
  <c r="C131" i="70" s="1"/>
  <c r="C132" i="70" s="1"/>
  <c r="C133" i="70" s="1"/>
  <c r="C134" i="70" s="1"/>
  <c r="C135" i="70" s="1"/>
  <c r="C136" i="70" s="1"/>
  <c r="C137" i="70" s="1"/>
  <c r="C138" i="70" s="1"/>
  <c r="C139" i="70" s="1"/>
  <c r="C140" i="70" s="1"/>
  <c r="C141" i="70" s="1"/>
  <c r="C142" i="70" s="1"/>
  <c r="C143" i="70" s="1"/>
  <c r="C144" i="70" s="1"/>
  <c r="C145" i="70" s="1"/>
  <c r="C146" i="70" s="1"/>
  <c r="C147" i="70" s="1"/>
  <c r="C148" i="70" s="1"/>
  <c r="C149" i="70" s="1"/>
  <c r="C150" i="70" s="1"/>
  <c r="C151" i="70" s="1"/>
  <c r="C152" i="70" s="1"/>
  <c r="C153" i="70" s="1"/>
  <c r="C154" i="70" s="1"/>
  <c r="C45" i="69"/>
  <c r="C46" i="69" s="1"/>
  <c r="C47" i="69" s="1"/>
  <c r="C48" i="69" s="1"/>
  <c r="C49" i="69" s="1"/>
  <c r="C50" i="69" s="1"/>
  <c r="C51" i="69" s="1"/>
  <c r="C52" i="69" s="1"/>
  <c r="C53" i="69" s="1"/>
  <c r="C54" i="69" s="1"/>
  <c r="C55" i="69" s="1"/>
  <c r="C56" i="69" s="1"/>
  <c r="C57" i="69" s="1"/>
  <c r="C58" i="69" s="1"/>
  <c r="C59" i="69" s="1"/>
  <c r="C60" i="69" s="1"/>
  <c r="C61" i="69" s="1"/>
  <c r="C62" i="69" s="1"/>
  <c r="C63" i="69" s="1"/>
  <c r="C64" i="69" s="1"/>
  <c r="C65" i="69" s="1"/>
  <c r="C66" i="69" s="1"/>
  <c r="C67" i="69" s="1"/>
  <c r="C68" i="69" s="1"/>
  <c r="C69" i="69" s="1"/>
  <c r="C70" i="69" s="1"/>
  <c r="C71" i="69" s="1"/>
  <c r="C72" i="69" s="1"/>
  <c r="C100" i="69"/>
  <c r="C101" i="69" s="1"/>
  <c r="C102" i="69" s="1"/>
  <c r="C103" i="69" s="1"/>
  <c r="C104" i="69" s="1"/>
  <c r="C105" i="69" s="1"/>
  <c r="C106" i="69" s="1"/>
  <c r="C107" i="69" s="1"/>
  <c r="C108" i="69" s="1"/>
  <c r="C109" i="69" s="1"/>
  <c r="C110" i="69" s="1"/>
  <c r="C111" i="69" s="1"/>
  <c r="C112" i="69" s="1"/>
  <c r="C113" i="69" s="1"/>
  <c r="C114" i="69" s="1"/>
  <c r="C115" i="69" s="1"/>
  <c r="C116" i="69" s="1"/>
  <c r="C117" i="69" s="1"/>
  <c r="C118" i="69" s="1"/>
  <c r="C119" i="69" s="1"/>
  <c r="C120" i="69" s="1"/>
  <c r="C121" i="69" s="1"/>
  <c r="C122" i="69" s="1"/>
  <c r="C123" i="69" s="1"/>
  <c r="C124" i="69" s="1"/>
  <c r="C125" i="69" s="1"/>
  <c r="C126" i="69" s="1"/>
  <c r="C127" i="69" s="1"/>
  <c r="C128" i="69" s="1"/>
  <c r="C129" i="69" s="1"/>
  <c r="C130" i="69" s="1"/>
  <c r="C131" i="69" s="1"/>
  <c r="C132" i="69" s="1"/>
  <c r="C133" i="69" s="1"/>
  <c r="C134" i="69" s="1"/>
  <c r="C135" i="69" s="1"/>
  <c r="C136" i="69" s="1"/>
  <c r="C137" i="69" s="1"/>
  <c r="C138" i="69" s="1"/>
  <c r="C139" i="69" s="1"/>
  <c r="C140" i="69" s="1"/>
  <c r="C141" i="69" s="1"/>
  <c r="C142" i="69" s="1"/>
  <c r="C143" i="69" s="1"/>
  <c r="C144" i="69" s="1"/>
  <c r="C145" i="69" s="1"/>
  <c r="C146" i="69" s="1"/>
  <c r="C147" i="69" s="1"/>
  <c r="C148" i="69" s="1"/>
  <c r="C149" i="69" s="1"/>
  <c r="C150" i="69" s="1"/>
  <c r="C151" i="69" s="1"/>
  <c r="C152" i="69" s="1"/>
  <c r="C153" i="69" s="1"/>
  <c r="C154" i="69" s="1"/>
  <c r="M17" i="74"/>
  <c r="N17" i="74" s="1"/>
  <c r="K18" i="74"/>
  <c r="L18" i="74" s="1"/>
  <c r="M17" i="73"/>
  <c r="N17" i="73" s="1"/>
  <c r="K18" i="73"/>
  <c r="L18" i="73" s="1"/>
  <c r="K17" i="72"/>
  <c r="L17" i="72" s="1"/>
  <c r="O17" i="72" s="1"/>
  <c r="K18" i="72"/>
  <c r="L18" i="72" s="1"/>
  <c r="K18" i="71"/>
  <c r="L18" i="71" s="1"/>
  <c r="M18" i="71"/>
  <c r="N18" i="71" s="1"/>
  <c r="K17" i="70"/>
  <c r="L17" i="70" s="1"/>
  <c r="B18" i="74"/>
  <c r="B18" i="73"/>
  <c r="B18" i="72"/>
  <c r="B18" i="71"/>
  <c r="B18" i="70"/>
  <c r="B18" i="69"/>
  <c r="M18" i="74"/>
  <c r="N18" i="74" s="1"/>
  <c r="M18" i="73"/>
  <c r="N18" i="73" s="1"/>
  <c r="O18" i="73" s="1"/>
  <c r="M18" i="72"/>
  <c r="N18" i="72" s="1"/>
  <c r="K19" i="71"/>
  <c r="L19" i="71" s="1"/>
  <c r="M17" i="70"/>
  <c r="N17" i="70" s="1"/>
  <c r="K18" i="70"/>
  <c r="L18" i="70" s="1"/>
  <c r="B100" i="69"/>
  <c r="K19" i="74"/>
  <c r="L19" i="74" s="1"/>
  <c r="K19" i="73"/>
  <c r="L19" i="73" s="1"/>
  <c r="K19" i="72"/>
  <c r="L19" i="72" s="1"/>
  <c r="M19" i="71"/>
  <c r="N19" i="71" s="1"/>
  <c r="M18" i="70"/>
  <c r="N18" i="70" s="1"/>
  <c r="B19" i="73"/>
  <c r="B19" i="72"/>
  <c r="B19" i="71"/>
  <c r="B19" i="70"/>
  <c r="B19" i="69"/>
  <c r="M19" i="74"/>
  <c r="N19" i="74" s="1"/>
  <c r="M19" i="73"/>
  <c r="N19" i="73" s="1"/>
  <c r="M19" i="72"/>
  <c r="N19" i="72" s="1"/>
  <c r="K20" i="71"/>
  <c r="L20" i="71" s="1"/>
  <c r="K19" i="70"/>
  <c r="L19" i="70" s="1"/>
  <c r="B19" i="74"/>
  <c r="B101" i="69"/>
  <c r="K20" i="74"/>
  <c r="L20" i="74" s="1"/>
  <c r="K20" i="73"/>
  <c r="L20" i="73" s="1"/>
  <c r="M20" i="71"/>
  <c r="N20" i="71" s="1"/>
  <c r="K20" i="70"/>
  <c r="L20" i="70" s="1"/>
  <c r="M19" i="70"/>
  <c r="N19" i="70" s="1"/>
  <c r="B20" i="74"/>
  <c r="B20" i="73"/>
  <c r="B20" i="72"/>
  <c r="B20" i="71"/>
  <c r="B20" i="70"/>
  <c r="B20" i="69"/>
  <c r="M20" i="74"/>
  <c r="N20" i="74" s="1"/>
  <c r="M20" i="73"/>
  <c r="N20" i="73" s="1"/>
  <c r="K21" i="71"/>
  <c r="L21" i="71" s="1"/>
  <c r="M20" i="70"/>
  <c r="N20" i="70" s="1"/>
  <c r="O20" i="70" s="1"/>
  <c r="B102" i="69"/>
  <c r="K21" i="73"/>
  <c r="L21" i="73" s="1"/>
  <c r="M21" i="71"/>
  <c r="N21" i="71" s="1"/>
  <c r="K21" i="70"/>
  <c r="L21" i="70" s="1"/>
  <c r="B21" i="74"/>
  <c r="B21" i="73"/>
  <c r="B21" i="71"/>
  <c r="B21" i="70"/>
  <c r="B21" i="69"/>
  <c r="M21" i="73"/>
  <c r="N21" i="73" s="1"/>
  <c r="K22" i="71"/>
  <c r="L22" i="71" s="1"/>
  <c r="M21" i="70"/>
  <c r="N21" i="70" s="1"/>
  <c r="B103" i="69"/>
  <c r="M22" i="71"/>
  <c r="N22" i="71" s="1"/>
  <c r="K23" i="70"/>
  <c r="L23" i="70" s="1"/>
  <c r="M22" i="70"/>
  <c r="N22" i="70" s="1"/>
  <c r="K22" i="70"/>
  <c r="L22" i="70" s="1"/>
  <c r="B22" i="73"/>
  <c r="B22" i="71"/>
  <c r="B22" i="70"/>
  <c r="B22" i="69"/>
  <c r="K23" i="71"/>
  <c r="L23" i="71" s="1"/>
  <c r="M23" i="70"/>
  <c r="N23" i="70" s="1"/>
  <c r="B104" i="69"/>
  <c r="M23" i="71"/>
  <c r="N23" i="71" s="1"/>
  <c r="K24" i="70"/>
  <c r="B23" i="71"/>
  <c r="B23" i="70"/>
  <c r="B23" i="69"/>
  <c r="L24" i="70"/>
  <c r="M24" i="70"/>
  <c r="N24" i="70" s="1"/>
  <c r="B105" i="69"/>
  <c r="B24" i="71"/>
  <c r="B24" i="70"/>
  <c r="B24" i="69"/>
  <c r="B106" i="69"/>
  <c r="B25" i="70"/>
  <c r="B25" i="69"/>
  <c r="O18" i="69"/>
  <c r="O23" i="69"/>
  <c r="L102" i="39"/>
  <c r="M102" i="39" s="1"/>
  <c r="N102" i="39"/>
  <c r="O102" i="39" s="1"/>
  <c r="P102" i="39" s="1"/>
  <c r="J102" i="39"/>
  <c r="B104" i="44"/>
  <c r="B100" i="75"/>
  <c r="B101" i="56"/>
  <c r="B103" i="44"/>
  <c r="P99" i="73"/>
  <c r="P101" i="72"/>
  <c r="B103" i="43"/>
  <c r="B20" i="64"/>
  <c r="B20" i="63"/>
  <c r="B23" i="41"/>
  <c r="B20" i="60"/>
  <c r="B21" i="55"/>
  <c r="B19" i="65"/>
  <c r="B26" i="30"/>
  <c r="B21" i="54"/>
  <c r="B18" i="78"/>
  <c r="B102" i="46"/>
  <c r="B22" i="74"/>
  <c r="B27" i="28"/>
  <c r="B106" i="30"/>
  <c r="B21" i="56"/>
  <c r="B20" i="62"/>
  <c r="B24" i="3"/>
  <c r="B102" i="53"/>
  <c r="B100" i="66"/>
  <c r="K21" i="74"/>
  <c r="L21" i="74" s="1"/>
  <c r="B104" i="43"/>
  <c r="B20" i="61"/>
  <c r="B18" i="75"/>
  <c r="B105" i="31"/>
  <c r="B18" i="77"/>
  <c r="B21" i="72"/>
  <c r="B25" i="71"/>
  <c r="M21" i="74"/>
  <c r="N21" i="74" s="1"/>
  <c r="O21" i="74" s="1"/>
  <c r="B103" i="42"/>
  <c r="B106" i="31"/>
  <c r="B102" i="54"/>
  <c r="B102" i="45"/>
  <c r="B102" i="56"/>
  <c r="B26" i="69"/>
  <c r="B101" i="53"/>
  <c r="B100" i="68"/>
  <c r="B24" i="20"/>
  <c r="B103" i="41"/>
  <c r="B25" i="32"/>
  <c r="B102" i="55"/>
  <c r="B105" i="3"/>
  <c r="B101" i="59"/>
  <c r="B105" i="17"/>
  <c r="B101" i="63"/>
  <c r="B105" i="18"/>
  <c r="B104" i="39"/>
  <c r="B102" i="57"/>
  <c r="B108" i="28"/>
  <c r="B106" i="24"/>
  <c r="B107" i="27"/>
  <c r="B21" i="57"/>
  <c r="B23" i="73"/>
  <c r="B25" i="31"/>
  <c r="B23" i="43"/>
  <c r="B21" i="46"/>
  <c r="B104" i="41"/>
  <c r="B104" i="42"/>
  <c r="B24" i="21"/>
  <c r="B25" i="23"/>
  <c r="B26" i="27"/>
  <c r="B24" i="19"/>
  <c r="B107" i="29"/>
  <c r="B105" i="21"/>
  <c r="B106" i="23"/>
  <c r="J100" i="64"/>
  <c r="B105" i="22"/>
  <c r="B101" i="61"/>
  <c r="B102" i="58"/>
  <c r="B103" i="45"/>
  <c r="B100" i="65"/>
  <c r="B101" i="64"/>
  <c r="B101" i="60"/>
  <c r="B101" i="62"/>
  <c r="B21" i="61"/>
  <c r="B20" i="59"/>
  <c r="P101" i="58"/>
  <c r="P101" i="54"/>
  <c r="B21" i="53"/>
  <c r="B22" i="45"/>
  <c r="B23" i="44"/>
  <c r="B23" i="42"/>
  <c r="B23" i="39"/>
  <c r="B25" i="34"/>
  <c r="B106" i="32"/>
  <c r="B107" i="30"/>
  <c r="B26" i="29"/>
  <c r="B25" i="24"/>
  <c r="B24" i="22"/>
  <c r="B105" i="20"/>
  <c r="B24" i="18"/>
  <c r="B24" i="17"/>
  <c r="B102" i="61"/>
  <c r="C45" i="83"/>
  <c r="C46" i="83" s="1"/>
  <c r="C47" i="83" s="1"/>
  <c r="C48" i="83" s="1"/>
  <c r="C49" i="83" s="1"/>
  <c r="C50" i="83" s="1"/>
  <c r="C51" i="83" s="1"/>
  <c r="C52" i="83" s="1"/>
  <c r="C53" i="83" s="1"/>
  <c r="C54" i="83" s="1"/>
  <c r="C55" i="83" s="1"/>
  <c r="C56" i="83" s="1"/>
  <c r="C57" i="83" s="1"/>
  <c r="C58" i="83" s="1"/>
  <c r="C59" i="83" s="1"/>
  <c r="C60" i="83" s="1"/>
  <c r="C61" i="83" s="1"/>
  <c r="C62" i="83" s="1"/>
  <c r="C63" i="83" s="1"/>
  <c r="C64" i="83" s="1"/>
  <c r="C65" i="83" s="1"/>
  <c r="C66" i="83" s="1"/>
  <c r="C67" i="83" s="1"/>
  <c r="C68" i="83" s="1"/>
  <c r="C69" i="83" s="1"/>
  <c r="C70" i="83" s="1"/>
  <c r="C71" i="83" s="1"/>
  <c r="C72" i="83" s="1"/>
  <c r="C45" i="82"/>
  <c r="C46" i="82" s="1"/>
  <c r="C47" i="82" s="1"/>
  <c r="C48" i="82" s="1"/>
  <c r="C49" i="82" s="1"/>
  <c r="C50" i="82" s="1"/>
  <c r="C51" i="82" s="1"/>
  <c r="C52" i="82" s="1"/>
  <c r="C53" i="82" s="1"/>
  <c r="C54" i="82" s="1"/>
  <c r="C55" i="82" s="1"/>
  <c r="C56" i="82" s="1"/>
  <c r="C57" i="82" s="1"/>
  <c r="C58" i="82" s="1"/>
  <c r="C59" i="82" s="1"/>
  <c r="C60" i="82" s="1"/>
  <c r="C61" i="82" s="1"/>
  <c r="C62" i="82" s="1"/>
  <c r="C63" i="82" s="1"/>
  <c r="C64" i="82" s="1"/>
  <c r="C65" i="82" s="1"/>
  <c r="C66" i="82" s="1"/>
  <c r="C67" i="82" s="1"/>
  <c r="C68" i="82" s="1"/>
  <c r="C69" i="82" s="1"/>
  <c r="C70" i="82" s="1"/>
  <c r="C71" i="82" s="1"/>
  <c r="C72" i="82" s="1"/>
  <c r="C45" i="80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C59" i="80" s="1"/>
  <c r="C60" i="80" s="1"/>
  <c r="C61" i="80" s="1"/>
  <c r="C62" i="80" s="1"/>
  <c r="C63" i="80" s="1"/>
  <c r="C64" i="80" s="1"/>
  <c r="C65" i="80" s="1"/>
  <c r="C66" i="80" s="1"/>
  <c r="C67" i="80" s="1"/>
  <c r="C68" i="80" s="1"/>
  <c r="C69" i="80" s="1"/>
  <c r="C70" i="80" s="1"/>
  <c r="C71" i="80" s="1"/>
  <c r="C72" i="80" s="1"/>
  <c r="B18" i="76"/>
  <c r="B100" i="74"/>
  <c r="P99" i="74"/>
  <c r="P102" i="74"/>
  <c r="P101" i="74"/>
  <c r="P100" i="73"/>
  <c r="P102" i="73"/>
  <c r="P103" i="73"/>
  <c r="P99" i="72"/>
  <c r="P100" i="72"/>
  <c r="P99" i="71"/>
  <c r="P101" i="71"/>
  <c r="P103" i="71"/>
  <c r="P105" i="71"/>
  <c r="P100" i="71"/>
  <c r="P102" i="71"/>
  <c r="P104" i="71"/>
  <c r="P101" i="70"/>
  <c r="P99" i="70"/>
  <c r="P105" i="70"/>
  <c r="P106" i="70"/>
  <c r="O25" i="70"/>
  <c r="B26" i="70"/>
  <c r="P106" i="69"/>
  <c r="B100" i="73"/>
  <c r="B101" i="74"/>
  <c r="B100" i="72"/>
  <c r="B100" i="71"/>
  <c r="B100" i="70"/>
  <c r="B101" i="73"/>
  <c r="J99" i="70"/>
  <c r="B102" i="74"/>
  <c r="B101" i="72"/>
  <c r="B101" i="71"/>
  <c r="B101" i="70"/>
  <c r="B102" i="73"/>
  <c r="J100" i="70"/>
  <c r="B103" i="74"/>
  <c r="B102" i="72"/>
  <c r="B102" i="71"/>
  <c r="B102" i="70"/>
  <c r="B103" i="73"/>
  <c r="J101" i="70"/>
  <c r="B103" i="70"/>
  <c r="B104" i="73"/>
  <c r="B103" i="71"/>
  <c r="J102" i="70"/>
  <c r="B104" i="70"/>
  <c r="B104" i="71"/>
  <c r="J103" i="70"/>
  <c r="B105" i="70"/>
  <c r="B105" i="71"/>
  <c r="J104" i="70"/>
  <c r="B106" i="70"/>
  <c r="B106" i="71"/>
  <c r="J105" i="70"/>
  <c r="B107" i="70"/>
  <c r="J106" i="70"/>
  <c r="B19" i="66"/>
  <c r="B105" i="19"/>
  <c r="B21" i="58"/>
  <c r="B107" i="69"/>
  <c r="B100" i="67"/>
  <c r="J99" i="67"/>
  <c r="N99" i="67"/>
  <c r="O99" i="67" s="1"/>
  <c r="L99" i="67"/>
  <c r="M99" i="67" s="1"/>
  <c r="P99" i="67" s="1"/>
  <c r="P102" i="72"/>
  <c r="B102" i="60"/>
  <c r="B101" i="67"/>
  <c r="B104" i="74"/>
  <c r="B108" i="69"/>
  <c r="B101" i="68"/>
  <c r="B105" i="39"/>
  <c r="B100" i="76"/>
  <c r="B103" i="55"/>
  <c r="B100" i="79"/>
  <c r="B105" i="73"/>
  <c r="B106" i="17"/>
  <c r="B103" i="72"/>
  <c r="B107" i="32"/>
  <c r="B100" i="77"/>
  <c r="B100" i="78"/>
  <c r="B106" i="34"/>
  <c r="B103" i="58"/>
  <c r="B108" i="70"/>
  <c r="B101" i="66"/>
  <c r="B102" i="62"/>
  <c r="B109" i="28"/>
  <c r="B103" i="57"/>
  <c r="B106" i="19"/>
  <c r="B106" i="22"/>
  <c r="B102" i="64"/>
  <c r="B106" i="21"/>
  <c r="B107" i="23"/>
  <c r="B107" i="71"/>
  <c r="B102" i="59"/>
  <c r="B106" i="18"/>
  <c r="J103" i="45"/>
  <c r="J104" i="43"/>
  <c r="J102" i="56"/>
  <c r="J101" i="63"/>
  <c r="J103" i="74"/>
  <c r="J100" i="66"/>
  <c r="J104" i="39"/>
  <c r="J104" i="73"/>
  <c r="J101" i="64"/>
  <c r="J105" i="22"/>
  <c r="J101" i="60"/>
  <c r="J102" i="57"/>
  <c r="J99" i="76"/>
  <c r="J102" i="53"/>
  <c r="J100" i="68"/>
  <c r="J102" i="55"/>
  <c r="J102" i="72"/>
  <c r="L102" i="58"/>
  <c r="M102" i="58" s="1"/>
  <c r="J107" i="27"/>
  <c r="J106" i="23"/>
  <c r="J106" i="24"/>
  <c r="J101" i="59"/>
  <c r="J102" i="54"/>
  <c r="J107" i="69"/>
  <c r="J102" i="46"/>
  <c r="J105" i="17"/>
  <c r="N102" i="58"/>
  <c r="O102" i="58" s="1"/>
  <c r="J102" i="58"/>
  <c r="J100" i="65"/>
  <c r="J101" i="62"/>
  <c r="J105" i="19"/>
  <c r="J105" i="21"/>
  <c r="J105" i="18"/>
  <c r="J104" i="44"/>
  <c r="J106" i="32"/>
  <c r="J107" i="70"/>
  <c r="J100" i="67"/>
  <c r="J99" i="75"/>
  <c r="J105" i="20"/>
  <c r="J99" i="79"/>
  <c r="J106" i="31"/>
  <c r="J99" i="77"/>
  <c r="J104" i="42"/>
  <c r="J108" i="28"/>
  <c r="J99" i="78"/>
  <c r="J107" i="29"/>
  <c r="J104" i="41"/>
  <c r="J107" i="30"/>
  <c r="J105" i="3"/>
  <c r="J106" i="71"/>
  <c r="J106" i="34"/>
  <c r="B24" i="39"/>
  <c r="B18" i="83"/>
  <c r="B18" i="80"/>
  <c r="B24" i="41"/>
  <c r="B19" i="75"/>
  <c r="B26" i="31"/>
  <c r="B18" i="84"/>
  <c r="B25" i="21"/>
  <c r="B20" i="67"/>
  <c r="B26" i="34"/>
  <c r="B22" i="54"/>
  <c r="B22" i="72"/>
  <c r="B19" i="79"/>
  <c r="B25" i="20"/>
  <c r="B27" i="69"/>
  <c r="B18" i="82"/>
  <c r="B22" i="55"/>
  <c r="B21" i="63"/>
  <c r="B26" i="71"/>
  <c r="B27" i="29"/>
  <c r="B21" i="59"/>
  <c r="B24" i="43"/>
  <c r="B24" i="73"/>
  <c r="B23" i="74"/>
  <c r="B24" i="42"/>
  <c r="B20" i="66"/>
  <c r="I26" i="70"/>
  <c r="I21" i="46"/>
  <c r="I19" i="66"/>
  <c r="I23" i="44"/>
  <c r="I24" i="3"/>
  <c r="B21" i="60"/>
  <c r="I20" i="63"/>
  <c r="I21" i="56"/>
  <c r="I21" i="55"/>
  <c r="I24" i="19"/>
  <c r="I17" i="82"/>
  <c r="I26" i="69"/>
  <c r="I21" i="72"/>
  <c r="I24" i="22"/>
  <c r="I25" i="32"/>
  <c r="B26" i="24"/>
  <c r="I19" i="67"/>
  <c r="I24" i="21"/>
  <c r="I21" i="53"/>
  <c r="B28" i="28"/>
  <c r="B21" i="62"/>
  <c r="I21" i="58"/>
  <c r="I17" i="83"/>
  <c r="I23" i="39"/>
  <c r="I18" i="77"/>
  <c r="I26" i="27"/>
  <c r="I23" i="43"/>
  <c r="I25" i="71"/>
  <c r="I21" i="57"/>
  <c r="I25" i="23"/>
  <c r="I22" i="45"/>
  <c r="I17" i="84"/>
  <c r="I25" i="31"/>
  <c r="B22" i="53"/>
  <c r="B27" i="30"/>
  <c r="B27" i="70"/>
  <c r="M22" i="74"/>
  <c r="N22" i="74" s="1"/>
  <c r="I22" i="74"/>
  <c r="I20" i="59"/>
  <c r="I20" i="60"/>
  <c r="B22" i="46"/>
  <c r="I23" i="42"/>
  <c r="K22" i="74"/>
  <c r="L22" i="74" s="1"/>
  <c r="I23" i="73"/>
  <c r="B25" i="3"/>
  <c r="I26" i="29"/>
  <c r="B22" i="57"/>
  <c r="I24" i="20"/>
  <c r="I18" i="79"/>
  <c r="B19" i="78"/>
  <c r="B20" i="68"/>
  <c r="I18" i="76"/>
  <c r="B26" i="23"/>
  <c r="I21" i="54"/>
  <c r="I25" i="24"/>
  <c r="I24" i="18"/>
  <c r="I23" i="41"/>
  <c r="I27" i="28"/>
  <c r="I20" i="62"/>
  <c r="I20" i="64"/>
  <c r="B22" i="58"/>
  <c r="I19" i="65"/>
  <c r="I17" i="80"/>
  <c r="B19" i="77"/>
  <c r="I26" i="30"/>
  <c r="B27" i="27"/>
  <c r="I18" i="78"/>
  <c r="I19" i="68"/>
  <c r="I25" i="34"/>
  <c r="B25" i="18"/>
  <c r="B23" i="45"/>
  <c r="I18" i="75"/>
  <c r="I17" i="81"/>
  <c r="I24" i="17"/>
  <c r="B25" i="17"/>
  <c r="O17" i="81"/>
  <c r="P106" i="71"/>
  <c r="P107" i="69"/>
  <c r="B21" i="64"/>
  <c r="B102" i="63"/>
  <c r="B22" i="56"/>
  <c r="P101" i="53"/>
  <c r="B26" i="32"/>
  <c r="B106" i="3"/>
  <c r="B103" i="46"/>
  <c r="B108" i="29"/>
  <c r="B108" i="27"/>
  <c r="B107" i="24"/>
  <c r="B106" i="20"/>
  <c r="B18" i="81"/>
  <c r="B19" i="76"/>
  <c r="B20" i="65"/>
  <c r="B24" i="44"/>
  <c r="B25" i="19"/>
  <c r="O17" i="82"/>
  <c r="P99" i="79"/>
  <c r="P99" i="75"/>
  <c r="O23" i="44"/>
  <c r="O27" i="28"/>
  <c r="B25" i="22"/>
  <c r="O17" i="85"/>
  <c r="C45" i="13"/>
  <c r="C46" i="13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B18" i="85"/>
  <c r="I12" i="88"/>
  <c r="I13" i="88" s="1"/>
  <c r="I12" i="62"/>
  <c r="I13" i="62" s="1"/>
  <c r="I12" i="77"/>
  <c r="I13" i="77" s="1"/>
  <c r="I10" i="83"/>
  <c r="B104" i="45"/>
  <c r="B105" i="44"/>
  <c r="B105" i="43"/>
  <c r="B103" i="53"/>
  <c r="B107" i="31"/>
  <c r="B22" i="63"/>
  <c r="B22" i="61"/>
  <c r="B20" i="79"/>
  <c r="I27" i="29"/>
  <c r="I23" i="45"/>
  <c r="I21" i="63"/>
  <c r="B28" i="29"/>
  <c r="I18" i="83"/>
  <c r="I21" i="61"/>
  <c r="B19" i="83"/>
  <c r="I25" i="18"/>
  <c r="I25" i="20"/>
  <c r="I22" i="58"/>
  <c r="I19" i="79"/>
  <c r="B26" i="19"/>
  <c r="B22" i="62"/>
  <c r="B25" i="43"/>
  <c r="I25" i="19"/>
  <c r="I17" i="88"/>
  <c r="I24" i="43"/>
  <c r="I21" i="62"/>
  <c r="B27" i="23"/>
  <c r="B101" i="65"/>
  <c r="B101" i="79"/>
  <c r="B107" i="21"/>
  <c r="B107" i="34"/>
  <c r="B102" i="68"/>
  <c r="B107" i="22"/>
  <c r="B101" i="78"/>
  <c r="B109" i="27"/>
  <c r="B110" i="28"/>
  <c r="B104" i="46"/>
  <c r="J103" i="53"/>
  <c r="B109" i="69"/>
  <c r="B107" i="19"/>
  <c r="B103" i="62"/>
  <c r="B104" i="72"/>
  <c r="B101" i="76"/>
  <c r="B107" i="18"/>
  <c r="B107" i="17"/>
  <c r="B107" i="3"/>
  <c r="B108" i="23"/>
  <c r="B103" i="59"/>
  <c r="B101" i="77"/>
  <c r="B108" i="24"/>
  <c r="B26" i="22"/>
  <c r="B23" i="56"/>
  <c r="B22" i="60"/>
  <c r="B27" i="32"/>
  <c r="B18" i="86"/>
  <c r="B19" i="81"/>
  <c r="B22" i="64"/>
  <c r="B25" i="73"/>
  <c r="B25" i="39"/>
  <c r="B19" i="85"/>
  <c r="B23" i="53"/>
  <c r="B23" i="54"/>
  <c r="I26" i="23"/>
  <c r="I18" i="82"/>
  <c r="I17" i="90"/>
  <c r="B18" i="87"/>
  <c r="B20" i="76"/>
  <c r="B25" i="41"/>
  <c r="B27" i="34"/>
  <c r="B20" i="78"/>
  <c r="B28" i="69"/>
  <c r="B28" i="30"/>
  <c r="B108" i="32"/>
  <c r="B109" i="70"/>
  <c r="B103" i="63"/>
  <c r="B109" i="29"/>
  <c r="B107" i="20"/>
  <c r="B102" i="67"/>
  <c r="B108" i="71"/>
  <c r="B104" i="57"/>
  <c r="B101" i="75"/>
  <c r="B103" i="60"/>
  <c r="B106" i="73"/>
  <c r="B104" i="55"/>
  <c r="I27" i="69"/>
  <c r="I22" i="57"/>
  <c r="I21" i="59"/>
  <c r="I20" i="67"/>
  <c r="B28" i="70"/>
  <c r="I24" i="41"/>
  <c r="B28" i="27"/>
  <c r="B20" i="75"/>
  <c r="I26" i="31"/>
  <c r="I22" i="53"/>
  <c r="B27" i="71"/>
  <c r="I20" i="66"/>
  <c r="B26" i="21"/>
  <c r="I21" i="64"/>
  <c r="I22" i="56"/>
  <c r="I25" i="22"/>
  <c r="B21" i="68"/>
  <c r="I26" i="34"/>
  <c r="I19" i="76"/>
  <c r="I27" i="27"/>
  <c r="I17" i="87"/>
  <c r="B23" i="72"/>
  <c r="B25" i="44"/>
  <c r="I23" i="74"/>
  <c r="I22" i="46"/>
  <c r="I18" i="85"/>
  <c r="I24" i="73"/>
  <c r="I25" i="21"/>
  <c r="I18" i="80"/>
  <c r="I18" i="81"/>
  <c r="I24" i="42"/>
  <c r="I19" i="77"/>
  <c r="I28" i="28"/>
  <c r="I19" i="78"/>
  <c r="B22" i="59"/>
  <c r="I20" i="68"/>
  <c r="I20" i="65"/>
  <c r="I27" i="70"/>
  <c r="I17" i="92"/>
  <c r="I26" i="24"/>
  <c r="I22" i="54"/>
  <c r="I26" i="71"/>
  <c r="B26" i="3"/>
  <c r="I24" i="39"/>
  <c r="I26" i="32"/>
  <c r="I21" i="60"/>
  <c r="I27" i="30"/>
  <c r="B21" i="67"/>
  <c r="I22" i="72"/>
  <c r="I24" i="44"/>
  <c r="I19" i="75"/>
  <c r="B24" i="74"/>
  <c r="I25" i="3"/>
  <c r="B25" i="42"/>
  <c r="I17" i="86"/>
  <c r="I22" i="55"/>
  <c r="J107" i="71"/>
  <c r="J107" i="32"/>
  <c r="J103" i="72"/>
  <c r="J106" i="3"/>
  <c r="J108" i="29"/>
  <c r="J106" i="17"/>
  <c r="J106" i="21"/>
  <c r="J109" i="28"/>
  <c r="J103" i="46"/>
  <c r="J102" i="59"/>
  <c r="J101" i="67"/>
  <c r="J101" i="66"/>
  <c r="J107" i="24"/>
  <c r="J108" i="69"/>
  <c r="J104" i="74"/>
  <c r="J103" i="57"/>
  <c r="J100" i="75"/>
  <c r="J102" i="62"/>
  <c r="J100" i="76"/>
  <c r="J108" i="27"/>
  <c r="J105" i="73"/>
  <c r="J106" i="20"/>
  <c r="J102" i="61"/>
  <c r="J103" i="55"/>
  <c r="J102" i="63"/>
  <c r="J106" i="22"/>
  <c r="J106" i="18"/>
  <c r="J101" i="68"/>
  <c r="J100" i="78"/>
  <c r="J105" i="39"/>
  <c r="J102" i="64"/>
  <c r="J107" i="23"/>
  <c r="J106" i="19"/>
  <c r="J100" i="77"/>
  <c r="J100" i="79"/>
  <c r="J108" i="70"/>
  <c r="J103" i="58"/>
  <c r="J102" i="60"/>
  <c r="I25" i="17"/>
  <c r="B26" i="17"/>
  <c r="J107" i="34"/>
  <c r="C45" i="96"/>
  <c r="C46" i="96" s="1"/>
  <c r="C47" i="96" s="1"/>
  <c r="C48" i="96" s="1"/>
  <c r="C49" i="96" s="1"/>
  <c r="C50" i="96" s="1"/>
  <c r="C51" i="96" s="1"/>
  <c r="C52" i="96" s="1"/>
  <c r="C53" i="96" s="1"/>
  <c r="C54" i="96" s="1"/>
  <c r="C55" i="96" s="1"/>
  <c r="C56" i="96" s="1"/>
  <c r="C57" i="96" s="1"/>
  <c r="C58" i="96" s="1"/>
  <c r="C59" i="96" s="1"/>
  <c r="C60" i="96" s="1"/>
  <c r="C61" i="96" s="1"/>
  <c r="C62" i="96" s="1"/>
  <c r="C63" i="96" s="1"/>
  <c r="C64" i="96" s="1"/>
  <c r="C65" i="96" s="1"/>
  <c r="C66" i="96" s="1"/>
  <c r="C67" i="96" s="1"/>
  <c r="C68" i="96" s="1"/>
  <c r="C69" i="96" s="1"/>
  <c r="C70" i="96" s="1"/>
  <c r="C71" i="96" s="1"/>
  <c r="C72" i="96" s="1"/>
  <c r="C45" i="95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C67" i="95" s="1"/>
  <c r="C68" i="95" s="1"/>
  <c r="C69" i="95" s="1"/>
  <c r="C70" i="95" s="1"/>
  <c r="C71" i="95" s="1"/>
  <c r="C72" i="95" s="1"/>
  <c r="C45" i="93"/>
  <c r="C46" i="93" s="1"/>
  <c r="C47" i="93" s="1"/>
  <c r="C48" i="93" s="1"/>
  <c r="C49" i="93" s="1"/>
  <c r="C50" i="93" s="1"/>
  <c r="C51" i="93" s="1"/>
  <c r="C52" i="93" s="1"/>
  <c r="C53" i="93" s="1"/>
  <c r="C54" i="93" s="1"/>
  <c r="C55" i="93" s="1"/>
  <c r="C56" i="93" s="1"/>
  <c r="C57" i="93" s="1"/>
  <c r="C58" i="93" s="1"/>
  <c r="C59" i="93" s="1"/>
  <c r="C60" i="93" s="1"/>
  <c r="C61" i="93" s="1"/>
  <c r="C62" i="93" s="1"/>
  <c r="C63" i="93" s="1"/>
  <c r="C64" i="93" s="1"/>
  <c r="C65" i="93" s="1"/>
  <c r="C66" i="93" s="1"/>
  <c r="C67" i="93" s="1"/>
  <c r="C68" i="93" s="1"/>
  <c r="C69" i="93" s="1"/>
  <c r="C70" i="93" s="1"/>
  <c r="C71" i="93" s="1"/>
  <c r="C72" i="93" s="1"/>
  <c r="O17" i="92"/>
  <c r="B18" i="92"/>
  <c r="B18" i="91"/>
  <c r="O17" i="88"/>
  <c r="B18" i="88"/>
  <c r="O17" i="87"/>
  <c r="O18" i="85"/>
  <c r="B19" i="82"/>
  <c r="P99" i="81"/>
  <c r="B19" i="80"/>
  <c r="P100" i="79"/>
  <c r="P100" i="78"/>
  <c r="P100" i="77"/>
  <c r="B20" i="77"/>
  <c r="P100" i="75"/>
  <c r="B105" i="74"/>
  <c r="B102" i="66"/>
  <c r="B21" i="66"/>
  <c r="B21" i="65"/>
  <c r="B103" i="64"/>
  <c r="B103" i="61"/>
  <c r="B104" i="58"/>
  <c r="B23" i="58"/>
  <c r="B23" i="57"/>
  <c r="B23" i="55"/>
  <c r="P102" i="46"/>
  <c r="P103" i="46"/>
  <c r="B23" i="46"/>
  <c r="B24" i="45"/>
  <c r="B106" i="39"/>
  <c r="B27" i="31"/>
  <c r="B29" i="28"/>
  <c r="B27" i="24"/>
  <c r="B26" i="20"/>
  <c r="B26" i="18"/>
  <c r="P106" i="3"/>
  <c r="B100" i="80"/>
  <c r="B100" i="81"/>
  <c r="J99" i="85"/>
  <c r="B105" i="41"/>
  <c r="B104" i="56"/>
  <c r="I17" i="91"/>
  <c r="I17" i="89"/>
  <c r="B18" i="89"/>
  <c r="I18" i="84"/>
  <c r="B103" i="56"/>
  <c r="B108" i="30"/>
  <c r="B100" i="82"/>
  <c r="J99" i="80"/>
  <c r="J105" i="43"/>
  <c r="B103" i="54"/>
  <c r="B105" i="42"/>
  <c r="J104" i="45"/>
  <c r="J101" i="65"/>
  <c r="J99" i="81"/>
  <c r="J105" i="41"/>
  <c r="J99" i="82"/>
  <c r="J105" i="44"/>
  <c r="J107" i="31"/>
  <c r="B100" i="83"/>
  <c r="J99" i="83"/>
  <c r="J105" i="42"/>
  <c r="J108" i="30"/>
  <c r="J103" i="54"/>
  <c r="J103" i="56"/>
  <c r="H3" i="36"/>
  <c r="E13" i="36"/>
  <c r="B106" i="43"/>
  <c r="P100" i="82"/>
  <c r="B104" i="54"/>
  <c r="P99" i="91"/>
  <c r="B100" i="85"/>
  <c r="B106" i="41"/>
  <c r="C99" i="96"/>
  <c r="B101" i="85"/>
  <c r="B109" i="30"/>
  <c r="O21" i="86"/>
  <c r="B102" i="65"/>
  <c r="B104" i="61"/>
  <c r="B106" i="42"/>
  <c r="B108" i="31"/>
  <c r="B105" i="45"/>
  <c r="B102" i="76"/>
  <c r="J100" i="81"/>
  <c r="J107" i="22"/>
  <c r="B111" i="28"/>
  <c r="B108" i="22"/>
  <c r="B101" i="81"/>
  <c r="B104" i="59"/>
  <c r="J106" i="39"/>
  <c r="J100" i="83"/>
  <c r="J110" i="28"/>
  <c r="J108" i="32"/>
  <c r="J103" i="63"/>
  <c r="B102" i="77"/>
  <c r="J101" i="77"/>
  <c r="L17" i="91"/>
  <c r="O17" i="91" s="1"/>
  <c r="B18" i="90"/>
  <c r="O17" i="90"/>
  <c r="O19" i="90"/>
  <c r="O17" i="89"/>
  <c r="B19" i="84"/>
  <c r="B108" i="17"/>
  <c r="B104" i="62"/>
  <c r="J106" i="42"/>
  <c r="B100" i="90"/>
  <c r="B105" i="57"/>
  <c r="J103" i="59"/>
  <c r="B100" i="86"/>
  <c r="J92" i="92"/>
  <c r="J92" i="18"/>
  <c r="M87" i="18" s="1"/>
  <c r="J92" i="91"/>
  <c r="M87" i="91" s="1"/>
  <c r="J92" i="72"/>
  <c r="N87" i="72" s="1"/>
  <c r="J92" i="73"/>
  <c r="M87" i="73" s="1"/>
  <c r="J92" i="30"/>
  <c r="J92" i="80"/>
  <c r="L86" i="80" s="1"/>
  <c r="A4" i="2"/>
  <c r="J92" i="42"/>
  <c r="B104" i="64"/>
  <c r="B105" i="46"/>
  <c r="B100" i="89"/>
  <c r="J100" i="80"/>
  <c r="J108" i="24"/>
  <c r="J107" i="20"/>
  <c r="J103" i="61"/>
  <c r="J100" i="85"/>
  <c r="J102" i="66"/>
  <c r="J105" i="74"/>
  <c r="B109" i="24"/>
  <c r="B100" i="91"/>
  <c r="B108" i="20"/>
  <c r="B103" i="66"/>
  <c r="B101" i="80"/>
  <c r="J101" i="76"/>
  <c r="B100" i="88"/>
  <c r="J104" i="57"/>
  <c r="B108" i="3"/>
  <c r="J104" i="46"/>
  <c r="B108" i="34"/>
  <c r="J107" i="17"/>
  <c r="B102" i="75"/>
  <c r="J99" i="86"/>
  <c r="J103" i="64"/>
  <c r="J99" i="90"/>
  <c r="J99" i="88"/>
  <c r="J103" i="62"/>
  <c r="B107" i="73"/>
  <c r="J99" i="91"/>
  <c r="J104" i="58"/>
  <c r="B20" i="80"/>
  <c r="I25" i="39"/>
  <c r="B21" i="76"/>
  <c r="I19" i="85"/>
  <c r="B20" i="85"/>
  <c r="I25" i="44"/>
  <c r="B29" i="27"/>
  <c r="B19" i="86"/>
  <c r="B29" i="70"/>
  <c r="B27" i="18"/>
  <c r="B29" i="30"/>
  <c r="I18" i="92"/>
  <c r="I19" i="84"/>
  <c r="B24" i="54"/>
  <c r="B24" i="55"/>
  <c r="J109" i="30"/>
  <c r="B23" i="61"/>
  <c r="B18" i="94"/>
  <c r="J99" i="89"/>
  <c r="B25" i="74"/>
  <c r="B26" i="73"/>
  <c r="I25" i="73"/>
  <c r="I17" i="95"/>
  <c r="B109" i="23"/>
  <c r="B110" i="69"/>
  <c r="B108" i="21"/>
  <c r="B110" i="29"/>
  <c r="I17" i="94"/>
  <c r="B27" i="19"/>
  <c r="I28" i="69"/>
  <c r="I26" i="21"/>
  <c r="I19" i="83"/>
  <c r="I23" i="56"/>
  <c r="I22" i="63"/>
  <c r="I23" i="58"/>
  <c r="I26" i="20"/>
  <c r="B28" i="31"/>
  <c r="B29" i="69"/>
  <c r="I22" i="61"/>
  <c r="I21" i="65"/>
  <c r="I21" i="66"/>
  <c r="I26" i="18"/>
  <c r="B24" i="56"/>
  <c r="I19" i="80"/>
  <c r="I24" i="74"/>
  <c r="B26" i="42"/>
  <c r="I23" i="54"/>
  <c r="B27" i="22"/>
  <c r="I18" i="86"/>
  <c r="I27" i="31"/>
  <c r="I26" i="19"/>
  <c r="I28" i="30"/>
  <c r="I28" i="70"/>
  <c r="I28" i="27"/>
  <c r="I21" i="68"/>
  <c r="B27" i="3"/>
  <c r="I20" i="75"/>
  <c r="J107" i="19"/>
  <c r="J107" i="3"/>
  <c r="J104" i="56"/>
  <c r="J107" i="21"/>
  <c r="J109" i="69"/>
  <c r="J109" i="27"/>
  <c r="J106" i="73"/>
  <c r="J106" i="43"/>
  <c r="J103" i="60"/>
  <c r="J101" i="75"/>
  <c r="J109" i="29"/>
  <c r="J108" i="23"/>
  <c r="J104" i="72"/>
  <c r="J102" i="67"/>
  <c r="I25" i="42"/>
  <c r="I27" i="34"/>
  <c r="I26" i="3"/>
  <c r="I20" i="76"/>
  <c r="I18" i="90"/>
  <c r="B20" i="81"/>
  <c r="B22" i="65"/>
  <c r="I23" i="55"/>
  <c r="J108" i="31"/>
  <c r="I26" i="22"/>
  <c r="B102" i="78"/>
  <c r="B108" i="18"/>
  <c r="B100" i="92"/>
  <c r="P103" i="24"/>
  <c r="O20" i="28"/>
  <c r="P103" i="29"/>
  <c r="O21" i="29"/>
  <c r="P102" i="31"/>
  <c r="P101" i="34"/>
  <c r="O23" i="27"/>
  <c r="O20" i="42"/>
  <c r="O24" i="29"/>
  <c r="P104" i="32"/>
  <c r="O22" i="67"/>
  <c r="P103" i="19"/>
  <c r="P103" i="20"/>
  <c r="P100" i="58"/>
  <c r="P99" i="62"/>
  <c r="O21" i="39"/>
  <c r="P100" i="55"/>
  <c r="P99" i="61"/>
  <c r="P104" i="17"/>
  <c r="P101" i="61"/>
  <c r="O17" i="79"/>
  <c r="O25" i="29"/>
  <c r="P103" i="41"/>
  <c r="P105" i="32"/>
  <c r="P103" i="43"/>
  <c r="P100" i="64"/>
  <c r="P99" i="68"/>
  <c r="O17" i="78"/>
  <c r="O25" i="27"/>
  <c r="P102" i="45"/>
  <c r="P99" i="66"/>
  <c r="P100" i="83"/>
  <c r="P107" i="29"/>
  <c r="P106" i="31"/>
  <c r="P106" i="34"/>
  <c r="P105" i="3"/>
  <c r="P104" i="39"/>
  <c r="P104" i="42"/>
  <c r="P102" i="54"/>
  <c r="P101" i="64"/>
  <c r="O19" i="67"/>
  <c r="O26" i="69"/>
  <c r="P99" i="85"/>
  <c r="P100" i="67"/>
  <c r="P106" i="18"/>
  <c r="P107" i="34"/>
  <c r="O22" i="57"/>
  <c r="P105" i="44"/>
  <c r="P106" i="22"/>
  <c r="P108" i="29"/>
  <c r="P105" i="39"/>
  <c r="P103" i="53"/>
  <c r="P103" i="57"/>
  <c r="P102" i="59"/>
  <c r="P102" i="63"/>
  <c r="P101" i="65"/>
  <c r="O20" i="67"/>
  <c r="P101" i="67"/>
  <c r="P105" i="73"/>
  <c r="P108" i="69"/>
  <c r="P107" i="71"/>
  <c r="I19" i="81"/>
  <c r="J100" i="82"/>
  <c r="J108" i="34"/>
  <c r="B105" i="55"/>
  <c r="B109" i="71"/>
  <c r="I22" i="60"/>
  <c r="J104" i="54"/>
  <c r="B100" i="87"/>
  <c r="B104" i="53"/>
  <c r="B106" i="44"/>
  <c r="J107" i="18"/>
  <c r="J102" i="65"/>
  <c r="J101" i="79"/>
  <c r="J101" i="78"/>
  <c r="J108" i="71"/>
  <c r="J104" i="55"/>
  <c r="J99" i="92"/>
  <c r="B22" i="67"/>
  <c r="J105" i="45"/>
  <c r="J106" i="41"/>
  <c r="B103" i="68"/>
  <c r="B24" i="53"/>
  <c r="B21" i="77"/>
  <c r="B28" i="71"/>
  <c r="B26" i="43"/>
  <c r="B19" i="87"/>
  <c r="B29" i="29"/>
  <c r="B30" i="28"/>
  <c r="I21" i="67"/>
  <c r="B23" i="64"/>
  <c r="B26" i="41"/>
  <c r="B19" i="91"/>
  <c r="B110" i="70"/>
  <c r="B100" i="84"/>
  <c r="B24" i="46"/>
  <c r="B28" i="23"/>
  <c r="J99" i="87"/>
  <c r="J99" i="84"/>
  <c r="B24" i="72"/>
  <c r="I27" i="24"/>
  <c r="I23" i="53"/>
  <c r="B21" i="79"/>
  <c r="I23" i="46"/>
  <c r="I20" i="78"/>
  <c r="I23" i="57"/>
  <c r="I24" i="45"/>
  <c r="I28" i="29"/>
  <c r="I18" i="87"/>
  <c r="I27" i="71"/>
  <c r="I18" i="89"/>
  <c r="I17" i="96"/>
  <c r="I27" i="23"/>
  <c r="I17" i="93"/>
  <c r="B21" i="78"/>
  <c r="B28" i="32"/>
  <c r="I18" i="91"/>
  <c r="I19" i="82"/>
  <c r="I25" i="41"/>
  <c r="J102" i="68"/>
  <c r="B24" i="57"/>
  <c r="I22" i="59"/>
  <c r="I23" i="72"/>
  <c r="B25" i="45"/>
  <c r="I20" i="77"/>
  <c r="I18" i="88"/>
  <c r="B27" i="17"/>
  <c r="I27" i="32"/>
  <c r="I22" i="64"/>
  <c r="J109" i="70"/>
  <c r="B23" i="59"/>
  <c r="I29" i="28"/>
  <c r="I22" i="62"/>
  <c r="I25" i="43"/>
  <c r="B19" i="89"/>
  <c r="I20" i="79"/>
  <c r="J106" i="44"/>
  <c r="I26" i="17"/>
  <c r="J104" i="53"/>
  <c r="O22" i="65"/>
  <c r="O19" i="92"/>
  <c r="O17" i="96"/>
  <c r="B18" i="93"/>
  <c r="P99" i="92"/>
  <c r="P99" i="90"/>
  <c r="P99" i="89"/>
  <c r="O19" i="88"/>
  <c r="P99" i="88"/>
  <c r="P99" i="86"/>
  <c r="P100" i="85"/>
  <c r="B101" i="83"/>
  <c r="O20" i="83"/>
  <c r="B20" i="83"/>
  <c r="B101" i="82"/>
  <c r="B20" i="82"/>
  <c r="P100" i="80"/>
  <c r="B102" i="79"/>
  <c r="B21" i="75"/>
  <c r="B106" i="74"/>
  <c r="B105" i="72"/>
  <c r="O29" i="69"/>
  <c r="B22" i="68"/>
  <c r="B103" i="67"/>
  <c r="O24" i="67"/>
  <c r="B22" i="66"/>
  <c r="B104" i="60"/>
  <c r="B23" i="60"/>
  <c r="B23" i="62"/>
  <c r="B104" i="63"/>
  <c r="B23" i="63"/>
  <c r="B105" i="58"/>
  <c r="B25" i="58"/>
  <c r="B24" i="58"/>
  <c r="B26" i="44"/>
  <c r="B107" i="39"/>
  <c r="B26" i="39"/>
  <c r="B28" i="34"/>
  <c r="B109" i="32"/>
  <c r="B110" i="27"/>
  <c r="B28" i="24"/>
  <c r="P107" i="22"/>
  <c r="B27" i="21"/>
  <c r="B27" i="20"/>
  <c r="B108" i="19"/>
  <c r="B23" i="66"/>
  <c r="B18" i="96"/>
  <c r="B18" i="95"/>
  <c r="B19" i="90"/>
  <c r="B20" i="88"/>
  <c r="B19" i="88"/>
  <c r="O20" i="80"/>
  <c r="B20" i="90"/>
  <c r="F103" i="36"/>
  <c r="N103" i="36"/>
  <c r="D103" i="36"/>
  <c r="O103" i="36"/>
  <c r="E103" i="36"/>
  <c r="C103" i="36"/>
  <c r="O60" i="67" l="1"/>
  <c r="P102" i="58"/>
  <c r="O17" i="70"/>
  <c r="P99" i="28"/>
  <c r="P100" i="60"/>
  <c r="P101" i="28"/>
  <c r="O19" i="34"/>
  <c r="P102" i="17"/>
  <c r="P100" i="22"/>
  <c r="P100" i="23"/>
  <c r="P101" i="30"/>
  <c r="P105" i="29"/>
  <c r="P103" i="70"/>
  <c r="P107" i="30"/>
  <c r="P104" i="44"/>
  <c r="P102" i="56"/>
  <c r="O20" i="59"/>
  <c r="O17" i="83"/>
  <c r="O21" i="59"/>
  <c r="O27" i="69"/>
  <c r="P101" i="76"/>
  <c r="P101" i="78"/>
  <c r="P100" i="18"/>
  <c r="P99" i="20"/>
  <c r="O21" i="24"/>
  <c r="P101" i="27"/>
  <c r="O20" i="27"/>
  <c r="O21" i="17"/>
  <c r="O21" i="21"/>
  <c r="O17" i="63"/>
  <c r="O17" i="59"/>
  <c r="P99" i="59"/>
  <c r="O17" i="65"/>
  <c r="P100" i="70"/>
  <c r="P100" i="74"/>
  <c r="O23" i="19"/>
  <c r="O26" i="28"/>
  <c r="O24" i="32"/>
  <c r="P103" i="42"/>
  <c r="P101" i="55"/>
  <c r="P101" i="56"/>
  <c r="P100" i="62"/>
  <c r="O19" i="64"/>
  <c r="O17" i="77"/>
  <c r="P105" i="20"/>
  <c r="P107" i="3"/>
  <c r="P101" i="79"/>
  <c r="P99" i="3"/>
  <c r="O17" i="3"/>
  <c r="P100" i="17"/>
  <c r="P99" i="19"/>
  <c r="O21" i="23"/>
  <c r="O17" i="23"/>
  <c r="P99" i="24"/>
  <c r="P99" i="27"/>
  <c r="O17" i="27"/>
  <c r="P99" i="32"/>
  <c r="P99" i="35"/>
  <c r="R12" i="36"/>
  <c r="T12" i="36" s="1"/>
  <c r="F17" i="26"/>
  <c r="D18" i="26" s="1"/>
  <c r="B18" i="26" s="1"/>
  <c r="O18" i="39"/>
  <c r="P102" i="27"/>
  <c r="P102" i="29"/>
  <c r="P99" i="41"/>
  <c r="P99" i="43"/>
  <c r="P99" i="53"/>
  <c r="P103" i="18"/>
  <c r="P102" i="69"/>
  <c r="O22" i="41"/>
  <c r="O20" i="55"/>
  <c r="P108" i="32"/>
  <c r="P106" i="73"/>
  <c r="O21" i="60"/>
  <c r="O19" i="76"/>
  <c r="P100" i="76"/>
  <c r="P103" i="59"/>
  <c r="P103" i="61"/>
  <c r="P101" i="75"/>
  <c r="O66" i="67"/>
  <c r="P96" i="36"/>
  <c r="P100" i="24"/>
  <c r="P103" i="27"/>
  <c r="P101" i="31"/>
  <c r="P104" i="23"/>
  <c r="O17" i="64"/>
  <c r="O22" i="70"/>
  <c r="O20" i="73"/>
  <c r="O19" i="73"/>
  <c r="O18" i="72"/>
  <c r="O17" i="17"/>
  <c r="O17" i="22"/>
  <c r="P101" i="23"/>
  <c r="P101" i="24"/>
  <c r="P101" i="29"/>
  <c r="O21" i="34"/>
  <c r="P105" i="27"/>
  <c r="O21" i="71"/>
  <c r="O20" i="74"/>
  <c r="P99" i="17"/>
  <c r="O18" i="17"/>
  <c r="P99" i="18"/>
  <c r="O17" i="19"/>
  <c r="P100" i="21"/>
  <c r="O17" i="21"/>
  <c r="O18" i="22"/>
  <c r="P102" i="24"/>
  <c r="O17" i="24"/>
  <c r="O21" i="28"/>
  <c r="O19" i="28"/>
  <c r="O21" i="31"/>
  <c r="O20" i="21"/>
  <c r="P104" i="28"/>
  <c r="O18" i="29"/>
  <c r="P100" i="35"/>
  <c r="O20" i="35"/>
  <c r="O17" i="35"/>
  <c r="O17" i="43"/>
  <c r="O17" i="46"/>
  <c r="O21" i="20"/>
  <c r="O17" i="62"/>
  <c r="O17" i="61"/>
  <c r="O18" i="58"/>
  <c r="O18" i="56"/>
  <c r="O22" i="3"/>
  <c r="O23" i="23"/>
  <c r="P105" i="30"/>
  <c r="P102" i="44"/>
  <c r="P100" i="54"/>
  <c r="P105" i="21"/>
  <c r="P102" i="66"/>
  <c r="P102" i="68"/>
  <c r="P100" i="81"/>
  <c r="O22" i="27"/>
  <c r="O18" i="27"/>
  <c r="P105" i="28"/>
  <c r="O20" i="30"/>
  <c r="O18" i="30"/>
  <c r="P100" i="34"/>
  <c r="O18" i="35"/>
  <c r="P101" i="39"/>
  <c r="P101" i="42"/>
  <c r="O17" i="45"/>
  <c r="O20" i="34"/>
  <c r="P99" i="42"/>
  <c r="P99" i="55"/>
  <c r="P102" i="32"/>
  <c r="P100" i="43"/>
  <c r="O21" i="3"/>
  <c r="O21" i="18"/>
  <c r="O20" i="39"/>
  <c r="O23" i="29"/>
  <c r="O22" i="23"/>
  <c r="P104" i="24"/>
  <c r="O21" i="44"/>
  <c r="P101" i="45"/>
  <c r="O19" i="57"/>
  <c r="O17" i="67"/>
  <c r="P104" i="73"/>
  <c r="P99" i="78"/>
  <c r="P103" i="69"/>
  <c r="P100" i="63"/>
  <c r="P106" i="23"/>
  <c r="P106" i="24"/>
  <c r="P102" i="60"/>
  <c r="P102" i="64"/>
  <c r="P109" i="27"/>
  <c r="P109" i="29"/>
  <c r="P109" i="70"/>
  <c r="P104" i="72"/>
  <c r="O17" i="34"/>
  <c r="O19" i="43"/>
  <c r="F17" i="33"/>
  <c r="D18" i="33" s="1"/>
  <c r="B18" i="33" s="1"/>
  <c r="F17" i="25"/>
  <c r="D18" i="25" s="1"/>
  <c r="B18" i="25" s="1"/>
  <c r="O24" i="27"/>
  <c r="P106" i="29"/>
  <c r="P105" i="42"/>
  <c r="P108" i="70"/>
  <c r="P107" i="18"/>
  <c r="P105" i="45"/>
  <c r="P105" i="74"/>
  <c r="P104" i="18"/>
  <c r="P105" i="23"/>
  <c r="P107" i="28"/>
  <c r="O22" i="42"/>
  <c r="O22" i="43"/>
  <c r="P103" i="44"/>
  <c r="O19" i="62"/>
  <c r="O17" i="75"/>
  <c r="O24" i="22"/>
  <c r="O26" i="29"/>
  <c r="O25" i="34"/>
  <c r="O23" i="39"/>
  <c r="O20" i="63"/>
  <c r="P100" i="66"/>
  <c r="P108" i="27"/>
  <c r="P107" i="31"/>
  <c r="O24" i="39"/>
  <c r="P105" i="43"/>
  <c r="P103" i="55"/>
  <c r="P102" i="61"/>
  <c r="O21" i="62"/>
  <c r="P110" i="28"/>
  <c r="P106" i="42"/>
  <c r="P104" i="58"/>
  <c r="O22" i="61"/>
  <c r="O18" i="87"/>
  <c r="P100" i="57"/>
  <c r="P99" i="64"/>
  <c r="P102" i="70"/>
  <c r="P104" i="70"/>
  <c r="P99" i="76"/>
  <c r="P105" i="69"/>
  <c r="P104" i="19"/>
  <c r="P104" i="20"/>
  <c r="O24" i="31"/>
  <c r="P103" i="39"/>
  <c r="O22" i="44"/>
  <c r="O21" i="45"/>
  <c r="O20" i="56"/>
  <c r="O25" i="69"/>
  <c r="P99" i="80"/>
  <c r="O21" i="58"/>
  <c r="F17" i="13"/>
  <c r="D18" i="13" s="1"/>
  <c r="B18" i="13" s="1"/>
  <c r="O26" i="23"/>
  <c r="P107" i="24"/>
  <c r="O24" i="44"/>
  <c r="P103" i="56"/>
  <c r="O20" i="68"/>
  <c r="P108" i="24"/>
  <c r="P106" i="39"/>
  <c r="P106" i="43"/>
  <c r="P104" i="54"/>
  <c r="P101" i="69"/>
  <c r="P105" i="31"/>
  <c r="P105" i="34"/>
  <c r="O18" i="66"/>
  <c r="P105" i="17"/>
  <c r="O24" i="21"/>
  <c r="P105" i="22"/>
  <c r="P101" i="59"/>
  <c r="O25" i="3"/>
  <c r="O21" i="63"/>
  <c r="P104" i="55"/>
  <c r="O17" i="94"/>
  <c r="F18" i="2"/>
  <c r="O57" i="70"/>
  <c r="O34" i="67"/>
  <c r="O38" i="67"/>
  <c r="O44" i="67"/>
  <c r="O48" i="67"/>
  <c r="O56" i="67"/>
  <c r="O62" i="67"/>
  <c r="O42" i="67"/>
  <c r="O46" i="67"/>
  <c r="F18" i="1"/>
  <c r="O68" i="85"/>
  <c r="O23" i="87"/>
  <c r="O20" i="78"/>
  <c r="O21" i="66"/>
  <c r="O32" i="77"/>
  <c r="O36" i="77"/>
  <c r="O64" i="92"/>
  <c r="O56" i="62"/>
  <c r="O68" i="63"/>
  <c r="O48" i="64"/>
  <c r="O70" i="64"/>
  <c r="O53" i="65"/>
  <c r="O59" i="67"/>
  <c r="O69" i="67"/>
  <c r="O70" i="67"/>
  <c r="O27" i="67"/>
  <c r="O61" i="67"/>
  <c r="P115" i="81"/>
  <c r="P109" i="95"/>
  <c r="P111" i="95"/>
  <c r="P117" i="95"/>
  <c r="P119" i="95"/>
  <c r="P125" i="95"/>
  <c r="P127" i="95"/>
  <c r="O62" i="96"/>
  <c r="O64" i="96"/>
  <c r="O66" i="96"/>
  <c r="O64" i="60"/>
  <c r="O47" i="64"/>
  <c r="O55" i="75"/>
  <c r="O69" i="78"/>
  <c r="O72" i="84"/>
  <c r="F48" i="1"/>
  <c r="F52" i="1" s="1"/>
  <c r="O71" i="25"/>
  <c r="O69" i="25"/>
  <c r="O67" i="25"/>
  <c r="O65" i="25"/>
  <c r="O63" i="25"/>
  <c r="O59" i="25"/>
  <c r="O57" i="25"/>
  <c r="O55" i="25"/>
  <c r="O53" i="25"/>
  <c r="O51" i="25"/>
  <c r="O49" i="25"/>
  <c r="O47" i="25"/>
  <c r="O45" i="25"/>
  <c r="O43" i="25"/>
  <c r="O41" i="25"/>
  <c r="O31" i="25"/>
  <c r="O21" i="25"/>
  <c r="O71" i="26"/>
  <c r="O69" i="26"/>
  <c r="O67" i="26"/>
  <c r="O65" i="26"/>
  <c r="O63" i="26"/>
  <c r="O61" i="26"/>
  <c r="O59" i="26"/>
  <c r="O41" i="26"/>
  <c r="O39" i="26"/>
  <c r="O37" i="26"/>
  <c r="O33" i="26"/>
  <c r="O25" i="26"/>
  <c r="O23" i="26"/>
  <c r="O21" i="26"/>
  <c r="O69" i="28"/>
  <c r="O65" i="28"/>
  <c r="O61" i="28"/>
  <c r="O57" i="28"/>
  <c r="O55" i="28"/>
  <c r="O53" i="28"/>
  <c r="O51" i="28"/>
  <c r="O49" i="28"/>
  <c r="O47" i="28"/>
  <c r="O45" i="28"/>
  <c r="O35" i="28"/>
  <c r="O33" i="28"/>
  <c r="O62" i="29"/>
  <c r="O72" i="35"/>
  <c r="O70" i="35"/>
  <c r="O68" i="35"/>
  <c r="O64" i="35"/>
  <c r="O60" i="35"/>
  <c r="O52" i="35"/>
  <c r="O48" i="35"/>
  <c r="O46" i="35"/>
  <c r="O42" i="35"/>
  <c r="O40" i="35"/>
  <c r="O38" i="35"/>
  <c r="O36" i="35"/>
  <c r="O34" i="35"/>
  <c r="O32" i="35"/>
  <c r="O28" i="35"/>
  <c r="O35" i="72"/>
  <c r="O53" i="72"/>
  <c r="O57" i="72"/>
  <c r="O51" i="81"/>
  <c r="O37" i="82"/>
  <c r="O36" i="17"/>
  <c r="O61" i="27"/>
  <c r="O44" i="24"/>
  <c r="O42" i="24"/>
  <c r="O38" i="24"/>
  <c r="O36" i="24"/>
  <c r="O34" i="24"/>
  <c r="O32" i="24"/>
  <c r="O37" i="25"/>
  <c r="O35" i="25"/>
  <c r="O33" i="25"/>
  <c r="O29" i="25"/>
  <c r="O23" i="25"/>
  <c r="O57" i="26"/>
  <c r="O55" i="26"/>
  <c r="O53" i="26"/>
  <c r="O51" i="26"/>
  <c r="O49" i="26"/>
  <c r="O47" i="26"/>
  <c r="O31" i="26"/>
  <c r="C8" i="1"/>
  <c r="O44" i="17"/>
  <c r="O71" i="20"/>
  <c r="O53" i="21"/>
  <c r="O68" i="33"/>
  <c r="O62" i="33"/>
  <c r="O60" i="33"/>
  <c r="O58" i="33"/>
  <c r="O56" i="33"/>
  <c r="O50" i="33"/>
  <c r="O46" i="33"/>
  <c r="O42" i="33"/>
  <c r="O36" i="33"/>
  <c r="O30" i="33"/>
  <c r="O26" i="33"/>
  <c r="O24" i="33"/>
  <c r="O22" i="33"/>
  <c r="O20" i="33"/>
  <c r="O36" i="59"/>
  <c r="O29" i="64"/>
  <c r="O31" i="64"/>
  <c r="O43" i="64"/>
  <c r="O55" i="64"/>
  <c r="O46" i="69"/>
  <c r="O56" i="69"/>
  <c r="O70" i="69"/>
  <c r="O50" i="72"/>
  <c r="O52" i="72"/>
  <c r="O62" i="72"/>
  <c r="O36" i="81"/>
  <c r="O26" i="82"/>
  <c r="O32" i="82"/>
  <c r="O34" i="82"/>
  <c r="O38" i="82"/>
  <c r="O68" i="82"/>
  <c r="O70" i="82"/>
  <c r="O23" i="88"/>
  <c r="O39" i="88"/>
  <c r="O63" i="88"/>
  <c r="O33" i="90"/>
  <c r="O47" i="90"/>
  <c r="O72" i="95"/>
  <c r="O17" i="25"/>
  <c r="O41" i="74"/>
  <c r="O70" i="13"/>
  <c r="O68" i="13"/>
  <c r="O66" i="13"/>
  <c r="O64" i="13"/>
  <c r="O62" i="13"/>
  <c r="O60" i="13"/>
  <c r="O58" i="13"/>
  <c r="O56" i="13"/>
  <c r="O54" i="13"/>
  <c r="O52" i="13"/>
  <c r="O50" i="13"/>
  <c r="O48" i="13"/>
  <c r="O34" i="13"/>
  <c r="O22" i="13"/>
  <c r="O44" i="23"/>
  <c r="O59" i="59"/>
  <c r="O27" i="60"/>
  <c r="O45" i="60"/>
  <c r="O57" i="61"/>
  <c r="O65" i="79"/>
  <c r="O69" i="79"/>
  <c r="O18" i="74"/>
  <c r="O65" i="67"/>
  <c r="O20" i="66"/>
  <c r="O20" i="96"/>
  <c r="O30" i="96"/>
  <c r="O21" i="94"/>
  <c r="O55" i="94"/>
  <c r="O38" i="87"/>
  <c r="O64" i="87"/>
  <c r="O72" i="87"/>
  <c r="O18" i="83"/>
  <c r="O48" i="83"/>
  <c r="O52" i="83"/>
  <c r="O60" i="83"/>
  <c r="O66" i="83"/>
  <c r="O68" i="83"/>
  <c r="O70" i="83"/>
  <c r="O52" i="82"/>
  <c r="O22" i="80"/>
  <c r="O24" i="80"/>
  <c r="O28" i="80"/>
  <c r="O42" i="80"/>
  <c r="O44" i="80"/>
  <c r="O48" i="80"/>
  <c r="O54" i="80"/>
  <c r="O56" i="80"/>
  <c r="O58" i="80"/>
  <c r="O60" i="80"/>
  <c r="O19" i="79"/>
  <c r="O43" i="79"/>
  <c r="O49" i="79"/>
  <c r="O59" i="79"/>
  <c r="O18" i="77"/>
  <c r="O29" i="77"/>
  <c r="O41" i="77"/>
  <c r="O17" i="76"/>
  <c r="O19" i="75"/>
  <c r="O19" i="74"/>
  <c r="O47" i="74"/>
  <c r="O55" i="74"/>
  <c r="O69" i="74"/>
  <c r="O17" i="74"/>
  <c r="O24" i="74"/>
  <c r="O21" i="73"/>
  <c r="O46" i="73"/>
  <c r="O50" i="73"/>
  <c r="O56" i="73"/>
  <c r="O24" i="73"/>
  <c r="O71" i="72"/>
  <c r="O22" i="71"/>
  <c r="O23" i="70"/>
  <c r="O18" i="70"/>
  <c r="O21" i="69"/>
  <c r="O20" i="69"/>
  <c r="O40" i="69"/>
  <c r="O24" i="69"/>
  <c r="O19" i="65"/>
  <c r="O20" i="65"/>
  <c r="O18" i="64"/>
  <c r="O17" i="60"/>
  <c r="O18" i="61"/>
  <c r="O20" i="61"/>
  <c r="O19" i="59"/>
  <c r="O17" i="58"/>
  <c r="O20" i="58"/>
  <c r="O18" i="57"/>
  <c r="O71" i="57"/>
  <c r="O37" i="57"/>
  <c r="O71" i="56"/>
  <c r="O69" i="56"/>
  <c r="O67" i="56"/>
  <c r="O65" i="56"/>
  <c r="O59" i="56"/>
  <c r="O57" i="56"/>
  <c r="O55" i="56"/>
  <c r="O49" i="56"/>
  <c r="O47" i="56"/>
  <c r="O45" i="56"/>
  <c r="O35" i="56"/>
  <c r="O27" i="56"/>
  <c r="O22" i="55"/>
  <c r="O21" i="54"/>
  <c r="O22" i="54"/>
  <c r="O17" i="54"/>
  <c r="O21" i="53"/>
  <c r="O20" i="53"/>
  <c r="O22" i="46"/>
  <c r="O19" i="46"/>
  <c r="O20" i="45"/>
  <c r="O18" i="45"/>
  <c r="O19" i="45"/>
  <c r="O23" i="43"/>
  <c r="O18" i="43"/>
  <c r="O21" i="42"/>
  <c r="O17" i="41"/>
  <c r="O19" i="41"/>
  <c r="O18" i="41"/>
  <c r="O23" i="34"/>
  <c r="O19" i="32"/>
  <c r="O18" i="31"/>
  <c r="O26" i="31"/>
  <c r="O26" i="30"/>
  <c r="O21" i="30"/>
  <c r="O22" i="28"/>
  <c r="O23" i="28"/>
  <c r="O26" i="27"/>
  <c r="O28" i="27"/>
  <c r="O19" i="24"/>
  <c r="O23" i="24"/>
  <c r="O18" i="24"/>
  <c r="O19" i="23"/>
  <c r="O25" i="22"/>
  <c r="O19" i="22"/>
  <c r="O18" i="21"/>
  <c r="O23" i="21"/>
  <c r="O22" i="21"/>
  <c r="O22" i="20"/>
  <c r="O25" i="19"/>
  <c r="O20" i="19"/>
  <c r="O21" i="19"/>
  <c r="O24" i="19"/>
  <c r="O25" i="18"/>
  <c r="O18" i="18"/>
  <c r="O23" i="18"/>
  <c r="O24" i="18"/>
  <c r="O62" i="17"/>
  <c r="O19" i="17"/>
  <c r="O23" i="17"/>
  <c r="O25" i="17"/>
  <c r="O19" i="3"/>
  <c r="O48" i="17"/>
  <c r="O46" i="17"/>
  <c r="O34" i="17"/>
  <c r="O60" i="18"/>
  <c r="O60" i="25"/>
  <c r="O56" i="25"/>
  <c r="O44" i="25"/>
  <c r="O20" i="25"/>
  <c r="O46" i="26"/>
  <c r="O20" i="26"/>
  <c r="O70" i="31"/>
  <c r="O68" i="31"/>
  <c r="O48" i="31"/>
  <c r="O44" i="31"/>
  <c r="O42" i="31"/>
  <c r="O38" i="31"/>
  <c r="O36" i="31"/>
  <c r="O30" i="31"/>
  <c r="O35" i="74"/>
  <c r="O37" i="74"/>
  <c r="C22" i="1"/>
  <c r="I12" i="96"/>
  <c r="I13" i="96" s="1"/>
  <c r="I10" i="73"/>
  <c r="I12" i="71"/>
  <c r="I13" i="71" s="1"/>
  <c r="I12" i="78"/>
  <c r="I13" i="78" s="1"/>
  <c r="I12" i="72"/>
  <c r="I13" i="72" s="1"/>
  <c r="I12" i="32"/>
  <c r="I13" i="32" s="1"/>
  <c r="I10" i="13"/>
  <c r="D94" i="13" s="1"/>
  <c r="O62" i="34"/>
  <c r="O62" i="44"/>
  <c r="O43" i="70"/>
  <c r="O45" i="70"/>
  <c r="O55" i="70"/>
  <c r="O63" i="70"/>
  <c r="O65" i="70"/>
  <c r="O39" i="74"/>
  <c r="O49" i="74"/>
  <c r="O51" i="74"/>
  <c r="O53" i="74"/>
  <c r="O65" i="74"/>
  <c r="A2" i="1"/>
  <c r="A2" i="2" s="1"/>
  <c r="I12" i="39"/>
  <c r="I13" i="39" s="1"/>
  <c r="I12" i="65"/>
  <c r="I13" i="65" s="1"/>
  <c r="I12" i="84"/>
  <c r="I13" i="84" s="1"/>
  <c r="B20" i="84" s="1"/>
  <c r="I12" i="75"/>
  <c r="I13" i="75" s="1"/>
  <c r="I10" i="33"/>
  <c r="D94" i="33" s="1"/>
  <c r="I12" i="93"/>
  <c r="I13" i="93" s="1"/>
  <c r="C61" i="1"/>
  <c r="C73" i="1"/>
  <c r="I10" i="75"/>
  <c r="D94" i="75" s="1"/>
  <c r="C76" i="1"/>
  <c r="I10" i="46"/>
  <c r="D94" i="46" s="1"/>
  <c r="I12" i="22"/>
  <c r="I13" i="22" s="1"/>
  <c r="I12" i="69"/>
  <c r="I13" i="69" s="1"/>
  <c r="I12" i="34"/>
  <c r="I13" i="34" s="1"/>
  <c r="I12" i="60"/>
  <c r="I13" i="60" s="1"/>
  <c r="I12" i="74"/>
  <c r="I13" i="74" s="1"/>
  <c r="O71" i="33"/>
  <c r="O39" i="33"/>
  <c r="O35" i="33"/>
  <c r="O43" i="35"/>
  <c r="O55" i="46"/>
  <c r="P151" i="55"/>
  <c r="P145" i="55"/>
  <c r="P139" i="55"/>
  <c r="P137" i="55"/>
  <c r="P135" i="55"/>
  <c r="P133" i="55"/>
  <c r="P131" i="55"/>
  <c r="P117" i="55"/>
  <c r="P115" i="55"/>
  <c r="P113" i="55"/>
  <c r="P111" i="55"/>
  <c r="P109" i="55"/>
  <c r="P107" i="55"/>
  <c r="O33" i="13"/>
  <c r="O39" i="22"/>
  <c r="O55" i="42"/>
  <c r="E18" i="13"/>
  <c r="F18" i="13" s="1"/>
  <c r="D19" i="13" s="1"/>
  <c r="B19" i="13" s="1"/>
  <c r="O62" i="80"/>
  <c r="O65" i="90"/>
  <c r="O59" i="92"/>
  <c r="O59" i="42"/>
  <c r="O26" i="59"/>
  <c r="O28" i="59"/>
  <c r="O30" i="59"/>
  <c r="O32" i="59"/>
  <c r="O34" i="59"/>
  <c r="O38" i="59"/>
  <c r="O40" i="59"/>
  <c r="O42" i="59"/>
  <c r="O44" i="59"/>
  <c r="O46" i="59"/>
  <c r="O48" i="59"/>
  <c r="O50" i="59"/>
  <c r="O52" i="59"/>
  <c r="O54" i="59"/>
  <c r="O66" i="59"/>
  <c r="O68" i="59"/>
  <c r="O70" i="59"/>
  <c r="O60" i="66"/>
  <c r="O70" i="66"/>
  <c r="O66" i="75"/>
  <c r="O33" i="80"/>
  <c r="O35" i="80"/>
  <c r="O37" i="80"/>
  <c r="O51" i="80"/>
  <c r="O53" i="80"/>
  <c r="O71" i="80"/>
  <c r="O24" i="85"/>
  <c r="O46" i="85"/>
  <c r="O50" i="34"/>
  <c r="F88" i="1"/>
  <c r="F89" i="1" s="1"/>
  <c r="F91" i="1" s="1"/>
  <c r="F92" i="1" s="1"/>
  <c r="F93" i="1" s="1"/>
  <c r="D13" i="56" s="1"/>
  <c r="I14" i="56" s="1"/>
  <c r="O59" i="64"/>
  <c r="O63" i="64"/>
  <c r="O30" i="71"/>
  <c r="O32" i="71"/>
  <c r="O34" i="71"/>
  <c r="O36" i="71"/>
  <c r="O38" i="71"/>
  <c r="O48" i="71"/>
  <c r="O50" i="71"/>
  <c r="O52" i="71"/>
  <c r="O54" i="71"/>
  <c r="O58" i="71"/>
  <c r="O62" i="71"/>
  <c r="O64" i="71"/>
  <c r="O66" i="71"/>
  <c r="O68" i="71"/>
  <c r="O70" i="71"/>
  <c r="O72" i="71"/>
  <c r="O69" i="81"/>
  <c r="O32" i="84"/>
  <c r="O42" i="84"/>
  <c r="O62" i="86"/>
  <c r="O64" i="86"/>
  <c r="O70" i="86"/>
  <c r="C80" i="1"/>
  <c r="C28" i="1"/>
  <c r="C59" i="1"/>
  <c r="I10" i="28"/>
  <c r="D94" i="28" s="1"/>
  <c r="C79" i="1"/>
  <c r="C39" i="1"/>
  <c r="I10" i="17"/>
  <c r="I10" i="56"/>
  <c r="D92" i="56" s="1"/>
  <c r="B105" i="56" s="1"/>
  <c r="I10" i="61"/>
  <c r="I12" i="27"/>
  <c r="I13" i="27" s="1"/>
  <c r="I12" i="35"/>
  <c r="I13" i="35" s="1"/>
  <c r="H21" i="35" s="1"/>
  <c r="I12" i="92"/>
  <c r="I13" i="92" s="1"/>
  <c r="I12" i="31"/>
  <c r="I13" i="31" s="1"/>
  <c r="I12" i="61"/>
  <c r="I13" i="61" s="1"/>
  <c r="I12" i="64"/>
  <c r="I13" i="64" s="1"/>
  <c r="I12" i="58"/>
  <c r="I13" i="58" s="1"/>
  <c r="I12" i="25"/>
  <c r="I12" i="28"/>
  <c r="I13" i="28" s="1"/>
  <c r="I12" i="67"/>
  <c r="I13" i="67" s="1"/>
  <c r="I12" i="83"/>
  <c r="I13" i="83" s="1"/>
  <c r="I12" i="18"/>
  <c r="I13" i="18" s="1"/>
  <c r="I12" i="89"/>
  <c r="I13" i="89" s="1"/>
  <c r="I12" i="66"/>
  <c r="I13" i="66" s="1"/>
  <c r="I12" i="20"/>
  <c r="I13" i="20" s="1"/>
  <c r="I12" i="26"/>
  <c r="I13" i="26" s="1"/>
  <c r="I10" i="23"/>
  <c r="D93" i="23" s="1"/>
  <c r="C99" i="23" s="1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I12" i="33"/>
  <c r="I12" i="42"/>
  <c r="I13" i="42" s="1"/>
  <c r="F14" i="1"/>
  <c r="E19" i="1" s="1"/>
  <c r="F19" i="1" s="1"/>
  <c r="I12" i="68"/>
  <c r="I13" i="68" s="1"/>
  <c r="I12" i="99"/>
  <c r="I12" i="98"/>
  <c r="I12" i="97"/>
  <c r="C50" i="1"/>
  <c r="C14" i="1"/>
  <c r="C10" i="1"/>
  <c r="I12" i="95"/>
  <c r="I13" i="95" s="1"/>
  <c r="C62" i="1"/>
  <c r="C55" i="1"/>
  <c r="I10" i="35"/>
  <c r="D93" i="35" s="1"/>
  <c r="C99" i="35" s="1"/>
  <c r="I10" i="20"/>
  <c r="D93" i="20" s="1"/>
  <c r="C99" i="20" s="1"/>
  <c r="C100" i="20" s="1"/>
  <c r="C101" i="20" s="1"/>
  <c r="C102" i="20" s="1"/>
  <c r="C103" i="20" s="1"/>
  <c r="C104" i="20" s="1"/>
  <c r="C105" i="20" s="1"/>
  <c r="C106" i="20" s="1"/>
  <c r="C107" i="20" s="1"/>
  <c r="C108" i="20" s="1"/>
  <c r="C109" i="20" s="1"/>
  <c r="C110" i="20" s="1"/>
  <c r="C111" i="20" s="1"/>
  <c r="C112" i="20" s="1"/>
  <c r="C113" i="20" s="1"/>
  <c r="C114" i="20" s="1"/>
  <c r="C115" i="20" s="1"/>
  <c r="C116" i="20" s="1"/>
  <c r="C117" i="20" s="1"/>
  <c r="C118" i="20" s="1"/>
  <c r="C119" i="20" s="1"/>
  <c r="C120" i="20" s="1"/>
  <c r="C121" i="20" s="1"/>
  <c r="C122" i="20" s="1"/>
  <c r="C123" i="20" s="1"/>
  <c r="C124" i="20" s="1"/>
  <c r="C125" i="20" s="1"/>
  <c r="C126" i="20" s="1"/>
  <c r="C127" i="20" s="1"/>
  <c r="C128" i="20" s="1"/>
  <c r="C129" i="20" s="1"/>
  <c r="C130" i="20" s="1"/>
  <c r="C131" i="20" s="1"/>
  <c r="C132" i="20" s="1"/>
  <c r="C133" i="20" s="1"/>
  <c r="C134" i="20" s="1"/>
  <c r="C135" i="20" s="1"/>
  <c r="C136" i="20" s="1"/>
  <c r="C137" i="20" s="1"/>
  <c r="C138" i="20" s="1"/>
  <c r="C139" i="20" s="1"/>
  <c r="C140" i="20" s="1"/>
  <c r="C141" i="20" s="1"/>
  <c r="C142" i="20" s="1"/>
  <c r="C143" i="20" s="1"/>
  <c r="C144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I10" i="85"/>
  <c r="D94" i="85" s="1"/>
  <c r="I12" i="3"/>
  <c r="I13" i="3" s="1"/>
  <c r="I12" i="76"/>
  <c r="I13" i="76" s="1"/>
  <c r="I12" i="85"/>
  <c r="I13" i="85" s="1"/>
  <c r="I12" i="23"/>
  <c r="I13" i="23" s="1"/>
  <c r="I12" i="30"/>
  <c r="I13" i="30" s="1"/>
  <c r="I12" i="21"/>
  <c r="I13" i="21" s="1"/>
  <c r="I12" i="45"/>
  <c r="I13" i="45" s="1"/>
  <c r="I12" i="19"/>
  <c r="I13" i="19" s="1"/>
  <c r="I12" i="79"/>
  <c r="I12" i="17"/>
  <c r="I13" i="17" s="1"/>
  <c r="I12" i="90"/>
  <c r="I13" i="90" s="1"/>
  <c r="I12" i="29"/>
  <c r="I13" i="29" s="1"/>
  <c r="I12" i="43"/>
  <c r="I13" i="43" s="1"/>
  <c r="I10" i="89"/>
  <c r="D94" i="89" s="1"/>
  <c r="I12" i="44"/>
  <c r="I13" i="44" s="1"/>
  <c r="I12" i="87"/>
  <c r="I13" i="87" s="1"/>
  <c r="O56" i="17"/>
  <c r="O54" i="17"/>
  <c r="O52" i="17"/>
  <c r="O42" i="17"/>
  <c r="O40" i="17"/>
  <c r="O32" i="17"/>
  <c r="O62" i="18"/>
  <c r="O56" i="18"/>
  <c r="O52" i="18"/>
  <c r="O50" i="18"/>
  <c r="O46" i="18"/>
  <c r="O29" i="18"/>
  <c r="O65" i="21"/>
  <c r="O43" i="24"/>
  <c r="O41" i="24"/>
  <c r="O39" i="24"/>
  <c r="O37" i="24"/>
  <c r="O33" i="24"/>
  <c r="O31" i="24"/>
  <c r="O70" i="25"/>
  <c r="C82" i="1"/>
  <c r="C77" i="1"/>
  <c r="I12" i="94"/>
  <c r="I13" i="94" s="1"/>
  <c r="I10" i="74"/>
  <c r="I10" i="90"/>
  <c r="D93" i="90" s="1"/>
  <c r="C99" i="90" s="1"/>
  <c r="C100" i="90" s="1"/>
  <c r="C101" i="90" s="1"/>
  <c r="C102" i="90" s="1"/>
  <c r="C103" i="90" s="1"/>
  <c r="C104" i="90" s="1"/>
  <c r="C105" i="90" s="1"/>
  <c r="C106" i="90" s="1"/>
  <c r="C107" i="90" s="1"/>
  <c r="C108" i="90" s="1"/>
  <c r="C109" i="90" s="1"/>
  <c r="C110" i="90" s="1"/>
  <c r="C111" i="90" s="1"/>
  <c r="C112" i="90" s="1"/>
  <c r="C113" i="90" s="1"/>
  <c r="C114" i="90" s="1"/>
  <c r="C115" i="90" s="1"/>
  <c r="C116" i="90" s="1"/>
  <c r="C117" i="90" s="1"/>
  <c r="C118" i="90" s="1"/>
  <c r="C119" i="90" s="1"/>
  <c r="C120" i="90" s="1"/>
  <c r="C121" i="90" s="1"/>
  <c r="C122" i="90" s="1"/>
  <c r="C123" i="90" s="1"/>
  <c r="C124" i="90" s="1"/>
  <c r="C125" i="90" s="1"/>
  <c r="C126" i="90" s="1"/>
  <c r="C127" i="90" s="1"/>
  <c r="C128" i="90" s="1"/>
  <c r="C129" i="90" s="1"/>
  <c r="C130" i="90" s="1"/>
  <c r="C131" i="90" s="1"/>
  <c r="C132" i="90" s="1"/>
  <c r="C133" i="90" s="1"/>
  <c r="C134" i="90" s="1"/>
  <c r="C135" i="90" s="1"/>
  <c r="C136" i="90" s="1"/>
  <c r="C137" i="90" s="1"/>
  <c r="C138" i="90" s="1"/>
  <c r="C139" i="90" s="1"/>
  <c r="C140" i="90" s="1"/>
  <c r="C141" i="90" s="1"/>
  <c r="C142" i="90" s="1"/>
  <c r="C143" i="90" s="1"/>
  <c r="C144" i="90" s="1"/>
  <c r="C145" i="90" s="1"/>
  <c r="C146" i="90" s="1"/>
  <c r="C147" i="90" s="1"/>
  <c r="I10" i="78"/>
  <c r="D93" i="78" s="1"/>
  <c r="C99" i="78" s="1"/>
  <c r="C100" i="78" s="1"/>
  <c r="C101" i="78" s="1"/>
  <c r="C102" i="78" s="1"/>
  <c r="C103" i="78" s="1"/>
  <c r="C104" i="78" s="1"/>
  <c r="C105" i="78" s="1"/>
  <c r="C106" i="78" s="1"/>
  <c r="C107" i="78" s="1"/>
  <c r="C108" i="78" s="1"/>
  <c r="C109" i="78" s="1"/>
  <c r="C110" i="78" s="1"/>
  <c r="C111" i="78" s="1"/>
  <c r="C112" i="78" s="1"/>
  <c r="C113" i="78" s="1"/>
  <c r="C114" i="78" s="1"/>
  <c r="C115" i="78" s="1"/>
  <c r="C116" i="78" s="1"/>
  <c r="C117" i="78" s="1"/>
  <c r="C118" i="78" s="1"/>
  <c r="C119" i="78" s="1"/>
  <c r="C120" i="78" s="1"/>
  <c r="C121" i="78" s="1"/>
  <c r="C122" i="78" s="1"/>
  <c r="C123" i="78" s="1"/>
  <c r="C124" i="78" s="1"/>
  <c r="C125" i="78" s="1"/>
  <c r="C126" i="78" s="1"/>
  <c r="C127" i="78" s="1"/>
  <c r="C128" i="78" s="1"/>
  <c r="C129" i="78" s="1"/>
  <c r="C130" i="78" s="1"/>
  <c r="C131" i="78" s="1"/>
  <c r="C132" i="78" s="1"/>
  <c r="C133" i="78" s="1"/>
  <c r="C134" i="78" s="1"/>
  <c r="C135" i="78" s="1"/>
  <c r="C136" i="78" s="1"/>
  <c r="C137" i="78" s="1"/>
  <c r="C138" i="78" s="1"/>
  <c r="C139" i="78" s="1"/>
  <c r="C140" i="78" s="1"/>
  <c r="C141" i="78" s="1"/>
  <c r="C142" i="78" s="1"/>
  <c r="C143" i="78" s="1"/>
  <c r="C144" i="78" s="1"/>
  <c r="C145" i="78" s="1"/>
  <c r="C146" i="78" s="1"/>
  <c r="C147" i="78" s="1"/>
  <c r="C148" i="78" s="1"/>
  <c r="C149" i="78" s="1"/>
  <c r="C150" i="78" s="1"/>
  <c r="C151" i="78" s="1"/>
  <c r="C152" i="78" s="1"/>
  <c r="C153" i="78" s="1"/>
  <c r="C154" i="78" s="1"/>
  <c r="I12" i="55"/>
  <c r="I13" i="55" s="1"/>
  <c r="I12" i="63"/>
  <c r="I13" i="63" s="1"/>
  <c r="I12" i="81"/>
  <c r="I13" i="81" s="1"/>
  <c r="I12" i="46"/>
  <c r="I13" i="46" s="1"/>
  <c r="I12" i="86"/>
  <c r="I13" i="86" s="1"/>
  <c r="I12" i="82"/>
  <c r="I13" i="82" s="1"/>
  <c r="I12" i="80"/>
  <c r="I13" i="80" s="1"/>
  <c r="I12" i="56"/>
  <c r="I13" i="56" s="1"/>
  <c r="I12" i="53"/>
  <c r="I13" i="53" s="1"/>
  <c r="I12" i="13"/>
  <c r="I12" i="70"/>
  <c r="I13" i="70" s="1"/>
  <c r="I12" i="41"/>
  <c r="I13" i="41" s="1"/>
  <c r="I12" i="73"/>
  <c r="I13" i="73" s="1"/>
  <c r="I12" i="59"/>
  <c r="I13" i="59" s="1"/>
  <c r="I12" i="54"/>
  <c r="I13" i="54" s="1"/>
  <c r="I12" i="24"/>
  <c r="I13" i="24" s="1"/>
  <c r="I12" i="57"/>
  <c r="I13" i="57" s="1"/>
  <c r="O69" i="13"/>
  <c r="O61" i="13"/>
  <c r="O59" i="13"/>
  <c r="O55" i="13"/>
  <c r="O53" i="13"/>
  <c r="O49" i="13"/>
  <c r="O41" i="13"/>
  <c r="O31" i="13"/>
  <c r="O23" i="13"/>
  <c r="O21" i="13"/>
  <c r="O19" i="13"/>
  <c r="O17" i="13"/>
  <c r="O45" i="22"/>
  <c r="O43" i="22"/>
  <c r="O41" i="22"/>
  <c r="O37" i="22"/>
  <c r="O35" i="22"/>
  <c r="O33" i="22"/>
  <c r="O43" i="55"/>
  <c r="O61" i="64"/>
  <c r="O35" i="77"/>
  <c r="O49" i="77"/>
  <c r="O63" i="77"/>
  <c r="O21" i="92"/>
  <c r="O23" i="92"/>
  <c r="O25" i="92"/>
  <c r="O27" i="92"/>
  <c r="O29" i="92"/>
  <c r="O33" i="92"/>
  <c r="O37" i="92"/>
  <c r="O39" i="92"/>
  <c r="O41" i="92"/>
  <c r="O43" i="92"/>
  <c r="O45" i="92"/>
  <c r="O47" i="92"/>
  <c r="O53" i="92"/>
  <c r="O61" i="92"/>
  <c r="O63" i="92"/>
  <c r="O65" i="92"/>
  <c r="O68" i="25"/>
  <c r="O66" i="25"/>
  <c r="O50" i="25"/>
  <c r="O46" i="25"/>
  <c r="O40" i="25"/>
  <c r="O68" i="26"/>
  <c r="O64" i="26"/>
  <c r="O60" i="26"/>
  <c r="O58" i="26"/>
  <c r="O48" i="26"/>
  <c r="O28" i="26"/>
  <c r="O26" i="26"/>
  <c r="O18" i="26"/>
  <c r="O53" i="27"/>
  <c r="O44" i="27"/>
  <c r="O42" i="27"/>
  <c r="O67" i="33"/>
  <c r="O63" i="33"/>
  <c r="O61" i="33"/>
  <c r="O55" i="33"/>
  <c r="O53" i="33"/>
  <c r="O47" i="33"/>
  <c r="O45" i="33"/>
  <c r="O43" i="33"/>
  <c r="O41" i="33"/>
  <c r="O37" i="33"/>
  <c r="O31" i="33"/>
  <c r="O29" i="33"/>
  <c r="O27" i="33"/>
  <c r="O25" i="33"/>
  <c r="O23" i="33"/>
  <c r="O21" i="33"/>
  <c r="O19" i="33"/>
  <c r="O71" i="35"/>
  <c r="O69" i="35"/>
  <c r="O67" i="35"/>
  <c r="O65" i="35"/>
  <c r="O63" i="35"/>
  <c r="O59" i="35"/>
  <c r="O57" i="35"/>
  <c r="O55" i="35"/>
  <c r="O53" i="35"/>
  <c r="O51" i="35"/>
  <c r="O49" i="35"/>
  <c r="O47" i="35"/>
  <c r="O45" i="35"/>
  <c r="O41" i="35"/>
  <c r="O39" i="35"/>
  <c r="O37" i="35"/>
  <c r="O35" i="35"/>
  <c r="O33" i="35"/>
  <c r="O29" i="35"/>
  <c r="O27" i="35"/>
  <c r="O25" i="35"/>
  <c r="O21" i="35"/>
  <c r="O69" i="45"/>
  <c r="O59" i="45"/>
  <c r="O47" i="45"/>
  <c r="O45" i="45"/>
  <c r="O41" i="45"/>
  <c r="O35" i="45"/>
  <c r="O31" i="45"/>
  <c r="O29" i="45"/>
  <c r="O72" i="57"/>
  <c r="O66" i="57"/>
  <c r="O64" i="57"/>
  <c r="O62" i="57"/>
  <c r="O58" i="57"/>
  <c r="O56" i="57"/>
  <c r="O48" i="57"/>
  <c r="O46" i="57"/>
  <c r="O38" i="57"/>
  <c r="O36" i="57"/>
  <c r="O30" i="57"/>
  <c r="O32" i="62"/>
  <c r="O66" i="62"/>
  <c r="O58" i="85"/>
  <c r="O21" i="91"/>
  <c r="O25" i="91"/>
  <c r="O29" i="91"/>
  <c r="O35" i="91"/>
  <c r="O39" i="91"/>
  <c r="O41" i="91"/>
  <c r="O43" i="91"/>
  <c r="O45" i="91"/>
  <c r="O52" i="74"/>
  <c r="O56" i="81"/>
  <c r="O25" i="84"/>
  <c r="O64" i="89"/>
  <c r="O29" i="79"/>
  <c r="O33" i="79"/>
  <c r="O35" i="79"/>
  <c r="O37" i="79"/>
  <c r="O41" i="79"/>
  <c r="O47" i="79"/>
  <c r="O53" i="79"/>
  <c r="O31" i="95"/>
  <c r="O45" i="95"/>
  <c r="O55" i="95"/>
  <c r="O61" i="95"/>
  <c r="O69" i="95"/>
  <c r="O37" i="94"/>
  <c r="O39" i="94"/>
  <c r="O41" i="94"/>
  <c r="O47" i="94"/>
  <c r="O57" i="94"/>
  <c r="O59" i="94"/>
  <c r="O63" i="94"/>
  <c r="O65" i="94"/>
  <c r="O67" i="94"/>
  <c r="O69" i="94"/>
  <c r="O33" i="86"/>
  <c r="O35" i="86"/>
  <c r="O67" i="86"/>
  <c r="O47" i="83"/>
  <c r="O24" i="83"/>
  <c r="O28" i="83"/>
  <c r="O40" i="83"/>
  <c r="O42" i="83"/>
  <c r="O62" i="83"/>
  <c r="O31" i="82"/>
  <c r="O59" i="82"/>
  <c r="O67" i="82"/>
  <c r="O30" i="74"/>
  <c r="O26" i="74"/>
  <c r="O32" i="74"/>
  <c r="O62" i="74"/>
  <c r="O28" i="74"/>
  <c r="O34" i="74"/>
  <c r="O36" i="74"/>
  <c r="O38" i="74"/>
  <c r="O42" i="74"/>
  <c r="O44" i="74"/>
  <c r="O54" i="74"/>
  <c r="O56" i="74"/>
  <c r="O58" i="74"/>
  <c r="O60" i="74"/>
  <c r="O64" i="74"/>
  <c r="O66" i="74"/>
  <c r="O68" i="74"/>
  <c r="O70" i="74"/>
  <c r="O72" i="74"/>
  <c r="D93" i="83"/>
  <c r="C99" i="83" s="1"/>
  <c r="C100" i="83" s="1"/>
  <c r="C101" i="83" s="1"/>
  <c r="C102" i="83" s="1"/>
  <c r="C103" i="83" s="1"/>
  <c r="C104" i="83" s="1"/>
  <c r="C105" i="83" s="1"/>
  <c r="C106" i="83" s="1"/>
  <c r="C107" i="83" s="1"/>
  <c r="C108" i="83" s="1"/>
  <c r="C109" i="83" s="1"/>
  <c r="C110" i="83" s="1"/>
  <c r="C111" i="83" s="1"/>
  <c r="C112" i="83" s="1"/>
  <c r="C113" i="83" s="1"/>
  <c r="C114" i="83" s="1"/>
  <c r="C115" i="83" s="1"/>
  <c r="C116" i="83" s="1"/>
  <c r="C117" i="83" s="1"/>
  <c r="C118" i="83" s="1"/>
  <c r="C119" i="83" s="1"/>
  <c r="C120" i="83" s="1"/>
  <c r="C121" i="83" s="1"/>
  <c r="C122" i="83" s="1"/>
  <c r="C123" i="83" s="1"/>
  <c r="C124" i="83" s="1"/>
  <c r="C125" i="83" s="1"/>
  <c r="C126" i="83" s="1"/>
  <c r="C127" i="83" s="1"/>
  <c r="C128" i="83" s="1"/>
  <c r="C129" i="83" s="1"/>
  <c r="C130" i="83" s="1"/>
  <c r="C131" i="83" s="1"/>
  <c r="C132" i="83" s="1"/>
  <c r="C133" i="83" s="1"/>
  <c r="C134" i="83" s="1"/>
  <c r="C135" i="83" s="1"/>
  <c r="C136" i="83" s="1"/>
  <c r="C137" i="83" s="1"/>
  <c r="C138" i="83" s="1"/>
  <c r="C139" i="83" s="1"/>
  <c r="C140" i="83" s="1"/>
  <c r="C141" i="83" s="1"/>
  <c r="C142" i="83" s="1"/>
  <c r="C143" i="83" s="1"/>
  <c r="C144" i="83" s="1"/>
  <c r="C145" i="83" s="1"/>
  <c r="C146" i="83" s="1"/>
  <c r="C147" i="83" s="1"/>
  <c r="C148" i="83" s="1"/>
  <c r="C149" i="83" s="1"/>
  <c r="C150" i="83" s="1"/>
  <c r="C151" i="83" s="1"/>
  <c r="C152" i="83" s="1"/>
  <c r="C153" i="83" s="1"/>
  <c r="C154" i="83" s="1"/>
  <c r="O39" i="96"/>
  <c r="O53" i="96"/>
  <c r="O55" i="96"/>
  <c r="O57" i="96"/>
  <c r="O69" i="96"/>
  <c r="O22" i="95"/>
  <c r="O40" i="95"/>
  <c r="O42" i="95"/>
  <c r="O48" i="95"/>
  <c r="O56" i="95"/>
  <c r="O24" i="94"/>
  <c r="O64" i="93"/>
  <c r="O72" i="93"/>
  <c r="O23" i="93"/>
  <c r="O25" i="93"/>
  <c r="O29" i="93"/>
  <c r="O31" i="93"/>
  <c r="O33" i="93"/>
  <c r="O35" i="93"/>
  <c r="O37" i="93"/>
  <c r="O43" i="93"/>
  <c r="O45" i="93"/>
  <c r="O51" i="93"/>
  <c r="O53" i="93"/>
  <c r="O59" i="93"/>
  <c r="O61" i="93"/>
  <c r="O63" i="93"/>
  <c r="O65" i="93"/>
  <c r="O18" i="91"/>
  <c r="O28" i="90"/>
  <c r="O18" i="88"/>
  <c r="O27" i="88"/>
  <c r="O29" i="88"/>
  <c r="O47" i="88"/>
  <c r="O53" i="88"/>
  <c r="O61" i="88"/>
  <c r="O65" i="88"/>
  <c r="O71" i="88"/>
  <c r="O25" i="87"/>
  <c r="O59" i="87"/>
  <c r="O61" i="87"/>
  <c r="O63" i="87"/>
  <c r="O65" i="87"/>
  <c r="O67" i="87"/>
  <c r="O17" i="86"/>
  <c r="O20" i="86"/>
  <c r="O24" i="86"/>
  <c r="O30" i="86"/>
  <c r="O38" i="86"/>
  <c r="O40" i="86"/>
  <c r="O42" i="86"/>
  <c r="O48" i="86"/>
  <c r="O50" i="86"/>
  <c r="O52" i="86"/>
  <c r="O56" i="86"/>
  <c r="O58" i="86"/>
  <c r="O60" i="86"/>
  <c r="O18" i="86"/>
  <c r="O37" i="86"/>
  <c r="O52" i="84"/>
  <c r="O58" i="84"/>
  <c r="O18" i="84"/>
  <c r="O17" i="84"/>
  <c r="O34" i="83"/>
  <c r="O38" i="83"/>
  <c r="O18" i="82"/>
  <c r="O27" i="82"/>
  <c r="O18" i="81"/>
  <c r="O23" i="81"/>
  <c r="O25" i="81"/>
  <c r="O47" i="81"/>
  <c r="O54" i="81"/>
  <c r="O32" i="79"/>
  <c r="O23" i="78"/>
  <c r="O61" i="78"/>
  <c r="O25" i="77"/>
  <c r="O39" i="77"/>
  <c r="O45" i="77"/>
  <c r="O47" i="77"/>
  <c r="O53" i="77"/>
  <c r="O57" i="77"/>
  <c r="O59" i="77"/>
  <c r="O65" i="77"/>
  <c r="O67" i="77"/>
  <c r="O69" i="77"/>
  <c r="O71" i="77"/>
  <c r="O19" i="77"/>
  <c r="O30" i="76"/>
  <c r="O38" i="76"/>
  <c r="O18" i="75"/>
  <c r="O28" i="73"/>
  <c r="O30" i="73"/>
  <c r="O34" i="73"/>
  <c r="O36" i="73"/>
  <c r="O38" i="73"/>
  <c r="O40" i="73"/>
  <c r="O42" i="73"/>
  <c r="O44" i="73"/>
  <c r="O52" i="73"/>
  <c r="O54" i="73"/>
  <c r="O62" i="73"/>
  <c r="O64" i="73"/>
  <c r="O17" i="73"/>
  <c r="O29" i="73"/>
  <c r="O45" i="73"/>
  <c r="O49" i="73"/>
  <c r="O51" i="73"/>
  <c r="O53" i="73"/>
  <c r="O55" i="73"/>
  <c r="O59" i="73"/>
  <c r="O63" i="73"/>
  <c r="O65" i="73"/>
  <c r="O67" i="73"/>
  <c r="O69" i="73"/>
  <c r="O71" i="73"/>
  <c r="O19" i="72"/>
  <c r="O31" i="72"/>
  <c r="O33" i="72"/>
  <c r="O37" i="72"/>
  <c r="O39" i="72"/>
  <c r="O43" i="72"/>
  <c r="O49" i="72"/>
  <c r="O51" i="72"/>
  <c r="O61" i="72"/>
  <c r="O65" i="72"/>
  <c r="O69" i="72"/>
  <c r="O31" i="71"/>
  <c r="O33" i="71"/>
  <c r="O35" i="71"/>
  <c r="O37" i="71"/>
  <c r="O47" i="71"/>
  <c r="O53" i="71"/>
  <c r="O55" i="71"/>
  <c r="O63" i="71"/>
  <c r="O65" i="71"/>
  <c r="O67" i="71"/>
  <c r="O69" i="71"/>
  <c r="O71" i="71"/>
  <c r="O23" i="71"/>
  <c r="O17" i="71"/>
  <c r="O24" i="71"/>
  <c r="O35" i="70"/>
  <c r="O37" i="70"/>
  <c r="O41" i="70"/>
  <c r="O61" i="70"/>
  <c r="O67" i="70"/>
  <c r="O69" i="70"/>
  <c r="O31" i="70"/>
  <c r="O33" i="70"/>
  <c r="O59" i="70"/>
  <c r="O36" i="69"/>
  <c r="O38" i="69"/>
  <c r="O48" i="69"/>
  <c r="O52" i="69"/>
  <c r="O60" i="69"/>
  <c r="O62" i="69"/>
  <c r="O64" i="69"/>
  <c r="O44" i="68"/>
  <c r="O26" i="66"/>
  <c r="O32" i="66"/>
  <c r="O34" i="66"/>
  <c r="O36" i="66"/>
  <c r="O42" i="66"/>
  <c r="O46" i="66"/>
  <c r="O45" i="66"/>
  <c r="O48" i="66"/>
  <c r="O29" i="65"/>
  <c r="O53" i="64"/>
  <c r="O57" i="64"/>
  <c r="O67" i="64"/>
  <c r="O61" i="61"/>
  <c r="O28" i="61"/>
  <c r="O30" i="61"/>
  <c r="O40" i="61"/>
  <c r="O42" i="61"/>
  <c r="O44" i="61"/>
  <c r="O50" i="61"/>
  <c r="O54" i="61"/>
  <c r="O58" i="61"/>
  <c r="O60" i="61"/>
  <c r="O62" i="61"/>
  <c r="O64" i="61"/>
  <c r="O66" i="61"/>
  <c r="O68" i="61"/>
  <c r="O70" i="61"/>
  <c r="O72" i="61"/>
  <c r="O71" i="58"/>
  <c r="O67" i="58"/>
  <c r="O61" i="58"/>
  <c r="O53" i="58"/>
  <c r="O51" i="58"/>
  <c r="O47" i="58"/>
  <c r="O45" i="58"/>
  <c r="O43" i="58"/>
  <c r="O39" i="58"/>
  <c r="O37" i="58"/>
  <c r="O35" i="58"/>
  <c r="O33" i="58"/>
  <c r="O72" i="56"/>
  <c r="O64" i="56"/>
  <c r="O62" i="56"/>
  <c r="O58" i="56"/>
  <c r="O56" i="56"/>
  <c r="O52" i="56"/>
  <c r="O48" i="56"/>
  <c r="O46" i="56"/>
  <c r="O44" i="56"/>
  <c r="O42" i="56"/>
  <c r="O40" i="56"/>
  <c r="O38" i="56"/>
  <c r="O36" i="56"/>
  <c r="O34" i="56"/>
  <c r="O32" i="56"/>
  <c r="O63" i="55"/>
  <c r="O59" i="55"/>
  <c r="O57" i="55"/>
  <c r="O53" i="55"/>
  <c r="O51" i="55"/>
  <c r="O47" i="55"/>
  <c r="O41" i="55"/>
  <c r="O39" i="55"/>
  <c r="O37" i="55"/>
  <c r="O35" i="55"/>
  <c r="O33" i="55"/>
  <c r="O31" i="55"/>
  <c r="O29" i="55"/>
  <c r="O27" i="55"/>
  <c r="O69" i="54"/>
  <c r="O65" i="54"/>
  <c r="O55" i="54"/>
  <c r="O53" i="54"/>
  <c r="O51" i="54"/>
  <c r="O45" i="54"/>
  <c r="O43" i="54"/>
  <c r="O39" i="54"/>
  <c r="O35" i="54"/>
  <c r="O29" i="54"/>
  <c r="O59" i="53"/>
  <c r="O66" i="46"/>
  <c r="O52" i="46"/>
  <c r="O44" i="46"/>
  <c r="O68" i="44"/>
  <c r="O66" i="44"/>
  <c r="O55" i="44"/>
  <c r="O60" i="43"/>
  <c r="O48" i="43"/>
  <c r="O40" i="42"/>
  <c r="O38" i="42"/>
  <c r="O36" i="42"/>
  <c r="O34" i="42"/>
  <c r="O66" i="42"/>
  <c r="O64" i="42"/>
  <c r="O62" i="42"/>
  <c r="O60" i="42"/>
  <c r="O56" i="42"/>
  <c r="O54" i="42"/>
  <c r="O52" i="42"/>
  <c r="O48" i="42"/>
  <c r="O46" i="42"/>
  <c r="O67" i="41"/>
  <c r="O65" i="41"/>
  <c r="O57" i="41"/>
  <c r="O55" i="41"/>
  <c r="O53" i="41"/>
  <c r="O51" i="41"/>
  <c r="O49" i="41"/>
  <c r="O45" i="41"/>
  <c r="O43" i="41"/>
  <c r="O41" i="41"/>
  <c r="O39" i="41"/>
  <c r="O37" i="41"/>
  <c r="O35" i="41"/>
  <c r="O33" i="41"/>
  <c r="O29" i="41"/>
  <c r="O68" i="39"/>
  <c r="O66" i="39"/>
  <c r="O64" i="39"/>
  <c r="O56" i="39"/>
  <c r="O52" i="39"/>
  <c r="O48" i="39"/>
  <c r="O46" i="39"/>
  <c r="O44" i="39"/>
  <c r="O36" i="39"/>
  <c r="O34" i="39"/>
  <c r="O32" i="39"/>
  <c r="O28" i="39"/>
  <c r="O49" i="34"/>
  <c r="O39" i="34"/>
  <c r="O31" i="34"/>
  <c r="O31" i="32"/>
  <c r="O55" i="31"/>
  <c r="O41" i="31"/>
  <c r="O39" i="31"/>
  <c r="O35" i="31"/>
  <c r="O66" i="31"/>
  <c r="O65" i="30"/>
  <c r="O63" i="30"/>
  <c r="O55" i="30"/>
  <c r="O51" i="30"/>
  <c r="O47" i="30"/>
  <c r="O43" i="30"/>
  <c r="O41" i="30"/>
  <c r="O39" i="30"/>
  <c r="O37" i="30"/>
  <c r="O35" i="30"/>
  <c r="O50" i="29"/>
  <c r="O70" i="23"/>
  <c r="O68" i="23"/>
  <c r="O66" i="23"/>
  <c r="O64" i="23"/>
  <c r="O60" i="23"/>
  <c r="O52" i="23"/>
  <c r="O50" i="23"/>
  <c r="O48" i="23"/>
  <c r="O42" i="23"/>
  <c r="O38" i="23"/>
  <c r="O36" i="23"/>
  <c r="O34" i="23"/>
  <c r="O32" i="23"/>
  <c r="O30" i="23"/>
  <c r="O31" i="21"/>
  <c r="O29" i="21"/>
  <c r="O69" i="21"/>
  <c r="O51" i="21"/>
  <c r="O47" i="21"/>
  <c r="O45" i="21"/>
  <c r="O39" i="21"/>
  <c r="O72" i="21"/>
  <c r="O70" i="21"/>
  <c r="O68" i="21"/>
  <c r="O66" i="21"/>
  <c r="O64" i="21"/>
  <c r="O62" i="21"/>
  <c r="O60" i="21"/>
  <c r="O58" i="21"/>
  <c r="O56" i="21"/>
  <c r="O48" i="21"/>
  <c r="O40" i="21"/>
  <c r="O36" i="21"/>
  <c r="O34" i="21"/>
  <c r="O30" i="21"/>
  <c r="O47" i="20"/>
  <c r="O57" i="19"/>
  <c r="O68" i="19"/>
  <c r="O43" i="19"/>
  <c r="O41" i="19"/>
  <c r="O44" i="3"/>
  <c r="O71" i="3"/>
  <c r="O69" i="3"/>
  <c r="O67" i="3"/>
  <c r="O65" i="3"/>
  <c r="O63" i="3"/>
  <c r="O61" i="3"/>
  <c r="O59" i="3"/>
  <c r="O55" i="3"/>
  <c r="O51" i="3"/>
  <c r="O49" i="3"/>
  <c r="O47" i="3"/>
  <c r="O45" i="3"/>
  <c r="O42" i="3"/>
  <c r="O36" i="3"/>
  <c r="O32" i="3"/>
  <c r="O30" i="3"/>
  <c r="O61" i="71"/>
  <c r="O18" i="71"/>
  <c r="O19" i="71"/>
  <c r="O43" i="71"/>
  <c r="O25" i="71"/>
  <c r="O20" i="71"/>
  <c r="O26" i="71"/>
  <c r="O39" i="70"/>
  <c r="O19" i="70"/>
  <c r="O21" i="70"/>
  <c r="O30" i="70"/>
  <c r="O32" i="70"/>
  <c r="O36" i="70"/>
  <c r="O38" i="70"/>
  <c r="O42" i="70"/>
  <c r="O52" i="70"/>
  <c r="O54" i="70"/>
  <c r="O56" i="70"/>
  <c r="O58" i="70"/>
  <c r="O60" i="70"/>
  <c r="O62" i="70"/>
  <c r="O64" i="70"/>
  <c r="O66" i="70"/>
  <c r="O68" i="70"/>
  <c r="O70" i="70"/>
  <c r="O27" i="70"/>
  <c r="O24" i="70"/>
  <c r="O49" i="69"/>
  <c r="O17" i="69"/>
  <c r="O19" i="68"/>
  <c r="O33" i="67"/>
  <c r="O23" i="67"/>
  <c r="O25" i="67"/>
  <c r="O35" i="67"/>
  <c r="O37" i="67"/>
  <c r="O39" i="67"/>
  <c r="O41" i="67"/>
  <c r="O43" i="67"/>
  <c r="O45" i="67"/>
  <c r="O47" i="67"/>
  <c r="O49" i="67"/>
  <c r="O57" i="67"/>
  <c r="O26" i="67"/>
  <c r="O36" i="67"/>
  <c r="O50" i="67"/>
  <c r="O52" i="67"/>
  <c r="O64" i="67"/>
  <c r="O61" i="66"/>
  <c r="O63" i="66"/>
  <c r="O65" i="66"/>
  <c r="O67" i="66"/>
  <c r="O19" i="66"/>
  <c r="O33" i="65"/>
  <c r="O35" i="65"/>
  <c r="O37" i="65"/>
  <c r="O39" i="65"/>
  <c r="O41" i="65"/>
  <c r="O43" i="65"/>
  <c r="O45" i="65"/>
  <c r="O55" i="65"/>
  <c r="O57" i="65"/>
  <c r="O61" i="65"/>
  <c r="O63" i="65"/>
  <c r="O65" i="65"/>
  <c r="O18" i="65"/>
  <c r="O21" i="64"/>
  <c r="O20" i="60"/>
  <c r="O24" i="60"/>
  <c r="O26" i="60"/>
  <c r="O30" i="60"/>
  <c r="O34" i="60"/>
  <c r="O36" i="60"/>
  <c r="O38" i="60"/>
  <c r="O40" i="60"/>
  <c r="O42" i="60"/>
  <c r="O44" i="60"/>
  <c r="O46" i="60"/>
  <c r="O48" i="60"/>
  <c r="O58" i="60"/>
  <c r="O66" i="60"/>
  <c r="O70" i="60"/>
  <c r="O18" i="60"/>
  <c r="O20" i="62"/>
  <c r="O43" i="63"/>
  <c r="O56" i="63"/>
  <c r="O66" i="63"/>
  <c r="O19" i="63"/>
  <c r="O36" i="61"/>
  <c r="O19" i="61"/>
  <c r="O21" i="61"/>
  <c r="O35" i="59"/>
  <c r="O47" i="59"/>
  <c r="O70" i="58"/>
  <c r="O68" i="58"/>
  <c r="O64" i="58"/>
  <c r="O62" i="58"/>
  <c r="O60" i="58"/>
  <c r="O56" i="58"/>
  <c r="O54" i="58"/>
  <c r="O50" i="58"/>
  <c r="O48" i="58"/>
  <c r="O46" i="58"/>
  <c r="O42" i="58"/>
  <c r="O36" i="58"/>
  <c r="O34" i="58"/>
  <c r="O32" i="58"/>
  <c r="O28" i="58"/>
  <c r="O26" i="58"/>
  <c r="O21" i="57"/>
  <c r="O17" i="56"/>
  <c r="O21" i="56"/>
  <c r="O68" i="55"/>
  <c r="O66" i="55"/>
  <c r="O60" i="55"/>
  <c r="O58" i="55"/>
  <c r="O56" i="55"/>
  <c r="O54" i="55"/>
  <c r="O50" i="55"/>
  <c r="O42" i="55"/>
  <c r="O40" i="55"/>
  <c r="O38" i="55"/>
  <c r="O36" i="55"/>
  <c r="O34" i="55"/>
  <c r="O32" i="55"/>
  <c r="O30" i="55"/>
  <c r="O26" i="55"/>
  <c r="O19" i="55"/>
  <c r="O21" i="55"/>
  <c r="O18" i="54"/>
  <c r="O58" i="54"/>
  <c r="O67" i="53"/>
  <c r="O65" i="53"/>
  <c r="O57" i="53"/>
  <c r="O47" i="53"/>
  <c r="O41" i="53"/>
  <c r="O37" i="53"/>
  <c r="O35" i="53"/>
  <c r="O63" i="53"/>
  <c r="O70" i="53"/>
  <c r="O68" i="53"/>
  <c r="O60" i="53"/>
  <c r="O58" i="53"/>
  <c r="O56" i="53"/>
  <c r="O52" i="53"/>
  <c r="O44" i="53"/>
  <c r="O71" i="46"/>
  <c r="O63" i="46"/>
  <c r="O59" i="46"/>
  <c r="O57" i="46"/>
  <c r="O53" i="46"/>
  <c r="O51" i="46"/>
  <c r="O47" i="46"/>
  <c r="O41" i="46"/>
  <c r="O31" i="46"/>
  <c r="O29" i="46"/>
  <c r="O27" i="46"/>
  <c r="O23" i="45"/>
  <c r="O63" i="44"/>
  <c r="O27" i="44"/>
  <c r="O58" i="44"/>
  <c r="O56" i="44"/>
  <c r="O54" i="44"/>
  <c r="O50" i="44"/>
  <c r="O48" i="44"/>
  <c r="O44" i="44"/>
  <c r="O40" i="44"/>
  <c r="O36" i="44"/>
  <c r="O32" i="44"/>
  <c r="O30" i="44"/>
  <c r="O28" i="44"/>
  <c r="O41" i="44"/>
  <c r="O19" i="44"/>
  <c r="O17" i="44"/>
  <c r="O20" i="44"/>
  <c r="O21" i="43"/>
  <c r="O18" i="42"/>
  <c r="O20" i="41"/>
  <c r="O51" i="39"/>
  <c r="O31" i="39"/>
  <c r="O22" i="39"/>
  <c r="O64" i="34"/>
  <c r="O60" i="34"/>
  <c r="O38" i="34"/>
  <c r="O30" i="34"/>
  <c r="O22" i="34"/>
  <c r="O26" i="34"/>
  <c r="O18" i="34"/>
  <c r="O68" i="32"/>
  <c r="O64" i="32"/>
  <c r="O62" i="32"/>
  <c r="O58" i="32"/>
  <c r="O56" i="32"/>
  <c r="O52" i="32"/>
  <c r="O42" i="32"/>
  <c r="O36" i="32"/>
  <c r="O34" i="32"/>
  <c r="O32" i="32"/>
  <c r="O22" i="32"/>
  <c r="O26" i="32"/>
  <c r="O20" i="32"/>
  <c r="O67" i="31"/>
  <c r="O23" i="31"/>
  <c r="O23" i="30"/>
  <c r="O25" i="30"/>
  <c r="O50" i="30"/>
  <c r="O19" i="30"/>
  <c r="O17" i="30"/>
  <c r="O45" i="29"/>
  <c r="O64" i="29"/>
  <c r="O60" i="29"/>
  <c r="O48" i="29"/>
  <c r="O34" i="29"/>
  <c r="O19" i="29"/>
  <c r="O20" i="29"/>
  <c r="O27" i="29"/>
  <c r="O22" i="29"/>
  <c r="O24" i="28"/>
  <c r="O60" i="28"/>
  <c r="O54" i="28"/>
  <c r="O52" i="28"/>
  <c r="O50" i="28"/>
  <c r="O44" i="28"/>
  <c r="O40" i="28"/>
  <c r="O25" i="28"/>
  <c r="O70" i="27"/>
  <c r="O68" i="27"/>
  <c r="O66" i="27"/>
  <c r="O64" i="27"/>
  <c r="O62" i="27"/>
  <c r="O58" i="27"/>
  <c r="O56" i="27"/>
  <c r="O54" i="27"/>
  <c r="O52" i="27"/>
  <c r="O50" i="27"/>
  <c r="O46" i="27"/>
  <c r="O43" i="27"/>
  <c r="O41" i="27"/>
  <c r="O33" i="27"/>
  <c r="O27" i="27"/>
  <c r="O21" i="27"/>
  <c r="O19" i="27"/>
  <c r="O24" i="24"/>
  <c r="O25" i="24"/>
  <c r="O26" i="24"/>
  <c r="O18" i="23"/>
  <c r="O69" i="22"/>
  <c r="O63" i="22"/>
  <c r="O53" i="22"/>
  <c r="O72" i="22"/>
  <c r="O70" i="22"/>
  <c r="O68" i="22"/>
  <c r="O64" i="22"/>
  <c r="O62" i="22"/>
  <c r="O56" i="22"/>
  <c r="O54" i="22"/>
  <c r="O52" i="22"/>
  <c r="O48" i="22"/>
  <c r="O22" i="22"/>
  <c r="O23" i="22"/>
  <c r="O26" i="22"/>
  <c r="I10" i="82"/>
  <c r="D93" i="82" s="1"/>
  <c r="I10" i="99"/>
  <c r="I10" i="98"/>
  <c r="I10" i="97"/>
  <c r="O55" i="21"/>
  <c r="O19" i="21"/>
  <c r="O18" i="20"/>
  <c r="O25" i="20"/>
  <c r="O19" i="19"/>
  <c r="O22" i="19"/>
  <c r="O18" i="19"/>
  <c r="O41" i="18"/>
  <c r="O17" i="18"/>
  <c r="O22" i="18"/>
  <c r="O19" i="18"/>
  <c r="O20" i="18"/>
  <c r="O24" i="17"/>
  <c r="O48" i="3"/>
  <c r="O20" i="3"/>
  <c r="O26" i="3"/>
  <c r="O24" i="3"/>
  <c r="P129" i="55"/>
  <c r="C76" i="2"/>
  <c r="J94" i="90"/>
  <c r="J95" i="90" s="1"/>
  <c r="J94" i="99"/>
  <c r="J94" i="98"/>
  <c r="J94" i="97"/>
  <c r="C82" i="2"/>
  <c r="C10" i="2"/>
  <c r="C55" i="2"/>
  <c r="P106" i="77"/>
  <c r="O65" i="20"/>
  <c r="O59" i="20"/>
  <c r="O57" i="20"/>
  <c r="O51" i="20"/>
  <c r="O49" i="20"/>
  <c r="O40" i="20"/>
  <c r="O36" i="20"/>
  <c r="O34" i="20"/>
  <c r="O55" i="19"/>
  <c r="O44" i="19"/>
  <c r="O42" i="19"/>
  <c r="O40" i="19"/>
  <c r="O32" i="19"/>
  <c r="O28" i="19"/>
  <c r="O60" i="24"/>
  <c r="O54" i="24"/>
  <c r="O52" i="24"/>
  <c r="O50" i="24"/>
  <c r="O50" i="35"/>
  <c r="O71" i="39"/>
  <c r="O63" i="39"/>
  <c r="O55" i="39"/>
  <c r="O53" i="39"/>
  <c r="O49" i="39"/>
  <c r="O47" i="39"/>
  <c r="O41" i="39"/>
  <c r="O27" i="39"/>
  <c r="O69" i="44"/>
  <c r="O59" i="44"/>
  <c r="O57" i="44"/>
  <c r="O51" i="44"/>
  <c r="O49" i="44"/>
  <c r="O35" i="44"/>
  <c r="O31" i="44"/>
  <c r="O29" i="44"/>
  <c r="O47" i="61"/>
  <c r="O26" i="65"/>
  <c r="O30" i="65"/>
  <c r="O34" i="65"/>
  <c r="O52" i="65"/>
  <c r="O56" i="65"/>
  <c r="O72" i="65"/>
  <c r="O23" i="66"/>
  <c r="O39" i="66"/>
  <c r="O43" i="66"/>
  <c r="O47" i="66"/>
  <c r="O51" i="66"/>
  <c r="O43" i="69"/>
  <c r="O45" i="69"/>
  <c r="O71" i="69"/>
  <c r="O29" i="78"/>
  <c r="O31" i="78"/>
  <c r="O47" i="78"/>
  <c r="O48" i="81"/>
  <c r="O72" i="81"/>
  <c r="O22" i="88"/>
  <c r="O48" i="88"/>
  <c r="O50" i="88"/>
  <c r="O68" i="88"/>
  <c r="O45" i="89"/>
  <c r="O63" i="89"/>
  <c r="O69" i="89"/>
  <c r="O71" i="89"/>
  <c r="O23" i="90"/>
  <c r="O31" i="90"/>
  <c r="O49" i="90"/>
  <c r="O51" i="90"/>
  <c r="O53" i="90"/>
  <c r="O57" i="90"/>
  <c r="O61" i="90"/>
  <c r="O69" i="90"/>
  <c r="O20" i="93"/>
  <c r="O56" i="93"/>
  <c r="O29" i="95"/>
  <c r="O53" i="95"/>
  <c r="O71" i="95"/>
  <c r="O71" i="23"/>
  <c r="O69" i="23"/>
  <c r="O67" i="23"/>
  <c r="O65" i="23"/>
  <c r="O63" i="23"/>
  <c r="O61" i="23"/>
  <c r="O59" i="23"/>
  <c r="O57" i="23"/>
  <c r="O55" i="23"/>
  <c r="O53" i="23"/>
  <c r="O51" i="23"/>
  <c r="O49" i="23"/>
  <c r="O47" i="23"/>
  <c r="O43" i="23"/>
  <c r="O41" i="23"/>
  <c r="O37" i="23"/>
  <c r="O61" i="29"/>
  <c r="O59" i="29"/>
  <c r="O57" i="29"/>
  <c r="O49" i="29"/>
  <c r="O47" i="29"/>
  <c r="O39" i="29"/>
  <c r="O37" i="29"/>
  <c r="O33" i="29"/>
  <c r="O31" i="29"/>
  <c r="O45" i="43"/>
  <c r="O43" i="43"/>
  <c r="O37" i="43"/>
  <c r="O27" i="43"/>
  <c r="O46" i="64"/>
  <c r="O50" i="64"/>
  <c r="O52" i="64"/>
  <c r="O58" i="64"/>
  <c r="O60" i="64"/>
  <c r="O62" i="64"/>
  <c r="O68" i="64"/>
  <c r="O24" i="68"/>
  <c r="O30" i="68"/>
  <c r="O32" i="68"/>
  <c r="O34" i="68"/>
  <c r="O40" i="68"/>
  <c r="O54" i="68"/>
  <c r="O56" i="68"/>
  <c r="O66" i="68"/>
  <c r="O70" i="68"/>
  <c r="O43" i="74"/>
  <c r="O45" i="74"/>
  <c r="O59" i="74"/>
  <c r="O61" i="74"/>
  <c r="O63" i="74"/>
  <c r="O67" i="74"/>
  <c r="O71" i="74"/>
  <c r="O29" i="76"/>
  <c r="O28" i="77"/>
  <c r="O42" i="77"/>
  <c r="O44" i="77"/>
  <c r="O23" i="80"/>
  <c r="O31" i="80"/>
  <c r="O45" i="80"/>
  <c r="O36" i="82"/>
  <c r="O48" i="82"/>
  <c r="O66" i="82"/>
  <c r="O22" i="85"/>
  <c r="O30" i="85"/>
  <c r="O34" i="85"/>
  <c r="O42" i="85"/>
  <c r="O44" i="85"/>
  <c r="O48" i="85"/>
  <c r="O50" i="85"/>
  <c r="O56" i="85"/>
  <c r="O60" i="85"/>
  <c r="O62" i="85"/>
  <c r="O36" i="91"/>
  <c r="O54" i="91"/>
  <c r="O28" i="92"/>
  <c r="O34" i="92"/>
  <c r="O36" i="92"/>
  <c r="O42" i="92"/>
  <c r="O44" i="92"/>
  <c r="O54" i="92"/>
  <c r="O56" i="92"/>
  <c r="O68" i="92"/>
  <c r="O72" i="92"/>
  <c r="O40" i="96"/>
  <c r="O58" i="96"/>
  <c r="O27" i="59"/>
  <c r="O45" i="59"/>
  <c r="O51" i="59"/>
  <c r="O53" i="59"/>
  <c r="O55" i="59"/>
  <c r="O57" i="59"/>
  <c r="O61" i="59"/>
  <c r="O63" i="59"/>
  <c r="O67" i="59"/>
  <c r="O71" i="59"/>
  <c r="O25" i="62"/>
  <c r="O27" i="62"/>
  <c r="O37" i="62"/>
  <c r="O39" i="62"/>
  <c r="O43" i="62"/>
  <c r="O49" i="62"/>
  <c r="O51" i="62"/>
  <c r="O53" i="62"/>
  <c r="O55" i="62"/>
  <c r="O59" i="62"/>
  <c r="O61" i="62"/>
  <c r="O65" i="62"/>
  <c r="O71" i="62"/>
  <c r="O53" i="63"/>
  <c r="O42" i="69"/>
  <c r="O54" i="69"/>
  <c r="O64" i="78"/>
  <c r="O43" i="87"/>
  <c r="O45" i="87"/>
  <c r="O57" i="87"/>
  <c r="O69" i="87"/>
  <c r="O44" i="90"/>
  <c r="O50" i="90"/>
  <c r="O52" i="90"/>
  <c r="O56" i="90"/>
  <c r="O22" i="96"/>
  <c r="O48" i="96"/>
  <c r="O68" i="96"/>
  <c r="O37" i="95"/>
  <c r="O47" i="95"/>
  <c r="O57" i="95"/>
  <c r="O65" i="95"/>
  <c r="O24" i="91"/>
  <c r="O28" i="91"/>
  <c r="O30" i="91"/>
  <c r="O48" i="91"/>
  <c r="O52" i="91"/>
  <c r="O58" i="91"/>
  <c r="O60" i="91"/>
  <c r="O23" i="91"/>
  <c r="O27" i="91"/>
  <c r="O47" i="91"/>
  <c r="O49" i="91"/>
  <c r="O61" i="91"/>
  <c r="O67" i="91"/>
  <c r="O69" i="91"/>
  <c r="O21" i="90"/>
  <c r="O35" i="90"/>
  <c r="O37" i="90"/>
  <c r="O39" i="90"/>
  <c r="O54" i="90"/>
  <c r="O31" i="89"/>
  <c r="O57" i="89"/>
  <c r="O61" i="89"/>
  <c r="O20" i="89"/>
  <c r="O22" i="89"/>
  <c r="O24" i="89"/>
  <c r="O26" i="89"/>
  <c r="O28" i="89"/>
  <c r="O30" i="89"/>
  <c r="O34" i="89"/>
  <c r="O36" i="89"/>
  <c r="O38" i="89"/>
  <c r="O40" i="89"/>
  <c r="O42" i="89"/>
  <c r="O44" i="89"/>
  <c r="O50" i="89"/>
  <c r="O52" i="89"/>
  <c r="O56" i="89"/>
  <c r="O58" i="89"/>
  <c r="O24" i="88"/>
  <c r="O64" i="88"/>
  <c r="O37" i="88"/>
  <c r="O69" i="88"/>
  <c r="O22" i="87"/>
  <c r="O26" i="87"/>
  <c r="O30" i="87"/>
  <c r="O34" i="87"/>
  <c r="O42" i="87"/>
  <c r="O46" i="87"/>
  <c r="O54" i="87"/>
  <c r="O58" i="87"/>
  <c r="O60" i="87"/>
  <c r="O68" i="87"/>
  <c r="O20" i="87"/>
  <c r="O24" i="87"/>
  <c r="O28" i="87"/>
  <c r="O32" i="87"/>
  <c r="O40" i="87"/>
  <c r="O48" i="87"/>
  <c r="O52" i="87"/>
  <c r="O56" i="87"/>
  <c r="O62" i="87"/>
  <c r="O66" i="87"/>
  <c r="O70" i="87"/>
  <c r="O43" i="86"/>
  <c r="O69" i="86"/>
  <c r="O71" i="86"/>
  <c r="O45" i="84"/>
  <c r="O22" i="84"/>
  <c r="O24" i="84"/>
  <c r="O26" i="84"/>
  <c r="O28" i="84"/>
  <c r="O36" i="84"/>
  <c r="O54" i="84"/>
  <c r="O56" i="84"/>
  <c r="O23" i="76"/>
  <c r="O33" i="76"/>
  <c r="O35" i="76"/>
  <c r="O39" i="76"/>
  <c r="O41" i="76"/>
  <c r="O43" i="76"/>
  <c r="O45" i="76"/>
  <c r="O47" i="76"/>
  <c r="O49" i="76"/>
  <c r="O51" i="76"/>
  <c r="O53" i="76"/>
  <c r="O55" i="76"/>
  <c r="O57" i="76"/>
  <c r="O59" i="76"/>
  <c r="O61" i="76"/>
  <c r="O63" i="76"/>
  <c r="O65" i="76"/>
  <c r="O67" i="76"/>
  <c r="O69" i="76"/>
  <c r="O71" i="76"/>
  <c r="O22" i="76"/>
  <c r="O26" i="76"/>
  <c r="O28" i="76"/>
  <c r="O32" i="76"/>
  <c r="O34" i="76"/>
  <c r="O36" i="76"/>
  <c r="O46" i="76"/>
  <c r="O56" i="76"/>
  <c r="O68" i="76"/>
  <c r="O23" i="75"/>
  <c r="O26" i="75"/>
  <c r="O30" i="75"/>
  <c r="O32" i="75"/>
  <c r="O40" i="75"/>
  <c r="O52" i="75"/>
  <c r="O58" i="75"/>
  <c r="O60" i="75"/>
  <c r="O62" i="75"/>
  <c r="O64" i="75"/>
  <c r="O68" i="75"/>
  <c r="O23" i="96"/>
  <c r="O25" i="96"/>
  <c r="O27" i="96"/>
  <c r="O37" i="96"/>
  <c r="O41" i="96"/>
  <c r="O43" i="96"/>
  <c r="O49" i="96"/>
  <c r="O51" i="96"/>
  <c r="O71" i="96"/>
  <c r="O24" i="96"/>
  <c r="O49" i="95"/>
  <c r="O51" i="95"/>
  <c r="O59" i="95"/>
  <c r="O63" i="95"/>
  <c r="O67" i="95"/>
  <c r="O17" i="95"/>
  <c r="O26" i="94"/>
  <c r="O44" i="94"/>
  <c r="O28" i="94"/>
  <c r="O32" i="94"/>
  <c r="O38" i="94"/>
  <c r="O42" i="94"/>
  <c r="O48" i="94"/>
  <c r="O52" i="94"/>
  <c r="O72" i="94"/>
  <c r="O30" i="94"/>
  <c r="O46" i="94"/>
  <c r="O50" i="94"/>
  <c r="O68" i="94"/>
  <c r="O70" i="94"/>
  <c r="O50" i="92"/>
  <c r="O70" i="92"/>
  <c r="O31" i="92"/>
  <c r="O35" i="92"/>
  <c r="O49" i="92"/>
  <c r="O51" i="92"/>
  <c r="O55" i="92"/>
  <c r="O57" i="92"/>
  <c r="O69" i="92"/>
  <c r="O18" i="92"/>
  <c r="O26" i="90"/>
  <c r="O42" i="90"/>
  <c r="O48" i="90"/>
  <c r="O35" i="89"/>
  <c r="O53" i="89"/>
  <c r="O18" i="89"/>
  <c r="O32" i="88"/>
  <c r="O34" i="88"/>
  <c r="O66" i="88"/>
  <c r="O25" i="85"/>
  <c r="O39" i="85"/>
  <c r="O45" i="85"/>
  <c r="O63" i="85"/>
  <c r="O69" i="85"/>
  <c r="O19" i="84"/>
  <c r="O23" i="84"/>
  <c r="O31" i="84"/>
  <c r="O47" i="84"/>
  <c r="O53" i="84"/>
  <c r="O23" i="83"/>
  <c r="O31" i="83"/>
  <c r="O61" i="83"/>
  <c r="O41" i="83"/>
  <c r="O69" i="83"/>
  <c r="O19" i="83"/>
  <c r="O35" i="82"/>
  <c r="O41" i="82"/>
  <c r="O43" i="82"/>
  <c r="O45" i="82"/>
  <c r="O53" i="82"/>
  <c r="O55" i="82"/>
  <c r="O57" i="82"/>
  <c r="O71" i="82"/>
  <c r="O20" i="82"/>
  <c r="O22" i="82"/>
  <c r="O24" i="82"/>
  <c r="O19" i="82"/>
  <c r="O26" i="81"/>
  <c r="O32" i="81"/>
  <c r="O46" i="81"/>
  <c r="O58" i="81"/>
  <c r="O36" i="79"/>
  <c r="O46" i="79"/>
  <c r="O60" i="79"/>
  <c r="O22" i="79"/>
  <c r="O24" i="79"/>
  <c r="O30" i="79"/>
  <c r="O34" i="79"/>
  <c r="O38" i="79"/>
  <c r="O48" i="79"/>
  <c r="O50" i="79"/>
  <c r="O54" i="79"/>
  <c r="O56" i="79"/>
  <c r="O64" i="79"/>
  <c r="O66" i="79"/>
  <c r="O68" i="79"/>
  <c r="O25" i="78"/>
  <c r="O51" i="78"/>
  <c r="O55" i="78"/>
  <c r="O65" i="78"/>
  <c r="O22" i="78"/>
  <c r="O24" i="78"/>
  <c r="O34" i="78"/>
  <c r="O40" i="78"/>
  <c r="O44" i="78"/>
  <c r="O48" i="78"/>
  <c r="O50" i="78"/>
  <c r="O54" i="78"/>
  <c r="O56" i="78"/>
  <c r="O58" i="78"/>
  <c r="O60" i="78"/>
  <c r="O62" i="78"/>
  <c r="O68" i="78"/>
  <c r="O72" i="78"/>
  <c r="O22" i="77"/>
  <c r="O26" i="77"/>
  <c r="O34" i="77"/>
  <c r="O50" i="77"/>
  <c r="O60" i="77"/>
  <c r="O24" i="77"/>
  <c r="O48" i="77"/>
  <c r="O54" i="77"/>
  <c r="O30" i="77"/>
  <c r="O38" i="77"/>
  <c r="O40" i="77"/>
  <c r="O46" i="77"/>
  <c r="O52" i="77"/>
  <c r="O56" i="77"/>
  <c r="O62" i="77"/>
  <c r="O72" i="77"/>
  <c r="O22" i="75"/>
  <c r="O28" i="75"/>
  <c r="O38" i="75"/>
  <c r="O70" i="75"/>
  <c r="O47" i="75"/>
  <c r="O25" i="75"/>
  <c r="O35" i="75"/>
  <c r="O39" i="75"/>
  <c r="O43" i="75"/>
  <c r="O45" i="75"/>
  <c r="O49" i="75"/>
  <c r="O65" i="75"/>
  <c r="O71" i="75"/>
  <c r="O47" i="72"/>
  <c r="O59" i="72"/>
  <c r="O67" i="72"/>
  <c r="O41" i="72"/>
  <c r="O45" i="72"/>
  <c r="O55" i="72"/>
  <c r="O63" i="72"/>
  <c r="O26" i="72"/>
  <c r="O28" i="72"/>
  <c r="O30" i="72"/>
  <c r="O36" i="72"/>
  <c r="O38" i="72"/>
  <c r="O42" i="72"/>
  <c r="O44" i="72"/>
  <c r="O48" i="72"/>
  <c r="O54" i="72"/>
  <c r="O60" i="72"/>
  <c r="O64" i="72"/>
  <c r="O66" i="72"/>
  <c r="O68" i="72"/>
  <c r="O70" i="72"/>
  <c r="O51" i="71"/>
  <c r="O41" i="71"/>
  <c r="O59" i="71"/>
  <c r="O31" i="69"/>
  <c r="O33" i="69"/>
  <c r="O39" i="69"/>
  <c r="O51" i="69"/>
  <c r="O57" i="69"/>
  <c r="O59" i="69"/>
  <c r="O63" i="69"/>
  <c r="O67" i="69"/>
  <c r="O36" i="68"/>
  <c r="O38" i="68"/>
  <c r="O42" i="68"/>
  <c r="O46" i="68"/>
  <c r="O48" i="68"/>
  <c r="O50" i="68"/>
  <c r="O64" i="68"/>
  <c r="O68" i="68"/>
  <c r="O33" i="68"/>
  <c r="O35" i="68"/>
  <c r="O49" i="68"/>
  <c r="O55" i="68"/>
  <c r="O61" i="68"/>
  <c r="O71" i="68"/>
  <c r="O52" i="68"/>
  <c r="O58" i="68"/>
  <c r="O60" i="68"/>
  <c r="O23" i="68"/>
  <c r="O25" i="68"/>
  <c r="O37" i="68"/>
  <c r="O43" i="68"/>
  <c r="O59" i="68"/>
  <c r="O65" i="68"/>
  <c r="O69" i="68"/>
  <c r="O63" i="67"/>
  <c r="O67" i="67"/>
  <c r="O71" i="67"/>
  <c r="O25" i="66"/>
  <c r="O31" i="66"/>
  <c r="O35" i="66"/>
  <c r="O24" i="65"/>
  <c r="O28" i="65"/>
  <c r="O32" i="65"/>
  <c r="O58" i="65"/>
  <c r="O62" i="65"/>
  <c r="O64" i="65"/>
  <c r="O68" i="65"/>
  <c r="O36" i="65"/>
  <c r="O44" i="65"/>
  <c r="O70" i="65"/>
  <c r="O51" i="65"/>
  <c r="O59" i="65"/>
  <c r="O32" i="64"/>
  <c r="O66" i="64"/>
  <c r="O30" i="64"/>
  <c r="O42" i="64"/>
  <c r="O64" i="64"/>
  <c r="O72" i="64"/>
  <c r="O24" i="64"/>
  <c r="O25" i="60"/>
  <c r="O29" i="60"/>
  <c r="O31" i="60"/>
  <c r="O33" i="60"/>
  <c r="O35" i="60"/>
  <c r="O37" i="60"/>
  <c r="O39" i="60"/>
  <c r="O41" i="60"/>
  <c r="O49" i="60"/>
  <c r="O53" i="60"/>
  <c r="O57" i="60"/>
  <c r="O59" i="60"/>
  <c r="O61" i="60"/>
  <c r="O65" i="60"/>
  <c r="O29" i="62"/>
  <c r="O41" i="62"/>
  <c r="O63" i="62"/>
  <c r="O67" i="62"/>
  <c r="O69" i="62"/>
  <c r="O22" i="62"/>
  <c r="O35" i="63"/>
  <c r="O23" i="63"/>
  <c r="O25" i="63"/>
  <c r="O27" i="63"/>
  <c r="O33" i="63"/>
  <c r="O37" i="63"/>
  <c r="O39" i="63"/>
  <c r="O41" i="63"/>
  <c r="O45" i="63"/>
  <c r="O47" i="63"/>
  <c r="O49" i="63"/>
  <c r="O59" i="63"/>
  <c r="O61" i="63"/>
  <c r="O67" i="63"/>
  <c r="O71" i="63"/>
  <c r="O26" i="63"/>
  <c r="O30" i="63"/>
  <c r="O34" i="63"/>
  <c r="O36" i="63"/>
  <c r="O52" i="63"/>
  <c r="O72" i="63"/>
  <c r="O27" i="61"/>
  <c r="O35" i="61"/>
  <c r="O39" i="61"/>
  <c r="O41" i="61"/>
  <c r="O43" i="61"/>
  <c r="O45" i="61"/>
  <c r="O55" i="61"/>
  <c r="O59" i="61"/>
  <c r="O63" i="61"/>
  <c r="O65" i="61"/>
  <c r="O69" i="61"/>
  <c r="O31" i="58"/>
  <c r="O69" i="57"/>
  <c r="O49" i="57"/>
  <c r="O47" i="57"/>
  <c r="O39" i="57"/>
  <c r="O29" i="57"/>
  <c r="O27" i="57"/>
  <c r="O25" i="57"/>
  <c r="O26" i="56"/>
  <c r="O24" i="56"/>
  <c r="O63" i="56"/>
  <c r="B25" i="55"/>
  <c r="O60" i="54"/>
  <c r="O56" i="54"/>
  <c r="O54" i="54"/>
  <c r="O52" i="54"/>
  <c r="O48" i="54"/>
  <c r="O42" i="54"/>
  <c r="O36" i="54"/>
  <c r="O32" i="54"/>
  <c r="O30" i="54"/>
  <c r="O33" i="53"/>
  <c r="O27" i="53"/>
  <c r="O25" i="53"/>
  <c r="O72" i="46"/>
  <c r="O70" i="46"/>
  <c r="O68" i="46"/>
  <c r="O60" i="46"/>
  <c r="O58" i="46"/>
  <c r="O50" i="46"/>
  <c r="O48" i="46"/>
  <c r="O46" i="46"/>
  <c r="O40" i="46"/>
  <c r="O38" i="46"/>
  <c r="O36" i="46"/>
  <c r="O34" i="46"/>
  <c r="O52" i="45"/>
  <c r="O46" i="45"/>
  <c r="O28" i="45"/>
  <c r="O24" i="45"/>
  <c r="O71" i="45"/>
  <c r="O62" i="45"/>
  <c r="O60" i="45"/>
  <c r="O58" i="45"/>
  <c r="O56" i="45"/>
  <c r="O54" i="45"/>
  <c r="O48" i="45"/>
  <c r="O44" i="45"/>
  <c r="O38" i="45"/>
  <c r="O36" i="45"/>
  <c r="O34" i="45"/>
  <c r="O32" i="45"/>
  <c r="O30" i="45"/>
  <c r="O64" i="43"/>
  <c r="O54" i="43"/>
  <c r="O44" i="43"/>
  <c r="O42" i="43"/>
  <c r="O40" i="43"/>
  <c r="O38" i="43"/>
  <c r="O36" i="43"/>
  <c r="O34" i="43"/>
  <c r="O32" i="43"/>
  <c r="O30" i="43"/>
  <c r="O28" i="43"/>
  <c r="O65" i="43"/>
  <c r="O59" i="43"/>
  <c r="O55" i="43"/>
  <c r="O51" i="43"/>
  <c r="O41" i="43"/>
  <c r="O39" i="43"/>
  <c r="O31" i="43"/>
  <c r="O35" i="42"/>
  <c r="O31" i="42"/>
  <c r="O29" i="42"/>
  <c r="O37" i="42"/>
  <c r="O27" i="42"/>
  <c r="O71" i="42"/>
  <c r="O69" i="42"/>
  <c r="O67" i="42"/>
  <c r="O65" i="42"/>
  <c r="O63" i="42"/>
  <c r="O61" i="42"/>
  <c r="O57" i="42"/>
  <c r="O53" i="42"/>
  <c r="O51" i="42"/>
  <c r="O45" i="42"/>
  <c r="O58" i="41"/>
  <c r="O56" i="41"/>
  <c r="O52" i="41"/>
  <c r="O72" i="41"/>
  <c r="O62" i="41"/>
  <c r="O50" i="41"/>
  <c r="O42" i="41"/>
  <c r="O36" i="41"/>
  <c r="O32" i="41"/>
  <c r="O30" i="41"/>
  <c r="O28" i="41"/>
  <c r="O65" i="39"/>
  <c r="O61" i="39"/>
  <c r="O45" i="39"/>
  <c r="O43" i="39"/>
  <c r="O57" i="34"/>
  <c r="O55" i="34"/>
  <c r="O53" i="34"/>
  <c r="O51" i="34"/>
  <c r="O47" i="34"/>
  <c r="O45" i="34"/>
  <c r="O41" i="34"/>
  <c r="O37" i="34"/>
  <c r="O35" i="34"/>
  <c r="O33" i="34"/>
  <c r="O29" i="34"/>
  <c r="O27" i="34"/>
  <c r="O71" i="32"/>
  <c r="O69" i="32"/>
  <c r="O65" i="32"/>
  <c r="O63" i="32"/>
  <c r="O61" i="32"/>
  <c r="O55" i="32"/>
  <c r="O51" i="32"/>
  <c r="O49" i="32"/>
  <c r="O47" i="32"/>
  <c r="O45" i="32"/>
  <c r="O43" i="32"/>
  <c r="O33" i="32"/>
  <c r="O29" i="32"/>
  <c r="O69" i="31"/>
  <c r="O59" i="31"/>
  <c r="O57" i="31"/>
  <c r="O53" i="31"/>
  <c r="O51" i="31"/>
  <c r="O47" i="31"/>
  <c r="O43" i="31"/>
  <c r="O27" i="31"/>
  <c r="O70" i="30"/>
  <c r="O66" i="30"/>
  <c r="O64" i="30"/>
  <c r="O62" i="30"/>
  <c r="O60" i="30"/>
  <c r="O58" i="30"/>
  <c r="O56" i="30"/>
  <c r="O54" i="30"/>
  <c r="O52" i="30"/>
  <c r="O48" i="30"/>
  <c r="O42" i="30"/>
  <c r="O40" i="30"/>
  <c r="O38" i="30"/>
  <c r="O34" i="30"/>
  <c r="O32" i="30"/>
  <c r="O30" i="30"/>
  <c r="O71" i="29"/>
  <c r="O35" i="29"/>
  <c r="O67" i="27"/>
  <c r="O65" i="27"/>
  <c r="O63" i="27"/>
  <c r="O59" i="27"/>
  <c r="O57" i="27"/>
  <c r="O55" i="27"/>
  <c r="O51" i="27"/>
  <c r="O49" i="27"/>
  <c r="O47" i="27"/>
  <c r="O45" i="27"/>
  <c r="O40" i="27"/>
  <c r="O38" i="27"/>
  <c r="O36" i="27"/>
  <c r="O30" i="27"/>
  <c r="O51" i="24"/>
  <c r="O47" i="24"/>
  <c r="O70" i="24"/>
  <c r="O64" i="24"/>
  <c r="O58" i="24"/>
  <c r="O56" i="24"/>
  <c r="O71" i="22"/>
  <c r="O61" i="22"/>
  <c r="O67" i="19"/>
  <c r="O65" i="19"/>
  <c r="O38" i="19"/>
  <c r="O45" i="20"/>
  <c r="O68" i="20"/>
  <c r="O58" i="20"/>
  <c r="O56" i="20"/>
  <c r="O63" i="21"/>
  <c r="O61" i="21"/>
  <c r="O43" i="21"/>
  <c r="O41" i="21"/>
  <c r="O37" i="21"/>
  <c r="O33" i="21"/>
  <c r="O66" i="20"/>
  <c r="O64" i="20"/>
  <c r="O62" i="20"/>
  <c r="O60" i="20"/>
  <c r="O43" i="20"/>
  <c r="O39" i="20"/>
  <c r="O31" i="20"/>
  <c r="O29" i="20"/>
  <c r="O72" i="19"/>
  <c r="O60" i="19"/>
  <c r="O48" i="19"/>
  <c r="O37" i="19"/>
  <c r="O35" i="19"/>
  <c r="O33" i="19"/>
  <c r="O67" i="18"/>
  <c r="O57" i="18"/>
  <c r="O55" i="18"/>
  <c r="O42" i="18"/>
  <c r="O32" i="18"/>
  <c r="O28" i="18"/>
  <c r="O46" i="78"/>
  <c r="O52" i="78"/>
  <c r="O66" i="78"/>
  <c r="O70" i="78"/>
  <c r="O27" i="78"/>
  <c r="O33" i="78"/>
  <c r="O59" i="78"/>
  <c r="P149" i="55"/>
  <c r="D94" i="18"/>
  <c r="I10" i="95"/>
  <c r="I10" i="55"/>
  <c r="I10" i="21"/>
  <c r="I10" i="27"/>
  <c r="I10" i="25"/>
  <c r="I10" i="30"/>
  <c r="I10" i="3"/>
  <c r="D94" i="83"/>
  <c r="D94" i="56"/>
  <c r="D93" i="13"/>
  <c r="C99" i="13" s="1"/>
  <c r="I10" i="54"/>
  <c r="I10" i="68"/>
  <c r="I10" i="19"/>
  <c r="I10" i="63"/>
  <c r="A4" i="1"/>
  <c r="I10" i="45"/>
  <c r="I10" i="66"/>
  <c r="I10" i="53"/>
  <c r="I10" i="76"/>
  <c r="I10" i="79"/>
  <c r="I10" i="62"/>
  <c r="I10" i="65"/>
  <c r="D93" i="65" s="1"/>
  <c r="C99" i="65" s="1"/>
  <c r="C100" i="65" s="1"/>
  <c r="C101" i="65" s="1"/>
  <c r="C102" i="65" s="1"/>
  <c r="C103" i="65" s="1"/>
  <c r="C104" i="65" s="1"/>
  <c r="C105" i="65" s="1"/>
  <c r="C106" i="65" s="1"/>
  <c r="C107" i="65" s="1"/>
  <c r="C108" i="65" s="1"/>
  <c r="C109" i="65" s="1"/>
  <c r="C110" i="65" s="1"/>
  <c r="C111" i="65" s="1"/>
  <c r="C112" i="65" s="1"/>
  <c r="C113" i="65" s="1"/>
  <c r="C114" i="65" s="1"/>
  <c r="C115" i="65" s="1"/>
  <c r="C116" i="65" s="1"/>
  <c r="C117" i="65" s="1"/>
  <c r="C118" i="65" s="1"/>
  <c r="C119" i="65" s="1"/>
  <c r="C120" i="65" s="1"/>
  <c r="C121" i="65" s="1"/>
  <c r="C122" i="65" s="1"/>
  <c r="C123" i="65" s="1"/>
  <c r="C124" i="65" s="1"/>
  <c r="C125" i="65" s="1"/>
  <c r="C126" i="65" s="1"/>
  <c r="C127" i="65" s="1"/>
  <c r="C128" i="65" s="1"/>
  <c r="C129" i="65" s="1"/>
  <c r="C130" i="65" s="1"/>
  <c r="C131" i="65" s="1"/>
  <c r="C132" i="65" s="1"/>
  <c r="C133" i="65" s="1"/>
  <c r="C134" i="65" s="1"/>
  <c r="C135" i="65" s="1"/>
  <c r="C136" i="65" s="1"/>
  <c r="C137" i="65" s="1"/>
  <c r="C138" i="65" s="1"/>
  <c r="C139" i="65" s="1"/>
  <c r="C140" i="65" s="1"/>
  <c r="C141" i="65" s="1"/>
  <c r="C142" i="65" s="1"/>
  <c r="C143" i="65" s="1"/>
  <c r="C144" i="65" s="1"/>
  <c r="C145" i="65" s="1"/>
  <c r="C146" i="65" s="1"/>
  <c r="C147" i="65" s="1"/>
  <c r="C148" i="65" s="1"/>
  <c r="C149" i="65" s="1"/>
  <c r="C150" i="65" s="1"/>
  <c r="C151" i="65" s="1"/>
  <c r="C152" i="65" s="1"/>
  <c r="C153" i="65" s="1"/>
  <c r="C154" i="65" s="1"/>
  <c r="I10" i="34"/>
  <c r="D93" i="34" s="1"/>
  <c r="C99" i="34" s="1"/>
  <c r="C100" i="34" s="1"/>
  <c r="C101" i="34" s="1"/>
  <c r="C102" i="34" s="1"/>
  <c r="C103" i="34" s="1"/>
  <c r="C104" i="34" s="1"/>
  <c r="C105" i="34" s="1"/>
  <c r="C106" i="34" s="1"/>
  <c r="C107" i="34" s="1"/>
  <c r="C108" i="34" s="1"/>
  <c r="C109" i="34" s="1"/>
  <c r="C110" i="34" s="1"/>
  <c r="C111" i="34" s="1"/>
  <c r="C112" i="34" s="1"/>
  <c r="C113" i="34" s="1"/>
  <c r="C114" i="34" s="1"/>
  <c r="C115" i="34" s="1"/>
  <c r="C116" i="34" s="1"/>
  <c r="C117" i="34" s="1"/>
  <c r="C118" i="34" s="1"/>
  <c r="C119" i="34" s="1"/>
  <c r="C120" i="34" s="1"/>
  <c r="C121" i="34" s="1"/>
  <c r="C122" i="34" s="1"/>
  <c r="C123" i="34" s="1"/>
  <c r="C124" i="34" s="1"/>
  <c r="C125" i="34" s="1"/>
  <c r="C126" i="34" s="1"/>
  <c r="C127" i="34" s="1"/>
  <c r="C128" i="34" s="1"/>
  <c r="C129" i="34" s="1"/>
  <c r="C130" i="34" s="1"/>
  <c r="C131" i="34" s="1"/>
  <c r="C132" i="34" s="1"/>
  <c r="C133" i="34" s="1"/>
  <c r="C134" i="34" s="1"/>
  <c r="C135" i="34" s="1"/>
  <c r="C136" i="34" s="1"/>
  <c r="C137" i="34" s="1"/>
  <c r="C138" i="34" s="1"/>
  <c r="C139" i="34" s="1"/>
  <c r="C140" i="34" s="1"/>
  <c r="C141" i="34" s="1"/>
  <c r="C142" i="34" s="1"/>
  <c r="C143" i="34" s="1"/>
  <c r="C144" i="34" s="1"/>
  <c r="C145" i="34" s="1"/>
  <c r="C146" i="34" s="1"/>
  <c r="C147" i="34" s="1"/>
  <c r="C148" i="34" s="1"/>
  <c r="C149" i="34" s="1"/>
  <c r="C150" i="34" s="1"/>
  <c r="C151" i="34" s="1"/>
  <c r="C152" i="34" s="1"/>
  <c r="C153" i="34" s="1"/>
  <c r="C154" i="34" s="1"/>
  <c r="I10" i="42"/>
  <c r="I10" i="32"/>
  <c r="I10" i="64"/>
  <c r="I10" i="70"/>
  <c r="I10" i="96"/>
  <c r="I10" i="58"/>
  <c r="I10" i="57"/>
  <c r="I10" i="71"/>
  <c r="I10" i="86"/>
  <c r="I10" i="22"/>
  <c r="I10" i="80"/>
  <c r="I10" i="29"/>
  <c r="I10" i="44"/>
  <c r="D92" i="44" s="1"/>
  <c r="B107" i="44" s="1"/>
  <c r="I10" i="31"/>
  <c r="I10" i="26"/>
  <c r="D93" i="26" s="1"/>
  <c r="I10" i="60"/>
  <c r="I10" i="39"/>
  <c r="I10" i="43"/>
  <c r="D94" i="43" s="1"/>
  <c r="I10" i="84"/>
  <c r="I10" i="59"/>
  <c r="I10" i="77"/>
  <c r="D94" i="77" s="1"/>
  <c r="I10" i="87"/>
  <c r="D94" i="87" s="1"/>
  <c r="I10" i="24"/>
  <c r="I10" i="93"/>
  <c r="I10" i="94"/>
  <c r="D92" i="13"/>
  <c r="J96" i="13" s="1"/>
  <c r="D93" i="18"/>
  <c r="C99" i="18" s="1"/>
  <c r="C100" i="18" s="1"/>
  <c r="C101" i="18" s="1"/>
  <c r="C102" i="18" s="1"/>
  <c r="C103" i="18" s="1"/>
  <c r="C104" i="18" s="1"/>
  <c r="C105" i="18" s="1"/>
  <c r="C106" i="18" s="1"/>
  <c r="C107" i="18" s="1"/>
  <c r="C108" i="18" s="1"/>
  <c r="C109" i="18" s="1"/>
  <c r="C110" i="18" s="1"/>
  <c r="C111" i="18" s="1"/>
  <c r="C112" i="18" s="1"/>
  <c r="C113" i="18" s="1"/>
  <c r="C114" i="18" s="1"/>
  <c r="C115" i="18" s="1"/>
  <c r="C116" i="18" s="1"/>
  <c r="C117" i="18" s="1"/>
  <c r="C118" i="18" s="1"/>
  <c r="C119" i="18" s="1"/>
  <c r="C120" i="18" s="1"/>
  <c r="C121" i="18" s="1"/>
  <c r="C122" i="18" s="1"/>
  <c r="C123" i="18" s="1"/>
  <c r="C124" i="18" s="1"/>
  <c r="C125" i="18" s="1"/>
  <c r="C126" i="18" s="1"/>
  <c r="C127" i="18" s="1"/>
  <c r="C128" i="18" s="1"/>
  <c r="C129" i="18" s="1"/>
  <c r="C130" i="18" s="1"/>
  <c r="C131" i="18" s="1"/>
  <c r="C132" i="18" s="1"/>
  <c r="C133" i="18" s="1"/>
  <c r="C134" i="18" s="1"/>
  <c r="C135" i="18" s="1"/>
  <c r="C136" i="18" s="1"/>
  <c r="C137" i="18" s="1"/>
  <c r="C138" i="18" s="1"/>
  <c r="C139" i="18" s="1"/>
  <c r="C140" i="18" s="1"/>
  <c r="C141" i="18" s="1"/>
  <c r="C142" i="18" s="1"/>
  <c r="C143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4" i="18" s="1"/>
  <c r="I10" i="88"/>
  <c r="I10" i="72"/>
  <c r="I10" i="81"/>
  <c r="I10" i="91"/>
  <c r="I10" i="69"/>
  <c r="I10" i="67"/>
  <c r="I10" i="41"/>
  <c r="I10" i="92"/>
  <c r="D93" i="92" s="1"/>
  <c r="C99" i="92" s="1"/>
  <c r="C100" i="92" s="1"/>
  <c r="C101" i="92" s="1"/>
  <c r="C102" i="92" s="1"/>
  <c r="C103" i="92" s="1"/>
  <c r="C104" i="92" s="1"/>
  <c r="C105" i="92" s="1"/>
  <c r="C106" i="92" s="1"/>
  <c r="C107" i="92" s="1"/>
  <c r="C108" i="92" s="1"/>
  <c r="C109" i="92" s="1"/>
  <c r="C110" i="92" s="1"/>
  <c r="C111" i="92" s="1"/>
  <c r="C112" i="92" s="1"/>
  <c r="C113" i="92" s="1"/>
  <c r="C114" i="92" s="1"/>
  <c r="C115" i="92" s="1"/>
  <c r="C116" i="92" s="1"/>
  <c r="C117" i="92" s="1"/>
  <c r="C118" i="92" s="1"/>
  <c r="C119" i="92" s="1"/>
  <c r="C120" i="92" s="1"/>
  <c r="C121" i="92" s="1"/>
  <c r="C122" i="92" s="1"/>
  <c r="C123" i="92" s="1"/>
  <c r="C124" i="92" s="1"/>
  <c r="C125" i="92" s="1"/>
  <c r="C126" i="92" s="1"/>
  <c r="C127" i="92" s="1"/>
  <c r="C128" i="92" s="1"/>
  <c r="C129" i="92" s="1"/>
  <c r="C130" i="92" s="1"/>
  <c r="C131" i="92" s="1"/>
  <c r="C132" i="92" s="1"/>
  <c r="C133" i="92" s="1"/>
  <c r="C134" i="92" s="1"/>
  <c r="C135" i="92" s="1"/>
  <c r="C136" i="92" s="1"/>
  <c r="C137" i="92" s="1"/>
  <c r="C138" i="92" s="1"/>
  <c r="C139" i="92" s="1"/>
  <c r="C140" i="92" s="1"/>
  <c r="C141" i="92" s="1"/>
  <c r="C142" i="92" s="1"/>
  <c r="C143" i="92" s="1"/>
  <c r="C144" i="92" s="1"/>
  <c r="C145" i="92" s="1"/>
  <c r="C146" i="92" s="1"/>
  <c r="C147" i="92" s="1"/>
  <c r="C148" i="92" s="1"/>
  <c r="C149" i="92" s="1"/>
  <c r="C150" i="92" s="1"/>
  <c r="C151" i="92" s="1"/>
  <c r="C152" i="92" s="1"/>
  <c r="C153" i="92" s="1"/>
  <c r="C154" i="92" s="1"/>
  <c r="J94" i="46"/>
  <c r="J95" i="46" s="1"/>
  <c r="J94" i="28"/>
  <c r="J95" i="28" s="1"/>
  <c r="P110" i="93"/>
  <c r="P105" i="94"/>
  <c r="P109" i="94"/>
  <c r="P117" i="94"/>
  <c r="P127" i="94"/>
  <c r="P154" i="56"/>
  <c r="P152" i="56"/>
  <c r="P150" i="56"/>
  <c r="P146" i="56"/>
  <c r="P130" i="56"/>
  <c r="P126" i="56"/>
  <c r="P126" i="62"/>
  <c r="C100" i="96"/>
  <c r="C101" i="96" s="1"/>
  <c r="C102" i="96" s="1"/>
  <c r="C103" i="96" s="1"/>
  <c r="C104" i="96" s="1"/>
  <c r="C105" i="96" s="1"/>
  <c r="C106" i="96" s="1"/>
  <c r="C107" i="96" s="1"/>
  <c r="C108" i="96" s="1"/>
  <c r="C109" i="96" s="1"/>
  <c r="C110" i="96" s="1"/>
  <c r="C111" i="96" s="1"/>
  <c r="C112" i="96" s="1"/>
  <c r="C113" i="96" s="1"/>
  <c r="C114" i="96" s="1"/>
  <c r="C115" i="96" s="1"/>
  <c r="C116" i="96" s="1"/>
  <c r="C117" i="96" s="1"/>
  <c r="C118" i="96" s="1"/>
  <c r="C119" i="96" s="1"/>
  <c r="C120" i="96" s="1"/>
  <c r="C121" i="96" s="1"/>
  <c r="C122" i="96" s="1"/>
  <c r="C123" i="96" s="1"/>
  <c r="C124" i="96" s="1"/>
  <c r="C125" i="96" s="1"/>
  <c r="C126" i="96" s="1"/>
  <c r="C127" i="96" s="1"/>
  <c r="C128" i="96" s="1"/>
  <c r="C129" i="96" s="1"/>
  <c r="C130" i="96" s="1"/>
  <c r="C131" i="96" s="1"/>
  <c r="C132" i="96" s="1"/>
  <c r="C133" i="96" s="1"/>
  <c r="C134" i="96" s="1"/>
  <c r="C135" i="96" s="1"/>
  <c r="C136" i="96" s="1"/>
  <c r="C137" i="96" s="1"/>
  <c r="C138" i="96" s="1"/>
  <c r="C139" i="96" s="1"/>
  <c r="C140" i="96" s="1"/>
  <c r="C141" i="96" s="1"/>
  <c r="C142" i="96" s="1"/>
  <c r="C143" i="96" s="1"/>
  <c r="C144" i="96" s="1"/>
  <c r="C145" i="96" s="1"/>
  <c r="C146" i="96" s="1"/>
  <c r="C147" i="96" s="1"/>
  <c r="C148" i="96" s="1"/>
  <c r="C149" i="96" s="1"/>
  <c r="C150" i="96" s="1"/>
  <c r="C151" i="96" s="1"/>
  <c r="C152" i="96" s="1"/>
  <c r="C153" i="96" s="1"/>
  <c r="C154" i="96" s="1"/>
  <c r="P120" i="96"/>
  <c r="C45" i="85"/>
  <c r="C46" i="85" s="1"/>
  <c r="C47" i="85" s="1"/>
  <c r="C48" i="85" s="1"/>
  <c r="C49" i="85" s="1"/>
  <c r="C50" i="85" s="1"/>
  <c r="C51" i="85" s="1"/>
  <c r="C52" i="85" s="1"/>
  <c r="C53" i="85" s="1"/>
  <c r="C54" i="85" s="1"/>
  <c r="C55" i="85" s="1"/>
  <c r="C56" i="85" s="1"/>
  <c r="C57" i="85" s="1"/>
  <c r="C58" i="85" s="1"/>
  <c r="C59" i="85" s="1"/>
  <c r="C60" i="85" s="1"/>
  <c r="C61" i="85" s="1"/>
  <c r="C62" i="85" s="1"/>
  <c r="C63" i="85" s="1"/>
  <c r="C64" i="85" s="1"/>
  <c r="C65" i="85" s="1"/>
  <c r="C66" i="85" s="1"/>
  <c r="C67" i="85" s="1"/>
  <c r="C68" i="85" s="1"/>
  <c r="C69" i="85" s="1"/>
  <c r="C70" i="85" s="1"/>
  <c r="C71" i="85" s="1"/>
  <c r="C72" i="85" s="1"/>
  <c r="O17" i="93"/>
  <c r="O41" i="90"/>
  <c r="O63" i="90"/>
  <c r="O67" i="90"/>
  <c r="O71" i="90"/>
  <c r="O18" i="90"/>
  <c r="O49" i="84"/>
  <c r="O51" i="84"/>
  <c r="O55" i="84"/>
  <c r="O57" i="84"/>
  <c r="O59" i="84"/>
  <c r="O65" i="84"/>
  <c r="O67" i="84"/>
  <c r="O71" i="84"/>
  <c r="O19" i="80"/>
  <c r="O64" i="77"/>
  <c r="O68" i="77"/>
  <c r="O70" i="77"/>
  <c r="O20" i="76"/>
  <c r="O20" i="75"/>
  <c r="O31" i="73"/>
  <c r="O35" i="73"/>
  <c r="O37" i="73"/>
  <c r="O41" i="73"/>
  <c r="O43" i="73"/>
  <c r="O23" i="72"/>
  <c r="O27" i="71"/>
  <c r="O27" i="68"/>
  <c r="O21" i="68"/>
  <c r="O21" i="67"/>
  <c r="O22" i="64"/>
  <c r="O22" i="60"/>
  <c r="O40" i="62"/>
  <c r="O46" i="62"/>
  <c r="O48" i="62"/>
  <c r="O58" i="62"/>
  <c r="O62" i="62"/>
  <c r="O70" i="62"/>
  <c r="I24" i="58"/>
  <c r="O23" i="57"/>
  <c r="O70" i="57"/>
  <c r="O60" i="57"/>
  <c r="O54" i="57"/>
  <c r="O52" i="57"/>
  <c r="O50" i="57"/>
  <c r="O44" i="57"/>
  <c r="O42" i="57"/>
  <c r="O28" i="57"/>
  <c r="O26" i="57"/>
  <c r="O24" i="57"/>
  <c r="I25" i="55"/>
  <c r="O71" i="55"/>
  <c r="O69" i="55"/>
  <c r="O67" i="55"/>
  <c r="O65" i="55"/>
  <c r="O61" i="55"/>
  <c r="O23" i="55"/>
  <c r="O62" i="54"/>
  <c r="O23" i="54"/>
  <c r="O23" i="53"/>
  <c r="O50" i="53"/>
  <c r="O48" i="53"/>
  <c r="O46" i="53"/>
  <c r="O42" i="53"/>
  <c r="O38" i="53"/>
  <c r="O32" i="53"/>
  <c r="O30" i="53"/>
  <c r="O28" i="53"/>
  <c r="O24" i="53"/>
  <c r="O25" i="43"/>
  <c r="O25" i="42"/>
  <c r="B27" i="41"/>
  <c r="O54" i="39"/>
  <c r="O37" i="39"/>
  <c r="O35" i="39"/>
  <c r="O28" i="29"/>
  <c r="O29" i="28"/>
  <c r="O71" i="27"/>
  <c r="O27" i="23"/>
  <c r="O46" i="22"/>
  <c r="O38" i="22"/>
  <c r="O36" i="22"/>
  <c r="O34" i="22"/>
  <c r="O32" i="22"/>
  <c r="O28" i="22"/>
  <c r="O26" i="20"/>
  <c r="O50" i="20"/>
  <c r="O51" i="19"/>
  <c r="O26" i="18"/>
  <c r="O63" i="17"/>
  <c r="O47" i="17"/>
  <c r="O71" i="17"/>
  <c r="O61" i="17"/>
  <c r="O39" i="17"/>
  <c r="O67" i="17"/>
  <c r="O59" i="17"/>
  <c r="O70" i="3"/>
  <c r="O50" i="3"/>
  <c r="O39" i="3"/>
  <c r="O31" i="3"/>
  <c r="O29" i="3"/>
  <c r="O53" i="85"/>
  <c r="O60" i="41"/>
  <c r="O48" i="41"/>
  <c r="O66" i="80"/>
  <c r="O60" i="82"/>
  <c r="O28" i="86"/>
  <c r="O26" i="88"/>
  <c r="O60" i="88"/>
  <c r="O47" i="96"/>
  <c r="O61" i="96"/>
  <c r="O70" i="55"/>
  <c r="O65" i="57"/>
  <c r="O59" i="57"/>
  <c r="O45" i="57"/>
  <c r="O72" i="67"/>
  <c r="O37" i="77"/>
  <c r="O28" i="85"/>
  <c r="O38" i="62"/>
  <c r="O42" i="62"/>
  <c r="O57" i="63"/>
  <c r="O64" i="76"/>
  <c r="O57" i="80"/>
  <c r="O63" i="80"/>
  <c r="O67" i="81"/>
  <c r="O55" i="88"/>
  <c r="O67" i="88"/>
  <c r="O57" i="91"/>
  <c r="B29" i="23"/>
  <c r="B19" i="94"/>
  <c r="B20" i="86"/>
  <c r="I19" i="86"/>
  <c r="C99" i="95"/>
  <c r="I22" i="67"/>
  <c r="O45" i="24"/>
  <c r="O72" i="30"/>
  <c r="O39" i="32"/>
  <c r="O69" i="33"/>
  <c r="O72" i="45"/>
  <c r="O66" i="45"/>
  <c r="O72" i="53"/>
  <c r="O28" i="56"/>
  <c r="O43" i="60"/>
  <c r="O47" i="60"/>
  <c r="O51" i="60"/>
  <c r="O24" i="62"/>
  <c r="O28" i="62"/>
  <c r="O21" i="80"/>
  <c r="O39" i="80"/>
  <c r="O47" i="80"/>
  <c r="O55" i="80"/>
  <c r="O25" i="59"/>
  <c r="O29" i="59"/>
  <c r="O31" i="59"/>
  <c r="O37" i="59"/>
  <c r="O39" i="59"/>
  <c r="O49" i="59"/>
  <c r="O52" i="61"/>
  <c r="O38" i="64"/>
  <c r="O40" i="64"/>
  <c r="O54" i="64"/>
  <c r="O33" i="66"/>
  <c r="O39" i="68"/>
  <c r="O27" i="83"/>
  <c r="O29" i="83"/>
  <c r="O33" i="83"/>
  <c r="O39" i="83"/>
  <c r="O43" i="83"/>
  <c r="O51" i="83"/>
  <c r="O53" i="83"/>
  <c r="O55" i="83"/>
  <c r="O57" i="83"/>
  <c r="O29" i="84"/>
  <c r="O21" i="85"/>
  <c r="O54" i="86"/>
  <c r="I19" i="91"/>
  <c r="O46" i="13"/>
  <c r="O44" i="13"/>
  <c r="O28" i="13"/>
  <c r="O26" i="13"/>
  <c r="O24" i="13"/>
  <c r="O20" i="13"/>
  <c r="O18" i="13"/>
  <c r="O59" i="21"/>
  <c r="O19" i="26"/>
  <c r="O24" i="55"/>
  <c r="O41" i="57"/>
  <c r="O31" i="62"/>
  <c r="O33" i="62"/>
  <c r="O45" i="62"/>
  <c r="O24" i="63"/>
  <c r="O28" i="63"/>
  <c r="O42" i="63"/>
  <c r="O44" i="63"/>
  <c r="O46" i="63"/>
  <c r="O48" i="63"/>
  <c r="O54" i="67"/>
  <c r="O40" i="72"/>
  <c r="O28" i="82"/>
  <c r="O30" i="82"/>
  <c r="O62" i="95"/>
  <c r="O49" i="65"/>
  <c r="O57" i="86"/>
  <c r="B20" i="91"/>
  <c r="B22" i="82"/>
  <c r="O70" i="17"/>
  <c r="O68" i="17"/>
  <c r="O64" i="17"/>
  <c r="O60" i="17"/>
  <c r="O50" i="17"/>
  <c r="O30" i="17"/>
  <c r="O70" i="19"/>
  <c r="O66" i="19"/>
  <c r="O64" i="19"/>
  <c r="O58" i="19"/>
  <c r="O54" i="19"/>
  <c r="O52" i="19"/>
  <c r="O50" i="19"/>
  <c r="O29" i="19"/>
  <c r="O69" i="20"/>
  <c r="O67" i="20"/>
  <c r="O63" i="20"/>
  <c r="O55" i="20"/>
  <c r="O53" i="20"/>
  <c r="O44" i="20"/>
  <c r="O38" i="20"/>
  <c r="O67" i="22"/>
  <c r="O65" i="22"/>
  <c r="O59" i="22"/>
  <c r="O72" i="23"/>
  <c r="O62" i="23"/>
  <c r="O58" i="23"/>
  <c r="O54" i="23"/>
  <c r="O46" i="23"/>
  <c r="O72" i="24"/>
  <c r="O66" i="24"/>
  <c r="O62" i="24"/>
  <c r="O46" i="24"/>
  <c r="O50" i="26"/>
  <c r="O72" i="28"/>
  <c r="O70" i="28"/>
  <c r="O66" i="28"/>
  <c r="O64" i="28"/>
  <c r="O62" i="28"/>
  <c r="O58" i="28"/>
  <c r="O48" i="28"/>
  <c r="O70" i="29"/>
  <c r="O68" i="29"/>
  <c r="O56" i="29"/>
  <c r="O54" i="29"/>
  <c r="O52" i="29"/>
  <c r="O40" i="29"/>
  <c r="O38" i="29"/>
  <c r="O36" i="29"/>
  <c r="O32" i="29"/>
  <c r="O71" i="31"/>
  <c r="O65" i="31"/>
  <c r="O37" i="66"/>
  <c r="O49" i="66"/>
  <c r="O53" i="66"/>
  <c r="O57" i="66"/>
  <c r="O51" i="67"/>
  <c r="O53" i="67"/>
  <c r="O55" i="67"/>
  <c r="O31" i="68"/>
  <c r="O67" i="68"/>
  <c r="P114" i="73"/>
  <c r="O38" i="96"/>
  <c r="O45" i="44"/>
  <c r="O39" i="44"/>
  <c r="O47" i="62"/>
  <c r="O50" i="63"/>
  <c r="O54" i="63"/>
  <c r="O60" i="63"/>
  <c r="O21" i="84"/>
  <c r="B21" i="82"/>
  <c r="I20" i="82"/>
  <c r="O43" i="18"/>
  <c r="O49" i="30"/>
  <c r="O45" i="30"/>
  <c r="O54" i="32"/>
  <c r="O38" i="32"/>
  <c r="O30" i="42"/>
  <c r="O52" i="43"/>
  <c r="O46" i="43"/>
  <c r="O26" i="43"/>
  <c r="O59" i="54"/>
  <c r="O57" i="54"/>
  <c r="O49" i="54"/>
  <c r="O47" i="54"/>
  <c r="O62" i="59"/>
  <c r="O23" i="61"/>
  <c r="O25" i="61"/>
  <c r="O29" i="61"/>
  <c r="O49" i="61"/>
  <c r="O53" i="61"/>
  <c r="O62" i="68"/>
  <c r="O72" i="68"/>
  <c r="O27" i="72"/>
  <c r="O54" i="82"/>
  <c r="O56" i="82"/>
  <c r="O58" i="82"/>
  <c r="I24" i="55"/>
  <c r="O68" i="41"/>
  <c r="O66" i="41"/>
  <c r="O71" i="79"/>
  <c r="O62" i="89"/>
  <c r="O66" i="89"/>
  <c r="O46" i="92"/>
  <c r="I21" i="82"/>
  <c r="O38" i="13"/>
  <c r="O67" i="21"/>
  <c r="O69" i="43"/>
  <c r="O72" i="54"/>
  <c r="O70" i="54"/>
  <c r="O68" i="54"/>
  <c r="O66" i="54"/>
  <c r="O49" i="55"/>
  <c r="O23" i="65"/>
  <c r="O44" i="71"/>
  <c r="O24" i="90"/>
  <c r="O67" i="13"/>
  <c r="O59" i="19"/>
  <c r="O68" i="42"/>
  <c r="O50" i="42"/>
  <c r="O50" i="43"/>
  <c r="O33" i="44"/>
  <c r="O53" i="45"/>
  <c r="O28" i="55"/>
  <c r="O36" i="83"/>
  <c r="O44" i="26"/>
  <c r="O64" i="41"/>
  <c r="O72" i="44"/>
  <c r="O70" i="44"/>
  <c r="O64" i="44"/>
  <c r="O52" i="44"/>
  <c r="O46" i="44"/>
  <c r="O43" i="46"/>
  <c r="O43" i="53"/>
  <c r="O72" i="55"/>
  <c r="O32" i="72"/>
  <c r="O34" i="72"/>
  <c r="O27" i="73"/>
  <c r="O47" i="73"/>
  <c r="O18" i="93"/>
  <c r="O42" i="93"/>
  <c r="O46" i="93"/>
  <c r="O48" i="93"/>
  <c r="O58" i="93"/>
  <c r="O62" i="93"/>
  <c r="O68" i="93"/>
  <c r="O70" i="93"/>
  <c r="O23" i="94"/>
  <c r="O25" i="94"/>
  <c r="O29" i="94"/>
  <c r="O31" i="94"/>
  <c r="O33" i="94"/>
  <c r="O35" i="94"/>
  <c r="O45" i="94"/>
  <c r="O51" i="94"/>
  <c r="O72" i="39"/>
  <c r="O62" i="39"/>
  <c r="O60" i="39"/>
  <c r="O43" i="42"/>
  <c r="O39" i="42"/>
  <c r="O33" i="42"/>
  <c r="O59" i="91"/>
  <c r="O32" i="92"/>
  <c r="O65" i="17"/>
  <c r="O57" i="17"/>
  <c r="O55" i="17"/>
  <c r="O53" i="17"/>
  <c r="O45" i="17"/>
  <c r="O43" i="17"/>
  <c r="O41" i="17"/>
  <c r="O37" i="17"/>
  <c r="O35" i="17"/>
  <c r="O33" i="17"/>
  <c r="O29" i="17"/>
  <c r="O27" i="17"/>
  <c r="O71" i="19"/>
  <c r="O63" i="19"/>
  <c r="O61" i="19"/>
  <c r="O53" i="19"/>
  <c r="O49" i="19"/>
  <c r="O30" i="19"/>
  <c r="O72" i="20"/>
  <c r="O48" i="20"/>
  <c r="O41" i="20"/>
  <c r="O37" i="20"/>
  <c r="O33" i="20"/>
  <c r="O40" i="32"/>
  <c r="O72" i="3"/>
  <c r="O68" i="3"/>
  <c r="O62" i="3"/>
  <c r="O60" i="3"/>
  <c r="O52" i="3"/>
  <c r="O46" i="3"/>
  <c r="O41" i="3"/>
  <c r="O37" i="3"/>
  <c r="O35" i="3"/>
  <c r="O63" i="13"/>
  <c r="O57" i="13"/>
  <c r="O51" i="13"/>
  <c r="O47" i="13"/>
  <c r="O45" i="13"/>
  <c r="O39" i="13"/>
  <c r="O29" i="13"/>
  <c r="O27" i="13"/>
  <c r="O51" i="18"/>
  <c r="O47" i="18"/>
  <c r="O45" i="18"/>
  <c r="O44" i="18"/>
  <c r="O45" i="19"/>
  <c r="O54" i="21"/>
  <c r="O50" i="21"/>
  <c r="O46" i="21"/>
  <c r="O42" i="21"/>
  <c r="O38" i="21"/>
  <c r="O28" i="21"/>
  <c r="O44" i="22"/>
  <c r="O42" i="22"/>
  <c r="O40" i="22"/>
  <c r="O64" i="25"/>
  <c r="O62" i="25"/>
  <c r="O54" i="25"/>
  <c r="O52" i="25"/>
  <c r="O38" i="25"/>
  <c r="O30" i="25"/>
  <c r="O28" i="25"/>
  <c r="O26" i="25"/>
  <c r="O24" i="25"/>
  <c r="O18" i="25"/>
  <c r="O71" i="34"/>
  <c r="O69" i="34"/>
  <c r="O67" i="34"/>
  <c r="O65" i="34"/>
  <c r="O63" i="34"/>
  <c r="O59" i="34"/>
  <c r="O43" i="34"/>
  <c r="O42" i="13"/>
  <c r="O47" i="22"/>
  <c r="O69" i="39"/>
  <c r="O67" i="39"/>
  <c r="O59" i="39"/>
  <c r="O69" i="41"/>
  <c r="O46" i="41"/>
  <c r="O40" i="41"/>
  <c r="O38" i="41"/>
  <c r="O34" i="41"/>
  <c r="O26" i="41"/>
  <c r="O49" i="42"/>
  <c r="O28" i="42"/>
  <c r="O72" i="43"/>
  <c r="O70" i="43"/>
  <c r="O68" i="43"/>
  <c r="O66" i="43"/>
  <c r="O62" i="43"/>
  <c r="O67" i="44"/>
  <c r="O37" i="45"/>
  <c r="O33" i="45"/>
  <c r="O69" i="46"/>
  <c r="O67" i="46"/>
  <c r="O49" i="46"/>
  <c r="O39" i="46"/>
  <c r="O37" i="46"/>
  <c r="O25" i="46"/>
  <c r="O55" i="53"/>
  <c r="O51" i="53"/>
  <c r="O49" i="53"/>
  <c r="O45" i="53"/>
  <c r="O61" i="54"/>
  <c r="O52" i="55"/>
  <c r="O25" i="55"/>
  <c r="O61" i="56"/>
  <c r="O53" i="56"/>
  <c r="O51" i="56"/>
  <c r="O39" i="56"/>
  <c r="O46" i="65"/>
  <c r="O61" i="94"/>
  <c r="O23" i="95"/>
  <c r="O25" i="95"/>
  <c r="O27" i="95"/>
  <c r="O33" i="95"/>
  <c r="O41" i="95"/>
  <c r="O45" i="23"/>
  <c r="O39" i="23"/>
  <c r="O33" i="23"/>
  <c r="O31" i="23"/>
  <c r="O29" i="23"/>
  <c r="O69" i="24"/>
  <c r="O67" i="24"/>
  <c r="O63" i="24"/>
  <c r="O59" i="24"/>
  <c r="O57" i="24"/>
  <c r="O55" i="24"/>
  <c r="O49" i="24"/>
  <c r="O45" i="26"/>
  <c r="O69" i="27"/>
  <c r="O71" i="30"/>
  <c r="O67" i="30"/>
  <c r="O31" i="30"/>
  <c r="O61" i="31"/>
  <c r="O72" i="32"/>
  <c r="O70" i="32"/>
  <c r="O50" i="32"/>
  <c r="O44" i="32"/>
  <c r="O54" i="34"/>
  <c r="O52" i="34"/>
  <c r="O46" i="34"/>
  <c r="O44" i="34"/>
  <c r="O40" i="34"/>
  <c r="O36" i="34"/>
  <c r="O34" i="34"/>
  <c r="O28" i="34"/>
  <c r="O39" i="39"/>
  <c r="O70" i="42"/>
  <c r="O41" i="42"/>
  <c r="O71" i="43"/>
  <c r="O61" i="43"/>
  <c r="O37" i="54"/>
  <c r="O44" i="55"/>
  <c r="O44" i="58"/>
  <c r="O40" i="58"/>
  <c r="O56" i="59"/>
  <c r="O58" i="59"/>
  <c r="O60" i="59"/>
  <c r="O50" i="62"/>
  <c r="O52" i="62"/>
  <c r="O54" i="62"/>
  <c r="O60" i="62"/>
  <c r="O64" i="62"/>
  <c r="O31" i="63"/>
  <c r="O25" i="64"/>
  <c r="O35" i="64"/>
  <c r="O37" i="64"/>
  <c r="O39" i="64"/>
  <c r="O41" i="64"/>
  <c r="O45" i="64"/>
  <c r="O49" i="64"/>
  <c r="O22" i="66"/>
  <c r="O24" i="66"/>
  <c r="O38" i="66"/>
  <c r="O44" i="66"/>
  <c r="O54" i="66"/>
  <c r="O56" i="66"/>
  <c r="O58" i="66"/>
  <c r="O28" i="67"/>
  <c r="O30" i="67"/>
  <c r="O32" i="67"/>
  <c r="O40" i="67"/>
  <c r="O26" i="68"/>
  <c r="O28" i="68"/>
  <c r="O44" i="70"/>
  <c r="O48" i="70"/>
  <c r="O72" i="70"/>
  <c r="O21" i="81"/>
  <c r="O27" i="81"/>
  <c r="O29" i="81"/>
  <c r="O31" i="81"/>
  <c r="O33" i="81"/>
  <c r="O35" i="81"/>
  <c r="O37" i="81"/>
  <c r="O43" i="81"/>
  <c r="O45" i="81"/>
  <c r="O61" i="81"/>
  <c r="O65" i="81"/>
  <c r="O29" i="85"/>
  <c r="O51" i="85"/>
  <c r="O19" i="86"/>
  <c r="O23" i="86"/>
  <c r="O27" i="86"/>
  <c r="O29" i="86"/>
  <c r="O39" i="86"/>
  <c r="O41" i="86"/>
  <c r="O65" i="86"/>
  <c r="O25" i="88"/>
  <c r="O33" i="88"/>
  <c r="O41" i="88"/>
  <c r="O43" i="88"/>
  <c r="O45" i="88"/>
  <c r="O49" i="88"/>
  <c r="O51" i="88"/>
  <c r="O51" i="91"/>
  <c r="O53" i="91"/>
  <c r="O22" i="92"/>
  <c r="O24" i="92"/>
  <c r="O26" i="92"/>
  <c r="O62" i="92"/>
  <c r="O66" i="92"/>
  <c r="O70" i="26"/>
  <c r="O66" i="26"/>
  <c r="O62" i="26"/>
  <c r="O54" i="26"/>
  <c r="O24" i="26"/>
  <c r="O22" i="26"/>
  <c r="O71" i="28"/>
  <c r="O67" i="28"/>
  <c r="O43" i="28"/>
  <c r="O65" i="29"/>
  <c r="O43" i="29"/>
  <c r="O41" i="29"/>
  <c r="O72" i="31"/>
  <c r="O64" i="31"/>
  <c r="O62" i="31"/>
  <c r="O28" i="32"/>
  <c r="O44" i="33"/>
  <c r="O40" i="33"/>
  <c r="O38" i="33"/>
  <c r="O34" i="33"/>
  <c r="O32" i="33"/>
  <c r="O28" i="33"/>
  <c r="O18" i="33"/>
  <c r="O66" i="35"/>
  <c r="O62" i="35"/>
  <c r="O58" i="35"/>
  <c r="O70" i="39"/>
  <c r="O40" i="39"/>
  <c r="O38" i="39"/>
  <c r="O33" i="39"/>
  <c r="O29" i="39"/>
  <c r="O54" i="41"/>
  <c r="O44" i="42"/>
  <c r="O42" i="42"/>
  <c r="O32" i="42"/>
  <c r="O53" i="43"/>
  <c r="O49" i="43"/>
  <c r="O42" i="44"/>
  <c r="O65" i="45"/>
  <c r="O63" i="45"/>
  <c r="O57" i="45"/>
  <c r="O62" i="46"/>
  <c r="O62" i="53"/>
  <c r="O40" i="53"/>
  <c r="O36" i="53"/>
  <c r="O34" i="53"/>
  <c r="O44" i="54"/>
  <c r="O38" i="54"/>
  <c r="O34" i="54"/>
  <c r="O28" i="54"/>
  <c r="O24" i="54"/>
  <c r="O64" i="55"/>
  <c r="O62" i="55"/>
  <c r="O45" i="55"/>
  <c r="O43" i="57"/>
  <c r="O35" i="57"/>
  <c r="O31" i="57"/>
  <c r="O65" i="58"/>
  <c r="O59" i="58"/>
  <c r="O57" i="58"/>
  <c r="O49" i="58"/>
  <c r="O47" i="65"/>
  <c r="O41" i="66"/>
  <c r="O31" i="67"/>
  <c r="O40" i="74"/>
  <c r="O46" i="74"/>
  <c r="O50" i="74"/>
  <c r="O25" i="76"/>
  <c r="O27" i="76"/>
  <c r="O31" i="76"/>
  <c r="O37" i="76"/>
  <c r="O28" i="78"/>
  <c r="O30" i="78"/>
  <c r="O26" i="79"/>
  <c r="O40" i="79"/>
  <c r="O42" i="79"/>
  <c r="O44" i="79"/>
  <c r="O52" i="79"/>
  <c r="O62" i="79"/>
  <c r="O70" i="79"/>
  <c r="O56" i="71"/>
  <c r="O60" i="71"/>
  <c r="O60" i="73"/>
  <c r="O66" i="73"/>
  <c r="O68" i="73"/>
  <c r="O70" i="73"/>
  <c r="O72" i="73"/>
  <c r="O21" i="75"/>
  <c r="O31" i="75"/>
  <c r="O33" i="75"/>
  <c r="O37" i="75"/>
  <c r="O41" i="75"/>
  <c r="O51" i="75"/>
  <c r="O53" i="75"/>
  <c r="O57" i="75"/>
  <c r="O59" i="75"/>
  <c r="O61" i="75"/>
  <c r="O67" i="75"/>
  <c r="O69" i="75"/>
  <c r="O21" i="77"/>
  <c r="O31" i="77"/>
  <c r="O61" i="77"/>
  <c r="O30" i="80"/>
  <c r="O32" i="80"/>
  <c r="O38" i="80"/>
  <c r="O40" i="80"/>
  <c r="O50" i="80"/>
  <c r="O52" i="80"/>
  <c r="O21" i="82"/>
  <c r="O23" i="82"/>
  <c r="O29" i="82"/>
  <c r="O33" i="82"/>
  <c r="O51" i="82"/>
  <c r="O22" i="83"/>
  <c r="O26" i="83"/>
  <c r="O30" i="83"/>
  <c r="O44" i="83"/>
  <c r="O46" i="83"/>
  <c r="O50" i="83"/>
  <c r="O54" i="83"/>
  <c r="O56" i="83"/>
  <c r="O58" i="83"/>
  <c r="O30" i="84"/>
  <c r="O40" i="84"/>
  <c r="O50" i="84"/>
  <c r="O60" i="84"/>
  <c r="O62" i="84"/>
  <c r="O64" i="84"/>
  <c r="O66" i="84"/>
  <c r="O68" i="84"/>
  <c r="O70" i="84"/>
  <c r="O27" i="87"/>
  <c r="O29" i="87"/>
  <c r="O31" i="87"/>
  <c r="O35" i="87"/>
  <c r="O39" i="87"/>
  <c r="O47" i="87"/>
  <c r="O49" i="87"/>
  <c r="O51" i="87"/>
  <c r="O53" i="87"/>
  <c r="O55" i="87"/>
  <c r="O71" i="87"/>
  <c r="O21" i="89"/>
  <c r="O23" i="89"/>
  <c r="O25" i="89"/>
  <c r="O27" i="89"/>
  <c r="O29" i="89"/>
  <c r="O37" i="89"/>
  <c r="O39" i="89"/>
  <c r="O43" i="89"/>
  <c r="O59" i="89"/>
  <c r="O65" i="89"/>
  <c r="O20" i="90"/>
  <c r="O30" i="90"/>
  <c r="O32" i="90"/>
  <c r="O34" i="90"/>
  <c r="O38" i="90"/>
  <c r="O64" i="90"/>
  <c r="O66" i="90"/>
  <c r="O68" i="90"/>
  <c r="O70" i="90"/>
  <c r="O41" i="93"/>
  <c r="O29" i="96"/>
  <c r="O65" i="96"/>
  <c r="O67" i="96"/>
  <c r="O25" i="74"/>
  <c r="O29" i="74"/>
  <c r="O31" i="74"/>
  <c r="O33" i="74"/>
  <c r="O46" i="75"/>
  <c r="O21" i="78"/>
  <c r="O35" i="78"/>
  <c r="O37" i="78"/>
  <c r="O39" i="78"/>
  <c r="O43" i="78"/>
  <c r="O45" i="78"/>
  <c r="O49" i="78"/>
  <c r="O53" i="78"/>
  <c r="O57" i="78"/>
  <c r="O63" i="78"/>
  <c r="O31" i="79"/>
  <c r="O39" i="79"/>
  <c r="O55" i="79"/>
  <c r="O57" i="79"/>
  <c r="O63" i="79"/>
  <c r="O67" i="79"/>
  <c r="O27" i="80"/>
  <c r="O41" i="80"/>
  <c r="O20" i="81"/>
  <c r="O42" i="81"/>
  <c r="O44" i="81"/>
  <c r="O52" i="81"/>
  <c r="O60" i="81"/>
  <c r="O66" i="81"/>
  <c r="O45" i="83"/>
  <c r="O63" i="83"/>
  <c r="O33" i="84"/>
  <c r="O69" i="84"/>
  <c r="O36" i="85"/>
  <c r="O52" i="85"/>
  <c r="O66" i="85"/>
  <c r="O44" i="86"/>
  <c r="O66" i="86"/>
  <c r="O68" i="86"/>
  <c r="O28" i="88"/>
  <c r="O30" i="88"/>
  <c r="O36" i="88"/>
  <c r="O38" i="88"/>
  <c r="O42" i="88"/>
  <c r="O44" i="88"/>
  <c r="O46" i="88"/>
  <c r="O52" i="88"/>
  <c r="O54" i="88"/>
  <c r="O46" i="89"/>
  <c r="O20" i="91"/>
  <c r="O26" i="91"/>
  <c r="O32" i="91"/>
  <c r="O34" i="91"/>
  <c r="O38" i="91"/>
  <c r="O42" i="91"/>
  <c r="O44" i="91"/>
  <c r="O46" i="91"/>
  <c r="O50" i="91"/>
  <c r="O64" i="91"/>
  <c r="O66" i="91"/>
  <c r="O68" i="91"/>
  <c r="O67" i="93"/>
  <c r="O69" i="93"/>
  <c r="O71" i="93"/>
  <c r="O20" i="94"/>
  <c r="O22" i="94"/>
  <c r="O34" i="94"/>
  <c r="O36" i="94"/>
  <c r="O40" i="94"/>
  <c r="O56" i="94"/>
  <c r="O58" i="94"/>
  <c r="O60" i="94"/>
  <c r="O66" i="94"/>
  <c r="O60" i="95"/>
  <c r="O64" i="95"/>
  <c r="O66" i="95"/>
  <c r="O46" i="96"/>
  <c r="O60" i="96"/>
  <c r="I30" i="28"/>
  <c r="B28" i="18"/>
  <c r="I27" i="18"/>
  <c r="I25" i="58"/>
  <c r="C99" i="93"/>
  <c r="C100" i="93" s="1"/>
  <c r="C101" i="93" s="1"/>
  <c r="C102" i="93" s="1"/>
  <c r="C103" i="93" s="1"/>
  <c r="C104" i="93" s="1"/>
  <c r="C105" i="93" s="1"/>
  <c r="C106" i="93" s="1"/>
  <c r="C107" i="93" s="1"/>
  <c r="C108" i="93" s="1"/>
  <c r="C109" i="93" s="1"/>
  <c r="C110" i="93" s="1"/>
  <c r="C111" i="93" s="1"/>
  <c r="C112" i="93" s="1"/>
  <c r="C113" i="93" s="1"/>
  <c r="C114" i="93" s="1"/>
  <c r="C115" i="93" s="1"/>
  <c r="C116" i="93" s="1"/>
  <c r="C117" i="93" s="1"/>
  <c r="C118" i="93" s="1"/>
  <c r="C119" i="93" s="1"/>
  <c r="C120" i="93" s="1"/>
  <c r="C121" i="93" s="1"/>
  <c r="C122" i="93" s="1"/>
  <c r="C123" i="93" s="1"/>
  <c r="C124" i="93" s="1"/>
  <c r="C125" i="93" s="1"/>
  <c r="C126" i="93" s="1"/>
  <c r="C127" i="93" s="1"/>
  <c r="C128" i="93" s="1"/>
  <c r="C129" i="93" s="1"/>
  <c r="C130" i="93" s="1"/>
  <c r="C131" i="93" s="1"/>
  <c r="C132" i="93" s="1"/>
  <c r="C133" i="93" s="1"/>
  <c r="C134" i="93" s="1"/>
  <c r="C135" i="93" s="1"/>
  <c r="C136" i="93" s="1"/>
  <c r="C137" i="93" s="1"/>
  <c r="C138" i="93" s="1"/>
  <c r="C139" i="93" s="1"/>
  <c r="C140" i="93" s="1"/>
  <c r="C141" i="93" s="1"/>
  <c r="C142" i="93" s="1"/>
  <c r="C143" i="93" s="1"/>
  <c r="C144" i="93" s="1"/>
  <c r="C145" i="93" s="1"/>
  <c r="C146" i="93" s="1"/>
  <c r="C147" i="93" s="1"/>
  <c r="C148" i="93" s="1"/>
  <c r="C149" i="93" s="1"/>
  <c r="C150" i="93" s="1"/>
  <c r="C151" i="93" s="1"/>
  <c r="C152" i="93" s="1"/>
  <c r="C153" i="93" s="1"/>
  <c r="C154" i="93" s="1"/>
  <c r="O71" i="13"/>
  <c r="O71" i="18"/>
  <c r="O69" i="18"/>
  <c r="O61" i="18"/>
  <c r="O53" i="18"/>
  <c r="O48" i="18"/>
  <c r="O40" i="18"/>
  <c r="O38" i="18"/>
  <c r="O36" i="18"/>
  <c r="O34" i="18"/>
  <c r="O30" i="20"/>
  <c r="O28" i="20"/>
  <c r="O57" i="22"/>
  <c r="O51" i="22"/>
  <c r="O49" i="22"/>
  <c r="O30" i="22"/>
  <c r="O35" i="23"/>
  <c r="O48" i="25"/>
  <c r="O36" i="25"/>
  <c r="O32" i="25"/>
  <c r="O43" i="26"/>
  <c r="O27" i="26"/>
  <c r="O48" i="27"/>
  <c r="O39" i="27"/>
  <c r="O37" i="27"/>
  <c r="O31" i="27"/>
  <c r="O29" i="27"/>
  <c r="O41" i="28"/>
  <c r="O37" i="28"/>
  <c r="O69" i="29"/>
  <c r="O63" i="29"/>
  <c r="O55" i="29"/>
  <c r="O61" i="30"/>
  <c r="O59" i="30"/>
  <c r="O53" i="30"/>
  <c r="O63" i="31"/>
  <c r="O49" i="31"/>
  <c r="O45" i="31"/>
  <c r="O37" i="31"/>
  <c r="O33" i="31"/>
  <c r="O31" i="31"/>
  <c r="O29" i="31"/>
  <c r="O67" i="32"/>
  <c r="O37" i="32"/>
  <c r="O59" i="33"/>
  <c r="O51" i="33"/>
  <c r="O42" i="34"/>
  <c r="O32" i="34"/>
  <c r="O63" i="41"/>
  <c r="O61" i="41"/>
  <c r="O57" i="3"/>
  <c r="O53" i="3"/>
  <c r="O43" i="3"/>
  <c r="O32" i="13"/>
  <c r="O30" i="13"/>
  <c r="O25" i="13"/>
  <c r="O46" i="19"/>
  <c r="O39" i="19"/>
  <c r="O31" i="19"/>
  <c r="O71" i="21"/>
  <c r="O42" i="25"/>
  <c r="O66" i="32"/>
  <c r="O60" i="32"/>
  <c r="O48" i="32"/>
  <c r="O46" i="32"/>
  <c r="O65" i="33"/>
  <c r="O50" i="39"/>
  <c r="O70" i="41"/>
  <c r="O59" i="41"/>
  <c r="O38" i="3"/>
  <c r="O58" i="17"/>
  <c r="O72" i="18"/>
  <c r="O66" i="18"/>
  <c r="O64" i="18"/>
  <c r="O58" i="18"/>
  <c r="O54" i="18"/>
  <c r="O49" i="18"/>
  <c r="O39" i="18"/>
  <c r="O31" i="18"/>
  <c r="O27" i="18"/>
  <c r="O56" i="19"/>
  <c r="O70" i="20"/>
  <c r="O35" i="20"/>
  <c r="O66" i="22"/>
  <c r="O60" i="22"/>
  <c r="O58" i="22"/>
  <c r="O50" i="22"/>
  <c r="O29" i="22"/>
  <c r="O48" i="24"/>
  <c r="O61" i="25"/>
  <c r="O39" i="25"/>
  <c r="O56" i="26"/>
  <c r="O42" i="26"/>
  <c r="O40" i="26"/>
  <c r="O38" i="26"/>
  <c r="O36" i="26"/>
  <c r="O34" i="26"/>
  <c r="O32" i="26"/>
  <c r="O30" i="26"/>
  <c r="O34" i="27"/>
  <c r="O68" i="28"/>
  <c r="O46" i="28"/>
  <c r="O38" i="28"/>
  <c r="O36" i="28"/>
  <c r="O32" i="28"/>
  <c r="O30" i="28"/>
  <c r="O66" i="29"/>
  <c r="O46" i="29"/>
  <c r="O68" i="30"/>
  <c r="O60" i="31"/>
  <c r="O58" i="31"/>
  <c r="O56" i="31"/>
  <c r="O52" i="31"/>
  <c r="O50" i="31"/>
  <c r="O40" i="31"/>
  <c r="O32" i="31"/>
  <c r="O72" i="33"/>
  <c r="O70" i="33"/>
  <c r="O66" i="33"/>
  <c r="O64" i="33"/>
  <c r="O54" i="33"/>
  <c r="O48" i="33"/>
  <c r="O33" i="33"/>
  <c r="O72" i="34"/>
  <c r="O70" i="34"/>
  <c r="O68" i="34"/>
  <c r="O66" i="34"/>
  <c r="O58" i="34"/>
  <c r="O56" i="34"/>
  <c r="O56" i="35"/>
  <c r="O57" i="39"/>
  <c r="F17" i="1"/>
  <c r="O66" i="3"/>
  <c r="O58" i="3"/>
  <c r="O56" i="3"/>
  <c r="O43" i="13"/>
  <c r="O37" i="13"/>
  <c r="O35" i="13"/>
  <c r="O36" i="19"/>
  <c r="O34" i="19"/>
  <c r="O65" i="24"/>
  <c r="O27" i="25"/>
  <c r="O72" i="27"/>
  <c r="O58" i="29"/>
  <c r="O46" i="30"/>
  <c r="O44" i="30"/>
  <c r="O57" i="32"/>
  <c r="O53" i="32"/>
  <c r="O41" i="32"/>
  <c r="O30" i="32"/>
  <c r="O61" i="35"/>
  <c r="O44" i="35"/>
  <c r="O30" i="35"/>
  <c r="O24" i="35"/>
  <c r="O22" i="35"/>
  <c r="O44" i="41"/>
  <c r="O67" i="43"/>
  <c r="O47" i="43"/>
  <c r="O35" i="43"/>
  <c r="O33" i="43"/>
  <c r="O29" i="43"/>
  <c r="O71" i="53"/>
  <c r="O69" i="53"/>
  <c r="O61" i="53"/>
  <c r="O31" i="53"/>
  <c r="O50" i="56"/>
  <c r="O32" i="60"/>
  <c r="O55" i="60"/>
  <c r="O63" i="60"/>
  <c r="O67" i="60"/>
  <c r="O69" i="60"/>
  <c r="O71" i="60"/>
  <c r="P130" i="60"/>
  <c r="O33" i="61"/>
  <c r="O37" i="61"/>
  <c r="O51" i="61"/>
  <c r="O44" i="62"/>
  <c r="O32" i="63"/>
  <c r="O38" i="63"/>
  <c r="O40" i="63"/>
  <c r="O27" i="64"/>
  <c r="O42" i="65"/>
  <c r="O58" i="67"/>
  <c r="O68" i="67"/>
  <c r="O41" i="68"/>
  <c r="O45" i="68"/>
  <c r="O47" i="68"/>
  <c r="O51" i="68"/>
  <c r="O53" i="68"/>
  <c r="O57" i="68"/>
  <c r="O46" i="71"/>
  <c r="O61" i="73"/>
  <c r="O27" i="74"/>
  <c r="O48" i="74"/>
  <c r="O34" i="75"/>
  <c r="O36" i="75"/>
  <c r="O42" i="75"/>
  <c r="O48" i="75"/>
  <c r="O50" i="75"/>
  <c r="O54" i="75"/>
  <c r="O56" i="75"/>
  <c r="O72" i="75"/>
  <c r="P108" i="75"/>
  <c r="O70" i="76"/>
  <c r="O72" i="76"/>
  <c r="P104" i="76"/>
  <c r="P116" i="76"/>
  <c r="O43" i="77"/>
  <c r="O51" i="77"/>
  <c r="O55" i="77"/>
  <c r="O36" i="78"/>
  <c r="O42" i="78"/>
  <c r="O28" i="79"/>
  <c r="O45" i="79"/>
  <c r="O51" i="79"/>
  <c r="O70" i="45"/>
  <c r="O61" i="45"/>
  <c r="O51" i="45"/>
  <c r="O49" i="45"/>
  <c r="O43" i="45"/>
  <c r="O39" i="45"/>
  <c r="O26" i="45"/>
  <c r="O64" i="46"/>
  <c r="O56" i="46"/>
  <c r="O54" i="46"/>
  <c r="O42" i="46"/>
  <c r="O30" i="46"/>
  <c r="O28" i="46"/>
  <c r="O26" i="46"/>
  <c r="O26" i="54"/>
  <c r="O55" i="55"/>
  <c r="O48" i="55"/>
  <c r="O46" i="55"/>
  <c r="O41" i="56"/>
  <c r="O30" i="56"/>
  <c r="O67" i="57"/>
  <c r="O63" i="57"/>
  <c r="O61" i="57"/>
  <c r="O57" i="57"/>
  <c r="O55" i="57"/>
  <c r="O53" i="57"/>
  <c r="O51" i="57"/>
  <c r="O40" i="57"/>
  <c r="O34" i="57"/>
  <c r="O32" i="57"/>
  <c r="O41" i="58"/>
  <c r="O29" i="58"/>
  <c r="O27" i="58"/>
  <c r="O64" i="59"/>
  <c r="O72" i="59"/>
  <c r="O67" i="61"/>
  <c r="O71" i="61"/>
  <c r="P128" i="61"/>
  <c r="P130" i="61"/>
  <c r="O68" i="62"/>
  <c r="O72" i="62"/>
  <c r="O63" i="63"/>
  <c r="O65" i="63"/>
  <c r="O51" i="64"/>
  <c r="O65" i="64"/>
  <c r="O69" i="64"/>
  <c r="O71" i="64"/>
  <c r="O67" i="65"/>
  <c r="O69" i="65"/>
  <c r="O28" i="66"/>
  <c r="O30" i="66"/>
  <c r="O50" i="66"/>
  <c r="O52" i="66"/>
  <c r="O59" i="66"/>
  <c r="O71" i="66"/>
  <c r="O22" i="68"/>
  <c r="O63" i="68"/>
  <c r="O35" i="69"/>
  <c r="O47" i="69"/>
  <c r="O55" i="69"/>
  <c r="O61" i="69"/>
  <c r="O69" i="69"/>
  <c r="O49" i="70"/>
  <c r="O51" i="70"/>
  <c r="O53" i="70"/>
  <c r="O39" i="71"/>
  <c r="O46" i="72"/>
  <c r="O58" i="73"/>
  <c r="P115" i="74"/>
  <c r="P119" i="74"/>
  <c r="P121" i="74"/>
  <c r="P123" i="74"/>
  <c r="P125" i="74"/>
  <c r="P127" i="74"/>
  <c r="P120" i="77"/>
  <c r="O41" i="78"/>
  <c r="O61" i="79"/>
  <c r="O72" i="79"/>
  <c r="O26" i="80"/>
  <c r="O47" i="42"/>
  <c r="O66" i="53"/>
  <c r="O64" i="53"/>
  <c r="O53" i="53"/>
  <c r="O41" i="54"/>
  <c r="O33" i="54"/>
  <c r="O31" i="54"/>
  <c r="O27" i="54"/>
  <c r="O25" i="54"/>
  <c r="O70" i="56"/>
  <c r="O66" i="56"/>
  <c r="O54" i="56"/>
  <c r="O37" i="56"/>
  <c r="O31" i="56"/>
  <c r="O29" i="56"/>
  <c r="O25" i="56"/>
  <c r="O41" i="59"/>
  <c r="O23" i="60"/>
  <c r="O52" i="60"/>
  <c r="O54" i="60"/>
  <c r="O60" i="60"/>
  <c r="O62" i="60"/>
  <c r="O68" i="60"/>
  <c r="O72" i="60"/>
  <c r="O26" i="61"/>
  <c r="O32" i="61"/>
  <c r="O38" i="61"/>
  <c r="O46" i="61"/>
  <c r="O26" i="64"/>
  <c r="O28" i="64"/>
  <c r="O36" i="64"/>
  <c r="O25" i="65"/>
  <c r="O27" i="65"/>
  <c r="O31" i="65"/>
  <c r="O29" i="67"/>
  <c r="O34" i="70"/>
  <c r="O40" i="70"/>
  <c r="O71" i="70"/>
  <c r="O45" i="71"/>
  <c r="O49" i="71"/>
  <c r="O29" i="72"/>
  <c r="O56" i="72"/>
  <c r="O58" i="72"/>
  <c r="O72" i="72"/>
  <c r="O39" i="73"/>
  <c r="O25" i="79"/>
  <c r="O31" i="41"/>
  <c r="O58" i="42"/>
  <c r="O58" i="43"/>
  <c r="O56" i="43"/>
  <c r="O65" i="44"/>
  <c r="O61" i="44"/>
  <c r="O53" i="44"/>
  <c r="O47" i="44"/>
  <c r="O38" i="44"/>
  <c r="O34" i="44"/>
  <c r="O67" i="45"/>
  <c r="O50" i="45"/>
  <c r="O42" i="45"/>
  <c r="O40" i="45"/>
  <c r="O27" i="45"/>
  <c r="O61" i="46"/>
  <c r="O45" i="46"/>
  <c r="O33" i="46"/>
  <c r="O54" i="53"/>
  <c r="O39" i="53"/>
  <c r="O63" i="54"/>
  <c r="O50" i="54"/>
  <c r="O46" i="54"/>
  <c r="O38" i="58"/>
  <c r="O30" i="58"/>
  <c r="O24" i="58"/>
  <c r="O65" i="59"/>
  <c r="O56" i="61"/>
  <c r="O30" i="62"/>
  <c r="O34" i="62"/>
  <c r="O57" i="62"/>
  <c r="O51" i="63"/>
  <c r="O55" i="63"/>
  <c r="O62" i="63"/>
  <c r="O64" i="63"/>
  <c r="O44" i="64"/>
  <c r="O48" i="65"/>
  <c r="O50" i="65"/>
  <c r="O66" i="65"/>
  <c r="O29" i="66"/>
  <c r="O40" i="66"/>
  <c r="O62" i="66"/>
  <c r="O64" i="66"/>
  <c r="O68" i="66"/>
  <c r="O30" i="69"/>
  <c r="O32" i="69"/>
  <c r="O44" i="69"/>
  <c r="O50" i="69"/>
  <c r="O58" i="69"/>
  <c r="O66" i="69"/>
  <c r="O68" i="69"/>
  <c r="O72" i="69"/>
  <c r="O40" i="71"/>
  <c r="O57" i="71"/>
  <c r="O26" i="73"/>
  <c r="O40" i="76"/>
  <c r="O42" i="76"/>
  <c r="O44" i="76"/>
  <c r="O50" i="76"/>
  <c r="O52" i="76"/>
  <c r="O54" i="76"/>
  <c r="O58" i="76"/>
  <c r="O60" i="76"/>
  <c r="O62" i="76"/>
  <c r="O33" i="77"/>
  <c r="O58" i="79"/>
  <c r="P117" i="79"/>
  <c r="P121" i="79"/>
  <c r="O49" i="81"/>
  <c r="O62" i="81"/>
  <c r="O39" i="82"/>
  <c r="O49" i="82"/>
  <c r="O62" i="82"/>
  <c r="O64" i="82"/>
  <c r="O35" i="83"/>
  <c r="O59" i="83"/>
  <c r="O46" i="84"/>
  <c r="O32" i="85"/>
  <c r="O40" i="85"/>
  <c r="O55" i="85"/>
  <c r="O57" i="85"/>
  <c r="O59" i="85"/>
  <c r="O65" i="85"/>
  <c r="O67" i="85"/>
  <c r="O71" i="85"/>
  <c r="P125" i="85"/>
  <c r="O45" i="86"/>
  <c r="O47" i="86"/>
  <c r="O49" i="86"/>
  <c r="O55" i="86"/>
  <c r="O59" i="86"/>
  <c r="O61" i="86"/>
  <c r="O63" i="86"/>
  <c r="O36" i="87"/>
  <c r="O44" i="87"/>
  <c r="O50" i="87"/>
  <c r="O33" i="89"/>
  <c r="O41" i="89"/>
  <c r="O22" i="90"/>
  <c r="O55" i="91"/>
  <c r="O20" i="92"/>
  <c r="O70" i="96"/>
  <c r="O36" i="80"/>
  <c r="O43" i="80"/>
  <c r="O49" i="80"/>
  <c r="O64" i="80"/>
  <c r="O68" i="80"/>
  <c r="O70" i="80"/>
  <c r="O72" i="80"/>
  <c r="O22" i="81"/>
  <c r="O28" i="81"/>
  <c r="O30" i="81"/>
  <c r="O34" i="81"/>
  <c r="O38" i="81"/>
  <c r="O40" i="81"/>
  <c r="O53" i="81"/>
  <c r="O55" i="81"/>
  <c r="O57" i="81"/>
  <c r="O59" i="81"/>
  <c r="O70" i="81"/>
  <c r="O65" i="83"/>
  <c r="O67" i="83"/>
  <c r="O71" i="83"/>
  <c r="O23" i="85"/>
  <c r="O27" i="85"/>
  <c r="O26" i="86"/>
  <c r="O32" i="86"/>
  <c r="O34" i="86"/>
  <c r="O58" i="88"/>
  <c r="O62" i="88"/>
  <c r="O70" i="88"/>
  <c r="O47" i="89"/>
  <c r="O51" i="89"/>
  <c r="O68" i="89"/>
  <c r="O70" i="89"/>
  <c r="O72" i="89"/>
  <c r="O40" i="90"/>
  <c r="O58" i="90"/>
  <c r="O60" i="90"/>
  <c r="P118" i="90"/>
  <c r="O31" i="91"/>
  <c r="O33" i="91"/>
  <c r="O37" i="91"/>
  <c r="O63" i="91"/>
  <c r="O65" i="91"/>
  <c r="O19" i="93"/>
  <c r="O21" i="93"/>
  <c r="O27" i="93"/>
  <c r="O39" i="93"/>
  <c r="O47" i="93"/>
  <c r="O50" i="93"/>
  <c r="O52" i="93"/>
  <c r="O54" i="93"/>
  <c r="O60" i="93"/>
  <c r="O19" i="95"/>
  <c r="O21" i="95"/>
  <c r="O28" i="95"/>
  <c r="O32" i="95"/>
  <c r="O34" i="95"/>
  <c r="O36" i="95"/>
  <c r="O38" i="95"/>
  <c r="O44" i="95"/>
  <c r="O46" i="95"/>
  <c r="O54" i="95"/>
  <c r="O58" i="95"/>
  <c r="O19" i="96"/>
  <c r="O21" i="96"/>
  <c r="O45" i="96"/>
  <c r="O59" i="96"/>
  <c r="O63" i="96"/>
  <c r="O50" i="81"/>
  <c r="O63" i="81"/>
  <c r="O40" i="82"/>
  <c r="O42" i="82"/>
  <c r="O46" i="82"/>
  <c r="O61" i="82"/>
  <c r="O63" i="82"/>
  <c r="O65" i="82"/>
  <c r="O69" i="82"/>
  <c r="P113" i="82"/>
  <c r="O32" i="83"/>
  <c r="O35" i="84"/>
  <c r="O37" i="84"/>
  <c r="O41" i="84"/>
  <c r="O43" i="84"/>
  <c r="O33" i="85"/>
  <c r="O35" i="85"/>
  <c r="O37" i="85"/>
  <c r="O41" i="85"/>
  <c r="O49" i="85"/>
  <c r="O54" i="85"/>
  <c r="O64" i="85"/>
  <c r="O70" i="85"/>
  <c r="O72" i="85"/>
  <c r="O19" i="87"/>
  <c r="O41" i="87"/>
  <c r="O25" i="90"/>
  <c r="O27" i="90"/>
  <c r="O62" i="91"/>
  <c r="O38" i="92"/>
  <c r="O40" i="92"/>
  <c r="O67" i="92"/>
  <c r="O71" i="92"/>
  <c r="O39" i="95"/>
  <c r="O46" i="80"/>
  <c r="O59" i="80"/>
  <c r="O61" i="80"/>
  <c r="O65" i="80"/>
  <c r="O67" i="80"/>
  <c r="O69" i="80"/>
  <c r="O39" i="81"/>
  <c r="O41" i="81"/>
  <c r="O71" i="81"/>
  <c r="O25" i="82"/>
  <c r="O21" i="83"/>
  <c r="O25" i="83"/>
  <c r="O49" i="83"/>
  <c r="O64" i="83"/>
  <c r="O72" i="83"/>
  <c r="O38" i="84"/>
  <c r="O26" i="85"/>
  <c r="O31" i="86"/>
  <c r="O20" i="88"/>
  <c r="O57" i="88"/>
  <c r="O59" i="88"/>
  <c r="O48" i="89"/>
  <c r="O54" i="89"/>
  <c r="P115" i="89"/>
  <c r="O45" i="90"/>
  <c r="O55" i="90"/>
  <c r="O59" i="90"/>
  <c r="O70" i="91"/>
  <c r="O72" i="91"/>
  <c r="P108" i="91"/>
  <c r="P110" i="91"/>
  <c r="P118" i="91"/>
  <c r="P122" i="91"/>
  <c r="P124" i="91"/>
  <c r="P128" i="91"/>
  <c r="O48" i="92"/>
  <c r="O52" i="92"/>
  <c r="O58" i="92"/>
  <c r="O60" i="92"/>
  <c r="O22" i="93"/>
  <c r="O24" i="93"/>
  <c r="O26" i="93"/>
  <c r="O28" i="93"/>
  <c r="O30" i="93"/>
  <c r="O34" i="93"/>
  <c r="O36" i="93"/>
  <c r="O40" i="93"/>
  <c r="O49" i="93"/>
  <c r="O55" i="93"/>
  <c r="O66" i="93"/>
  <c r="O64" i="94"/>
  <c r="O18" i="95"/>
  <c r="O26" i="95"/>
  <c r="O35" i="95"/>
  <c r="O26" i="96"/>
  <c r="O34" i="96"/>
  <c r="O42" i="96"/>
  <c r="O50" i="96"/>
  <c r="O54" i="96"/>
  <c r="C99" i="94"/>
  <c r="C100" i="94" s="1"/>
  <c r="C101" i="94" s="1"/>
  <c r="C102" i="94" s="1"/>
  <c r="C103" i="94" s="1"/>
  <c r="C104" i="94" s="1"/>
  <c r="C105" i="94" s="1"/>
  <c r="C106" i="94" s="1"/>
  <c r="C107" i="94" s="1"/>
  <c r="C108" i="94" s="1"/>
  <c r="C109" i="94" s="1"/>
  <c r="C110" i="94" s="1"/>
  <c r="C111" i="94" s="1"/>
  <c r="C112" i="94" s="1"/>
  <c r="C113" i="94" s="1"/>
  <c r="C114" i="94" s="1"/>
  <c r="C115" i="94" s="1"/>
  <c r="C116" i="94" s="1"/>
  <c r="C117" i="94" s="1"/>
  <c r="C118" i="94" s="1"/>
  <c r="C119" i="94" s="1"/>
  <c r="C120" i="94" s="1"/>
  <c r="C121" i="94" s="1"/>
  <c r="C122" i="94" s="1"/>
  <c r="C123" i="94" s="1"/>
  <c r="C124" i="94" s="1"/>
  <c r="C125" i="94" s="1"/>
  <c r="C126" i="94" s="1"/>
  <c r="C127" i="94" s="1"/>
  <c r="C128" i="94" s="1"/>
  <c r="C129" i="94" s="1"/>
  <c r="C130" i="94" s="1"/>
  <c r="C131" i="94" s="1"/>
  <c r="C132" i="94" s="1"/>
  <c r="C133" i="94" s="1"/>
  <c r="C134" i="94" s="1"/>
  <c r="C135" i="94" s="1"/>
  <c r="C136" i="94" s="1"/>
  <c r="C137" i="94" s="1"/>
  <c r="C138" i="94" s="1"/>
  <c r="C139" i="94" s="1"/>
  <c r="C140" i="94" s="1"/>
  <c r="C141" i="94" s="1"/>
  <c r="C142" i="94" s="1"/>
  <c r="C143" i="94" s="1"/>
  <c r="C144" i="94" s="1"/>
  <c r="C145" i="94" s="1"/>
  <c r="C146" i="94" s="1"/>
  <c r="C147" i="94" s="1"/>
  <c r="C148" i="94" s="1"/>
  <c r="C149" i="94" s="1"/>
  <c r="C150" i="94" s="1"/>
  <c r="C151" i="94" s="1"/>
  <c r="C152" i="94" s="1"/>
  <c r="C153" i="94" s="1"/>
  <c r="C154" i="94" s="1"/>
  <c r="O72" i="13"/>
  <c r="O40" i="13"/>
  <c r="O64" i="3"/>
  <c r="O54" i="3"/>
  <c r="O65" i="13"/>
  <c r="O61" i="20"/>
  <c r="O42" i="20"/>
  <c r="O27" i="20"/>
  <c r="O57" i="21"/>
  <c r="O49" i="21"/>
  <c r="O35" i="21"/>
  <c r="O27" i="21"/>
  <c r="O40" i="23"/>
  <c r="O58" i="25"/>
  <c r="O22" i="25"/>
  <c r="O72" i="26"/>
  <c r="O60" i="27"/>
  <c r="O39" i="28"/>
  <c r="O34" i="28"/>
  <c r="O67" i="29"/>
  <c r="O44" i="29"/>
  <c r="O42" i="29"/>
  <c r="O69" i="30"/>
  <c r="O71" i="41"/>
  <c r="O72" i="42"/>
  <c r="O57" i="43"/>
  <c r="O60" i="44"/>
  <c r="O68" i="45"/>
  <c r="O55" i="45"/>
  <c r="O65" i="46"/>
  <c r="O64" i="54"/>
  <c r="O34" i="64"/>
  <c r="O72" i="17"/>
  <c r="O66" i="17"/>
  <c r="O51" i="17"/>
  <c r="O49" i="17"/>
  <c r="O70" i="18"/>
  <c r="O68" i="18"/>
  <c r="O37" i="18"/>
  <c r="O33" i="18"/>
  <c r="O47" i="19"/>
  <c r="O68" i="24"/>
  <c r="O61" i="24"/>
  <c r="O40" i="24"/>
  <c r="O30" i="24"/>
  <c r="O35" i="27"/>
  <c r="O56" i="28"/>
  <c r="O72" i="29"/>
  <c r="O36" i="30"/>
  <c r="O34" i="31"/>
  <c r="O57" i="33"/>
  <c r="O49" i="33"/>
  <c r="O54" i="35"/>
  <c r="O31" i="35"/>
  <c r="O23" i="35"/>
  <c r="O58" i="39"/>
  <c r="O30" i="39"/>
  <c r="O47" i="41"/>
  <c r="O43" i="44"/>
  <c r="O64" i="45"/>
  <c r="O32" i="46"/>
  <c r="O71" i="54"/>
  <c r="O40" i="54"/>
  <c r="O43" i="56"/>
  <c r="O68" i="57"/>
  <c r="O66" i="58"/>
  <c r="O58" i="58"/>
  <c r="O52" i="58"/>
  <c r="O25" i="58"/>
  <c r="O56" i="60"/>
  <c r="O36" i="13"/>
  <c r="O54" i="20"/>
  <c r="O52" i="20"/>
  <c r="O46" i="20"/>
  <c r="O32" i="20"/>
  <c r="O52" i="21"/>
  <c r="O44" i="21"/>
  <c r="O32" i="21"/>
  <c r="O31" i="22"/>
  <c r="O53" i="24"/>
  <c r="O34" i="25"/>
  <c r="O25" i="25"/>
  <c r="O19" i="25"/>
  <c r="O52" i="26"/>
  <c r="O35" i="26"/>
  <c r="O29" i="26"/>
  <c r="O42" i="28"/>
  <c r="O53" i="29"/>
  <c r="O51" i="29"/>
  <c r="O30" i="29"/>
  <c r="O57" i="30"/>
  <c r="O54" i="31"/>
  <c r="O59" i="32"/>
  <c r="O35" i="32"/>
  <c r="O48" i="34"/>
  <c r="O42" i="39"/>
  <c r="O63" i="43"/>
  <c r="O26" i="53"/>
  <c r="O68" i="56"/>
  <c r="O60" i="56"/>
  <c r="O33" i="56"/>
  <c r="O33" i="57"/>
  <c r="O69" i="17"/>
  <c r="O31" i="17"/>
  <c r="O65" i="18"/>
  <c r="O63" i="18"/>
  <c r="O30" i="18"/>
  <c r="O69" i="19"/>
  <c r="O55" i="22"/>
  <c r="O56" i="23"/>
  <c r="O71" i="24"/>
  <c r="O35" i="24"/>
  <c r="O72" i="25"/>
  <c r="O32" i="27"/>
  <c r="O59" i="28"/>
  <c r="O33" i="30"/>
  <c r="O46" i="31"/>
  <c r="O52" i="33"/>
  <c r="O17" i="33"/>
  <c r="O26" i="35"/>
  <c r="O71" i="44"/>
  <c r="O37" i="44"/>
  <c r="O35" i="46"/>
  <c r="O69" i="58"/>
  <c r="O63" i="58"/>
  <c r="O55" i="58"/>
  <c r="O40" i="65"/>
  <c r="O54" i="65"/>
  <c r="O71" i="65"/>
  <c r="O66" i="66"/>
  <c r="O72" i="66"/>
  <c r="O27" i="75"/>
  <c r="O29" i="75"/>
  <c r="O25" i="80"/>
  <c r="O34" i="80"/>
  <c r="O27" i="84"/>
  <c r="O39" i="84"/>
  <c r="O63" i="84"/>
  <c r="O51" i="86"/>
  <c r="O53" i="86"/>
  <c r="O21" i="87"/>
  <c r="O36" i="90"/>
  <c r="O43" i="90"/>
  <c r="O57" i="74"/>
  <c r="O32" i="78"/>
  <c r="O38" i="78"/>
  <c r="O48" i="84"/>
  <c r="O61" i="85"/>
  <c r="O72" i="86"/>
  <c r="O32" i="93"/>
  <c r="O38" i="93"/>
  <c r="O57" i="93"/>
  <c r="O54" i="94"/>
  <c r="O20" i="95"/>
  <c r="O68" i="95"/>
  <c r="O70" i="95"/>
  <c r="O31" i="96"/>
  <c r="O35" i="96"/>
  <c r="O52" i="96"/>
  <c r="O69" i="66"/>
  <c r="O29" i="68"/>
  <c r="O24" i="75"/>
  <c r="O63" i="75"/>
  <c r="O23" i="77"/>
  <c r="O67" i="78"/>
  <c r="O31" i="85"/>
  <c r="O38" i="85"/>
  <c r="O37" i="87"/>
  <c r="O72" i="88"/>
  <c r="O46" i="90"/>
  <c r="O27" i="94"/>
  <c r="O43" i="94"/>
  <c r="O25" i="86"/>
  <c r="O21" i="88"/>
  <c r="O40" i="88"/>
  <c r="O56" i="88"/>
  <c r="O55" i="89"/>
  <c r="O30" i="92"/>
  <c r="O44" i="93"/>
  <c r="O53" i="94"/>
  <c r="O62" i="94"/>
  <c r="O71" i="94"/>
  <c r="O30" i="95"/>
  <c r="O50" i="95"/>
  <c r="O52" i="95"/>
  <c r="O32" i="96"/>
  <c r="O36" i="96"/>
  <c r="O72" i="96"/>
  <c r="P116" i="23"/>
  <c r="P143" i="25"/>
  <c r="P115" i="25"/>
  <c r="P133" i="27"/>
  <c r="P146" i="28"/>
  <c r="P149" i="29"/>
  <c r="P125" i="29"/>
  <c r="P127" i="31"/>
  <c r="P113" i="31"/>
  <c r="P151" i="35"/>
  <c r="P147" i="35"/>
  <c r="P141" i="35"/>
  <c r="P122" i="39"/>
  <c r="P121" i="41"/>
  <c r="P153" i="57"/>
  <c r="P149" i="57"/>
  <c r="P139" i="57"/>
  <c r="P153" i="58"/>
  <c r="P149" i="58"/>
  <c r="P143" i="58"/>
  <c r="P133" i="58"/>
  <c r="P131" i="58"/>
  <c r="P121" i="58"/>
  <c r="P119" i="58"/>
  <c r="P105" i="58"/>
  <c r="P104" i="63"/>
  <c r="P110" i="63"/>
  <c r="P114" i="63"/>
  <c r="P116" i="63"/>
  <c r="P118" i="63"/>
  <c r="P120" i="63"/>
  <c r="P122" i="63"/>
  <c r="P124" i="63"/>
  <c r="P106" i="66"/>
  <c r="P108" i="66"/>
  <c r="P110" i="66"/>
  <c r="P112" i="66"/>
  <c r="P114" i="66"/>
  <c r="P120" i="66"/>
  <c r="P122" i="66"/>
  <c r="P124" i="66"/>
  <c r="P126" i="66"/>
  <c r="P110" i="68"/>
  <c r="P115" i="69"/>
  <c r="P122" i="70"/>
  <c r="P117" i="71"/>
  <c r="P129" i="71"/>
  <c r="P106" i="75"/>
  <c r="P110" i="75"/>
  <c r="P112" i="75"/>
  <c r="P114" i="75"/>
  <c r="P118" i="75"/>
  <c r="P124" i="75"/>
  <c r="P126" i="75"/>
  <c r="P128" i="75"/>
  <c r="P130" i="75"/>
  <c r="P104" i="77"/>
  <c r="P108" i="77"/>
  <c r="P110" i="77"/>
  <c r="P114" i="77"/>
  <c r="P118" i="77"/>
  <c r="P124" i="77"/>
  <c r="P102" i="78"/>
  <c r="P110" i="78"/>
  <c r="P114" i="78"/>
  <c r="P116" i="78"/>
  <c r="P118" i="78"/>
  <c r="P120" i="78"/>
  <c r="P119" i="79"/>
  <c r="P123" i="79"/>
  <c r="P125" i="79"/>
  <c r="P127" i="79"/>
  <c r="P129" i="79"/>
  <c r="P103" i="80"/>
  <c r="P113" i="80"/>
  <c r="P115" i="80"/>
  <c r="P117" i="80"/>
  <c r="P119" i="80"/>
  <c r="P121" i="80"/>
  <c r="P125" i="80"/>
  <c r="P127" i="80"/>
  <c r="P129" i="80"/>
  <c r="P101" i="81"/>
  <c r="P103" i="81"/>
  <c r="P105" i="81"/>
  <c r="P107" i="81"/>
  <c r="P113" i="81"/>
  <c r="P117" i="81"/>
  <c r="P119" i="81"/>
  <c r="P121" i="81"/>
  <c r="P123" i="81"/>
  <c r="P125" i="81"/>
  <c r="P105" i="82"/>
  <c r="P107" i="82"/>
  <c r="P109" i="82"/>
  <c r="P115" i="82"/>
  <c r="P117" i="82"/>
  <c r="P121" i="82"/>
  <c r="P123" i="82"/>
  <c r="P129" i="82"/>
  <c r="P102" i="83"/>
  <c r="P108" i="83"/>
  <c r="P124" i="83"/>
  <c r="P102" i="84"/>
  <c r="P118" i="84"/>
  <c r="P120" i="84"/>
  <c r="P122" i="84"/>
  <c r="P124" i="84"/>
  <c r="P126" i="84"/>
  <c r="P130" i="84"/>
  <c r="P100" i="86"/>
  <c r="P104" i="86"/>
  <c r="P106" i="86"/>
  <c r="P112" i="86"/>
  <c r="P121" i="87"/>
  <c r="P125" i="87"/>
  <c r="P105" i="88"/>
  <c r="P113" i="88"/>
  <c r="P125" i="88"/>
  <c r="P130" i="92"/>
  <c r="P100" i="93"/>
  <c r="P102" i="93"/>
  <c r="P104" i="93"/>
  <c r="P106" i="93"/>
  <c r="P108" i="93"/>
  <c r="P112" i="93"/>
  <c r="P114" i="93"/>
  <c r="P124" i="93"/>
  <c r="P130" i="93"/>
  <c r="P114" i="64"/>
  <c r="P106" i="76"/>
  <c r="P116" i="39"/>
  <c r="P112" i="39"/>
  <c r="P147" i="41"/>
  <c r="P137" i="41"/>
  <c r="P135" i="41"/>
  <c r="P125" i="46"/>
  <c r="P106" i="68"/>
  <c r="P108" i="68"/>
  <c r="P112" i="68"/>
  <c r="P114" i="68"/>
  <c r="P116" i="68"/>
  <c r="P118" i="68"/>
  <c r="P122" i="68"/>
  <c r="P110" i="70"/>
  <c r="P112" i="70"/>
  <c r="P114" i="70"/>
  <c r="P124" i="70"/>
  <c r="P126" i="70"/>
  <c r="P128" i="70"/>
  <c r="P119" i="71"/>
  <c r="P121" i="71"/>
  <c r="P123" i="71"/>
  <c r="P125" i="71"/>
  <c r="P112" i="77"/>
  <c r="P114" i="86"/>
  <c r="P116" i="86"/>
  <c r="P119" i="61"/>
  <c r="P121" i="61"/>
  <c r="P123" i="61"/>
  <c r="P125" i="61"/>
  <c r="P113" i="19"/>
  <c r="P142" i="23"/>
  <c r="P126" i="23"/>
  <c r="P147" i="25"/>
  <c r="P145" i="25"/>
  <c r="P139" i="25"/>
  <c r="P137" i="25"/>
  <c r="P131" i="25"/>
  <c r="P127" i="25"/>
  <c r="P125" i="25"/>
  <c r="P123" i="25"/>
  <c r="P121" i="25"/>
  <c r="P117" i="25"/>
  <c r="P113" i="25"/>
  <c r="P109" i="25"/>
  <c r="P107" i="25"/>
  <c r="P153" i="27"/>
  <c r="P149" i="27"/>
  <c r="P145" i="27"/>
  <c r="J92" i="29"/>
  <c r="J92" i="26"/>
  <c r="N87" i="26" s="1"/>
  <c r="J92" i="84"/>
  <c r="J92" i="96"/>
  <c r="M87" i="96" s="1"/>
  <c r="J92" i="59"/>
  <c r="L86" i="59" s="1"/>
  <c r="J92" i="45"/>
  <c r="M87" i="45" s="1"/>
  <c r="J92" i="55"/>
  <c r="M87" i="55" s="1"/>
  <c r="J92" i="20"/>
  <c r="N87" i="20" s="1"/>
  <c r="J92" i="57"/>
  <c r="M87" i="57" s="1"/>
  <c r="J92" i="41"/>
  <c r="J92" i="54"/>
  <c r="N87" i="54" s="1"/>
  <c r="J92" i="71"/>
  <c r="N87" i="71" s="1"/>
  <c r="J92" i="68"/>
  <c r="N87" i="68" s="1"/>
  <c r="J92" i="81"/>
  <c r="J92" i="83"/>
  <c r="N87" i="83" s="1"/>
  <c r="M19" i="2"/>
  <c r="J92" i="35"/>
  <c r="L86" i="35" s="1"/>
  <c r="J92" i="19"/>
  <c r="P107" i="80"/>
  <c r="M87" i="80"/>
  <c r="J92" i="63"/>
  <c r="N87" i="63" s="1"/>
  <c r="J92" i="53"/>
  <c r="N87" i="53" s="1"/>
  <c r="J92" i="22"/>
  <c r="J92" i="44"/>
  <c r="N87" i="44" s="1"/>
  <c r="J92" i="82"/>
  <c r="M87" i="82" s="1"/>
  <c r="J92" i="85"/>
  <c r="L86" i="85" s="1"/>
  <c r="J92" i="62"/>
  <c r="L86" i="62" s="1"/>
  <c r="J92" i="56"/>
  <c r="M87" i="56" s="1"/>
  <c r="J92" i="77"/>
  <c r="J92" i="32"/>
  <c r="J92" i="89"/>
  <c r="N87" i="89" s="1"/>
  <c r="P109" i="64"/>
  <c r="P113" i="64"/>
  <c r="P117" i="64"/>
  <c r="P119" i="64"/>
  <c r="P123" i="64"/>
  <c r="P125" i="64"/>
  <c r="P129" i="64"/>
  <c r="P141" i="27"/>
  <c r="P135" i="27"/>
  <c r="P123" i="27"/>
  <c r="P117" i="27"/>
  <c r="P115" i="27"/>
  <c r="P111" i="27"/>
  <c r="P152" i="28"/>
  <c r="P150" i="28"/>
  <c r="P142" i="28"/>
  <c r="P140" i="28"/>
  <c r="P138" i="28"/>
  <c r="P126" i="28"/>
  <c r="P153" i="29"/>
  <c r="P133" i="29"/>
  <c r="P131" i="29"/>
  <c r="P121" i="29"/>
  <c r="P119" i="29"/>
  <c r="P117" i="29"/>
  <c r="P115" i="29"/>
  <c r="P113" i="29"/>
  <c r="P111" i="29"/>
  <c r="P151" i="31"/>
  <c r="P149" i="31"/>
  <c r="P143" i="31"/>
  <c r="P141" i="31"/>
  <c r="P137" i="31"/>
  <c r="P129" i="31"/>
  <c r="P125" i="31"/>
  <c r="P123" i="31"/>
  <c r="P121" i="31"/>
  <c r="P119" i="31"/>
  <c r="P117" i="31"/>
  <c r="P154" i="32"/>
  <c r="P116" i="32"/>
  <c r="P114" i="32"/>
  <c r="P112" i="32"/>
  <c r="P127" i="61"/>
  <c r="P129" i="61"/>
  <c r="P107" i="62"/>
  <c r="P109" i="62"/>
  <c r="P111" i="62"/>
  <c r="P113" i="62"/>
  <c r="P115" i="62"/>
  <c r="P117" i="62"/>
  <c r="P119" i="62"/>
  <c r="P121" i="62"/>
  <c r="P127" i="62"/>
  <c r="P127" i="42"/>
  <c r="P121" i="54"/>
  <c r="P143" i="41"/>
  <c r="P131" i="41"/>
  <c r="P117" i="41"/>
  <c r="F48" i="2"/>
  <c r="F52" i="2" s="1"/>
  <c r="P105" i="65"/>
  <c r="P107" i="65"/>
  <c r="P109" i="65"/>
  <c r="P111" i="65"/>
  <c r="P119" i="65"/>
  <c r="P121" i="65"/>
  <c r="P123" i="65"/>
  <c r="P125" i="65"/>
  <c r="P127" i="65"/>
  <c r="P129" i="65"/>
  <c r="P125" i="67"/>
  <c r="P127" i="67"/>
  <c r="P106" i="74"/>
  <c r="P108" i="74"/>
  <c r="P110" i="74"/>
  <c r="P118" i="74"/>
  <c r="P128" i="74"/>
  <c r="P100" i="94"/>
  <c r="P102" i="94"/>
  <c r="P104" i="94"/>
  <c r="P106" i="94"/>
  <c r="P114" i="94"/>
  <c r="P116" i="94"/>
  <c r="P118" i="94"/>
  <c r="P120" i="94"/>
  <c r="P124" i="94"/>
  <c r="P130" i="94"/>
  <c r="P112" i="95"/>
  <c r="P116" i="95"/>
  <c r="P118" i="95"/>
  <c r="P124" i="95"/>
  <c r="P128" i="95"/>
  <c r="P130" i="95"/>
  <c r="P99" i="96"/>
  <c r="P101" i="96"/>
  <c r="P103" i="96"/>
  <c r="P107" i="96"/>
  <c r="P123" i="96"/>
  <c r="P152" i="3"/>
  <c r="P146" i="3"/>
  <c r="P144" i="3"/>
  <c r="P142" i="3"/>
  <c r="P140" i="3"/>
  <c r="P130" i="3"/>
  <c r="P128" i="3"/>
  <c r="P116" i="3"/>
  <c r="P110" i="3"/>
  <c r="P129" i="13"/>
  <c r="P127" i="13"/>
  <c r="P125" i="13"/>
  <c r="P123" i="13"/>
  <c r="P121" i="13"/>
  <c r="P99" i="13"/>
  <c r="P149" i="18"/>
  <c r="P135" i="18"/>
  <c r="P133" i="18"/>
  <c r="P131" i="18"/>
  <c r="P129" i="18"/>
  <c r="P127" i="18"/>
  <c r="P125" i="18"/>
  <c r="P119" i="18"/>
  <c r="P109" i="18"/>
  <c r="P129" i="24"/>
  <c r="P123" i="24"/>
  <c r="P117" i="24"/>
  <c r="P148" i="26"/>
  <c r="P146" i="26"/>
  <c r="P122" i="26"/>
  <c r="P154" i="30"/>
  <c r="P132" i="30"/>
  <c r="P130" i="30"/>
  <c r="P116" i="30"/>
  <c r="P153" i="33"/>
  <c r="P139" i="33"/>
  <c r="P137" i="33"/>
  <c r="P121" i="33"/>
  <c r="P113" i="33"/>
  <c r="P111" i="33"/>
  <c r="P101" i="33"/>
  <c r="P99" i="33"/>
  <c r="P149" i="34"/>
  <c r="P145" i="34"/>
  <c r="P143" i="34"/>
  <c r="P139" i="34"/>
  <c r="P131" i="34"/>
  <c r="P109" i="3"/>
  <c r="P104" i="13"/>
  <c r="P147" i="21"/>
  <c r="P135" i="21"/>
  <c r="P129" i="21"/>
  <c r="P111" i="21"/>
  <c r="P136" i="24"/>
  <c r="P134" i="24"/>
  <c r="P132" i="24"/>
  <c r="P118" i="24"/>
  <c r="P116" i="24"/>
  <c r="P139" i="26"/>
  <c r="P137" i="26"/>
  <c r="P133" i="26"/>
  <c r="P131" i="26"/>
  <c r="P129" i="26"/>
  <c r="P127" i="26"/>
  <c r="P111" i="26"/>
  <c r="P109" i="26"/>
  <c r="P103" i="26"/>
  <c r="P101" i="26"/>
  <c r="P135" i="35"/>
  <c r="P101" i="35"/>
  <c r="P153" i="41"/>
  <c r="P149" i="41"/>
  <c r="P141" i="41"/>
  <c r="P139" i="41"/>
  <c r="P133" i="41"/>
  <c r="P125" i="41"/>
  <c r="P119" i="41"/>
  <c r="P153" i="46"/>
  <c r="P111" i="46"/>
  <c r="P151" i="57"/>
  <c r="P151" i="58"/>
  <c r="P141" i="58"/>
  <c r="P137" i="58"/>
  <c r="P125" i="58"/>
  <c r="P123" i="58"/>
  <c r="P113" i="58"/>
  <c r="P109" i="58"/>
  <c r="P122" i="59"/>
  <c r="P130" i="59"/>
  <c r="P128" i="63"/>
  <c r="P130" i="63"/>
  <c r="P129" i="34"/>
  <c r="P119" i="34"/>
  <c r="P148" i="42"/>
  <c r="P122" i="42"/>
  <c r="P152" i="43"/>
  <c r="P150" i="43"/>
  <c r="P146" i="43"/>
  <c r="P140" i="43"/>
  <c r="P136" i="43"/>
  <c r="P130" i="43"/>
  <c r="P128" i="43"/>
  <c r="P126" i="43"/>
  <c r="P124" i="43"/>
  <c r="P122" i="43"/>
  <c r="P120" i="43"/>
  <c r="P118" i="43"/>
  <c r="P116" i="43"/>
  <c r="P114" i="43"/>
  <c r="P112" i="43"/>
  <c r="P110" i="43"/>
  <c r="P108" i="43"/>
  <c r="P145" i="44"/>
  <c r="P143" i="44"/>
  <c r="P137" i="44"/>
  <c r="P133" i="44"/>
  <c r="P127" i="44"/>
  <c r="P125" i="44"/>
  <c r="P123" i="44"/>
  <c r="P121" i="44"/>
  <c r="P119" i="44"/>
  <c r="P107" i="44"/>
  <c r="P143" i="45"/>
  <c r="P141" i="45"/>
  <c r="P139" i="45"/>
  <c r="P137" i="45"/>
  <c r="P135" i="45"/>
  <c r="P133" i="45"/>
  <c r="P131" i="45"/>
  <c r="P129" i="45"/>
  <c r="P127" i="45"/>
  <c r="P125" i="45"/>
  <c r="P123" i="45"/>
  <c r="P121" i="45"/>
  <c r="P119" i="45"/>
  <c r="P117" i="45"/>
  <c r="P115" i="45"/>
  <c r="P113" i="45"/>
  <c r="P111" i="45"/>
  <c r="P109" i="45"/>
  <c r="P107" i="45"/>
  <c r="P118" i="54"/>
  <c r="P116" i="54"/>
  <c r="P114" i="54"/>
  <c r="P112" i="54"/>
  <c r="P110" i="54"/>
  <c r="P106" i="54"/>
  <c r="P154" i="55"/>
  <c r="P126" i="55"/>
  <c r="P124" i="55"/>
  <c r="P122" i="55"/>
  <c r="P120" i="55"/>
  <c r="P118" i="55"/>
  <c r="P116" i="55"/>
  <c r="P114" i="55"/>
  <c r="P112" i="55"/>
  <c r="P110" i="55"/>
  <c r="P108" i="55"/>
  <c r="P106" i="55"/>
  <c r="P145" i="56"/>
  <c r="P133" i="56"/>
  <c r="P129" i="56"/>
  <c r="P121" i="56"/>
  <c r="P105" i="60"/>
  <c r="P107" i="60"/>
  <c r="P113" i="60"/>
  <c r="P105" i="61"/>
  <c r="P107" i="61"/>
  <c r="P109" i="61"/>
  <c r="P111" i="61"/>
  <c r="P113" i="61"/>
  <c r="P115" i="61"/>
  <c r="P103" i="67"/>
  <c r="P106" i="95"/>
  <c r="P120" i="95"/>
  <c r="P111" i="96"/>
  <c r="P126" i="3"/>
  <c r="P117" i="18"/>
  <c r="P138" i="21"/>
  <c r="P114" i="21"/>
  <c r="P128" i="22"/>
  <c r="P113" i="23"/>
  <c r="P151" i="24"/>
  <c r="P149" i="24"/>
  <c r="P139" i="24"/>
  <c r="P137" i="24"/>
  <c r="P135" i="24"/>
  <c r="P154" i="25"/>
  <c r="P152" i="25"/>
  <c r="P106" i="25"/>
  <c r="P102" i="25"/>
  <c r="P100" i="25"/>
  <c r="P154" i="27"/>
  <c r="P152" i="27"/>
  <c r="P150" i="27"/>
  <c r="P148" i="27"/>
  <c r="P146" i="27"/>
  <c r="P144" i="27"/>
  <c r="P142" i="27"/>
  <c r="P126" i="27"/>
  <c r="P124" i="27"/>
  <c r="P143" i="57"/>
  <c r="P137" i="57"/>
  <c r="P135" i="57"/>
  <c r="P133" i="57"/>
  <c r="P131" i="57"/>
  <c r="P127" i="57"/>
  <c r="P117" i="57"/>
  <c r="P113" i="57"/>
  <c r="P107" i="57"/>
  <c r="P105" i="57"/>
  <c r="P107" i="58"/>
  <c r="P120" i="27"/>
  <c r="P116" i="27"/>
  <c r="P145" i="28"/>
  <c r="P143" i="28"/>
  <c r="P137" i="28"/>
  <c r="P135" i="28"/>
  <c r="P133" i="28"/>
  <c r="P125" i="28"/>
  <c r="P123" i="28"/>
  <c r="P121" i="28"/>
  <c r="P119" i="28"/>
  <c r="P117" i="28"/>
  <c r="P115" i="28"/>
  <c r="P113" i="28"/>
  <c r="P154" i="29"/>
  <c r="P144" i="29"/>
  <c r="P140" i="29"/>
  <c r="P130" i="29"/>
  <c r="P128" i="29"/>
  <c r="P126" i="29"/>
  <c r="P124" i="29"/>
  <c r="P120" i="29"/>
  <c r="P116" i="29"/>
  <c r="P114" i="29"/>
  <c r="P112" i="29"/>
  <c r="P150" i="31"/>
  <c r="P148" i="31"/>
  <c r="P146" i="31"/>
  <c r="P142" i="31"/>
  <c r="P140" i="31"/>
  <c r="P138" i="31"/>
  <c r="P112" i="31"/>
  <c r="P137" i="32"/>
  <c r="P127" i="32"/>
  <c r="P119" i="32"/>
  <c r="P119" i="33"/>
  <c r="P152" i="35"/>
  <c r="P140" i="35"/>
  <c r="P138" i="35"/>
  <c r="P120" i="35"/>
  <c r="P118" i="35"/>
  <c r="P153" i="39"/>
  <c r="P151" i="39"/>
  <c r="P149" i="39"/>
  <c r="P147" i="39"/>
  <c r="P145" i="39"/>
  <c r="P143" i="39"/>
  <c r="P141" i="39"/>
  <c r="P139" i="39"/>
  <c r="P137" i="39"/>
  <c r="P131" i="39"/>
  <c r="P129" i="39"/>
  <c r="P123" i="39"/>
  <c r="P119" i="39"/>
  <c r="P115" i="39"/>
  <c r="P113" i="39"/>
  <c r="P111" i="39"/>
  <c r="P109" i="39"/>
  <c r="P152" i="41"/>
  <c r="P150" i="41"/>
  <c r="P146" i="41"/>
  <c r="P144" i="41"/>
  <c r="P140" i="41"/>
  <c r="P136" i="41"/>
  <c r="P134" i="41"/>
  <c r="P132" i="41"/>
  <c r="P130" i="41"/>
  <c r="P128" i="41"/>
  <c r="P126" i="41"/>
  <c r="P124" i="41"/>
  <c r="P122" i="41"/>
  <c r="P120" i="41"/>
  <c r="P118" i="41"/>
  <c r="P116" i="41"/>
  <c r="P110" i="41"/>
  <c r="P108" i="41"/>
  <c r="P141" i="44"/>
  <c r="P154" i="46"/>
  <c r="P152" i="46"/>
  <c r="P150" i="46"/>
  <c r="P146" i="46"/>
  <c r="P142" i="46"/>
  <c r="P134" i="46"/>
  <c r="P126" i="46"/>
  <c r="P122" i="46"/>
  <c r="P116" i="46"/>
  <c r="P147" i="53"/>
  <c r="P145" i="53"/>
  <c r="P141" i="53"/>
  <c r="P135" i="53"/>
  <c r="P133" i="53"/>
  <c r="P129" i="53"/>
  <c r="P127" i="53"/>
  <c r="P121" i="53"/>
  <c r="P119" i="53"/>
  <c r="P117" i="53"/>
  <c r="P111" i="53"/>
  <c r="P107" i="53"/>
  <c r="P149" i="56"/>
  <c r="P147" i="56"/>
  <c r="P137" i="56"/>
  <c r="P154" i="57"/>
  <c r="P122" i="57"/>
  <c r="P110" i="57"/>
  <c r="P128" i="58"/>
  <c r="P118" i="58"/>
  <c r="P112" i="58"/>
  <c r="P106" i="58"/>
  <c r="P109" i="59"/>
  <c r="P117" i="59"/>
  <c r="P123" i="59"/>
  <c r="P129" i="59"/>
  <c r="P123" i="62"/>
  <c r="P113" i="66"/>
  <c r="P121" i="66"/>
  <c r="P115" i="68"/>
  <c r="P117" i="68"/>
  <c r="P112" i="69"/>
  <c r="P114" i="69"/>
  <c r="P116" i="69"/>
  <c r="P118" i="69"/>
  <c r="P120" i="69"/>
  <c r="P128" i="69"/>
  <c r="P111" i="70"/>
  <c r="P115" i="70"/>
  <c r="P117" i="70"/>
  <c r="P121" i="70"/>
  <c r="P123" i="70"/>
  <c r="P125" i="70"/>
  <c r="P114" i="71"/>
  <c r="P122" i="71"/>
  <c r="P124" i="71"/>
  <c r="P130" i="71"/>
  <c r="P113" i="72"/>
  <c r="P119" i="72"/>
  <c r="P121" i="72"/>
  <c r="P127" i="72"/>
  <c r="P129" i="72"/>
  <c r="P107" i="73"/>
  <c r="P109" i="73"/>
  <c r="P111" i="73"/>
  <c r="P113" i="73"/>
  <c r="P117" i="73"/>
  <c r="P125" i="73"/>
  <c r="P107" i="75"/>
  <c r="P117" i="75"/>
  <c r="P119" i="75"/>
  <c r="P121" i="75"/>
  <c r="P129" i="75"/>
  <c r="P103" i="76"/>
  <c r="P105" i="76"/>
  <c r="P113" i="76"/>
  <c r="P119" i="76"/>
  <c r="P123" i="76"/>
  <c r="P129" i="76"/>
  <c r="P105" i="77"/>
  <c r="P129" i="77"/>
  <c r="P107" i="78"/>
  <c r="P125" i="78"/>
  <c r="P129" i="78"/>
  <c r="P102" i="79"/>
  <c r="P104" i="79"/>
  <c r="P112" i="79"/>
  <c r="P118" i="79"/>
  <c r="P120" i="79"/>
  <c r="P102" i="80"/>
  <c r="P104" i="80"/>
  <c r="P106" i="80"/>
  <c r="P108" i="80"/>
  <c r="P110" i="80"/>
  <c r="P120" i="80"/>
  <c r="P124" i="80"/>
  <c r="P128" i="80"/>
  <c r="P130" i="80"/>
  <c r="P102" i="81"/>
  <c r="P104" i="81"/>
  <c r="P106" i="81"/>
  <c r="P114" i="81"/>
  <c r="P118" i="81"/>
  <c r="P120" i="82"/>
  <c r="P128" i="82"/>
  <c r="P130" i="82"/>
  <c r="P101" i="83"/>
  <c r="P103" i="83"/>
  <c r="P105" i="83"/>
  <c r="P113" i="83"/>
  <c r="P121" i="83"/>
  <c r="P123" i="83"/>
  <c r="P125" i="83"/>
  <c r="P127" i="83"/>
  <c r="P111" i="84"/>
  <c r="P113" i="84"/>
  <c r="P121" i="84"/>
  <c r="P125" i="84"/>
  <c r="P127" i="84"/>
  <c r="P129" i="84"/>
  <c r="P102" i="85"/>
  <c r="P104" i="85"/>
  <c r="P114" i="85"/>
  <c r="P116" i="85"/>
  <c r="P120" i="85"/>
  <c r="P126" i="85"/>
  <c r="P128" i="85"/>
  <c r="P107" i="86"/>
  <c r="P113" i="86"/>
  <c r="P117" i="86"/>
  <c r="P127" i="86"/>
  <c r="P104" i="87"/>
  <c r="P106" i="87"/>
  <c r="P100" i="88"/>
  <c r="P104" i="88"/>
  <c r="P108" i="88"/>
  <c r="P110" i="88"/>
  <c r="P112" i="88"/>
  <c r="P118" i="88"/>
  <c r="P120" i="88"/>
  <c r="P126" i="88"/>
  <c r="P128" i="88"/>
  <c r="P100" i="89"/>
  <c r="P104" i="89"/>
  <c r="P106" i="89"/>
  <c r="P110" i="89"/>
  <c r="P112" i="89"/>
  <c r="P114" i="89"/>
  <c r="P116" i="89"/>
  <c r="P120" i="89"/>
  <c r="P124" i="89"/>
  <c r="P101" i="90"/>
  <c r="P103" i="90"/>
  <c r="P107" i="90"/>
  <c r="P111" i="90"/>
  <c r="P113" i="90"/>
  <c r="P115" i="90"/>
  <c r="P117" i="90"/>
  <c r="P119" i="90"/>
  <c r="P121" i="90"/>
  <c r="P125" i="90"/>
  <c r="P127" i="90"/>
  <c r="P129" i="90"/>
  <c r="P107" i="91"/>
  <c r="P109" i="91"/>
  <c r="P111" i="91"/>
  <c r="P127" i="91"/>
  <c r="P129" i="91"/>
  <c r="P103" i="92"/>
  <c r="P117" i="92"/>
  <c r="P125" i="92"/>
  <c r="P99" i="93"/>
  <c r="P101" i="93"/>
  <c r="P105" i="93"/>
  <c r="P109" i="93"/>
  <c r="P111" i="93"/>
  <c r="P113" i="93"/>
  <c r="P121" i="93"/>
  <c r="P125" i="93"/>
  <c r="P154" i="17"/>
  <c r="P144" i="17"/>
  <c r="P142" i="17"/>
  <c r="P124" i="17"/>
  <c r="P120" i="17"/>
  <c r="P118" i="17"/>
  <c r="P153" i="19"/>
  <c r="P151" i="19"/>
  <c r="P149" i="19"/>
  <c r="P147" i="19"/>
  <c r="P143" i="19"/>
  <c r="P141" i="19"/>
  <c r="P139" i="19"/>
  <c r="P137" i="19"/>
  <c r="P119" i="19"/>
  <c r="P111" i="19"/>
  <c r="P148" i="20"/>
  <c r="P142" i="20"/>
  <c r="P136" i="20"/>
  <c r="P132" i="20"/>
  <c r="P117" i="22"/>
  <c r="P152" i="23"/>
  <c r="P150" i="23"/>
  <c r="P146" i="23"/>
  <c r="P104" i="66"/>
  <c r="P104" i="78"/>
  <c r="P145" i="3"/>
  <c r="P143" i="3"/>
  <c r="P137" i="3"/>
  <c r="P122" i="18"/>
  <c r="P127" i="21"/>
  <c r="P125" i="21"/>
  <c r="P121" i="21"/>
  <c r="P150" i="24"/>
  <c r="P112" i="24"/>
  <c r="P110" i="24"/>
  <c r="P147" i="30"/>
  <c r="P145" i="30"/>
  <c r="P125" i="30"/>
  <c r="P123" i="30"/>
  <c r="P121" i="30"/>
  <c r="P113" i="30"/>
  <c r="P102" i="33"/>
  <c r="P152" i="34"/>
  <c r="P144" i="34"/>
  <c r="P132" i="34"/>
  <c r="P130" i="34"/>
  <c r="P126" i="34"/>
  <c r="P124" i="34"/>
  <c r="P122" i="34"/>
  <c r="P110" i="34"/>
  <c r="P151" i="43"/>
  <c r="P149" i="43"/>
  <c r="P147" i="43"/>
  <c r="P145" i="43"/>
  <c r="P141" i="43"/>
  <c r="P123" i="43"/>
  <c r="P121" i="43"/>
  <c r="P119" i="43"/>
  <c r="P115" i="43"/>
  <c r="P113" i="43"/>
  <c r="P111" i="43"/>
  <c r="P107" i="43"/>
  <c r="P154" i="44"/>
  <c r="P152" i="44"/>
  <c r="P150" i="44"/>
  <c r="P142" i="44"/>
  <c r="P140" i="44"/>
  <c r="P136" i="44"/>
  <c r="P132" i="44"/>
  <c r="P112" i="44"/>
  <c r="P110" i="44"/>
  <c r="P112" i="45"/>
  <c r="P119" i="54"/>
  <c r="P108" i="60"/>
  <c r="P104" i="61"/>
  <c r="P102" i="96"/>
  <c r="P112" i="78"/>
  <c r="P122" i="78"/>
  <c r="P124" i="78"/>
  <c r="P105" i="80"/>
  <c r="P140" i="23"/>
  <c r="P138" i="23"/>
  <c r="P136" i="23"/>
  <c r="P134" i="23"/>
  <c r="P141" i="25"/>
  <c r="P111" i="25"/>
  <c r="P143" i="27"/>
  <c r="P147" i="29"/>
  <c r="P145" i="29"/>
  <c r="P137" i="29"/>
  <c r="P135" i="29"/>
  <c r="P123" i="29"/>
  <c r="P152" i="32"/>
  <c r="P144" i="32"/>
  <c r="P142" i="32"/>
  <c r="P136" i="32"/>
  <c r="P134" i="32"/>
  <c r="P132" i="32"/>
  <c r="P130" i="32"/>
  <c r="P128" i="32"/>
  <c r="P123" i="46"/>
  <c r="P119" i="46"/>
  <c r="P117" i="46"/>
  <c r="P115" i="46"/>
  <c r="P113" i="46"/>
  <c r="P109" i="46"/>
  <c r="P107" i="46"/>
  <c r="P105" i="46"/>
  <c r="P130" i="68"/>
  <c r="P108" i="78"/>
  <c r="J94" i="44"/>
  <c r="J95" i="44" s="1"/>
  <c r="P151" i="42"/>
  <c r="P149" i="42"/>
  <c r="P147" i="42"/>
  <c r="P145" i="42"/>
  <c r="P143" i="42"/>
  <c r="P141" i="42"/>
  <c r="P139" i="42"/>
  <c r="P137" i="42"/>
  <c r="P135" i="42"/>
  <c r="P133" i="42"/>
  <c r="P131" i="42"/>
  <c r="P125" i="42"/>
  <c r="P119" i="42"/>
  <c r="P115" i="42"/>
  <c r="P113" i="42"/>
  <c r="P111" i="42"/>
  <c r="P109" i="42"/>
  <c r="P107" i="42"/>
  <c r="P152" i="45"/>
  <c r="P146" i="45"/>
  <c r="P142" i="45"/>
  <c r="P140" i="45"/>
  <c r="P138" i="45"/>
  <c r="P136" i="45"/>
  <c r="P134" i="45"/>
  <c r="P132" i="45"/>
  <c r="P130" i="45"/>
  <c r="P128" i="45"/>
  <c r="P126" i="45"/>
  <c r="P124" i="45"/>
  <c r="P122" i="45"/>
  <c r="P120" i="45"/>
  <c r="P118" i="45"/>
  <c r="P116" i="45"/>
  <c r="P114" i="45"/>
  <c r="P110" i="45"/>
  <c r="P108" i="45"/>
  <c r="P106" i="45"/>
  <c r="P153" i="54"/>
  <c r="P143" i="54"/>
  <c r="P141" i="54"/>
  <c r="P135" i="54"/>
  <c r="P133" i="54"/>
  <c r="P123" i="54"/>
  <c r="P109" i="54"/>
  <c r="P107" i="54"/>
  <c r="P105" i="54"/>
  <c r="J94" i="95"/>
  <c r="J95" i="95" s="1"/>
  <c r="J94" i="53"/>
  <c r="J95" i="53" s="1"/>
  <c r="P114" i="17"/>
  <c r="P149" i="25"/>
  <c r="P133" i="25"/>
  <c r="P131" i="31"/>
  <c r="P149" i="35"/>
  <c r="P143" i="35"/>
  <c r="J94" i="63"/>
  <c r="J95" i="63" s="1"/>
  <c r="J94" i="23"/>
  <c r="J95" i="23" s="1"/>
  <c r="J94" i="93"/>
  <c r="J95" i="93" s="1"/>
  <c r="J94" i="64"/>
  <c r="J95" i="64" s="1"/>
  <c r="J94" i="83"/>
  <c r="J95" i="83" s="1"/>
  <c r="J94" i="45"/>
  <c r="J95" i="45" s="1"/>
  <c r="J94" i="78"/>
  <c r="J95" i="78" s="1"/>
  <c r="J94" i="66"/>
  <c r="J95" i="66" s="1"/>
  <c r="J94" i="32"/>
  <c r="J95" i="32" s="1"/>
  <c r="J94" i="13"/>
  <c r="J95" i="13" s="1"/>
  <c r="J94" i="19"/>
  <c r="J95" i="19" s="1"/>
  <c r="J94" i="35"/>
  <c r="J95" i="35" s="1"/>
  <c r="J94" i="60"/>
  <c r="J95" i="60" s="1"/>
  <c r="J94" i="75"/>
  <c r="J95" i="75" s="1"/>
  <c r="P138" i="17"/>
  <c r="P145" i="46"/>
  <c r="P139" i="46"/>
  <c r="P137" i="46"/>
  <c r="P135" i="46"/>
  <c r="P131" i="46"/>
  <c r="J94" i="96"/>
  <c r="J95" i="96" s="1"/>
  <c r="J94" i="72"/>
  <c r="J95" i="72" s="1"/>
  <c r="J94" i="85"/>
  <c r="J94" i="69"/>
  <c r="J95" i="69" s="1"/>
  <c r="J94" i="94"/>
  <c r="J95" i="94" s="1"/>
  <c r="J94" i="26"/>
  <c r="J95" i="26" s="1"/>
  <c r="J94" i="67"/>
  <c r="J95" i="67" s="1"/>
  <c r="J94" i="41"/>
  <c r="J95" i="41" s="1"/>
  <c r="J94" i="76"/>
  <c r="J95" i="76" s="1"/>
  <c r="J94" i="27"/>
  <c r="J95" i="27" s="1"/>
  <c r="J94" i="62"/>
  <c r="J95" i="62" s="1"/>
  <c r="J94" i="17"/>
  <c r="J95" i="17" s="1"/>
  <c r="J94" i="87"/>
  <c r="J95" i="87" s="1"/>
  <c r="P138" i="3"/>
  <c r="P136" i="3"/>
  <c r="P134" i="3"/>
  <c r="P132" i="3"/>
  <c r="P118" i="3"/>
  <c r="P108" i="3"/>
  <c r="P151" i="18"/>
  <c r="C62" i="2"/>
  <c r="F17" i="2"/>
  <c r="P147" i="17"/>
  <c r="P117" i="17"/>
  <c r="P113" i="17"/>
  <c r="P136" i="19"/>
  <c r="P116" i="19"/>
  <c r="P153" i="20"/>
  <c r="P134" i="22"/>
  <c r="N87" i="45"/>
  <c r="M87" i="53"/>
  <c r="O87" i="53" s="1"/>
  <c r="J92" i="87"/>
  <c r="M87" i="87" s="1"/>
  <c r="J92" i="34"/>
  <c r="N87" i="34" s="1"/>
  <c r="J92" i="78"/>
  <c r="N87" i="78" s="1"/>
  <c r="J92" i="25"/>
  <c r="M87" i="25" s="1"/>
  <c r="J92" i="31"/>
  <c r="L86" i="31" s="1"/>
  <c r="J92" i="75"/>
  <c r="N87" i="75" s="1"/>
  <c r="J92" i="64"/>
  <c r="L86" i="64" s="1"/>
  <c r="J92" i="27"/>
  <c r="M87" i="27" s="1"/>
  <c r="J92" i="76"/>
  <c r="M87" i="76" s="1"/>
  <c r="J92" i="28"/>
  <c r="M87" i="28" s="1"/>
  <c r="J92" i="95"/>
  <c r="M87" i="95" s="1"/>
  <c r="J92" i="66"/>
  <c r="L86" i="66" s="1"/>
  <c r="J92" i="86"/>
  <c r="M87" i="86" s="1"/>
  <c r="J92" i="93"/>
  <c r="M87" i="93" s="1"/>
  <c r="J92" i="65"/>
  <c r="L86" i="65" s="1"/>
  <c r="J92" i="70"/>
  <c r="N87" i="70" s="1"/>
  <c r="J92" i="94"/>
  <c r="M87" i="94" s="1"/>
  <c r="J92" i="43"/>
  <c r="M87" i="43" s="1"/>
  <c r="J92" i="69"/>
  <c r="N87" i="69" s="1"/>
  <c r="C79" i="2"/>
  <c r="C22" i="2"/>
  <c r="C59" i="2"/>
  <c r="C80" i="2"/>
  <c r="F14" i="2"/>
  <c r="E19" i="2" s="1"/>
  <c r="P109" i="81"/>
  <c r="P127" i="81"/>
  <c r="C73" i="2"/>
  <c r="C14" i="2"/>
  <c r="C61" i="2"/>
  <c r="C39" i="2"/>
  <c r="P153" i="17"/>
  <c r="P151" i="17"/>
  <c r="P133" i="17"/>
  <c r="P115" i="17"/>
  <c r="P134" i="19"/>
  <c r="P112" i="19"/>
  <c r="P149" i="20"/>
  <c r="P154" i="22"/>
  <c r="P136" i="22"/>
  <c r="P126" i="22"/>
  <c r="P118" i="22"/>
  <c r="P110" i="22"/>
  <c r="M87" i="26"/>
  <c r="N87" i="18"/>
  <c r="O87" i="18" s="1"/>
  <c r="J92" i="61"/>
  <c r="N87" i="61" s="1"/>
  <c r="J92" i="79"/>
  <c r="L86" i="79" s="1"/>
  <c r="J92" i="23"/>
  <c r="M87" i="23" s="1"/>
  <c r="J92" i="46"/>
  <c r="M87" i="46" s="1"/>
  <c r="J92" i="67"/>
  <c r="L86" i="67" s="1"/>
  <c r="J92" i="58"/>
  <c r="M87" i="58" s="1"/>
  <c r="J92" i="60"/>
  <c r="L86" i="60" s="1"/>
  <c r="J92" i="33"/>
  <c r="L86" i="33" s="1"/>
  <c r="J92" i="88"/>
  <c r="M87" i="88" s="1"/>
  <c r="J92" i="3"/>
  <c r="M87" i="3" s="1"/>
  <c r="J92" i="17"/>
  <c r="L86" i="17" s="1"/>
  <c r="J92" i="21"/>
  <c r="N87" i="21" s="1"/>
  <c r="J92" i="90"/>
  <c r="M87" i="90" s="1"/>
  <c r="J92" i="74"/>
  <c r="J92" i="39"/>
  <c r="L86" i="39" s="1"/>
  <c r="J92" i="24"/>
  <c r="C28" i="2"/>
  <c r="C50" i="2"/>
  <c r="C56" i="2"/>
  <c r="C77" i="2"/>
  <c r="P111" i="58"/>
  <c r="P116" i="60"/>
  <c r="P118" i="60"/>
  <c r="P120" i="60"/>
  <c r="P122" i="60"/>
  <c r="P128" i="60"/>
  <c r="P106" i="61"/>
  <c r="P108" i="61"/>
  <c r="P114" i="61"/>
  <c r="P116" i="61"/>
  <c r="P118" i="61"/>
  <c r="P122" i="61"/>
  <c r="P108" i="62"/>
  <c r="P110" i="62"/>
  <c r="P112" i="62"/>
  <c r="P114" i="62"/>
  <c r="P116" i="62"/>
  <c r="P120" i="62"/>
  <c r="P122" i="62"/>
  <c r="P124" i="62"/>
  <c r="P128" i="62"/>
  <c r="P112" i="64"/>
  <c r="P116" i="64"/>
  <c r="P104" i="65"/>
  <c r="P120" i="65"/>
  <c r="P122" i="65"/>
  <c r="P104" i="67"/>
  <c r="P106" i="67"/>
  <c r="P114" i="67"/>
  <c r="P116" i="67"/>
  <c r="P120" i="67"/>
  <c r="P122" i="67"/>
  <c r="P124" i="67"/>
  <c r="P108" i="72"/>
  <c r="P110" i="72"/>
  <c r="P116" i="72"/>
  <c r="P120" i="72"/>
  <c r="P124" i="72"/>
  <c r="P126" i="72"/>
  <c r="P108" i="73"/>
  <c r="P112" i="73"/>
  <c r="P116" i="73"/>
  <c r="P118" i="73"/>
  <c r="P120" i="73"/>
  <c r="P122" i="73"/>
  <c r="P124" i="73"/>
  <c r="P128" i="73"/>
  <c r="P102" i="76"/>
  <c r="P108" i="76"/>
  <c r="P110" i="76"/>
  <c r="P112" i="76"/>
  <c r="P114" i="76"/>
  <c r="P122" i="76"/>
  <c r="P124" i="76"/>
  <c r="P126" i="76"/>
  <c r="P128" i="76"/>
  <c r="P130" i="76"/>
  <c r="P103" i="85"/>
  <c r="P107" i="85"/>
  <c r="P113" i="85"/>
  <c r="P127" i="85"/>
  <c r="P129" i="85"/>
  <c r="P107" i="89"/>
  <c r="P109" i="89"/>
  <c r="P111" i="89"/>
  <c r="P113" i="89"/>
  <c r="P117" i="89"/>
  <c r="P127" i="89"/>
  <c r="P100" i="90"/>
  <c r="P108" i="90"/>
  <c r="P110" i="90"/>
  <c r="P122" i="90"/>
  <c r="P128" i="90"/>
  <c r="P112" i="96"/>
  <c r="P114" i="96"/>
  <c r="P122" i="96"/>
  <c r="P128" i="96"/>
  <c r="P115" i="79"/>
  <c r="P129" i="88"/>
  <c r="P105" i="25"/>
  <c r="P154" i="28"/>
  <c r="P154" i="53"/>
  <c r="P152" i="53"/>
  <c r="P150" i="53"/>
  <c r="P148" i="53"/>
  <c r="P146" i="53"/>
  <c r="P144" i="53"/>
  <c r="P140" i="53"/>
  <c r="P138" i="53"/>
  <c r="P134" i="53"/>
  <c r="P132" i="53"/>
  <c r="P130" i="53"/>
  <c r="P128" i="53"/>
  <c r="P126" i="53"/>
  <c r="P124" i="53"/>
  <c r="P121" i="59"/>
  <c r="P105" i="68"/>
  <c r="P119" i="70"/>
  <c r="P126" i="71"/>
  <c r="P102" i="88"/>
  <c r="P147" i="3"/>
  <c r="P123" i="3"/>
  <c r="P113" i="3"/>
  <c r="P126" i="13"/>
  <c r="P110" i="13"/>
  <c r="P102" i="13"/>
  <c r="P154" i="18"/>
  <c r="P146" i="18"/>
  <c r="P132" i="18"/>
  <c r="P112" i="18"/>
  <c r="P137" i="21"/>
  <c r="P123" i="21"/>
  <c r="P119" i="21"/>
  <c r="P111" i="23"/>
  <c r="P134" i="25"/>
  <c r="P110" i="71"/>
  <c r="P120" i="71"/>
  <c r="P109" i="75"/>
  <c r="P116" i="81"/>
  <c r="P123" i="84"/>
  <c r="P111" i="86"/>
  <c r="P116" i="87"/>
  <c r="P113" i="92"/>
  <c r="N87" i="42"/>
  <c r="L86" i="42"/>
  <c r="M87" i="42"/>
  <c r="N87" i="30"/>
  <c r="M87" i="30"/>
  <c r="L86" i="30"/>
  <c r="M87" i="81"/>
  <c r="L86" i="81"/>
  <c r="N87" i="81"/>
  <c r="M87" i="13"/>
  <c r="N87" i="13"/>
  <c r="P117" i="3"/>
  <c r="P128" i="13"/>
  <c r="P124" i="13"/>
  <c r="P116" i="13"/>
  <c r="P136" i="18"/>
  <c r="P130" i="18"/>
  <c r="P114" i="18"/>
  <c r="P133" i="21"/>
  <c r="P117" i="21"/>
  <c r="P132" i="25"/>
  <c r="P126" i="25"/>
  <c r="P107" i="63"/>
  <c r="P126" i="80"/>
  <c r="P133" i="35"/>
  <c r="P129" i="35"/>
  <c r="P123" i="35"/>
  <c r="P121" i="35"/>
  <c r="P115" i="35"/>
  <c r="P113" i="35"/>
  <c r="P111" i="35"/>
  <c r="P109" i="35"/>
  <c r="P107" i="35"/>
  <c r="P105" i="35"/>
  <c r="P145" i="17"/>
  <c r="P125" i="17"/>
  <c r="P154" i="19"/>
  <c r="P150" i="19"/>
  <c r="P142" i="19"/>
  <c r="P115" i="20"/>
  <c r="P113" i="20"/>
  <c r="P122" i="53"/>
  <c r="M87" i="72"/>
  <c r="O87" i="72" s="1"/>
  <c r="L86" i="72"/>
  <c r="L86" i="91"/>
  <c r="N87" i="91"/>
  <c r="O87" i="91" s="1"/>
  <c r="L86" i="92"/>
  <c r="N87" i="92"/>
  <c r="N87" i="19"/>
  <c r="M87" i="19"/>
  <c r="L86" i="19"/>
  <c r="N87" i="85"/>
  <c r="M87" i="85"/>
  <c r="N87" i="32"/>
  <c r="M87" i="32"/>
  <c r="L86" i="32"/>
  <c r="L86" i="45"/>
  <c r="M87" i="41"/>
  <c r="N87" i="41"/>
  <c r="P153" i="53"/>
  <c r="P151" i="53"/>
  <c r="P149" i="53"/>
  <c r="P143" i="53"/>
  <c r="P139" i="53"/>
  <c r="P137" i="53"/>
  <c r="P131" i="53"/>
  <c r="P125" i="53"/>
  <c r="P123" i="53"/>
  <c r="P115" i="53"/>
  <c r="P113" i="53"/>
  <c r="P109" i="53"/>
  <c r="P105" i="53"/>
  <c r="P154" i="58"/>
  <c r="P152" i="58"/>
  <c r="P150" i="58"/>
  <c r="P148" i="58"/>
  <c r="P146" i="58"/>
  <c r="P144" i="58"/>
  <c r="P142" i="58"/>
  <c r="P140" i="58"/>
  <c r="P138" i="58"/>
  <c r="P132" i="58"/>
  <c r="P126" i="58"/>
  <c r="P122" i="58"/>
  <c r="P120" i="58"/>
  <c r="P114" i="58"/>
  <c r="P110" i="58"/>
  <c r="P108" i="58"/>
  <c r="P109" i="63"/>
  <c r="P111" i="63"/>
  <c r="P115" i="63"/>
  <c r="P117" i="63"/>
  <c r="P119" i="63"/>
  <c r="P125" i="63"/>
  <c r="P129" i="63"/>
  <c r="P112" i="17"/>
  <c r="P114" i="24"/>
  <c r="P118" i="71"/>
  <c r="P128" i="81"/>
  <c r="P121" i="86"/>
  <c r="P129" i="92"/>
  <c r="P117" i="13"/>
  <c r="P113" i="13"/>
  <c r="P111" i="13"/>
  <c r="P109" i="13"/>
  <c r="P153" i="18"/>
  <c r="P147" i="18"/>
  <c r="P137" i="18"/>
  <c r="P123" i="18"/>
  <c r="P135" i="26"/>
  <c r="P115" i="26"/>
  <c r="P113" i="26"/>
  <c r="P107" i="26"/>
  <c r="P105" i="26"/>
  <c r="P151" i="54"/>
  <c r="P149" i="54"/>
  <c r="P147" i="54"/>
  <c r="P145" i="54"/>
  <c r="P139" i="54"/>
  <c r="P137" i="54"/>
  <c r="P131" i="54"/>
  <c r="P129" i="54"/>
  <c r="P127" i="54"/>
  <c r="P125" i="54"/>
  <c r="P117" i="54"/>
  <c r="P115" i="54"/>
  <c r="P113" i="54"/>
  <c r="P111" i="54"/>
  <c r="P110" i="60"/>
  <c r="P112" i="60"/>
  <c r="P124" i="60"/>
  <c r="P126" i="60"/>
  <c r="P120" i="76"/>
  <c r="P129" i="94"/>
  <c r="P130" i="96"/>
  <c r="P141" i="3"/>
  <c r="P139" i="3"/>
  <c r="P131" i="3"/>
  <c r="P129" i="3"/>
  <c r="P127" i="3"/>
  <c r="P125" i="3"/>
  <c r="P121" i="3"/>
  <c r="P115" i="3"/>
  <c r="P111" i="3"/>
  <c r="P125" i="23"/>
  <c r="P123" i="23"/>
  <c r="P119" i="23"/>
  <c r="P117" i="23"/>
  <c r="P115" i="23"/>
  <c r="P150" i="25"/>
  <c r="P142" i="25"/>
  <c r="P140" i="25"/>
  <c r="P138" i="25"/>
  <c r="P136" i="25"/>
  <c r="P130" i="25"/>
  <c r="P128" i="25"/>
  <c r="P122" i="25"/>
  <c r="P120" i="25"/>
  <c r="P118" i="25"/>
  <c r="P116" i="25"/>
  <c r="P114" i="25"/>
  <c r="P112" i="25"/>
  <c r="P110" i="25"/>
  <c r="P108" i="25"/>
  <c r="P136" i="30"/>
  <c r="P134" i="30"/>
  <c r="P128" i="30"/>
  <c r="P126" i="30"/>
  <c r="P124" i="30"/>
  <c r="P122" i="30"/>
  <c r="P120" i="30"/>
  <c r="P118" i="30"/>
  <c r="P114" i="30"/>
  <c r="P113" i="34"/>
  <c r="P151" i="45"/>
  <c r="P142" i="53"/>
  <c r="P136" i="53"/>
  <c r="P153" i="56"/>
  <c r="P151" i="56"/>
  <c r="P143" i="56"/>
  <c r="P141" i="56"/>
  <c r="P139" i="56"/>
  <c r="P135" i="56"/>
  <c r="P131" i="56"/>
  <c r="P127" i="56"/>
  <c r="P125" i="56"/>
  <c r="P123" i="56"/>
  <c r="P119" i="56"/>
  <c r="P117" i="56"/>
  <c r="P115" i="56"/>
  <c r="P113" i="56"/>
  <c r="P111" i="56"/>
  <c r="P109" i="56"/>
  <c r="P107" i="56"/>
  <c r="P145" i="57"/>
  <c r="P141" i="57"/>
  <c r="P129" i="58"/>
  <c r="P111" i="72"/>
  <c r="P115" i="73"/>
  <c r="P127" i="73"/>
  <c r="P129" i="73"/>
  <c r="P104" i="83"/>
  <c r="P108" i="94"/>
  <c r="P122" i="94"/>
  <c r="P129" i="96"/>
  <c r="I19" i="90"/>
  <c r="I22" i="66"/>
  <c r="I21" i="75"/>
  <c r="I28" i="31"/>
  <c r="O22" i="74"/>
  <c r="B19" i="92"/>
  <c r="B22" i="35"/>
  <c r="E22" i="35"/>
  <c r="F22" i="35" s="1"/>
  <c r="F19" i="2"/>
  <c r="P151" i="3"/>
  <c r="O40" i="3"/>
  <c r="O33" i="3"/>
  <c r="O27" i="3"/>
  <c r="O38" i="17"/>
  <c r="O59" i="18"/>
  <c r="O62" i="19"/>
  <c r="P99" i="21"/>
  <c r="O34" i="3"/>
  <c r="O35" i="18"/>
  <c r="O27" i="19"/>
  <c r="P100" i="20"/>
  <c r="P147" i="20"/>
  <c r="P145" i="20"/>
  <c r="P141" i="20"/>
  <c r="P137" i="20"/>
  <c r="P130" i="20"/>
  <c r="P128" i="20"/>
  <c r="P126" i="20"/>
  <c r="P114" i="20"/>
  <c r="P154" i="21"/>
  <c r="P152" i="21"/>
  <c r="P150" i="21"/>
  <c r="P146" i="21"/>
  <c r="P142" i="21"/>
  <c r="P140" i="21"/>
  <c r="P136" i="21"/>
  <c r="P134" i="21"/>
  <c r="P132" i="21"/>
  <c r="P118" i="21"/>
  <c r="P116" i="21"/>
  <c r="P110" i="21"/>
  <c r="P108" i="21"/>
  <c r="P153" i="22"/>
  <c r="P151" i="22"/>
  <c r="P149" i="22"/>
  <c r="P145" i="22"/>
  <c r="P143" i="22"/>
  <c r="P139" i="22"/>
  <c r="P129" i="22"/>
  <c r="P119" i="22"/>
  <c r="P113" i="22"/>
  <c r="P154" i="23"/>
  <c r="P129" i="27"/>
  <c r="P121" i="27"/>
  <c r="P113" i="27"/>
  <c r="P103" i="32"/>
  <c r="O21" i="32"/>
  <c r="P103" i="28"/>
  <c r="O18" i="44"/>
  <c r="O72" i="58"/>
  <c r="O17" i="28"/>
  <c r="O61" i="34"/>
  <c r="P99" i="46"/>
  <c r="O67" i="54"/>
  <c r="P152" i="17"/>
  <c r="P132" i="17"/>
  <c r="P130" i="17"/>
  <c r="P128" i="17"/>
  <c r="P138" i="19"/>
  <c r="P110" i="19"/>
  <c r="P152" i="20"/>
  <c r="P150" i="20"/>
  <c r="P146" i="20"/>
  <c r="P144" i="20"/>
  <c r="P153" i="21"/>
  <c r="P149" i="21"/>
  <c r="P109" i="21"/>
  <c r="P153" i="23"/>
  <c r="P151" i="23"/>
  <c r="P143" i="23"/>
  <c r="P141" i="23"/>
  <c r="P130" i="23"/>
  <c r="P128" i="23"/>
  <c r="P118" i="23"/>
  <c r="P114" i="23"/>
  <c r="P138" i="27"/>
  <c r="P132" i="27"/>
  <c r="P128" i="27"/>
  <c r="P118" i="27"/>
  <c r="P112" i="27"/>
  <c r="O63" i="28"/>
  <c r="O18" i="28"/>
  <c r="P99" i="39"/>
  <c r="P99" i="44"/>
  <c r="O29" i="53"/>
  <c r="P153" i="28"/>
  <c r="P151" i="28"/>
  <c r="P147" i="28"/>
  <c r="P139" i="28"/>
  <c r="P129" i="28"/>
  <c r="P151" i="30"/>
  <c r="P149" i="30"/>
  <c r="P143" i="30"/>
  <c r="P137" i="30"/>
  <c r="P133" i="30"/>
  <c r="P131" i="30"/>
  <c r="P129" i="30"/>
  <c r="P127" i="30"/>
  <c r="P117" i="30"/>
  <c r="P115" i="30"/>
  <c r="P111" i="30"/>
  <c r="P153" i="31"/>
  <c r="P147" i="31"/>
  <c r="P145" i="31"/>
  <c r="P139" i="31"/>
  <c r="P135" i="31"/>
  <c r="P133" i="31"/>
  <c r="P124" i="31"/>
  <c r="P122" i="31"/>
  <c r="P114" i="31"/>
  <c r="P141" i="32"/>
  <c r="P139" i="32"/>
  <c r="P135" i="32"/>
  <c r="P129" i="32"/>
  <c r="P121" i="32"/>
  <c r="P149" i="33"/>
  <c r="P145" i="33"/>
  <c r="P143" i="33"/>
  <c r="P141" i="33"/>
  <c r="P135" i="33"/>
  <c r="P133" i="33"/>
  <c r="P131" i="33"/>
  <c r="P129" i="33"/>
  <c r="P125" i="33"/>
  <c r="P123" i="33"/>
  <c r="P115" i="33"/>
  <c r="P109" i="33"/>
  <c r="P107" i="33"/>
  <c r="P105" i="33"/>
  <c r="P103" i="33"/>
  <c r="P141" i="34"/>
  <c r="P137" i="34"/>
  <c r="P135" i="34"/>
  <c r="P133" i="34"/>
  <c r="P127" i="34"/>
  <c r="P125" i="34"/>
  <c r="P117" i="34"/>
  <c r="P115" i="34"/>
  <c r="P112" i="34"/>
  <c r="P154" i="35"/>
  <c r="P142" i="35"/>
  <c r="P132" i="35"/>
  <c r="P128" i="35"/>
  <c r="P126" i="35"/>
  <c r="P124" i="35"/>
  <c r="P116" i="35"/>
  <c r="P114" i="35"/>
  <c r="P112" i="35"/>
  <c r="P108" i="35"/>
  <c r="P106" i="35"/>
  <c r="P104" i="35"/>
  <c r="P144" i="39"/>
  <c r="P130" i="39"/>
  <c r="P151" i="41"/>
  <c r="P145" i="41"/>
  <c r="P129" i="41"/>
  <c r="P127" i="41"/>
  <c r="P123" i="41"/>
  <c r="P115" i="41"/>
  <c r="P154" i="42"/>
  <c r="P116" i="42"/>
  <c r="P153" i="43"/>
  <c r="P129" i="43"/>
  <c r="P109" i="43"/>
  <c r="P131" i="44"/>
  <c r="P129" i="44"/>
  <c r="P117" i="44"/>
  <c r="P113" i="44"/>
  <c r="P111" i="44"/>
  <c r="P109" i="44"/>
  <c r="P154" i="45"/>
  <c r="P149" i="45"/>
  <c r="P147" i="45"/>
  <c r="P139" i="58"/>
  <c r="P135" i="58"/>
  <c r="O23" i="59"/>
  <c r="O43" i="59"/>
  <c r="O69" i="59"/>
  <c r="O28" i="60"/>
  <c r="O50" i="60"/>
  <c r="O34" i="61"/>
  <c r="O26" i="62"/>
  <c r="O35" i="62"/>
  <c r="O69" i="63"/>
  <c r="O33" i="64"/>
  <c r="O56" i="64"/>
  <c r="O24" i="30"/>
  <c r="O20" i="22"/>
  <c r="P148" i="28"/>
  <c r="P144" i="28"/>
  <c r="P132" i="28"/>
  <c r="P114" i="28"/>
  <c r="P148" i="29"/>
  <c r="P154" i="31"/>
  <c r="P144" i="31"/>
  <c r="P104" i="33"/>
  <c r="P138" i="34"/>
  <c r="P136" i="34"/>
  <c r="P134" i="34"/>
  <c r="P116" i="34"/>
  <c r="P114" i="34"/>
  <c r="P133" i="39"/>
  <c r="P117" i="39"/>
  <c r="P107" i="39"/>
  <c r="P130" i="46"/>
  <c r="P112" i="46"/>
  <c r="P146" i="55"/>
  <c r="P140" i="55"/>
  <c r="P134" i="55"/>
  <c r="P132" i="55"/>
  <c r="P130" i="55"/>
  <c r="P128" i="55"/>
  <c r="P142" i="56"/>
  <c r="P136" i="56"/>
  <c r="O33" i="59"/>
  <c r="O31" i="61"/>
  <c r="O48" i="61"/>
  <c r="O36" i="62"/>
  <c r="O29" i="63"/>
  <c r="O58" i="63"/>
  <c r="O70" i="63"/>
  <c r="O22" i="24"/>
  <c r="P104" i="62"/>
  <c r="P106" i="62"/>
  <c r="P118" i="62"/>
  <c r="O38" i="65"/>
  <c r="O60" i="65"/>
  <c r="O27" i="66"/>
  <c r="O55" i="66"/>
  <c r="O21" i="41"/>
  <c r="P100" i="53"/>
  <c r="O19" i="54"/>
  <c r="O19" i="56"/>
  <c r="P100" i="56"/>
  <c r="O19" i="58"/>
  <c r="O18" i="59"/>
  <c r="O18" i="63"/>
  <c r="P99" i="63"/>
  <c r="O17" i="68"/>
  <c r="O34" i="69"/>
  <c r="O53" i="69"/>
  <c r="O47" i="70"/>
  <c r="O25" i="72"/>
  <c r="O32" i="73"/>
  <c r="O48" i="73"/>
  <c r="O24" i="76"/>
  <c r="O66" i="76"/>
  <c r="O66" i="77"/>
  <c r="O26" i="78"/>
  <c r="O19" i="69"/>
  <c r="P104" i="3"/>
  <c r="O23" i="20"/>
  <c r="O24" i="23"/>
  <c r="P106" i="27"/>
  <c r="O20" i="57"/>
  <c r="O22" i="45"/>
  <c r="O21" i="79"/>
  <c r="O27" i="79"/>
  <c r="O22" i="69"/>
  <c r="P104" i="21"/>
  <c r="P104" i="22"/>
  <c r="O20" i="46"/>
  <c r="P100" i="59"/>
  <c r="P100" i="61"/>
  <c r="O19" i="60"/>
  <c r="P104" i="59"/>
  <c r="P106" i="59"/>
  <c r="P108" i="59"/>
  <c r="P112" i="59"/>
  <c r="P114" i="59"/>
  <c r="P128" i="59"/>
  <c r="P115" i="60"/>
  <c r="P117" i="60"/>
  <c r="P119" i="60"/>
  <c r="P121" i="60"/>
  <c r="O18" i="62"/>
  <c r="P99" i="60"/>
  <c r="O17" i="66"/>
  <c r="O37" i="69"/>
  <c r="O41" i="69"/>
  <c r="O65" i="69"/>
  <c r="O46" i="70"/>
  <c r="O50" i="70"/>
  <c r="O42" i="71"/>
  <c r="O33" i="73"/>
  <c r="O57" i="73"/>
  <c r="O44" i="75"/>
  <c r="O48" i="76"/>
  <c r="O27" i="77"/>
  <c r="O58" i="77"/>
  <c r="O71" i="78"/>
  <c r="O18" i="67"/>
  <c r="P102" i="57"/>
  <c r="P109" i="66"/>
  <c r="P129" i="66"/>
  <c r="P113" i="71"/>
  <c r="P115" i="71"/>
  <c r="O20" i="72"/>
  <c r="O22" i="73"/>
  <c r="O29" i="80"/>
  <c r="O64" i="81"/>
  <c r="O44" i="82"/>
  <c r="O50" i="82"/>
  <c r="O37" i="83"/>
  <c r="O34" i="84"/>
  <c r="O44" i="84"/>
  <c r="O61" i="84"/>
  <c r="P105" i="19"/>
  <c r="O25" i="23"/>
  <c r="P104" i="41"/>
  <c r="P125" i="75"/>
  <c r="P127" i="75"/>
  <c r="P104" i="43"/>
  <c r="P127" i="68"/>
  <c r="P127" i="76"/>
  <c r="O24" i="81"/>
  <c r="O68" i="81"/>
  <c r="O47" i="82"/>
  <c r="O72" i="82"/>
  <c r="O24" i="20"/>
  <c r="P108" i="28"/>
  <c r="O25" i="31"/>
  <c r="O23" i="41"/>
  <c r="P102" i="55"/>
  <c r="P101" i="63"/>
  <c r="P125" i="82"/>
  <c r="P115" i="83"/>
  <c r="P101" i="60"/>
  <c r="O21" i="72"/>
  <c r="O23" i="73"/>
  <c r="O22" i="86"/>
  <c r="O18" i="78"/>
  <c r="P120" i="81"/>
  <c r="P124" i="81"/>
  <c r="P126" i="81"/>
  <c r="P106" i="82"/>
  <c r="P108" i="82"/>
  <c r="P112" i="82"/>
  <c r="P122" i="82"/>
  <c r="P106" i="83"/>
  <c r="P116" i="83"/>
  <c r="P118" i="83"/>
  <c r="P126" i="83"/>
  <c r="P114" i="84"/>
  <c r="P116" i="84"/>
  <c r="O18" i="76"/>
  <c r="O43" i="85"/>
  <c r="O47" i="85"/>
  <c r="O36" i="86"/>
  <c r="O46" i="86"/>
  <c r="O33" i="87"/>
  <c r="O31" i="88"/>
  <c r="O35" i="88"/>
  <c r="O49" i="89"/>
  <c r="O60" i="89"/>
  <c r="P106" i="21"/>
  <c r="P111" i="85"/>
  <c r="P119" i="85"/>
  <c r="P123" i="85"/>
  <c r="P109" i="28"/>
  <c r="P125" i="86"/>
  <c r="P129" i="86"/>
  <c r="P106" i="19"/>
  <c r="O29" i="90"/>
  <c r="O62" i="90"/>
  <c r="O22" i="91"/>
  <c r="O40" i="91"/>
  <c r="P106" i="20"/>
  <c r="P108" i="30"/>
  <c r="O22" i="58"/>
  <c r="P101" i="66"/>
  <c r="P101" i="68"/>
  <c r="P103" i="72"/>
  <c r="O49" i="94"/>
  <c r="O19" i="85"/>
  <c r="P108" i="85"/>
  <c r="P126" i="86"/>
  <c r="P130" i="86"/>
  <c r="P101" i="87"/>
  <c r="P103" i="87"/>
  <c r="P107" i="87"/>
  <c r="P109" i="87"/>
  <c r="P111" i="87"/>
  <c r="P113" i="87"/>
  <c r="P115" i="87"/>
  <c r="P117" i="87"/>
  <c r="P129" i="87"/>
  <c r="O32" i="89"/>
  <c r="O72" i="90"/>
  <c r="O56" i="91"/>
  <c r="O71" i="91"/>
  <c r="P112" i="92"/>
  <c r="P105" i="41"/>
  <c r="O22" i="56"/>
  <c r="O22" i="72"/>
  <c r="P103" i="86"/>
  <c r="P105" i="86"/>
  <c r="P115" i="86"/>
  <c r="P103" i="91"/>
  <c r="P121" i="91"/>
  <c r="O28" i="28"/>
  <c r="O27" i="30"/>
  <c r="P107" i="32"/>
  <c r="O24" i="41"/>
  <c r="P104" i="74"/>
  <c r="P128" i="89"/>
  <c r="P109" i="90"/>
  <c r="P102" i="92"/>
  <c r="P104" i="92"/>
  <c r="P108" i="92"/>
  <c r="P110" i="92"/>
  <c r="O23" i="74"/>
  <c r="O26" i="17"/>
  <c r="O28" i="30"/>
  <c r="P101" i="89"/>
  <c r="P119" i="89"/>
  <c r="P121" i="89"/>
  <c r="P123" i="89"/>
  <c r="P104" i="90"/>
  <c r="O19" i="78"/>
  <c r="O24" i="95"/>
  <c r="O43" i="95"/>
  <c r="O56" i="96"/>
  <c r="P128" i="93"/>
  <c r="O33" i="96"/>
  <c r="O44" i="96"/>
  <c r="P107" i="19"/>
  <c r="O27" i="24"/>
  <c r="P109" i="30"/>
  <c r="O25" i="39"/>
  <c r="O23" i="46"/>
  <c r="O23" i="58"/>
  <c r="O22" i="63"/>
  <c r="O20" i="79"/>
  <c r="O19" i="81"/>
  <c r="P111" i="94"/>
  <c r="P119" i="94"/>
  <c r="O26" i="21"/>
  <c r="O27" i="32"/>
  <c r="O25" i="44"/>
  <c r="O23" i="56"/>
  <c r="O21" i="65"/>
  <c r="O28" i="69"/>
  <c r="O25" i="73"/>
  <c r="O20" i="77"/>
  <c r="E104" i="35"/>
  <c r="F104" i="35" s="1"/>
  <c r="B105" i="35" s="1"/>
  <c r="P112" i="20"/>
  <c r="P147" i="33"/>
  <c r="P154" i="39"/>
  <c r="P152" i="39"/>
  <c r="P150" i="39"/>
  <c r="P148" i="39"/>
  <c r="P142" i="39"/>
  <c r="P140" i="39"/>
  <c r="P138" i="39"/>
  <c r="P136" i="39"/>
  <c r="P134" i="39"/>
  <c r="P128" i="39"/>
  <c r="P126" i="39"/>
  <c r="P124" i="39"/>
  <c r="P120" i="39"/>
  <c r="P118" i="39"/>
  <c r="P114" i="39"/>
  <c r="P110" i="39"/>
  <c r="P108" i="39"/>
  <c r="P136" i="17"/>
  <c r="P151" i="21"/>
  <c r="P135" i="25"/>
  <c r="P132" i="29"/>
  <c r="P100" i="13"/>
  <c r="P144" i="18"/>
  <c r="P142" i="18"/>
  <c r="P140" i="18"/>
  <c r="P128" i="18"/>
  <c r="P124" i="18"/>
  <c r="P120" i="18"/>
  <c r="P132" i="19"/>
  <c r="P122" i="19"/>
  <c r="P120" i="19"/>
  <c r="P118" i="19"/>
  <c r="P121" i="20"/>
  <c r="P119" i="20"/>
  <c r="P117" i="20"/>
  <c r="P131" i="23"/>
  <c r="P129" i="23"/>
  <c r="P127" i="23"/>
  <c r="P124" i="23"/>
  <c r="P122" i="23"/>
  <c r="P153" i="24"/>
  <c r="P147" i="24"/>
  <c r="P145" i="24"/>
  <c r="P154" i="26"/>
  <c r="P152" i="26"/>
  <c r="P144" i="26"/>
  <c r="P142" i="26"/>
  <c r="P136" i="26"/>
  <c r="P134" i="26"/>
  <c r="P132" i="26"/>
  <c r="P130" i="26"/>
  <c r="P128" i="26"/>
  <c r="P120" i="26"/>
  <c r="P118" i="26"/>
  <c r="P116" i="26"/>
  <c r="P114" i="26"/>
  <c r="P106" i="26"/>
  <c r="P104" i="26"/>
  <c r="P102" i="26"/>
  <c r="P100" i="26"/>
  <c r="P126" i="42"/>
  <c r="P112" i="42"/>
  <c r="P149" i="44"/>
  <c r="P147" i="44"/>
  <c r="P139" i="44"/>
  <c r="P115" i="44"/>
  <c r="P149" i="46"/>
  <c r="P147" i="46"/>
  <c r="P129" i="57"/>
  <c r="P130" i="58"/>
  <c r="P124" i="58"/>
  <c r="P143" i="29"/>
  <c r="P148" i="30"/>
  <c r="P124" i="32"/>
  <c r="P122" i="32"/>
  <c r="P110" i="32"/>
  <c r="P139" i="43"/>
  <c r="P137" i="43"/>
  <c r="P133" i="43"/>
  <c r="P131" i="43"/>
  <c r="P117" i="43"/>
  <c r="P119" i="55"/>
  <c r="P105" i="55"/>
  <c r="P101" i="13"/>
  <c r="P135" i="17"/>
  <c r="P109" i="17"/>
  <c r="P129" i="19"/>
  <c r="P125" i="19"/>
  <c r="P123" i="19"/>
  <c r="P121" i="19"/>
  <c r="P109" i="19"/>
  <c r="P122" i="20"/>
  <c r="P118" i="20"/>
  <c r="P116" i="20"/>
  <c r="P111" i="20"/>
  <c r="P124" i="21"/>
  <c r="P112" i="21"/>
  <c r="P148" i="22"/>
  <c r="P146" i="22"/>
  <c r="P144" i="22"/>
  <c r="P140" i="22"/>
  <c r="P138" i="22"/>
  <c r="P132" i="22"/>
  <c r="P122" i="22"/>
  <c r="P116" i="22"/>
  <c r="P132" i="23"/>
  <c r="P152" i="24"/>
  <c r="P148" i="24"/>
  <c r="P142" i="24"/>
  <c r="P126" i="24"/>
  <c r="P122" i="24"/>
  <c r="P120" i="24"/>
  <c r="P149" i="26"/>
  <c r="P147" i="26"/>
  <c r="P145" i="26"/>
  <c r="P143" i="26"/>
  <c r="P141" i="26"/>
  <c r="P125" i="26"/>
  <c r="P123" i="26"/>
  <c r="P121" i="26"/>
  <c r="P119" i="26"/>
  <c r="P117" i="26"/>
  <c r="P132" i="31"/>
  <c r="P116" i="31"/>
  <c r="P110" i="31"/>
  <c r="P145" i="32"/>
  <c r="P143" i="32"/>
  <c r="P131" i="32"/>
  <c r="P123" i="32"/>
  <c r="P154" i="33"/>
  <c r="P152" i="33"/>
  <c r="P146" i="33"/>
  <c r="P144" i="33"/>
  <c r="P142" i="33"/>
  <c r="P140" i="33"/>
  <c r="P138" i="33"/>
  <c r="P136" i="33"/>
  <c r="P134" i="33"/>
  <c r="P132" i="33"/>
  <c r="P130" i="33"/>
  <c r="P128" i="33"/>
  <c r="P120" i="33"/>
  <c r="P118" i="33"/>
  <c r="P116" i="33"/>
  <c r="P112" i="33"/>
  <c r="P108" i="33"/>
  <c r="P146" i="35"/>
  <c r="P134" i="35"/>
  <c r="P121" i="39"/>
  <c r="P128" i="42"/>
  <c r="P134" i="43"/>
  <c r="P132" i="43"/>
  <c r="P138" i="44"/>
  <c r="P134" i="44"/>
  <c r="P130" i="44"/>
  <c r="P128" i="44"/>
  <c r="P126" i="44"/>
  <c r="P124" i="44"/>
  <c r="P118" i="44"/>
  <c r="P116" i="44"/>
  <c r="P153" i="45"/>
  <c r="P150" i="45"/>
  <c r="P148" i="45"/>
  <c r="P106" i="56"/>
  <c r="P107" i="64"/>
  <c r="P111" i="64"/>
  <c r="P130" i="66"/>
  <c r="P113" i="67"/>
  <c r="P121" i="69"/>
  <c r="P123" i="69"/>
  <c r="P112" i="71"/>
  <c r="P115" i="72"/>
  <c r="P102" i="77"/>
  <c r="P130" i="77"/>
  <c r="P110" i="79"/>
  <c r="P116" i="79"/>
  <c r="P122" i="79"/>
  <c r="P124" i="79"/>
  <c r="P126" i="79"/>
  <c r="P128" i="79"/>
  <c r="P104" i="84"/>
  <c r="P106" i="84"/>
  <c r="P108" i="84"/>
  <c r="P112" i="84"/>
  <c r="P124" i="85"/>
  <c r="P124" i="86"/>
  <c r="P116" i="88"/>
  <c r="P130" i="88"/>
  <c r="P100" i="91"/>
  <c r="P102" i="91"/>
  <c r="P126" i="91"/>
  <c r="P130" i="91"/>
  <c r="P122" i="92"/>
  <c r="P126" i="92"/>
  <c r="P112" i="94"/>
  <c r="P128" i="94"/>
  <c r="P115" i="96"/>
  <c r="P117" i="96"/>
  <c r="P119" i="96"/>
  <c r="P120" i="53"/>
  <c r="P118" i="53"/>
  <c r="P116" i="53"/>
  <c r="P114" i="53"/>
  <c r="P112" i="53"/>
  <c r="P110" i="53"/>
  <c r="P108" i="53"/>
  <c r="P106" i="53"/>
  <c r="P152" i="54"/>
  <c r="P150" i="54"/>
  <c r="P148" i="54"/>
  <c r="P146" i="54"/>
  <c r="P144" i="54"/>
  <c r="P142" i="54"/>
  <c r="P140" i="54"/>
  <c r="P138" i="54"/>
  <c r="P136" i="54"/>
  <c r="P134" i="54"/>
  <c r="P132" i="54"/>
  <c r="P130" i="54"/>
  <c r="P128" i="54"/>
  <c r="P126" i="54"/>
  <c r="P124" i="54"/>
  <c r="P124" i="56"/>
  <c r="P122" i="56"/>
  <c r="P114" i="56"/>
  <c r="P108" i="56"/>
  <c r="P105" i="56"/>
  <c r="P152" i="57"/>
  <c r="P150" i="57"/>
  <c r="P148" i="57"/>
  <c r="P146" i="57"/>
  <c r="P140" i="57"/>
  <c r="P136" i="57"/>
  <c r="P132" i="57"/>
  <c r="P126" i="57"/>
  <c r="P124" i="57"/>
  <c r="P120" i="57"/>
  <c r="P147" i="58"/>
  <c r="F88" i="2"/>
  <c r="F89" i="2" s="1"/>
  <c r="F91" i="2" s="1"/>
  <c r="F92" i="2" s="1"/>
  <c r="F93" i="2" s="1"/>
  <c r="D95" i="99" s="1"/>
  <c r="J96" i="99" s="1"/>
  <c r="P116" i="59"/>
  <c r="P120" i="59"/>
  <c r="P124" i="59"/>
  <c r="P105" i="62"/>
  <c r="P129" i="62"/>
  <c r="P116" i="70"/>
  <c r="P118" i="70"/>
  <c r="P120" i="70"/>
  <c r="P130" i="70"/>
  <c r="P116" i="74"/>
  <c r="P120" i="74"/>
  <c r="P122" i="74"/>
  <c r="P124" i="74"/>
  <c r="P130" i="74"/>
  <c r="P104" i="75"/>
  <c r="P123" i="78"/>
  <c r="P127" i="78"/>
  <c r="P128" i="84"/>
  <c r="P108" i="87"/>
  <c r="P110" i="87"/>
  <c r="P112" i="87"/>
  <c r="P114" i="87"/>
  <c r="P118" i="87"/>
  <c r="P124" i="87"/>
  <c r="P128" i="87"/>
  <c r="P130" i="87"/>
  <c r="P129" i="89"/>
  <c r="P112" i="90"/>
  <c r="P114" i="90"/>
  <c r="P126" i="90"/>
  <c r="P101" i="92"/>
  <c r="P107" i="93"/>
  <c r="P117" i="93"/>
  <c r="P103" i="95"/>
  <c r="P121" i="95"/>
  <c r="P123" i="95"/>
  <c r="P100" i="96"/>
  <c r="P106" i="96"/>
  <c r="P108" i="96"/>
  <c r="P110" i="96"/>
  <c r="P105" i="59"/>
  <c r="P107" i="59"/>
  <c r="P113" i="59"/>
  <c r="P115" i="59"/>
  <c r="P126" i="63"/>
  <c r="P106" i="64"/>
  <c r="P118" i="64"/>
  <c r="P120" i="64"/>
  <c r="P122" i="64"/>
  <c r="P124" i="64"/>
  <c r="P126" i="64"/>
  <c r="P128" i="64"/>
  <c r="P115" i="65"/>
  <c r="P117" i="65"/>
  <c r="P119" i="66"/>
  <c r="P125" i="66"/>
  <c r="P108" i="67"/>
  <c r="P110" i="67"/>
  <c r="P126" i="67"/>
  <c r="P128" i="67"/>
  <c r="P107" i="68"/>
  <c r="P122" i="69"/>
  <c r="P124" i="69"/>
  <c r="P126" i="69"/>
  <c r="P126" i="73"/>
  <c r="P130" i="73"/>
  <c r="P107" i="74"/>
  <c r="P109" i="74"/>
  <c r="P111" i="74"/>
  <c r="P113" i="74"/>
  <c r="P113" i="75"/>
  <c r="P128" i="78"/>
  <c r="P103" i="79"/>
  <c r="P105" i="79"/>
  <c r="P107" i="79"/>
  <c r="P109" i="79"/>
  <c r="P129" i="81"/>
  <c r="P119" i="83"/>
  <c r="P103" i="84"/>
  <c r="P105" i="84"/>
  <c r="P107" i="84"/>
  <c r="P109" i="84"/>
  <c r="P117" i="84"/>
  <c r="P118" i="86"/>
  <c r="P101" i="88"/>
  <c r="P107" i="88"/>
  <c r="P109" i="88"/>
  <c r="P111" i="88"/>
  <c r="P115" i="88"/>
  <c r="P127" i="88"/>
  <c r="P102" i="89"/>
  <c r="P118" i="89"/>
  <c r="P101" i="91"/>
  <c r="P115" i="92"/>
  <c r="P123" i="92"/>
  <c r="P118" i="93"/>
  <c r="P120" i="93"/>
  <c r="P122" i="93"/>
  <c r="P126" i="93"/>
  <c r="P99" i="94"/>
  <c r="P101" i="94"/>
  <c r="P103" i="94"/>
  <c r="P107" i="94"/>
  <c r="P115" i="94"/>
  <c r="P123" i="94"/>
  <c r="P100" i="95"/>
  <c r="P110" i="95"/>
  <c r="P122" i="95"/>
  <c r="P126" i="95"/>
  <c r="L86" i="13"/>
  <c r="L86" i="53"/>
  <c r="L86" i="73"/>
  <c r="N87" i="73"/>
  <c r="O87" i="73" s="1"/>
  <c r="N87" i="80"/>
  <c r="L86" i="41"/>
  <c r="L86" i="26"/>
  <c r="M87" i="92"/>
  <c r="N87" i="58"/>
  <c r="L86" i="18"/>
  <c r="J94" i="58"/>
  <c r="J94" i="56"/>
  <c r="J95" i="56" s="1"/>
  <c r="J94" i="91"/>
  <c r="J94" i="61"/>
  <c r="J95" i="61" s="1"/>
  <c r="J94" i="24"/>
  <c r="J95" i="24" s="1"/>
  <c r="J94" i="42"/>
  <c r="J95" i="42" s="1"/>
  <c r="J94" i="73"/>
  <c r="J95" i="73" s="1"/>
  <c r="J94" i="82"/>
  <c r="J95" i="82" s="1"/>
  <c r="J94" i="89"/>
  <c r="J95" i="89" s="1"/>
  <c r="J94" i="84"/>
  <c r="J95" i="84" s="1"/>
  <c r="J94" i="3"/>
  <c r="J95" i="3" s="1"/>
  <c r="J94" i="79"/>
  <c r="J95" i="79" s="1"/>
  <c r="J94" i="34"/>
  <c r="J95" i="34" s="1"/>
  <c r="J94" i="80"/>
  <c r="J95" i="80" s="1"/>
  <c r="J94" i="77"/>
  <c r="J95" i="77" s="1"/>
  <c r="J94" i="21"/>
  <c r="J95" i="21" s="1"/>
  <c r="J94" i="55"/>
  <c r="J95" i="55" s="1"/>
  <c r="J94" i="59"/>
  <c r="J94" i="39"/>
  <c r="J94" i="30"/>
  <c r="J94" i="92"/>
  <c r="J94" i="70"/>
  <c r="J95" i="70" s="1"/>
  <c r="J94" i="74"/>
  <c r="J95" i="74" s="1"/>
  <c r="J94" i="31"/>
  <c r="J95" i="31" s="1"/>
  <c r="J94" i="22"/>
  <c r="J94" i="57"/>
  <c r="J95" i="57" s="1"/>
  <c r="J94" i="88"/>
  <c r="J95" i="88" s="1"/>
  <c r="J94" i="18"/>
  <c r="J94" i="25"/>
  <c r="J95" i="25" s="1"/>
  <c r="J94" i="54"/>
  <c r="J95" i="54" s="1"/>
  <c r="J94" i="43"/>
  <c r="J95" i="43" s="1"/>
  <c r="J94" i="33"/>
  <c r="J95" i="33" s="1"/>
  <c r="J94" i="86"/>
  <c r="J95" i="86" s="1"/>
  <c r="J94" i="68"/>
  <c r="J95" i="68" s="1"/>
  <c r="J94" i="65"/>
  <c r="J94" i="20"/>
  <c r="J95" i="20" s="1"/>
  <c r="J94" i="29"/>
  <c r="J94" i="81"/>
  <c r="J95" i="81" s="1"/>
  <c r="J94" i="71"/>
  <c r="J95" i="71" s="1"/>
  <c r="P153" i="3"/>
  <c r="P124" i="3"/>
  <c r="P119" i="13"/>
  <c r="P107" i="13"/>
  <c r="P105" i="13"/>
  <c r="P103" i="13"/>
  <c r="P149" i="17"/>
  <c r="P140" i="17"/>
  <c r="P126" i="17"/>
  <c r="P126" i="18"/>
  <c r="P118" i="18"/>
  <c r="P116" i="18"/>
  <c r="P148" i="19"/>
  <c r="P130" i="19"/>
  <c r="P127" i="19"/>
  <c r="P115" i="19"/>
  <c r="P140" i="20"/>
  <c r="P130" i="21"/>
  <c r="P128" i="21"/>
  <c r="P126" i="21"/>
  <c r="P122" i="21"/>
  <c r="P120" i="21"/>
  <c r="P133" i="23"/>
  <c r="P138" i="26"/>
  <c r="P124" i="26"/>
  <c r="P130" i="28"/>
  <c r="P128" i="28"/>
  <c r="P124" i="28"/>
  <c r="P118" i="28"/>
  <c r="P116" i="28"/>
  <c r="P144" i="30"/>
  <c r="P140" i="30"/>
  <c r="P146" i="44"/>
  <c r="P114" i="44"/>
  <c r="P129" i="46"/>
  <c r="P144" i="23"/>
  <c r="P136" i="31"/>
  <c r="P126" i="32"/>
  <c r="P144" i="35"/>
  <c r="P121" i="46"/>
  <c r="P154" i="3"/>
  <c r="P148" i="3"/>
  <c r="P122" i="13"/>
  <c r="P120" i="13"/>
  <c r="P118" i="13"/>
  <c r="P108" i="13"/>
  <c r="P150" i="17"/>
  <c r="P146" i="17"/>
  <c r="P143" i="17"/>
  <c r="P127" i="17"/>
  <c r="P122" i="17"/>
  <c r="P150" i="18"/>
  <c r="P148" i="18"/>
  <c r="P115" i="18"/>
  <c r="P113" i="18"/>
  <c r="P111" i="18"/>
  <c r="P133" i="19"/>
  <c r="P124" i="19"/>
  <c r="P114" i="19"/>
  <c r="P143" i="20"/>
  <c r="P133" i="20"/>
  <c r="P125" i="20"/>
  <c r="P137" i="23"/>
  <c r="P120" i="23"/>
  <c r="P112" i="23"/>
  <c r="P146" i="24"/>
  <c r="P137" i="27"/>
  <c r="P150" i="29"/>
  <c r="P146" i="29"/>
  <c r="P139" i="29"/>
  <c r="P127" i="29"/>
  <c r="P128" i="31"/>
  <c r="P118" i="31"/>
  <c r="P146" i="32"/>
  <c r="P106" i="33"/>
  <c r="P146" i="39"/>
  <c r="P132" i="39"/>
  <c r="P113" i="41"/>
  <c r="P109" i="41"/>
  <c r="P152" i="42"/>
  <c r="P150" i="42"/>
  <c r="P146" i="42"/>
  <c r="P144" i="42"/>
  <c r="P142" i="42"/>
  <c r="P140" i="42"/>
  <c r="P138" i="42"/>
  <c r="P136" i="42"/>
  <c r="P134" i="42"/>
  <c r="P132" i="42"/>
  <c r="P154" i="43"/>
  <c r="P148" i="43"/>
  <c r="P144" i="43"/>
  <c r="P142" i="43"/>
  <c r="P138" i="43"/>
  <c r="P140" i="46"/>
  <c r="P136" i="46"/>
  <c r="P132" i="46"/>
  <c r="P120" i="46"/>
  <c r="P128" i="66"/>
  <c r="P107" i="67"/>
  <c r="P123" i="68"/>
  <c r="P112" i="72"/>
  <c r="P116" i="75"/>
  <c r="P120" i="75"/>
  <c r="P122" i="75"/>
  <c r="P103" i="78"/>
  <c r="P105" i="78"/>
  <c r="P117" i="78"/>
  <c r="P118" i="92"/>
  <c r="P109" i="20"/>
  <c r="P145" i="21"/>
  <c r="P139" i="21"/>
  <c r="P152" i="22"/>
  <c r="P150" i="22"/>
  <c r="P142" i="22"/>
  <c r="P130" i="22"/>
  <c r="P124" i="22"/>
  <c r="P144" i="24"/>
  <c r="P138" i="24"/>
  <c r="P130" i="24"/>
  <c r="P112" i="26"/>
  <c r="P110" i="26"/>
  <c r="P108" i="26"/>
  <c r="P134" i="27"/>
  <c r="P142" i="29"/>
  <c r="P138" i="29"/>
  <c r="P134" i="29"/>
  <c r="P153" i="30"/>
  <c r="P140" i="32"/>
  <c r="P138" i="32"/>
  <c r="P117" i="32"/>
  <c r="P115" i="32"/>
  <c r="P113" i="32"/>
  <c r="P100" i="33"/>
  <c r="P150" i="34"/>
  <c r="P142" i="34"/>
  <c r="P140" i="34"/>
  <c r="P127" i="39"/>
  <c r="P125" i="39"/>
  <c r="P148" i="41"/>
  <c r="P142" i="41"/>
  <c r="P114" i="41"/>
  <c r="P129" i="42"/>
  <c r="P124" i="42"/>
  <c r="P120" i="42"/>
  <c r="P118" i="42"/>
  <c r="P143" i="46"/>
  <c r="P141" i="46"/>
  <c r="P120" i="54"/>
  <c r="P112" i="65"/>
  <c r="P114" i="65"/>
  <c r="P124" i="65"/>
  <c r="P126" i="65"/>
  <c r="P130" i="65"/>
  <c r="P111" i="69"/>
  <c r="P113" i="69"/>
  <c r="P117" i="69"/>
  <c r="P119" i="69"/>
  <c r="P113" i="70"/>
  <c r="P105" i="75"/>
  <c r="P111" i="75"/>
  <c r="P107" i="77"/>
  <c r="P113" i="77"/>
  <c r="P115" i="77"/>
  <c r="P117" i="77"/>
  <c r="P123" i="77"/>
  <c r="P125" i="77"/>
  <c r="P127" i="77"/>
  <c r="P118" i="80"/>
  <c r="P113" i="95"/>
  <c r="P110" i="20"/>
  <c r="P108" i="20"/>
  <c r="P147" i="22"/>
  <c r="P141" i="22"/>
  <c r="P135" i="22"/>
  <c r="P133" i="22"/>
  <c r="P127" i="22"/>
  <c r="P125" i="22"/>
  <c r="P123" i="22"/>
  <c r="P149" i="23"/>
  <c r="P147" i="23"/>
  <c r="P135" i="23"/>
  <c r="P154" i="24"/>
  <c r="P141" i="24"/>
  <c r="P133" i="24"/>
  <c r="P131" i="24"/>
  <c r="P119" i="24"/>
  <c r="P111" i="24"/>
  <c r="P153" i="25"/>
  <c r="P151" i="25"/>
  <c r="P103" i="25"/>
  <c r="P99" i="25"/>
  <c r="P153" i="26"/>
  <c r="P147" i="27"/>
  <c r="P134" i="28"/>
  <c r="P141" i="29"/>
  <c r="P122" i="29"/>
  <c r="P152" i="30"/>
  <c r="P141" i="30"/>
  <c r="P119" i="30"/>
  <c r="P134" i="31"/>
  <c r="P111" i="31"/>
  <c r="P149" i="32"/>
  <c r="P120" i="32"/>
  <c r="P148" i="35"/>
  <c r="P131" i="35"/>
  <c r="P123" i="42"/>
  <c r="P143" i="43"/>
  <c r="P127" i="43"/>
  <c r="P148" i="44"/>
  <c r="P151" i="46"/>
  <c r="P144" i="46"/>
  <c r="P110" i="46"/>
  <c r="P106" i="46"/>
  <c r="P142" i="55"/>
  <c r="P136" i="55"/>
  <c r="P148" i="56"/>
  <c r="P134" i="56"/>
  <c r="P128" i="56"/>
  <c r="P109" i="57"/>
  <c r="P134" i="58"/>
  <c r="P127" i="58"/>
  <c r="P117" i="58"/>
  <c r="P115" i="58"/>
  <c r="P126" i="59"/>
  <c r="P117" i="66"/>
  <c r="P126" i="68"/>
  <c r="P119" i="73"/>
  <c r="P121" i="73"/>
  <c r="P123" i="73"/>
  <c r="P126" i="78"/>
  <c r="P123" i="80"/>
  <c r="P153" i="55"/>
  <c r="P127" i="55"/>
  <c r="P121" i="55"/>
  <c r="P134" i="57"/>
  <c r="P114" i="57"/>
  <c r="P112" i="57"/>
  <c r="P108" i="57"/>
  <c r="P119" i="59"/>
  <c r="P111" i="60"/>
  <c r="P110" i="61"/>
  <c r="P112" i="61"/>
  <c r="P120" i="61"/>
  <c r="P124" i="61"/>
  <c r="P126" i="61"/>
  <c r="P106" i="63"/>
  <c r="P108" i="63"/>
  <c r="P112" i="63"/>
  <c r="P121" i="64"/>
  <c r="P129" i="67"/>
  <c r="P109" i="68"/>
  <c r="P111" i="68"/>
  <c r="P119" i="68"/>
  <c r="P121" i="68"/>
  <c r="P125" i="69"/>
  <c r="P127" i="69"/>
  <c r="P129" i="69"/>
  <c r="P129" i="70"/>
  <c r="P116" i="71"/>
  <c r="P105" i="72"/>
  <c r="P122" i="72"/>
  <c r="P109" i="76"/>
  <c r="P117" i="76"/>
  <c r="P121" i="76"/>
  <c r="P125" i="76"/>
  <c r="P116" i="77"/>
  <c r="P122" i="77"/>
  <c r="P128" i="77"/>
  <c r="P106" i="78"/>
  <c r="P109" i="78"/>
  <c r="P111" i="78"/>
  <c r="P113" i="78"/>
  <c r="P115" i="78"/>
  <c r="P119" i="78"/>
  <c r="P112" i="80"/>
  <c r="P116" i="80"/>
  <c r="P122" i="80"/>
  <c r="P111" i="81"/>
  <c r="P116" i="82"/>
  <c r="P126" i="82"/>
  <c r="P120" i="83"/>
  <c r="P128" i="83"/>
  <c r="P130" i="83"/>
  <c r="P119" i="84"/>
  <c r="P101" i="85"/>
  <c r="P105" i="85"/>
  <c r="P101" i="86"/>
  <c r="P109" i="86"/>
  <c r="P106" i="88"/>
  <c r="P105" i="89"/>
  <c r="P123" i="90"/>
  <c r="P119" i="91"/>
  <c r="P107" i="92"/>
  <c r="P116" i="92"/>
  <c r="P120" i="92"/>
  <c r="P116" i="93"/>
  <c r="P113" i="94"/>
  <c r="P125" i="96"/>
  <c r="P127" i="96"/>
  <c r="P152" i="55"/>
  <c r="P147" i="57"/>
  <c r="P123" i="57"/>
  <c r="P119" i="57"/>
  <c r="P110" i="59"/>
  <c r="P127" i="59"/>
  <c r="P114" i="60"/>
  <c r="P104" i="64"/>
  <c r="P108" i="64"/>
  <c r="P113" i="65"/>
  <c r="P123" i="66"/>
  <c r="P127" i="66"/>
  <c r="P130" i="69"/>
  <c r="P117" i="72"/>
  <c r="P106" i="79"/>
  <c r="P109" i="80"/>
  <c r="P111" i="80"/>
  <c r="P114" i="88"/>
  <c r="P106" i="91"/>
  <c r="P112" i="91"/>
  <c r="P120" i="91"/>
  <c r="P119" i="93"/>
  <c r="P108" i="81"/>
  <c r="P111" i="83"/>
  <c r="P106" i="85"/>
  <c r="P118" i="85"/>
  <c r="P130" i="85"/>
  <c r="P110" i="86"/>
  <c r="P103" i="88"/>
  <c r="P122" i="88"/>
  <c r="P124" i="88"/>
  <c r="P108" i="89"/>
  <c r="P126" i="89"/>
  <c r="P105" i="90"/>
  <c r="P125" i="94"/>
  <c r="P107" i="95"/>
  <c r="P104" i="96"/>
  <c r="B102" i="35"/>
  <c r="G101" i="35"/>
  <c r="B103" i="35"/>
  <c r="G102" i="35"/>
  <c r="P110" i="18"/>
  <c r="P148" i="21"/>
  <c r="P148" i="25"/>
  <c r="P140" i="26"/>
  <c r="P150" i="3"/>
  <c r="P119" i="3"/>
  <c r="P112" i="3"/>
  <c r="P114" i="13"/>
  <c r="P112" i="13"/>
  <c r="P148" i="17"/>
  <c r="P137" i="17"/>
  <c r="P131" i="17"/>
  <c r="P129" i="17"/>
  <c r="P119" i="17"/>
  <c r="P143" i="18"/>
  <c r="P141" i="18"/>
  <c r="P139" i="18"/>
  <c r="P145" i="19"/>
  <c r="P140" i="19"/>
  <c r="P154" i="20"/>
  <c r="P129" i="20"/>
  <c r="P127" i="20"/>
  <c r="P124" i="20"/>
  <c r="P120" i="20"/>
  <c r="P139" i="23"/>
  <c r="P110" i="23"/>
  <c r="P127" i="24"/>
  <c r="P125" i="24"/>
  <c r="P124" i="25"/>
  <c r="P101" i="25"/>
  <c r="P126" i="26"/>
  <c r="P127" i="60"/>
  <c r="P115" i="64"/>
  <c r="P111" i="66"/>
  <c r="P135" i="3"/>
  <c r="P111" i="17"/>
  <c r="P138" i="18"/>
  <c r="P143" i="24"/>
  <c r="P128" i="24"/>
  <c r="P121" i="24"/>
  <c r="P119" i="25"/>
  <c r="P104" i="25"/>
  <c r="P150" i="26"/>
  <c r="P133" i="3"/>
  <c r="P122" i="3"/>
  <c r="P130" i="13"/>
  <c r="P115" i="13"/>
  <c r="P141" i="17"/>
  <c r="P139" i="17"/>
  <c r="P134" i="17"/>
  <c r="P123" i="17"/>
  <c r="P121" i="17"/>
  <c r="P116" i="17"/>
  <c r="P110" i="17"/>
  <c r="P152" i="18"/>
  <c r="P145" i="18"/>
  <c r="P134" i="18"/>
  <c r="P121" i="18"/>
  <c r="P152" i="19"/>
  <c r="P146" i="19"/>
  <c r="P144" i="19"/>
  <c r="P135" i="19"/>
  <c r="P128" i="19"/>
  <c r="P126" i="19"/>
  <c r="P117" i="19"/>
  <c r="P151" i="20"/>
  <c r="P135" i="20"/>
  <c r="P123" i="20"/>
  <c r="P121" i="22"/>
  <c r="P115" i="22"/>
  <c r="P111" i="22"/>
  <c r="P109" i="22"/>
  <c r="P121" i="23"/>
  <c r="P124" i="24"/>
  <c r="P113" i="24"/>
  <c r="P146" i="25"/>
  <c r="P144" i="25"/>
  <c r="P151" i="26"/>
  <c r="P129" i="29"/>
  <c r="P144" i="56"/>
  <c r="P105" i="63"/>
  <c r="P106" i="65"/>
  <c r="P151" i="27"/>
  <c r="P131" i="27"/>
  <c r="P127" i="27"/>
  <c r="P125" i="27"/>
  <c r="P149" i="28"/>
  <c r="P136" i="28"/>
  <c r="P112" i="28"/>
  <c r="P118" i="29"/>
  <c r="P142" i="30"/>
  <c r="P152" i="31"/>
  <c r="P126" i="31"/>
  <c r="P150" i="32"/>
  <c r="P148" i="32"/>
  <c r="P118" i="32"/>
  <c r="P117" i="33"/>
  <c r="P154" i="34"/>
  <c r="P148" i="34"/>
  <c r="P146" i="34"/>
  <c r="P153" i="35"/>
  <c r="P136" i="35"/>
  <c r="P127" i="35"/>
  <c r="P125" i="35"/>
  <c r="P138" i="41"/>
  <c r="P112" i="41"/>
  <c r="P153" i="42"/>
  <c r="P121" i="42"/>
  <c r="P117" i="42"/>
  <c r="P110" i="42"/>
  <c r="P145" i="45"/>
  <c r="P133" i="46"/>
  <c r="P108" i="46"/>
  <c r="P108" i="54"/>
  <c r="P147" i="55"/>
  <c r="P138" i="55"/>
  <c r="P132" i="56"/>
  <c r="P142" i="57"/>
  <c r="P130" i="57"/>
  <c r="P115" i="57"/>
  <c r="P106" i="57"/>
  <c r="P104" i="60"/>
  <c r="P106" i="60"/>
  <c r="P123" i="60"/>
  <c r="P125" i="60"/>
  <c r="P108" i="65"/>
  <c r="P105" i="66"/>
  <c r="P107" i="66"/>
  <c r="P118" i="66"/>
  <c r="P111" i="67"/>
  <c r="P115" i="67"/>
  <c r="P117" i="67"/>
  <c r="P123" i="67"/>
  <c r="P118" i="72"/>
  <c r="P114" i="82"/>
  <c r="P112" i="83"/>
  <c r="P117" i="85"/>
  <c r="P119" i="88"/>
  <c r="P125" i="89"/>
  <c r="P105" i="91"/>
  <c r="P123" i="91"/>
  <c r="P135" i="43"/>
  <c r="P127" i="46"/>
  <c r="P116" i="56"/>
  <c r="P145" i="58"/>
  <c r="P104" i="95"/>
  <c r="P139" i="27"/>
  <c r="P130" i="27"/>
  <c r="P122" i="27"/>
  <c r="P114" i="27"/>
  <c r="P141" i="28"/>
  <c r="P120" i="28"/>
  <c r="P151" i="29"/>
  <c r="P136" i="29"/>
  <c r="P146" i="30"/>
  <c r="P138" i="30"/>
  <c r="P112" i="30"/>
  <c r="P130" i="31"/>
  <c r="P115" i="31"/>
  <c r="P153" i="32"/>
  <c r="P151" i="32"/>
  <c r="P147" i="32"/>
  <c r="P133" i="32"/>
  <c r="P122" i="33"/>
  <c r="P114" i="33"/>
  <c r="P110" i="33"/>
  <c r="P153" i="34"/>
  <c r="P151" i="34"/>
  <c r="P147" i="34"/>
  <c r="P128" i="34"/>
  <c r="P150" i="35"/>
  <c r="P145" i="35"/>
  <c r="P139" i="35"/>
  <c r="P137" i="35"/>
  <c r="P117" i="35"/>
  <c r="P102" i="35"/>
  <c r="P107" i="41"/>
  <c r="P130" i="42"/>
  <c r="P114" i="42"/>
  <c r="P125" i="43"/>
  <c r="P122" i="44"/>
  <c r="P120" i="44"/>
  <c r="P144" i="45"/>
  <c r="P148" i="46"/>
  <c r="P138" i="46"/>
  <c r="P124" i="46"/>
  <c r="P122" i="54"/>
  <c r="P150" i="55"/>
  <c r="P143" i="55"/>
  <c r="P141" i="55"/>
  <c r="P125" i="55"/>
  <c r="P138" i="56"/>
  <c r="P112" i="56"/>
  <c r="P110" i="56"/>
  <c r="P138" i="57"/>
  <c r="P125" i="57"/>
  <c r="P121" i="57"/>
  <c r="P116" i="57"/>
  <c r="P111" i="57"/>
  <c r="P118" i="59"/>
  <c r="P125" i="59"/>
  <c r="P109" i="60"/>
  <c r="P121" i="63"/>
  <c r="P123" i="63"/>
  <c r="P127" i="63"/>
  <c r="P105" i="64"/>
  <c r="P110" i="64"/>
  <c r="P116" i="65"/>
  <c r="P118" i="65"/>
  <c r="P116" i="66"/>
  <c r="P105" i="67"/>
  <c r="P109" i="67"/>
  <c r="P112" i="67"/>
  <c r="P120" i="68"/>
  <c r="P107" i="83"/>
  <c r="P129" i="83"/>
  <c r="P102" i="86"/>
  <c r="P108" i="86"/>
  <c r="P120" i="90"/>
  <c r="P106" i="92"/>
  <c r="P119" i="67"/>
  <c r="P121" i="67"/>
  <c r="P113" i="68"/>
  <c r="P125" i="68"/>
  <c r="P128" i="68"/>
  <c r="P128" i="71"/>
  <c r="P106" i="72"/>
  <c r="P109" i="72"/>
  <c r="P123" i="72"/>
  <c r="P128" i="72"/>
  <c r="P110" i="73"/>
  <c r="P118" i="76"/>
  <c r="P121" i="78"/>
  <c r="P130" i="78"/>
  <c r="P108" i="79"/>
  <c r="P113" i="79"/>
  <c r="P130" i="81"/>
  <c r="P102" i="82"/>
  <c r="P104" i="82"/>
  <c r="P110" i="82"/>
  <c r="P119" i="82"/>
  <c r="P109" i="83"/>
  <c r="P114" i="83"/>
  <c r="P109" i="85"/>
  <c r="P115" i="85"/>
  <c r="P128" i="86"/>
  <c r="P100" i="87"/>
  <c r="P102" i="87"/>
  <c r="P119" i="87"/>
  <c r="P123" i="87"/>
  <c r="P117" i="88"/>
  <c r="P121" i="88"/>
  <c r="P123" i="88"/>
  <c r="P130" i="89"/>
  <c r="P116" i="90"/>
  <c r="P124" i="90"/>
  <c r="P116" i="91"/>
  <c r="P109" i="92"/>
  <c r="P119" i="92"/>
  <c r="P127" i="92"/>
  <c r="P103" i="93"/>
  <c r="P115" i="93"/>
  <c r="P115" i="95"/>
  <c r="P105" i="96"/>
  <c r="P124" i="96"/>
  <c r="P126" i="77"/>
  <c r="P122" i="83"/>
  <c r="P121" i="85"/>
  <c r="P123" i="86"/>
  <c r="P109" i="96"/>
  <c r="P121" i="96"/>
  <c r="P118" i="67"/>
  <c r="P104" i="68"/>
  <c r="P129" i="68"/>
  <c r="P127" i="70"/>
  <c r="P111" i="71"/>
  <c r="P127" i="71"/>
  <c r="P107" i="72"/>
  <c r="P114" i="72"/>
  <c r="P125" i="72"/>
  <c r="P112" i="74"/>
  <c r="P126" i="74"/>
  <c r="P107" i="76"/>
  <c r="P111" i="76"/>
  <c r="P115" i="76"/>
  <c r="P103" i="77"/>
  <c r="P109" i="77"/>
  <c r="P119" i="77"/>
  <c r="P111" i="79"/>
  <c r="P114" i="79"/>
  <c r="P101" i="80"/>
  <c r="P114" i="80"/>
  <c r="P110" i="81"/>
  <c r="P112" i="81"/>
  <c r="P122" i="81"/>
  <c r="P103" i="82"/>
  <c r="P118" i="82"/>
  <c r="P117" i="83"/>
  <c r="P101" i="84"/>
  <c r="P110" i="84"/>
  <c r="P115" i="84"/>
  <c r="P112" i="85"/>
  <c r="P122" i="85"/>
  <c r="P120" i="86"/>
  <c r="P122" i="86"/>
  <c r="P105" i="87"/>
  <c r="P120" i="87"/>
  <c r="P122" i="87"/>
  <c r="P126" i="87"/>
  <c r="P103" i="89"/>
  <c r="P106" i="90"/>
  <c r="P104" i="91"/>
  <c r="P115" i="91"/>
  <c r="P105" i="92"/>
  <c r="P124" i="92"/>
  <c r="P128" i="92"/>
  <c r="P123" i="93"/>
  <c r="P127" i="93"/>
  <c r="P129" i="93"/>
  <c r="P110" i="94"/>
  <c r="P121" i="94"/>
  <c r="P102" i="95"/>
  <c r="P114" i="95"/>
  <c r="P118" i="96"/>
  <c r="P106" i="13"/>
  <c r="P149" i="3"/>
  <c r="P120" i="3"/>
  <c r="P114" i="3"/>
  <c r="P131" i="19"/>
  <c r="P138" i="20"/>
  <c r="P143" i="21"/>
  <c r="P141" i="21"/>
  <c r="P137" i="22"/>
  <c r="P120" i="22"/>
  <c r="P145" i="23"/>
  <c r="P136" i="27"/>
  <c r="P131" i="28"/>
  <c r="P122" i="28"/>
  <c r="P139" i="30"/>
  <c r="P151" i="33"/>
  <c r="P127" i="33"/>
  <c r="P120" i="34"/>
  <c r="P118" i="34"/>
  <c r="P111" i="34"/>
  <c r="P122" i="35"/>
  <c r="P154" i="41"/>
  <c r="P144" i="55"/>
  <c r="P111" i="59"/>
  <c r="P125" i="62"/>
  <c r="P131" i="20"/>
  <c r="P131" i="22"/>
  <c r="P118" i="46"/>
  <c r="P114" i="46"/>
  <c r="P115" i="66"/>
  <c r="P130" i="67"/>
  <c r="P139" i="20"/>
  <c r="P134" i="20"/>
  <c r="P144" i="21"/>
  <c r="P131" i="21"/>
  <c r="P115" i="21"/>
  <c r="P113" i="21"/>
  <c r="P114" i="22"/>
  <c r="P112" i="22"/>
  <c r="P148" i="23"/>
  <c r="P140" i="24"/>
  <c r="P115" i="24"/>
  <c r="P129" i="25"/>
  <c r="P140" i="27"/>
  <c r="P119" i="27"/>
  <c r="P127" i="28"/>
  <c r="P152" i="29"/>
  <c r="P150" i="30"/>
  <c r="P135" i="30"/>
  <c r="P120" i="31"/>
  <c r="P125" i="32"/>
  <c r="P111" i="32"/>
  <c r="P150" i="33"/>
  <c r="P148" i="33"/>
  <c r="P126" i="33"/>
  <c r="P124" i="33"/>
  <c r="P123" i="34"/>
  <c r="P121" i="34"/>
  <c r="P130" i="35"/>
  <c r="P119" i="35"/>
  <c r="P110" i="35"/>
  <c r="P135" i="39"/>
  <c r="P111" i="41"/>
  <c r="P108" i="42"/>
  <c r="P153" i="44"/>
  <c r="P151" i="44"/>
  <c r="P144" i="44"/>
  <c r="P135" i="44"/>
  <c r="P108" i="44"/>
  <c r="P128" i="46"/>
  <c r="P154" i="54"/>
  <c r="P148" i="55"/>
  <c r="P123" i="55"/>
  <c r="P116" i="58"/>
  <c r="P117" i="61"/>
  <c r="P115" i="75"/>
  <c r="P114" i="91"/>
  <c r="P114" i="92"/>
  <c r="P121" i="92"/>
  <c r="P101" i="95"/>
  <c r="P108" i="95"/>
  <c r="P129" i="95"/>
  <c r="P129" i="60"/>
  <c r="P130" i="64"/>
  <c r="P110" i="65"/>
  <c r="P128" i="65"/>
  <c r="P124" i="68"/>
  <c r="P117" i="74"/>
  <c r="P123" i="75"/>
  <c r="P127" i="82"/>
  <c r="P140" i="56"/>
  <c r="P120" i="56"/>
  <c r="P118" i="56"/>
  <c r="P144" i="57"/>
  <c r="P128" i="57"/>
  <c r="P118" i="57"/>
  <c r="P136" i="58"/>
  <c r="P130" i="62"/>
  <c r="P113" i="63"/>
  <c r="P127" i="64"/>
  <c r="P130" i="72"/>
  <c r="P114" i="74"/>
  <c r="P129" i="74"/>
  <c r="P103" i="75"/>
  <c r="P111" i="77"/>
  <c r="P130" i="79"/>
  <c r="P111" i="82"/>
  <c r="P110" i="83"/>
  <c r="P119" i="86"/>
  <c r="P127" i="87"/>
  <c r="P130" i="90"/>
  <c r="P125" i="91"/>
  <c r="P111" i="92"/>
  <c r="P116" i="96"/>
  <c r="P126" i="96"/>
  <c r="P121" i="77"/>
  <c r="P124" i="82"/>
  <c r="P110" i="85"/>
  <c r="P122" i="89"/>
  <c r="P102" i="90"/>
  <c r="P113" i="91"/>
  <c r="P117" i="91"/>
  <c r="P100" i="92"/>
  <c r="P126" i="94"/>
  <c r="P105" i="95"/>
  <c r="P113" i="96"/>
  <c r="D37" i="36"/>
  <c r="C32" i="36"/>
  <c r="C50" i="36"/>
  <c r="D74" i="36"/>
  <c r="D91" i="36"/>
  <c r="D72" i="36"/>
  <c r="C81" i="36"/>
  <c r="C23" i="36"/>
  <c r="C24" i="36"/>
  <c r="D81" i="36"/>
  <c r="C72" i="36"/>
  <c r="D24" i="36"/>
  <c r="C56" i="36"/>
  <c r="C27" i="36"/>
  <c r="D25" i="36"/>
  <c r="C91" i="36"/>
  <c r="D85" i="36"/>
  <c r="D87" i="36"/>
  <c r="D29" i="36"/>
  <c r="C74" i="36"/>
  <c r="D34" i="36"/>
  <c r="D63" i="36"/>
  <c r="D75" i="36"/>
  <c r="C73" i="36"/>
  <c r="C21" i="36"/>
  <c r="C28" i="36"/>
  <c r="C49" i="36"/>
  <c r="C43" i="36"/>
  <c r="D40" i="36"/>
  <c r="D60" i="36"/>
  <c r="C38" i="36"/>
  <c r="C20" i="36"/>
  <c r="D61" i="36"/>
  <c r="D19" i="36"/>
  <c r="D20" i="36"/>
  <c r="D82" i="36"/>
  <c r="C86" i="36"/>
  <c r="C79" i="36"/>
  <c r="C26" i="36"/>
  <c r="D27" i="36"/>
  <c r="D64" i="36"/>
  <c r="C69" i="36"/>
  <c r="C19" i="36"/>
  <c r="D41" i="36"/>
  <c r="D84" i="36"/>
  <c r="D52" i="36"/>
  <c r="C30" i="36"/>
  <c r="C88" i="36"/>
  <c r="C85" i="36"/>
  <c r="D55" i="36"/>
  <c r="C75" i="36"/>
  <c r="D59" i="36"/>
  <c r="C89" i="36"/>
  <c r="C29" i="36"/>
  <c r="D68" i="36"/>
  <c r="D65" i="36"/>
  <c r="D44" i="36"/>
  <c r="D76" i="36"/>
  <c r="C48" i="36"/>
  <c r="D46" i="36"/>
  <c r="C25" i="36"/>
  <c r="C22" i="36"/>
  <c r="D42" i="36"/>
  <c r="D57" i="36"/>
  <c r="D28" i="36"/>
  <c r="C71" i="36"/>
  <c r="C34" i="36"/>
  <c r="D67" i="36"/>
  <c r="C36" i="36"/>
  <c r="C60" i="36"/>
  <c r="D71" i="36"/>
  <c r="C33" i="36"/>
  <c r="D53" i="36"/>
  <c r="C78" i="36"/>
  <c r="D54" i="36"/>
  <c r="D79" i="36"/>
  <c r="D88" i="36"/>
  <c r="C41" i="36"/>
  <c r="C44" i="36"/>
  <c r="C84" i="36"/>
  <c r="C83" i="36"/>
  <c r="C45" i="36"/>
  <c r="D30" i="36"/>
  <c r="C53" i="36"/>
  <c r="C18" i="36"/>
  <c r="D36" i="36"/>
  <c r="D66" i="36"/>
  <c r="D39" i="36"/>
  <c r="D90" i="36"/>
  <c r="D86" i="36"/>
  <c r="C57" i="36"/>
  <c r="C66" i="36"/>
  <c r="C63" i="36"/>
  <c r="C82" i="36"/>
  <c r="D31" i="36"/>
  <c r="D18" i="36"/>
  <c r="C39" i="36"/>
  <c r="D62" i="36"/>
  <c r="C51" i="36"/>
  <c r="C64" i="36"/>
  <c r="D23" i="36"/>
  <c r="C37" i="36"/>
  <c r="D33" i="36"/>
  <c r="C52" i="36"/>
  <c r="D51" i="36"/>
  <c r="D35" i="36"/>
  <c r="C58" i="36"/>
  <c r="C68" i="36"/>
  <c r="D70" i="36"/>
  <c r="C55" i="36"/>
  <c r="C31" i="36"/>
  <c r="D50" i="36"/>
  <c r="D43" i="36"/>
  <c r="C70" i="36"/>
  <c r="D77" i="36"/>
  <c r="C46" i="36"/>
  <c r="C61" i="36"/>
  <c r="D78" i="36"/>
  <c r="C40" i="36"/>
  <c r="C80" i="36"/>
  <c r="C67" i="36"/>
  <c r="D56" i="36"/>
  <c r="D26" i="36"/>
  <c r="C54" i="36"/>
  <c r="C76" i="36"/>
  <c r="D58" i="36"/>
  <c r="D69" i="36"/>
  <c r="C47" i="36"/>
  <c r="D45" i="36"/>
  <c r="C65" i="36"/>
  <c r="C90" i="36"/>
  <c r="D80" i="36"/>
  <c r="D21" i="36"/>
  <c r="D73" i="36"/>
  <c r="C42" i="36"/>
  <c r="D22" i="36"/>
  <c r="C77" i="36"/>
  <c r="D83" i="36"/>
  <c r="D47" i="36"/>
  <c r="D89" i="36"/>
  <c r="C59" i="36"/>
  <c r="D48" i="36"/>
  <c r="C87" i="36"/>
  <c r="D49" i="36"/>
  <c r="C62" i="36"/>
  <c r="C35" i="36"/>
  <c r="D38" i="36"/>
  <c r="D32" i="36"/>
  <c r="H17" i="26" l="1"/>
  <c r="N17" i="26" s="1"/>
  <c r="E18" i="33"/>
  <c r="F18" i="33" s="1"/>
  <c r="D19" i="33" s="1"/>
  <c r="E18" i="25"/>
  <c r="F18" i="25" s="1"/>
  <c r="M87" i="78"/>
  <c r="O87" i="78" s="1"/>
  <c r="M87" i="21"/>
  <c r="O87" i="21" s="1"/>
  <c r="N87" i="31"/>
  <c r="L86" i="76"/>
  <c r="G17" i="26"/>
  <c r="L17" i="26" s="1"/>
  <c r="O17" i="26" s="1"/>
  <c r="N87" i="74"/>
  <c r="N87" i="76"/>
  <c r="O87" i="76" s="1"/>
  <c r="M87" i="31"/>
  <c r="L86" i="86"/>
  <c r="E18" i="26"/>
  <c r="F18" i="26" s="1"/>
  <c r="H18" i="26" s="1"/>
  <c r="D94" i="78"/>
  <c r="F20" i="1"/>
  <c r="E25" i="1" s="1"/>
  <c r="E26" i="1" s="1"/>
  <c r="E19" i="13"/>
  <c r="F19" i="13" s="1"/>
  <c r="G19" i="13" s="1"/>
  <c r="D94" i="82"/>
  <c r="D93" i="89"/>
  <c r="C99" i="89" s="1"/>
  <c r="C100" i="89" s="1"/>
  <c r="C101" i="89" s="1"/>
  <c r="C102" i="89" s="1"/>
  <c r="C103" i="89" s="1"/>
  <c r="C104" i="89" s="1"/>
  <c r="C105" i="89" s="1"/>
  <c r="C106" i="89" s="1"/>
  <c r="C107" i="89" s="1"/>
  <c r="C108" i="89" s="1"/>
  <c r="C109" i="89" s="1"/>
  <c r="C110" i="89" s="1"/>
  <c r="C111" i="89" s="1"/>
  <c r="C112" i="89" s="1"/>
  <c r="C113" i="89" s="1"/>
  <c r="C114" i="89" s="1"/>
  <c r="C115" i="89" s="1"/>
  <c r="C116" i="89" s="1"/>
  <c r="C117" i="89" s="1"/>
  <c r="C118" i="89" s="1"/>
  <c r="C119" i="89" s="1"/>
  <c r="C120" i="89" s="1"/>
  <c r="C121" i="89" s="1"/>
  <c r="C122" i="89" s="1"/>
  <c r="C123" i="89" s="1"/>
  <c r="C124" i="89" s="1"/>
  <c r="C125" i="89" s="1"/>
  <c r="C126" i="89" s="1"/>
  <c r="C127" i="89" s="1"/>
  <c r="C128" i="89" s="1"/>
  <c r="C129" i="89" s="1"/>
  <c r="C130" i="89" s="1"/>
  <c r="C131" i="89" s="1"/>
  <c r="C132" i="89" s="1"/>
  <c r="C133" i="89" s="1"/>
  <c r="C134" i="89" s="1"/>
  <c r="C135" i="89" s="1"/>
  <c r="C136" i="89" s="1"/>
  <c r="C137" i="89" s="1"/>
  <c r="C138" i="89" s="1"/>
  <c r="C139" i="89" s="1"/>
  <c r="C140" i="89" s="1"/>
  <c r="C141" i="89" s="1"/>
  <c r="C142" i="89" s="1"/>
  <c r="C143" i="89" s="1"/>
  <c r="C144" i="89" s="1"/>
  <c r="C145" i="89" s="1"/>
  <c r="C146" i="89" s="1"/>
  <c r="C147" i="89" s="1"/>
  <c r="C148" i="89" s="1"/>
  <c r="C149" i="89" s="1"/>
  <c r="C150" i="89" s="1"/>
  <c r="C151" i="89" s="1"/>
  <c r="C152" i="89" s="1"/>
  <c r="C153" i="89" s="1"/>
  <c r="C154" i="89" s="1"/>
  <c r="D94" i="20"/>
  <c r="D13" i="60"/>
  <c r="I14" i="60" s="1"/>
  <c r="D13" i="30"/>
  <c r="I14" i="30" s="1"/>
  <c r="D13" i="83"/>
  <c r="I14" i="83" s="1"/>
  <c r="D94" i="92"/>
  <c r="D93" i="75"/>
  <c r="C99" i="75" s="1"/>
  <c r="C100" i="75" s="1"/>
  <c r="C101" i="75" s="1"/>
  <c r="C102" i="75" s="1"/>
  <c r="C103" i="75" s="1"/>
  <c r="C104" i="75" s="1"/>
  <c r="C105" i="75" s="1"/>
  <c r="C106" i="75" s="1"/>
  <c r="C107" i="75" s="1"/>
  <c r="C108" i="75" s="1"/>
  <c r="C109" i="75" s="1"/>
  <c r="C110" i="75" s="1"/>
  <c r="C111" i="75" s="1"/>
  <c r="C112" i="75" s="1"/>
  <c r="C113" i="75" s="1"/>
  <c r="C114" i="75" s="1"/>
  <c r="C115" i="75" s="1"/>
  <c r="C116" i="75" s="1"/>
  <c r="C117" i="75" s="1"/>
  <c r="C118" i="75" s="1"/>
  <c r="C119" i="75" s="1"/>
  <c r="C120" i="75" s="1"/>
  <c r="C121" i="75" s="1"/>
  <c r="C122" i="75" s="1"/>
  <c r="C123" i="75" s="1"/>
  <c r="C124" i="75" s="1"/>
  <c r="C125" i="75" s="1"/>
  <c r="C126" i="75" s="1"/>
  <c r="C127" i="75" s="1"/>
  <c r="C128" i="75" s="1"/>
  <c r="C129" i="75" s="1"/>
  <c r="C130" i="75" s="1"/>
  <c r="C131" i="75" s="1"/>
  <c r="C132" i="75" s="1"/>
  <c r="C133" i="75" s="1"/>
  <c r="C134" i="75" s="1"/>
  <c r="C135" i="75" s="1"/>
  <c r="C136" i="75" s="1"/>
  <c r="C137" i="75" s="1"/>
  <c r="C138" i="75" s="1"/>
  <c r="C139" i="75" s="1"/>
  <c r="C140" i="75" s="1"/>
  <c r="C141" i="75" s="1"/>
  <c r="C142" i="75" s="1"/>
  <c r="C143" i="75" s="1"/>
  <c r="C144" i="75" s="1"/>
  <c r="C145" i="75" s="1"/>
  <c r="C146" i="75" s="1"/>
  <c r="C147" i="75" s="1"/>
  <c r="C148" i="75" s="1"/>
  <c r="C149" i="75" s="1"/>
  <c r="C150" i="75" s="1"/>
  <c r="C151" i="75" s="1"/>
  <c r="C152" i="75" s="1"/>
  <c r="C153" i="75" s="1"/>
  <c r="C154" i="75" s="1"/>
  <c r="D92" i="33"/>
  <c r="J96" i="33" s="1"/>
  <c r="E99" i="33" s="1"/>
  <c r="I13" i="79"/>
  <c r="D93" i="28"/>
  <c r="C99" i="28" s="1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D93" i="33"/>
  <c r="C99" i="33" s="1"/>
  <c r="C100" i="33" s="1"/>
  <c r="C101" i="33" s="1"/>
  <c r="C102" i="33" s="1"/>
  <c r="C103" i="33" s="1"/>
  <c r="C104" i="33" s="1"/>
  <c r="C105" i="33" s="1"/>
  <c r="C106" i="33" s="1"/>
  <c r="C107" i="33" s="1"/>
  <c r="C108" i="33" s="1"/>
  <c r="C109" i="33" s="1"/>
  <c r="C110" i="33" s="1"/>
  <c r="C111" i="33" s="1"/>
  <c r="C112" i="33" s="1"/>
  <c r="C113" i="33" s="1"/>
  <c r="C114" i="33" s="1"/>
  <c r="C115" i="33" s="1"/>
  <c r="C116" i="33" s="1"/>
  <c r="C117" i="33" s="1"/>
  <c r="C118" i="33" s="1"/>
  <c r="C119" i="33" s="1"/>
  <c r="C120" i="33" s="1"/>
  <c r="C121" i="33" s="1"/>
  <c r="C122" i="33" s="1"/>
  <c r="C123" i="33" s="1"/>
  <c r="C124" i="33" s="1"/>
  <c r="C125" i="33" s="1"/>
  <c r="C126" i="33" s="1"/>
  <c r="C127" i="33" s="1"/>
  <c r="C128" i="33" s="1"/>
  <c r="C129" i="33" s="1"/>
  <c r="C130" i="33" s="1"/>
  <c r="C131" i="33" s="1"/>
  <c r="C132" i="33" s="1"/>
  <c r="C133" i="33" s="1"/>
  <c r="C134" i="33" s="1"/>
  <c r="C135" i="33" s="1"/>
  <c r="C136" i="33" s="1"/>
  <c r="C137" i="33" s="1"/>
  <c r="C138" i="33" s="1"/>
  <c r="C139" i="33" s="1"/>
  <c r="C140" i="33" s="1"/>
  <c r="C141" i="33" s="1"/>
  <c r="C142" i="33" s="1"/>
  <c r="C143" i="33" s="1"/>
  <c r="C144" i="33" s="1"/>
  <c r="C145" i="33" s="1"/>
  <c r="C146" i="33" s="1"/>
  <c r="C147" i="33" s="1"/>
  <c r="C148" i="33" s="1"/>
  <c r="C149" i="33" s="1"/>
  <c r="C150" i="33" s="1"/>
  <c r="C151" i="33" s="1"/>
  <c r="C152" i="33" s="1"/>
  <c r="C153" i="33" s="1"/>
  <c r="C154" i="33" s="1"/>
  <c r="D94" i="90"/>
  <c r="C148" i="90"/>
  <c r="C149" i="90" s="1"/>
  <c r="C150" i="90" s="1"/>
  <c r="C151" i="90" s="1"/>
  <c r="C152" i="90" s="1"/>
  <c r="C153" i="90" s="1"/>
  <c r="C154" i="90" s="1"/>
  <c r="C100" i="35"/>
  <c r="C101" i="35" s="1"/>
  <c r="C102" i="35" s="1"/>
  <c r="C103" i="35" s="1"/>
  <c r="C104" i="35" s="1"/>
  <c r="C105" i="35" s="1"/>
  <c r="C106" i="35" s="1"/>
  <c r="C107" i="35" s="1"/>
  <c r="C108" i="35" s="1"/>
  <c r="C109" i="35" s="1"/>
  <c r="C110" i="35" s="1"/>
  <c r="C111" i="35" s="1"/>
  <c r="C112" i="35" s="1"/>
  <c r="C113" i="35" s="1"/>
  <c r="C114" i="35" s="1"/>
  <c r="C115" i="35" s="1"/>
  <c r="C116" i="35" s="1"/>
  <c r="C117" i="35" s="1"/>
  <c r="C118" i="35" s="1"/>
  <c r="C119" i="35" s="1"/>
  <c r="C120" i="35" s="1"/>
  <c r="C121" i="35" s="1"/>
  <c r="C122" i="35" s="1"/>
  <c r="C123" i="35" s="1"/>
  <c r="C124" i="35" s="1"/>
  <c r="C125" i="35" s="1"/>
  <c r="C126" i="35" s="1"/>
  <c r="C127" i="35" s="1"/>
  <c r="C128" i="35" s="1"/>
  <c r="C129" i="35" s="1"/>
  <c r="C130" i="35" s="1"/>
  <c r="C131" i="35" s="1"/>
  <c r="C132" i="35" s="1"/>
  <c r="C133" i="35" s="1"/>
  <c r="C134" i="35" s="1"/>
  <c r="C135" i="35" s="1"/>
  <c r="C136" i="35" s="1"/>
  <c r="C137" i="35" s="1"/>
  <c r="C138" i="35" s="1"/>
  <c r="C139" i="35" s="1"/>
  <c r="C140" i="35" s="1"/>
  <c r="C141" i="35" s="1"/>
  <c r="C142" i="35" s="1"/>
  <c r="C143" i="35" s="1"/>
  <c r="C144" i="35" s="1"/>
  <c r="C145" i="35" s="1"/>
  <c r="C146" i="35" s="1"/>
  <c r="C147" i="35" s="1"/>
  <c r="C148" i="35" s="1"/>
  <c r="C149" i="35" s="1"/>
  <c r="C150" i="35" s="1"/>
  <c r="C151" i="35" s="1"/>
  <c r="C152" i="35" s="1"/>
  <c r="C153" i="35" s="1"/>
  <c r="C154" i="35" s="1"/>
  <c r="D92" i="43"/>
  <c r="B107" i="43" s="1"/>
  <c r="D93" i="56"/>
  <c r="C99" i="56" s="1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C127" i="56" s="1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D94" i="35"/>
  <c r="O87" i="26"/>
  <c r="D93" i="43"/>
  <c r="D94" i="23"/>
  <c r="D93" i="87"/>
  <c r="C99" i="87" s="1"/>
  <c r="C100" i="87" s="1"/>
  <c r="C101" i="87" s="1"/>
  <c r="C102" i="87" s="1"/>
  <c r="C103" i="87" s="1"/>
  <c r="C104" i="87" s="1"/>
  <c r="C105" i="87" s="1"/>
  <c r="C106" i="87" s="1"/>
  <c r="C107" i="87" s="1"/>
  <c r="C108" i="87" s="1"/>
  <c r="C109" i="87" s="1"/>
  <c r="C110" i="87" s="1"/>
  <c r="C111" i="87" s="1"/>
  <c r="C112" i="87" s="1"/>
  <c r="C113" i="87" s="1"/>
  <c r="C114" i="87" s="1"/>
  <c r="C115" i="87" s="1"/>
  <c r="C116" i="87" s="1"/>
  <c r="C117" i="87" s="1"/>
  <c r="C118" i="87" s="1"/>
  <c r="C119" i="87" s="1"/>
  <c r="C120" i="87" s="1"/>
  <c r="C121" i="87" s="1"/>
  <c r="C122" i="87" s="1"/>
  <c r="C123" i="87" s="1"/>
  <c r="C124" i="87" s="1"/>
  <c r="C125" i="87" s="1"/>
  <c r="C126" i="87" s="1"/>
  <c r="C127" i="87" s="1"/>
  <c r="C128" i="87" s="1"/>
  <c r="C129" i="87" s="1"/>
  <c r="C130" i="87" s="1"/>
  <c r="C131" i="87" s="1"/>
  <c r="C132" i="87" s="1"/>
  <c r="C133" i="87" s="1"/>
  <c r="C134" i="87" s="1"/>
  <c r="C135" i="87" s="1"/>
  <c r="C136" i="87" s="1"/>
  <c r="C137" i="87" s="1"/>
  <c r="C138" i="87" s="1"/>
  <c r="C139" i="87" s="1"/>
  <c r="C140" i="87" s="1"/>
  <c r="C141" i="87" s="1"/>
  <c r="C142" i="87" s="1"/>
  <c r="C143" i="87" s="1"/>
  <c r="C144" i="87" s="1"/>
  <c r="C145" i="87" s="1"/>
  <c r="C146" i="87" s="1"/>
  <c r="C147" i="87" s="1"/>
  <c r="C148" i="87" s="1"/>
  <c r="C149" i="87" s="1"/>
  <c r="C150" i="87" s="1"/>
  <c r="C151" i="87" s="1"/>
  <c r="C152" i="87" s="1"/>
  <c r="C153" i="87" s="1"/>
  <c r="C154" i="87" s="1"/>
  <c r="D93" i="46"/>
  <c r="C99" i="46" s="1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E99" i="13"/>
  <c r="F99" i="13" s="1"/>
  <c r="D93" i="85"/>
  <c r="C99" i="85" s="1"/>
  <c r="C100" i="85" s="1"/>
  <c r="C101" i="85" s="1"/>
  <c r="C102" i="85" s="1"/>
  <c r="C103" i="85" s="1"/>
  <c r="C104" i="85" s="1"/>
  <c r="C105" i="85" s="1"/>
  <c r="C106" i="85" s="1"/>
  <c r="C107" i="85" s="1"/>
  <c r="C108" i="85" s="1"/>
  <c r="C109" i="85" s="1"/>
  <c r="C110" i="85" s="1"/>
  <c r="C111" i="85" s="1"/>
  <c r="C112" i="85" s="1"/>
  <c r="C113" i="85" s="1"/>
  <c r="C114" i="85" s="1"/>
  <c r="C115" i="85" s="1"/>
  <c r="C116" i="85" s="1"/>
  <c r="C117" i="85" s="1"/>
  <c r="C118" i="85" s="1"/>
  <c r="C119" i="85" s="1"/>
  <c r="C120" i="85" s="1"/>
  <c r="C121" i="85" s="1"/>
  <c r="C122" i="85" s="1"/>
  <c r="C123" i="85" s="1"/>
  <c r="C124" i="85" s="1"/>
  <c r="C125" i="85" s="1"/>
  <c r="C126" i="85" s="1"/>
  <c r="C127" i="85" s="1"/>
  <c r="C128" i="85" s="1"/>
  <c r="C129" i="85" s="1"/>
  <c r="C130" i="85" s="1"/>
  <c r="C131" i="85" s="1"/>
  <c r="C132" i="85" s="1"/>
  <c r="C133" i="85" s="1"/>
  <c r="C134" i="85" s="1"/>
  <c r="C135" i="85" s="1"/>
  <c r="C136" i="85" s="1"/>
  <c r="C137" i="85" s="1"/>
  <c r="C138" i="85" s="1"/>
  <c r="C139" i="85" s="1"/>
  <c r="C140" i="85" s="1"/>
  <c r="C141" i="85" s="1"/>
  <c r="C142" i="85" s="1"/>
  <c r="C143" i="85" s="1"/>
  <c r="C144" i="85" s="1"/>
  <c r="C145" i="85" s="1"/>
  <c r="C146" i="85" s="1"/>
  <c r="C147" i="85" s="1"/>
  <c r="C148" i="85" s="1"/>
  <c r="C149" i="85" s="1"/>
  <c r="C150" i="85" s="1"/>
  <c r="C151" i="85" s="1"/>
  <c r="C152" i="85" s="1"/>
  <c r="C153" i="85" s="1"/>
  <c r="C154" i="85" s="1"/>
  <c r="C100" i="13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D19" i="25"/>
  <c r="B19" i="25" s="1"/>
  <c r="D13" i="99"/>
  <c r="I14" i="99" s="1"/>
  <c r="D13" i="98"/>
  <c r="I14" i="98" s="1"/>
  <c r="D13" i="97"/>
  <c r="I14" i="97" s="1"/>
  <c r="D13" i="76"/>
  <c r="I14" i="76" s="1"/>
  <c r="D13" i="35"/>
  <c r="D13" i="92"/>
  <c r="I14" i="92" s="1"/>
  <c r="D13" i="18"/>
  <c r="I14" i="18" s="1"/>
  <c r="D13" i="20"/>
  <c r="I14" i="20" s="1"/>
  <c r="D13" i="74"/>
  <c r="I14" i="74" s="1"/>
  <c r="D13" i="63"/>
  <c r="I14" i="63" s="1"/>
  <c r="D13" i="70"/>
  <c r="I14" i="70" s="1"/>
  <c r="D13" i="85"/>
  <c r="I14" i="85" s="1"/>
  <c r="D13" i="39"/>
  <c r="I14" i="39" s="1"/>
  <c r="D13" i="72"/>
  <c r="I14" i="72" s="1"/>
  <c r="D13" i="46"/>
  <c r="I14" i="46" s="1"/>
  <c r="D13" i="62"/>
  <c r="I14" i="62" s="1"/>
  <c r="D13" i="88"/>
  <c r="I14" i="88" s="1"/>
  <c r="D13" i="24"/>
  <c r="I14" i="24" s="1"/>
  <c r="D13" i="78"/>
  <c r="I14" i="78" s="1"/>
  <c r="D13" i="29"/>
  <c r="I14" i="29" s="1"/>
  <c r="D13" i="31"/>
  <c r="I14" i="31" s="1"/>
  <c r="D13" i="26"/>
  <c r="D13" i="91"/>
  <c r="I14" i="91" s="1"/>
  <c r="D13" i="64"/>
  <c r="I14" i="64" s="1"/>
  <c r="D13" i="86"/>
  <c r="I14" i="86" s="1"/>
  <c r="D13" i="94"/>
  <c r="I14" i="94" s="1"/>
  <c r="D13" i="73"/>
  <c r="I14" i="73" s="1"/>
  <c r="D13" i="13"/>
  <c r="D13" i="67"/>
  <c r="I14" i="67" s="1"/>
  <c r="B23" i="67" s="1"/>
  <c r="D13" i="75"/>
  <c r="I14" i="75" s="1"/>
  <c r="D13" i="61"/>
  <c r="I14" i="61" s="1"/>
  <c r="D13" i="44"/>
  <c r="I14" i="44" s="1"/>
  <c r="D13" i="69"/>
  <c r="I14" i="69" s="1"/>
  <c r="D13" i="54"/>
  <c r="I14" i="54" s="1"/>
  <c r="D13" i="87"/>
  <c r="I14" i="87" s="1"/>
  <c r="D13" i="17"/>
  <c r="D13" i="93"/>
  <c r="I14" i="93" s="1"/>
  <c r="D13" i="79"/>
  <c r="I14" i="79" s="1"/>
  <c r="D13" i="23"/>
  <c r="I14" i="23" s="1"/>
  <c r="D13" i="45"/>
  <c r="I14" i="45" s="1"/>
  <c r="D13" i="59"/>
  <c r="I14" i="59" s="1"/>
  <c r="D13" i="43"/>
  <c r="I14" i="43" s="1"/>
  <c r="D13" i="58"/>
  <c r="I14" i="58" s="1"/>
  <c r="D13" i="55"/>
  <c r="I14" i="55" s="1"/>
  <c r="D13" i="19"/>
  <c r="I14" i="19" s="1"/>
  <c r="D13" i="22"/>
  <c r="I14" i="22" s="1"/>
  <c r="D13" i="25"/>
  <c r="D13" i="53"/>
  <c r="I14" i="53" s="1"/>
  <c r="D13" i="21"/>
  <c r="I14" i="21" s="1"/>
  <c r="D13" i="3"/>
  <c r="I14" i="3" s="1"/>
  <c r="D13" i="34"/>
  <c r="I14" i="34" s="1"/>
  <c r="D13" i="81"/>
  <c r="I14" i="81" s="1"/>
  <c r="D13" i="68"/>
  <c r="I14" i="68" s="1"/>
  <c r="D13" i="89"/>
  <c r="I14" i="89" s="1"/>
  <c r="D13" i="96"/>
  <c r="I14" i="96" s="1"/>
  <c r="D13" i="77"/>
  <c r="I14" i="77" s="1"/>
  <c r="D13" i="27"/>
  <c r="I14" i="27" s="1"/>
  <c r="D13" i="90"/>
  <c r="I14" i="90" s="1"/>
  <c r="D13" i="84"/>
  <c r="I14" i="84" s="1"/>
  <c r="D13" i="71"/>
  <c r="I14" i="71" s="1"/>
  <c r="D13" i="32"/>
  <c r="I14" i="32" s="1"/>
  <c r="D13" i="57"/>
  <c r="I14" i="57" s="1"/>
  <c r="D13" i="66"/>
  <c r="I14" i="66" s="1"/>
  <c r="D13" i="65"/>
  <c r="I14" i="65" s="1"/>
  <c r="D13" i="42"/>
  <c r="I14" i="42" s="1"/>
  <c r="D13" i="95"/>
  <c r="I14" i="95" s="1"/>
  <c r="D13" i="80"/>
  <c r="I14" i="80" s="1"/>
  <c r="D13" i="33"/>
  <c r="D13" i="82"/>
  <c r="I14" i="82" s="1"/>
  <c r="D13" i="28"/>
  <c r="I14" i="28" s="1"/>
  <c r="D13" i="41"/>
  <c r="I14" i="41" s="1"/>
  <c r="C99" i="82"/>
  <c r="C100" i="82" s="1"/>
  <c r="C101" i="82" s="1"/>
  <c r="C102" i="82" s="1"/>
  <c r="C103" i="82" s="1"/>
  <c r="C104" i="82" s="1"/>
  <c r="C105" i="82" s="1"/>
  <c r="C106" i="82" s="1"/>
  <c r="C107" i="82" s="1"/>
  <c r="C108" i="82" s="1"/>
  <c r="C109" i="82" s="1"/>
  <c r="C110" i="82" s="1"/>
  <c r="C111" i="82" s="1"/>
  <c r="C112" i="82" s="1"/>
  <c r="C113" i="82" s="1"/>
  <c r="C114" i="82" s="1"/>
  <c r="C115" i="82" s="1"/>
  <c r="C116" i="82" s="1"/>
  <c r="C117" i="82" s="1"/>
  <c r="C118" i="82" s="1"/>
  <c r="C119" i="82" s="1"/>
  <c r="C120" i="82" s="1"/>
  <c r="C121" i="82" s="1"/>
  <c r="C122" i="82" s="1"/>
  <c r="C123" i="82" s="1"/>
  <c r="C124" i="82" s="1"/>
  <c r="C125" i="82" s="1"/>
  <c r="C126" i="82" s="1"/>
  <c r="C127" i="82" s="1"/>
  <c r="C128" i="82" s="1"/>
  <c r="C129" i="82" s="1"/>
  <c r="C130" i="82" s="1"/>
  <c r="C131" i="82" s="1"/>
  <c r="C132" i="82" s="1"/>
  <c r="C133" i="82" s="1"/>
  <c r="C134" i="82" s="1"/>
  <c r="C135" i="82" s="1"/>
  <c r="C136" i="82" s="1"/>
  <c r="C137" i="82" s="1"/>
  <c r="C138" i="82" s="1"/>
  <c r="C139" i="82" s="1"/>
  <c r="C140" i="82" s="1"/>
  <c r="C141" i="82" s="1"/>
  <c r="C142" i="82" s="1"/>
  <c r="C143" i="82" s="1"/>
  <c r="C144" i="82" s="1"/>
  <c r="C145" i="82" s="1"/>
  <c r="C146" i="82" s="1"/>
  <c r="C147" i="82" s="1"/>
  <c r="C148" i="82" s="1"/>
  <c r="C149" i="82" s="1"/>
  <c r="C150" i="82" s="1"/>
  <c r="C151" i="82" s="1"/>
  <c r="C152" i="82" s="1"/>
  <c r="C153" i="82" s="1"/>
  <c r="C154" i="82" s="1"/>
  <c r="G17" i="33"/>
  <c r="I13" i="33"/>
  <c r="D94" i="17"/>
  <c r="D93" i="17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C127" i="17" s="1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D99" i="13"/>
  <c r="G17" i="13"/>
  <c r="I13" i="13"/>
  <c r="G18" i="13"/>
  <c r="I13" i="98"/>
  <c r="I13" i="99"/>
  <c r="D93" i="77"/>
  <c r="C99" i="77" s="1"/>
  <c r="C100" i="77" s="1"/>
  <c r="C101" i="77" s="1"/>
  <c r="C102" i="77" s="1"/>
  <c r="C103" i="77" s="1"/>
  <c r="C104" i="77" s="1"/>
  <c r="C105" i="77" s="1"/>
  <c r="C106" i="77" s="1"/>
  <c r="C107" i="77" s="1"/>
  <c r="C108" i="77" s="1"/>
  <c r="C109" i="77" s="1"/>
  <c r="C110" i="77" s="1"/>
  <c r="C111" i="77" s="1"/>
  <c r="C112" i="77" s="1"/>
  <c r="C113" i="77" s="1"/>
  <c r="C114" i="77" s="1"/>
  <c r="C115" i="77" s="1"/>
  <c r="C116" i="77" s="1"/>
  <c r="C117" i="77" s="1"/>
  <c r="C118" i="77" s="1"/>
  <c r="C119" i="77" s="1"/>
  <c r="C120" i="77" s="1"/>
  <c r="C121" i="77" s="1"/>
  <c r="C122" i="77" s="1"/>
  <c r="C123" i="77" s="1"/>
  <c r="C124" i="77" s="1"/>
  <c r="C125" i="77" s="1"/>
  <c r="C126" i="77" s="1"/>
  <c r="C127" i="77" s="1"/>
  <c r="C128" i="77" s="1"/>
  <c r="C129" i="77" s="1"/>
  <c r="C130" i="77" s="1"/>
  <c r="C131" i="77" s="1"/>
  <c r="C132" i="77" s="1"/>
  <c r="C133" i="77" s="1"/>
  <c r="C134" i="77" s="1"/>
  <c r="C135" i="77" s="1"/>
  <c r="C136" i="77" s="1"/>
  <c r="C137" i="77" s="1"/>
  <c r="C138" i="77" s="1"/>
  <c r="C139" i="77" s="1"/>
  <c r="C140" i="77" s="1"/>
  <c r="C141" i="77" s="1"/>
  <c r="C142" i="77" s="1"/>
  <c r="C143" i="77" s="1"/>
  <c r="C144" i="77" s="1"/>
  <c r="C145" i="77" s="1"/>
  <c r="C146" i="77" s="1"/>
  <c r="C147" i="77" s="1"/>
  <c r="C148" i="77" s="1"/>
  <c r="C149" i="77" s="1"/>
  <c r="C150" i="77" s="1"/>
  <c r="C151" i="77" s="1"/>
  <c r="C152" i="77" s="1"/>
  <c r="C153" i="77" s="1"/>
  <c r="C154" i="77" s="1"/>
  <c r="G21" i="35"/>
  <c r="I21" i="35" s="1"/>
  <c r="G18" i="33"/>
  <c r="I13" i="97"/>
  <c r="I13" i="25"/>
  <c r="G17" i="25"/>
  <c r="G18" i="25"/>
  <c r="O87" i="45"/>
  <c r="N87" i="59"/>
  <c r="L86" i="71"/>
  <c r="M87" i="60"/>
  <c r="L86" i="58"/>
  <c r="F20" i="2"/>
  <c r="E25" i="2" s="1"/>
  <c r="E26" i="2" s="1"/>
  <c r="L86" i="63"/>
  <c r="J95" i="97"/>
  <c r="J95" i="98"/>
  <c r="J95" i="99"/>
  <c r="B21" i="86"/>
  <c r="B21" i="90"/>
  <c r="B21" i="88"/>
  <c r="B30" i="31"/>
  <c r="B29" i="31"/>
  <c r="N87" i="64"/>
  <c r="O87" i="19"/>
  <c r="O87" i="80"/>
  <c r="M87" i="71"/>
  <c r="O87" i="71" s="1"/>
  <c r="O87" i="85"/>
  <c r="M87" i="34"/>
  <c r="O87" i="34" s="1"/>
  <c r="L86" i="56"/>
  <c r="N87" i="56"/>
  <c r="O87" i="56" s="1"/>
  <c r="N87" i="23"/>
  <c r="O87" i="23" s="1"/>
  <c r="L86" i="20"/>
  <c r="N87" i="86"/>
  <c r="O87" i="86" s="1"/>
  <c r="M87" i="54"/>
  <c r="O87" i="54" s="1"/>
  <c r="L86" i="23"/>
  <c r="M87" i="75"/>
  <c r="O87" i="75" s="1"/>
  <c r="M87" i="20"/>
  <c r="O87" i="20" s="1"/>
  <c r="N87" i="33"/>
  <c r="D95" i="82"/>
  <c r="J96" i="82" s="1"/>
  <c r="D95" i="98"/>
  <c r="J96" i="98" s="1"/>
  <c r="D95" i="97"/>
  <c r="J96" i="97" s="1"/>
  <c r="N87" i="67"/>
  <c r="M87" i="69"/>
  <c r="O87" i="69" s="1"/>
  <c r="L86" i="78"/>
  <c r="O87" i="32"/>
  <c r="M87" i="59"/>
  <c r="M87" i="63"/>
  <c r="O87" i="63" s="1"/>
  <c r="L86" i="21"/>
  <c r="L86" i="61"/>
  <c r="O87" i="41"/>
  <c r="L86" i="57"/>
  <c r="L86" i="82"/>
  <c r="N87" i="82"/>
  <c r="O87" i="82" s="1"/>
  <c r="M87" i="64"/>
  <c r="N87" i="57"/>
  <c r="O87" i="57" s="1"/>
  <c r="N87" i="65"/>
  <c r="M87" i="65"/>
  <c r="D94" i="67"/>
  <c r="D93" i="67"/>
  <c r="C99" i="67" s="1"/>
  <c r="C100" i="67" s="1"/>
  <c r="C101" i="67" s="1"/>
  <c r="C102" i="67" s="1"/>
  <c r="C103" i="67" s="1"/>
  <c r="C104" i="67" s="1"/>
  <c r="C105" i="67" s="1"/>
  <c r="C106" i="67" s="1"/>
  <c r="C107" i="67" s="1"/>
  <c r="C108" i="67" s="1"/>
  <c r="C109" i="67" s="1"/>
  <c r="C110" i="67" s="1"/>
  <c r="C111" i="67" s="1"/>
  <c r="C112" i="67" s="1"/>
  <c r="C113" i="67" s="1"/>
  <c r="C114" i="67" s="1"/>
  <c r="C115" i="67" s="1"/>
  <c r="C116" i="67" s="1"/>
  <c r="C117" i="67" s="1"/>
  <c r="C118" i="67" s="1"/>
  <c r="C119" i="67" s="1"/>
  <c r="C120" i="67" s="1"/>
  <c r="C121" i="67" s="1"/>
  <c r="C122" i="67" s="1"/>
  <c r="C123" i="67" s="1"/>
  <c r="C124" i="67" s="1"/>
  <c r="C125" i="67" s="1"/>
  <c r="C126" i="67" s="1"/>
  <c r="C127" i="67" s="1"/>
  <c r="C128" i="67" s="1"/>
  <c r="C129" i="67" s="1"/>
  <c r="C130" i="67" s="1"/>
  <c r="C131" i="67" s="1"/>
  <c r="C132" i="67" s="1"/>
  <c r="C133" i="67" s="1"/>
  <c r="C134" i="67" s="1"/>
  <c r="C135" i="67" s="1"/>
  <c r="C136" i="67" s="1"/>
  <c r="C137" i="67" s="1"/>
  <c r="C138" i="67" s="1"/>
  <c r="C139" i="67" s="1"/>
  <c r="C140" i="67" s="1"/>
  <c r="C141" i="67" s="1"/>
  <c r="C142" i="67" s="1"/>
  <c r="C143" i="67" s="1"/>
  <c r="C144" i="67" s="1"/>
  <c r="C145" i="67" s="1"/>
  <c r="C146" i="67" s="1"/>
  <c r="C147" i="67" s="1"/>
  <c r="C148" i="67" s="1"/>
  <c r="C149" i="67" s="1"/>
  <c r="C150" i="67" s="1"/>
  <c r="C151" i="67" s="1"/>
  <c r="C152" i="67" s="1"/>
  <c r="C153" i="67" s="1"/>
  <c r="C154" i="67" s="1"/>
  <c r="D92" i="31"/>
  <c r="B109" i="31" s="1"/>
  <c r="D94" i="31"/>
  <c r="D93" i="22"/>
  <c r="C99" i="22" s="1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D94" i="22"/>
  <c r="D94" i="58"/>
  <c r="D93" i="58"/>
  <c r="C99" i="58" s="1"/>
  <c r="C100" i="58" s="1"/>
  <c r="C101" i="58" s="1"/>
  <c r="C102" i="58" s="1"/>
  <c r="C103" i="58" s="1"/>
  <c r="C104" i="58" s="1"/>
  <c r="C105" i="58" s="1"/>
  <c r="C106" i="58" s="1"/>
  <c r="C107" i="58" s="1"/>
  <c r="C108" i="58" s="1"/>
  <c r="C109" i="58" s="1"/>
  <c r="C110" i="58" s="1"/>
  <c r="C111" i="58" s="1"/>
  <c r="C112" i="58" s="1"/>
  <c r="C113" i="58" s="1"/>
  <c r="C114" i="58" s="1"/>
  <c r="C115" i="58" s="1"/>
  <c r="C116" i="58" s="1"/>
  <c r="C117" i="58" s="1"/>
  <c r="C118" i="58" s="1"/>
  <c r="C119" i="58" s="1"/>
  <c r="C120" i="58" s="1"/>
  <c r="C121" i="58" s="1"/>
  <c r="C122" i="58" s="1"/>
  <c r="C123" i="58" s="1"/>
  <c r="C124" i="58" s="1"/>
  <c r="C125" i="58" s="1"/>
  <c r="C126" i="58" s="1"/>
  <c r="C127" i="58" s="1"/>
  <c r="C128" i="58" s="1"/>
  <c r="C129" i="58" s="1"/>
  <c r="C130" i="58" s="1"/>
  <c r="C131" i="58" s="1"/>
  <c r="C132" i="58" s="1"/>
  <c r="C133" i="58" s="1"/>
  <c r="C134" i="58" s="1"/>
  <c r="C135" i="58" s="1"/>
  <c r="C136" i="58" s="1"/>
  <c r="C137" i="58" s="1"/>
  <c r="C138" i="58" s="1"/>
  <c r="C139" i="58" s="1"/>
  <c r="C140" i="58" s="1"/>
  <c r="C141" i="58" s="1"/>
  <c r="C142" i="58" s="1"/>
  <c r="C143" i="58" s="1"/>
  <c r="C144" i="58" s="1"/>
  <c r="C145" i="58" s="1"/>
  <c r="C146" i="58" s="1"/>
  <c r="C147" i="58" s="1"/>
  <c r="C148" i="58" s="1"/>
  <c r="C149" i="58" s="1"/>
  <c r="C150" i="58" s="1"/>
  <c r="C151" i="58" s="1"/>
  <c r="C152" i="58" s="1"/>
  <c r="C153" i="58" s="1"/>
  <c r="C154" i="58" s="1"/>
  <c r="D93" i="32"/>
  <c r="C99" i="32" s="1"/>
  <c r="C100" i="32" s="1"/>
  <c r="C101" i="32" s="1"/>
  <c r="C102" i="32" s="1"/>
  <c r="C103" i="32" s="1"/>
  <c r="C104" i="32" s="1"/>
  <c r="C105" i="32" s="1"/>
  <c r="C106" i="32" s="1"/>
  <c r="C107" i="32" s="1"/>
  <c r="C108" i="32" s="1"/>
  <c r="C109" i="32" s="1"/>
  <c r="C110" i="32" s="1"/>
  <c r="C111" i="32" s="1"/>
  <c r="C112" i="32" s="1"/>
  <c r="C113" i="32" s="1"/>
  <c r="C114" i="32" s="1"/>
  <c r="C115" i="32" s="1"/>
  <c r="C116" i="32" s="1"/>
  <c r="C117" i="32" s="1"/>
  <c r="C118" i="32" s="1"/>
  <c r="C119" i="32" s="1"/>
  <c r="C120" i="32" s="1"/>
  <c r="C121" i="32" s="1"/>
  <c r="C122" i="32" s="1"/>
  <c r="C123" i="32" s="1"/>
  <c r="C124" i="32" s="1"/>
  <c r="C125" i="32" s="1"/>
  <c r="C126" i="32" s="1"/>
  <c r="C127" i="32" s="1"/>
  <c r="C128" i="32" s="1"/>
  <c r="C129" i="32" s="1"/>
  <c r="C130" i="32" s="1"/>
  <c r="C131" i="32" s="1"/>
  <c r="C132" i="32" s="1"/>
  <c r="C133" i="32" s="1"/>
  <c r="C134" i="32" s="1"/>
  <c r="C135" i="32" s="1"/>
  <c r="C136" i="32" s="1"/>
  <c r="C137" i="32" s="1"/>
  <c r="C138" i="32" s="1"/>
  <c r="C139" i="32" s="1"/>
  <c r="C140" i="32" s="1"/>
  <c r="C141" i="32" s="1"/>
  <c r="C142" i="32" s="1"/>
  <c r="C143" i="32" s="1"/>
  <c r="C144" i="32" s="1"/>
  <c r="C145" i="32" s="1"/>
  <c r="C146" i="32" s="1"/>
  <c r="C147" i="32" s="1"/>
  <c r="C148" i="32" s="1"/>
  <c r="C149" i="32" s="1"/>
  <c r="C150" i="32" s="1"/>
  <c r="C151" i="32" s="1"/>
  <c r="C152" i="32" s="1"/>
  <c r="C153" i="32" s="1"/>
  <c r="C154" i="32" s="1"/>
  <c r="D94" i="32"/>
  <c r="D94" i="66"/>
  <c r="D93" i="66"/>
  <c r="C99" i="66" s="1"/>
  <c r="C100" i="66" s="1"/>
  <c r="C101" i="66" s="1"/>
  <c r="C102" i="66" s="1"/>
  <c r="C103" i="66" s="1"/>
  <c r="C104" i="66" s="1"/>
  <c r="C105" i="66" s="1"/>
  <c r="C106" i="66" s="1"/>
  <c r="C107" i="66" s="1"/>
  <c r="C108" i="66" s="1"/>
  <c r="C109" i="66" s="1"/>
  <c r="C110" i="66" s="1"/>
  <c r="C111" i="66" s="1"/>
  <c r="C112" i="66" s="1"/>
  <c r="C113" i="66" s="1"/>
  <c r="C114" i="66" s="1"/>
  <c r="C115" i="66" s="1"/>
  <c r="C116" i="66" s="1"/>
  <c r="C117" i="66" s="1"/>
  <c r="C118" i="66" s="1"/>
  <c r="C119" i="66" s="1"/>
  <c r="C120" i="66" s="1"/>
  <c r="C121" i="66" s="1"/>
  <c r="C122" i="66" s="1"/>
  <c r="C123" i="66" s="1"/>
  <c r="C124" i="66" s="1"/>
  <c r="C125" i="66" s="1"/>
  <c r="C126" i="66" s="1"/>
  <c r="C127" i="66" s="1"/>
  <c r="C128" i="66" s="1"/>
  <c r="C129" i="66" s="1"/>
  <c r="C130" i="66" s="1"/>
  <c r="C131" i="66" s="1"/>
  <c r="C132" i="66" s="1"/>
  <c r="C133" i="66" s="1"/>
  <c r="C134" i="66" s="1"/>
  <c r="C135" i="66" s="1"/>
  <c r="C136" i="66" s="1"/>
  <c r="C137" i="66" s="1"/>
  <c r="C138" i="66" s="1"/>
  <c r="C139" i="66" s="1"/>
  <c r="C140" i="66" s="1"/>
  <c r="C141" i="66" s="1"/>
  <c r="C142" i="66" s="1"/>
  <c r="C143" i="66" s="1"/>
  <c r="C144" i="66" s="1"/>
  <c r="C145" i="66" s="1"/>
  <c r="C146" i="66" s="1"/>
  <c r="C147" i="66" s="1"/>
  <c r="C148" i="66" s="1"/>
  <c r="C149" i="66" s="1"/>
  <c r="C150" i="66" s="1"/>
  <c r="C151" i="66" s="1"/>
  <c r="C152" i="66" s="1"/>
  <c r="C153" i="66" s="1"/>
  <c r="C154" i="66" s="1"/>
  <c r="D93" i="19"/>
  <c r="D94" i="19"/>
  <c r="D93" i="3"/>
  <c r="D94" i="3"/>
  <c r="D93" i="21"/>
  <c r="D94" i="21"/>
  <c r="D93" i="41"/>
  <c r="C99" i="41" s="1"/>
  <c r="C100" i="41" s="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C127" i="41" s="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D94" i="41"/>
  <c r="D92" i="41"/>
  <c r="B107" i="41" s="1"/>
  <c r="D94" i="81"/>
  <c r="D93" i="81"/>
  <c r="D94" i="84"/>
  <c r="D93" i="84"/>
  <c r="C99" i="84" s="1"/>
  <c r="C100" i="84" s="1"/>
  <c r="C101" i="84" s="1"/>
  <c r="C102" i="84" s="1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D94" i="57"/>
  <c r="D93" i="57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D94" i="27"/>
  <c r="D93" i="27"/>
  <c r="D93" i="3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D93" i="88"/>
  <c r="C99" i="88" s="1"/>
  <c r="C100" i="88" s="1"/>
  <c r="C101" i="88" s="1"/>
  <c r="C102" i="88" s="1"/>
  <c r="C103" i="88" s="1"/>
  <c r="C104" i="88" s="1"/>
  <c r="C105" i="88" s="1"/>
  <c r="C106" i="88" s="1"/>
  <c r="C107" i="88" s="1"/>
  <c r="C108" i="88" s="1"/>
  <c r="C109" i="88" s="1"/>
  <c r="C110" i="88" s="1"/>
  <c r="C111" i="88" s="1"/>
  <c r="C112" i="88" s="1"/>
  <c r="C113" i="88" s="1"/>
  <c r="C114" i="88" s="1"/>
  <c r="C115" i="88" s="1"/>
  <c r="C116" i="88" s="1"/>
  <c r="C117" i="88" s="1"/>
  <c r="C118" i="88" s="1"/>
  <c r="C119" i="88" s="1"/>
  <c r="C120" i="88" s="1"/>
  <c r="C121" i="88" s="1"/>
  <c r="C122" i="88" s="1"/>
  <c r="C123" i="88" s="1"/>
  <c r="C124" i="88" s="1"/>
  <c r="C125" i="88" s="1"/>
  <c r="C126" i="88" s="1"/>
  <c r="C127" i="88" s="1"/>
  <c r="C128" i="88" s="1"/>
  <c r="C129" i="88" s="1"/>
  <c r="C130" i="88" s="1"/>
  <c r="C131" i="88" s="1"/>
  <c r="C132" i="88" s="1"/>
  <c r="C133" i="88" s="1"/>
  <c r="C134" i="88" s="1"/>
  <c r="C135" i="88" s="1"/>
  <c r="C136" i="88" s="1"/>
  <c r="C137" i="88" s="1"/>
  <c r="C138" i="88" s="1"/>
  <c r="C139" i="88" s="1"/>
  <c r="C140" i="88" s="1"/>
  <c r="C141" i="88" s="1"/>
  <c r="C142" i="88" s="1"/>
  <c r="C143" i="88" s="1"/>
  <c r="C144" i="88" s="1"/>
  <c r="C145" i="88" s="1"/>
  <c r="C146" i="88" s="1"/>
  <c r="C147" i="88" s="1"/>
  <c r="C148" i="88" s="1"/>
  <c r="C149" i="88" s="1"/>
  <c r="C150" i="88" s="1"/>
  <c r="C151" i="88" s="1"/>
  <c r="C152" i="88" s="1"/>
  <c r="C153" i="88" s="1"/>
  <c r="C154" i="88" s="1"/>
  <c r="D94" i="88"/>
  <c r="D94" i="39"/>
  <c r="D93" i="39"/>
  <c r="C99" i="39" s="1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D94" i="44"/>
  <c r="D93" i="44"/>
  <c r="C99" i="44" s="1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D94" i="42"/>
  <c r="D92" i="42"/>
  <c r="B107" i="42" s="1"/>
  <c r="D93" i="42"/>
  <c r="C99" i="42" s="1"/>
  <c r="C100" i="42" s="1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D93" i="79"/>
  <c r="C99" i="79" s="1"/>
  <c r="C100" i="79" s="1"/>
  <c r="C101" i="79" s="1"/>
  <c r="C102" i="79" s="1"/>
  <c r="C103" i="79" s="1"/>
  <c r="C104" i="79" s="1"/>
  <c r="C105" i="79" s="1"/>
  <c r="C106" i="79" s="1"/>
  <c r="C107" i="79" s="1"/>
  <c r="C108" i="79" s="1"/>
  <c r="C109" i="79" s="1"/>
  <c r="C110" i="79" s="1"/>
  <c r="C111" i="79" s="1"/>
  <c r="C112" i="79" s="1"/>
  <c r="C113" i="79" s="1"/>
  <c r="C114" i="79" s="1"/>
  <c r="C115" i="79" s="1"/>
  <c r="C116" i="79" s="1"/>
  <c r="C117" i="79" s="1"/>
  <c r="C118" i="79" s="1"/>
  <c r="C119" i="79" s="1"/>
  <c r="C120" i="79" s="1"/>
  <c r="C121" i="79" s="1"/>
  <c r="C122" i="79" s="1"/>
  <c r="C123" i="79" s="1"/>
  <c r="C124" i="79" s="1"/>
  <c r="C125" i="79" s="1"/>
  <c r="C126" i="79" s="1"/>
  <c r="C127" i="79" s="1"/>
  <c r="C128" i="79" s="1"/>
  <c r="C129" i="79" s="1"/>
  <c r="C130" i="79" s="1"/>
  <c r="C131" i="79" s="1"/>
  <c r="C132" i="79" s="1"/>
  <c r="C133" i="79" s="1"/>
  <c r="C134" i="79" s="1"/>
  <c r="C135" i="79" s="1"/>
  <c r="C136" i="79" s="1"/>
  <c r="C137" i="79" s="1"/>
  <c r="C138" i="79" s="1"/>
  <c r="C139" i="79" s="1"/>
  <c r="C140" i="79" s="1"/>
  <c r="C141" i="79" s="1"/>
  <c r="C142" i="79" s="1"/>
  <c r="C143" i="79" s="1"/>
  <c r="C144" i="79" s="1"/>
  <c r="C145" i="79" s="1"/>
  <c r="C146" i="79" s="1"/>
  <c r="C147" i="79" s="1"/>
  <c r="C148" i="79" s="1"/>
  <c r="C149" i="79" s="1"/>
  <c r="C150" i="79" s="1"/>
  <c r="C151" i="79" s="1"/>
  <c r="C152" i="79" s="1"/>
  <c r="C153" i="79" s="1"/>
  <c r="C154" i="79" s="1"/>
  <c r="D94" i="79"/>
  <c r="D93" i="45"/>
  <c r="D94" i="45"/>
  <c r="D92" i="45"/>
  <c r="B106" i="45" s="1"/>
  <c r="D93" i="68"/>
  <c r="C99" i="68" s="1"/>
  <c r="C100" i="68" s="1"/>
  <c r="C101" i="68" s="1"/>
  <c r="C102" i="68" s="1"/>
  <c r="C103" i="68" s="1"/>
  <c r="C104" i="68" s="1"/>
  <c r="C105" i="68" s="1"/>
  <c r="C106" i="68" s="1"/>
  <c r="C107" i="68" s="1"/>
  <c r="C108" i="68" s="1"/>
  <c r="C109" i="68" s="1"/>
  <c r="C110" i="68" s="1"/>
  <c r="C111" i="68" s="1"/>
  <c r="C112" i="68" s="1"/>
  <c r="C113" i="68" s="1"/>
  <c r="C114" i="68" s="1"/>
  <c r="C115" i="68" s="1"/>
  <c r="C116" i="68" s="1"/>
  <c r="C117" i="68" s="1"/>
  <c r="C118" i="68" s="1"/>
  <c r="C119" i="68" s="1"/>
  <c r="C120" i="68" s="1"/>
  <c r="C121" i="68" s="1"/>
  <c r="C122" i="68" s="1"/>
  <c r="C123" i="68" s="1"/>
  <c r="C124" i="68" s="1"/>
  <c r="C125" i="68" s="1"/>
  <c r="C126" i="68" s="1"/>
  <c r="C127" i="68" s="1"/>
  <c r="C128" i="68" s="1"/>
  <c r="C129" i="68" s="1"/>
  <c r="C130" i="68" s="1"/>
  <c r="C131" i="68" s="1"/>
  <c r="C132" i="68" s="1"/>
  <c r="C133" i="68" s="1"/>
  <c r="C134" i="68" s="1"/>
  <c r="C135" i="68" s="1"/>
  <c r="C136" i="68" s="1"/>
  <c r="C137" i="68" s="1"/>
  <c r="C138" i="68" s="1"/>
  <c r="C139" i="68" s="1"/>
  <c r="C140" i="68" s="1"/>
  <c r="C141" i="68" s="1"/>
  <c r="C142" i="68" s="1"/>
  <c r="C143" i="68" s="1"/>
  <c r="C144" i="68" s="1"/>
  <c r="C145" i="68" s="1"/>
  <c r="C146" i="68" s="1"/>
  <c r="C147" i="68" s="1"/>
  <c r="C148" i="68" s="1"/>
  <c r="C149" i="68" s="1"/>
  <c r="C150" i="68" s="1"/>
  <c r="C151" i="68" s="1"/>
  <c r="C152" i="68" s="1"/>
  <c r="C153" i="68" s="1"/>
  <c r="C154" i="68" s="1"/>
  <c r="D94" i="68"/>
  <c r="D93" i="30"/>
  <c r="C99" i="30" s="1"/>
  <c r="C100" i="30" s="1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D92" i="30"/>
  <c r="D94" i="30"/>
  <c r="D93" i="55"/>
  <c r="C99" i="55" s="1"/>
  <c r="C100" i="55" s="1"/>
  <c r="C101" i="55" s="1"/>
  <c r="C102" i="55" s="1"/>
  <c r="C103" i="55" s="1"/>
  <c r="C104" i="55" s="1"/>
  <c r="C105" i="55" s="1"/>
  <c r="C106" i="55" s="1"/>
  <c r="C107" i="55" s="1"/>
  <c r="C108" i="55" s="1"/>
  <c r="C109" i="55" s="1"/>
  <c r="C110" i="55" s="1"/>
  <c r="C111" i="55" s="1"/>
  <c r="C112" i="55" s="1"/>
  <c r="C113" i="55" s="1"/>
  <c r="C114" i="55" s="1"/>
  <c r="C115" i="55" s="1"/>
  <c r="C116" i="55" s="1"/>
  <c r="C117" i="55" s="1"/>
  <c r="C118" i="55" s="1"/>
  <c r="C119" i="55" s="1"/>
  <c r="C120" i="55" s="1"/>
  <c r="C121" i="55" s="1"/>
  <c r="C122" i="55" s="1"/>
  <c r="C123" i="55" s="1"/>
  <c r="C124" i="55" s="1"/>
  <c r="C125" i="55" s="1"/>
  <c r="C126" i="55" s="1"/>
  <c r="C127" i="55" s="1"/>
  <c r="C128" i="55" s="1"/>
  <c r="C129" i="55" s="1"/>
  <c r="C130" i="55" s="1"/>
  <c r="C131" i="55" s="1"/>
  <c r="C132" i="55" s="1"/>
  <c r="C133" i="55" s="1"/>
  <c r="C134" i="55" s="1"/>
  <c r="C135" i="55" s="1"/>
  <c r="C136" i="55" s="1"/>
  <c r="C137" i="55" s="1"/>
  <c r="C138" i="55" s="1"/>
  <c r="C139" i="55" s="1"/>
  <c r="C140" i="55" s="1"/>
  <c r="C141" i="55" s="1"/>
  <c r="C142" i="55" s="1"/>
  <c r="C143" i="55" s="1"/>
  <c r="C144" i="55" s="1"/>
  <c r="C145" i="55" s="1"/>
  <c r="C146" i="55" s="1"/>
  <c r="C147" i="55" s="1"/>
  <c r="C148" i="55" s="1"/>
  <c r="C149" i="55" s="1"/>
  <c r="C150" i="55" s="1"/>
  <c r="C151" i="55" s="1"/>
  <c r="C152" i="55" s="1"/>
  <c r="C153" i="55" s="1"/>
  <c r="C154" i="55" s="1"/>
  <c r="D94" i="55"/>
  <c r="D94" i="24"/>
  <c r="D93" i="24"/>
  <c r="C99" i="24" s="1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D92" i="26"/>
  <c r="J96" i="26" s="1"/>
  <c r="D94" i="26"/>
  <c r="D94" i="80"/>
  <c r="D93" i="80"/>
  <c r="C99" i="80" s="1"/>
  <c r="C100" i="80" s="1"/>
  <c r="C101" i="80" s="1"/>
  <c r="C102" i="80" s="1"/>
  <c r="C103" i="80" s="1"/>
  <c r="C104" i="80" s="1"/>
  <c r="C105" i="80" s="1"/>
  <c r="C106" i="80" s="1"/>
  <c r="C107" i="80" s="1"/>
  <c r="C108" i="80" s="1"/>
  <c r="C109" i="80" s="1"/>
  <c r="C110" i="80" s="1"/>
  <c r="C111" i="80" s="1"/>
  <c r="C112" i="80" s="1"/>
  <c r="C113" i="80" s="1"/>
  <c r="C114" i="80" s="1"/>
  <c r="C115" i="80" s="1"/>
  <c r="C116" i="80" s="1"/>
  <c r="C117" i="80" s="1"/>
  <c r="C118" i="80" s="1"/>
  <c r="C119" i="80" s="1"/>
  <c r="C120" i="80" s="1"/>
  <c r="C121" i="80" s="1"/>
  <c r="C122" i="80" s="1"/>
  <c r="C123" i="80" s="1"/>
  <c r="C124" i="80" s="1"/>
  <c r="C125" i="80" s="1"/>
  <c r="C126" i="80" s="1"/>
  <c r="C127" i="80" s="1"/>
  <c r="C128" i="80" s="1"/>
  <c r="C129" i="80" s="1"/>
  <c r="C130" i="80" s="1"/>
  <c r="C131" i="80" s="1"/>
  <c r="C132" i="80" s="1"/>
  <c r="C133" i="80" s="1"/>
  <c r="C134" i="80" s="1"/>
  <c r="C135" i="80" s="1"/>
  <c r="C136" i="80" s="1"/>
  <c r="C137" i="80" s="1"/>
  <c r="C138" i="80" s="1"/>
  <c r="C139" i="80" s="1"/>
  <c r="C140" i="80" s="1"/>
  <c r="C141" i="80" s="1"/>
  <c r="C142" i="80" s="1"/>
  <c r="C143" i="80" s="1"/>
  <c r="C144" i="80" s="1"/>
  <c r="C145" i="80" s="1"/>
  <c r="C146" i="80" s="1"/>
  <c r="C147" i="80" s="1"/>
  <c r="C148" i="80" s="1"/>
  <c r="C149" i="80" s="1"/>
  <c r="C150" i="80" s="1"/>
  <c r="C151" i="80" s="1"/>
  <c r="C152" i="80" s="1"/>
  <c r="C153" i="80" s="1"/>
  <c r="C154" i="80" s="1"/>
  <c r="D93" i="64"/>
  <c r="D94" i="64"/>
  <c r="D94" i="65"/>
  <c r="D92" i="65"/>
  <c r="B103" i="65" s="1"/>
  <c r="D93" i="53"/>
  <c r="C99" i="53" s="1"/>
  <c r="C100" i="53" s="1"/>
  <c r="C101" i="53" s="1"/>
  <c r="C102" i="53" s="1"/>
  <c r="C103" i="53" s="1"/>
  <c r="C104" i="53" s="1"/>
  <c r="C105" i="53" s="1"/>
  <c r="C106" i="53" s="1"/>
  <c r="C107" i="53" s="1"/>
  <c r="C108" i="53" s="1"/>
  <c r="C109" i="53" s="1"/>
  <c r="C110" i="53" s="1"/>
  <c r="C111" i="53" s="1"/>
  <c r="C112" i="53" s="1"/>
  <c r="C113" i="53" s="1"/>
  <c r="C114" i="53" s="1"/>
  <c r="C115" i="53" s="1"/>
  <c r="C116" i="53" s="1"/>
  <c r="C117" i="53" s="1"/>
  <c r="C118" i="53" s="1"/>
  <c r="C119" i="53" s="1"/>
  <c r="C120" i="53" s="1"/>
  <c r="C121" i="53" s="1"/>
  <c r="C122" i="53" s="1"/>
  <c r="C123" i="53" s="1"/>
  <c r="C124" i="53" s="1"/>
  <c r="C125" i="53" s="1"/>
  <c r="C126" i="53" s="1"/>
  <c r="C127" i="53" s="1"/>
  <c r="C128" i="53" s="1"/>
  <c r="C129" i="53" s="1"/>
  <c r="C130" i="53" s="1"/>
  <c r="C131" i="53" s="1"/>
  <c r="C132" i="53" s="1"/>
  <c r="C133" i="53" s="1"/>
  <c r="C134" i="53" s="1"/>
  <c r="C135" i="53" s="1"/>
  <c r="C136" i="53" s="1"/>
  <c r="C137" i="53" s="1"/>
  <c r="C138" i="53" s="1"/>
  <c r="C139" i="53" s="1"/>
  <c r="C140" i="53" s="1"/>
  <c r="C141" i="53" s="1"/>
  <c r="C142" i="53" s="1"/>
  <c r="C143" i="53" s="1"/>
  <c r="C144" i="53" s="1"/>
  <c r="C145" i="53" s="1"/>
  <c r="C146" i="53" s="1"/>
  <c r="C147" i="53" s="1"/>
  <c r="C148" i="53" s="1"/>
  <c r="C149" i="53" s="1"/>
  <c r="C150" i="53" s="1"/>
  <c r="C151" i="53" s="1"/>
  <c r="C152" i="53" s="1"/>
  <c r="C153" i="53" s="1"/>
  <c r="C154" i="53" s="1"/>
  <c r="D92" i="53"/>
  <c r="B105" i="53" s="1"/>
  <c r="D94" i="53"/>
  <c r="D93" i="91"/>
  <c r="D94" i="91"/>
  <c r="D94" i="29"/>
  <c r="D93" i="29"/>
  <c r="D94" i="34"/>
  <c r="D93" i="76"/>
  <c r="C99" i="76" s="1"/>
  <c r="C100" i="76" s="1"/>
  <c r="C101" i="76" s="1"/>
  <c r="C102" i="76" s="1"/>
  <c r="C103" i="76" s="1"/>
  <c r="C104" i="76" s="1"/>
  <c r="C105" i="76" s="1"/>
  <c r="C106" i="76" s="1"/>
  <c r="C107" i="76" s="1"/>
  <c r="C108" i="76" s="1"/>
  <c r="C109" i="76" s="1"/>
  <c r="C110" i="76" s="1"/>
  <c r="C111" i="76" s="1"/>
  <c r="C112" i="76" s="1"/>
  <c r="C113" i="76" s="1"/>
  <c r="C114" i="76" s="1"/>
  <c r="C115" i="76" s="1"/>
  <c r="C116" i="76" s="1"/>
  <c r="C117" i="76" s="1"/>
  <c r="C118" i="76" s="1"/>
  <c r="C119" i="76" s="1"/>
  <c r="C120" i="76" s="1"/>
  <c r="C121" i="76" s="1"/>
  <c r="C122" i="76" s="1"/>
  <c r="C123" i="76" s="1"/>
  <c r="C124" i="76" s="1"/>
  <c r="C125" i="76" s="1"/>
  <c r="C126" i="76" s="1"/>
  <c r="C127" i="76" s="1"/>
  <c r="C128" i="76" s="1"/>
  <c r="C129" i="76" s="1"/>
  <c r="C130" i="76" s="1"/>
  <c r="C131" i="76" s="1"/>
  <c r="C132" i="76" s="1"/>
  <c r="C133" i="76" s="1"/>
  <c r="C134" i="76" s="1"/>
  <c r="C135" i="76" s="1"/>
  <c r="C136" i="76" s="1"/>
  <c r="C137" i="76" s="1"/>
  <c r="C138" i="76" s="1"/>
  <c r="C139" i="76" s="1"/>
  <c r="C140" i="76" s="1"/>
  <c r="C141" i="76" s="1"/>
  <c r="C142" i="76" s="1"/>
  <c r="C143" i="76" s="1"/>
  <c r="C144" i="76" s="1"/>
  <c r="C145" i="76" s="1"/>
  <c r="C146" i="76" s="1"/>
  <c r="C147" i="76" s="1"/>
  <c r="C148" i="76" s="1"/>
  <c r="C149" i="76" s="1"/>
  <c r="C150" i="76" s="1"/>
  <c r="C151" i="76" s="1"/>
  <c r="C152" i="76" s="1"/>
  <c r="C153" i="76" s="1"/>
  <c r="C154" i="76" s="1"/>
  <c r="D94" i="76"/>
  <c r="D92" i="54"/>
  <c r="B105" i="54" s="1"/>
  <c r="D93" i="54"/>
  <c r="D94" i="54"/>
  <c r="D93" i="25"/>
  <c r="D92" i="25"/>
  <c r="J96" i="25" s="1"/>
  <c r="D94" i="25"/>
  <c r="J95" i="85"/>
  <c r="K94" i="85"/>
  <c r="N87" i="27"/>
  <c r="O87" i="27" s="1"/>
  <c r="L86" i="55"/>
  <c r="N87" i="55"/>
  <c r="O87" i="55" s="1"/>
  <c r="L86" i="83"/>
  <c r="L86" i="54"/>
  <c r="M87" i="83"/>
  <c r="O87" i="83" s="1"/>
  <c r="C100" i="95"/>
  <c r="C101" i="95" s="1"/>
  <c r="C102" i="95" s="1"/>
  <c r="C103" i="95" s="1"/>
  <c r="C104" i="95" s="1"/>
  <c r="C105" i="95" s="1"/>
  <c r="C106" i="95" s="1"/>
  <c r="C107" i="95" s="1"/>
  <c r="C108" i="95" s="1"/>
  <c r="C109" i="95" s="1"/>
  <c r="C110" i="95" s="1"/>
  <c r="C111" i="95" s="1"/>
  <c r="C112" i="95" s="1"/>
  <c r="C113" i="95" s="1"/>
  <c r="C114" i="95" s="1"/>
  <c r="C115" i="95" s="1"/>
  <c r="C116" i="95" s="1"/>
  <c r="C117" i="95" s="1"/>
  <c r="C118" i="95" s="1"/>
  <c r="C119" i="95" s="1"/>
  <c r="C120" i="95" s="1"/>
  <c r="C121" i="95" s="1"/>
  <c r="C122" i="95" s="1"/>
  <c r="C123" i="95" s="1"/>
  <c r="C124" i="95" s="1"/>
  <c r="C125" i="95" s="1"/>
  <c r="C126" i="95" s="1"/>
  <c r="C127" i="95" s="1"/>
  <c r="C128" i="95" s="1"/>
  <c r="C129" i="95" s="1"/>
  <c r="C130" i="95" s="1"/>
  <c r="C131" i="95" s="1"/>
  <c r="C132" i="95" s="1"/>
  <c r="C133" i="95" s="1"/>
  <c r="C134" i="95" s="1"/>
  <c r="C135" i="95" s="1"/>
  <c r="C136" i="95" s="1"/>
  <c r="C137" i="95" s="1"/>
  <c r="C138" i="95" s="1"/>
  <c r="C139" i="95" s="1"/>
  <c r="C140" i="95" s="1"/>
  <c r="C141" i="95" s="1"/>
  <c r="C142" i="95" s="1"/>
  <c r="C143" i="95" s="1"/>
  <c r="C144" i="95" s="1"/>
  <c r="C145" i="95" s="1"/>
  <c r="C146" i="95" s="1"/>
  <c r="C147" i="95" s="1"/>
  <c r="C148" i="95" s="1"/>
  <c r="C149" i="95" s="1"/>
  <c r="C150" i="95" s="1"/>
  <c r="C151" i="95" s="1"/>
  <c r="C152" i="95" s="1"/>
  <c r="C153" i="95" s="1"/>
  <c r="C154" i="95" s="1"/>
  <c r="I20" i="90"/>
  <c r="I18" i="94"/>
  <c r="I20" i="80"/>
  <c r="O87" i="58"/>
  <c r="O87" i="42"/>
  <c r="I28" i="24"/>
  <c r="I19" i="88"/>
  <c r="C99" i="26"/>
  <c r="B21" i="80"/>
  <c r="I18" i="93"/>
  <c r="I28" i="34"/>
  <c r="B26" i="55"/>
  <c r="B26" i="58"/>
  <c r="I28" i="23"/>
  <c r="B23" i="65"/>
  <c r="I24" i="53"/>
  <c r="I23" i="66"/>
  <c r="I29" i="23"/>
  <c r="B22" i="75"/>
  <c r="I22" i="65"/>
  <c r="I18" i="96"/>
  <c r="I27" i="22"/>
  <c r="B19" i="33"/>
  <c r="E19" i="33"/>
  <c r="F19" i="33" s="1"/>
  <c r="B26" i="45"/>
  <c r="O87" i="81"/>
  <c r="I29" i="69"/>
  <c r="I25" i="45"/>
  <c r="B24" i="64"/>
  <c r="B29" i="34"/>
  <c r="B29" i="71"/>
  <c r="B26" i="74"/>
  <c r="I21" i="77"/>
  <c r="B30" i="69"/>
  <c r="I26" i="41"/>
  <c r="B31" i="28"/>
  <c r="I23" i="64"/>
  <c r="E105" i="35"/>
  <c r="F105" i="35" s="1"/>
  <c r="G105" i="35" s="1"/>
  <c r="G104" i="35"/>
  <c r="I104" i="35" s="1"/>
  <c r="D95" i="87"/>
  <c r="J96" i="87" s="1"/>
  <c r="D95" i="28"/>
  <c r="J96" i="28" s="1"/>
  <c r="L86" i="44"/>
  <c r="M87" i="44"/>
  <c r="O87" i="44" s="1"/>
  <c r="L86" i="96"/>
  <c r="N87" i="96"/>
  <c r="O87" i="96" s="1"/>
  <c r="M87" i="66"/>
  <c r="L86" i="88"/>
  <c r="L86" i="89"/>
  <c r="M87" i="89"/>
  <c r="O87" i="89" s="1"/>
  <c r="N87" i="62"/>
  <c r="M87" i="62"/>
  <c r="N87" i="22"/>
  <c r="M87" i="22"/>
  <c r="L86" i="22"/>
  <c r="N87" i="84"/>
  <c r="L86" i="84"/>
  <c r="M87" i="84"/>
  <c r="M87" i="79"/>
  <c r="L86" i="27"/>
  <c r="M87" i="67"/>
  <c r="N87" i="88"/>
  <c r="O87" i="88" s="1"/>
  <c r="M87" i="61"/>
  <c r="O87" i="61" s="1"/>
  <c r="L86" i="69"/>
  <c r="N87" i="66"/>
  <c r="N87" i="79"/>
  <c r="M87" i="33"/>
  <c r="L86" i="77"/>
  <c r="N87" i="77"/>
  <c r="M87" i="77"/>
  <c r="L86" i="68"/>
  <c r="M87" i="68"/>
  <c r="O87" i="68" s="1"/>
  <c r="N87" i="29"/>
  <c r="M87" i="29"/>
  <c r="L86" i="29"/>
  <c r="D95" i="67"/>
  <c r="J96" i="67" s="1"/>
  <c r="D95" i="3"/>
  <c r="J96" i="3" s="1"/>
  <c r="D95" i="44"/>
  <c r="J96" i="44" s="1"/>
  <c r="M87" i="39"/>
  <c r="N87" i="39"/>
  <c r="L86" i="75"/>
  <c r="N87" i="93"/>
  <c r="O87" i="93" s="1"/>
  <c r="L86" i="74"/>
  <c r="M87" i="74"/>
  <c r="N87" i="3"/>
  <c r="O87" i="3" s="1"/>
  <c r="L86" i="3"/>
  <c r="L86" i="94"/>
  <c r="N87" i="94"/>
  <c r="O87" i="94" s="1"/>
  <c r="N87" i="87"/>
  <c r="O87" i="87" s="1"/>
  <c r="L86" i="87"/>
  <c r="N87" i="43"/>
  <c r="O87" i="43" s="1"/>
  <c r="L86" i="43"/>
  <c r="N87" i="28"/>
  <c r="O87" i="28" s="1"/>
  <c r="L86" i="28"/>
  <c r="L86" i="34"/>
  <c r="L86" i="93"/>
  <c r="N87" i="60"/>
  <c r="O87" i="30"/>
  <c r="L86" i="46"/>
  <c r="N87" i="90"/>
  <c r="O87" i="90" s="1"/>
  <c r="L86" i="90"/>
  <c r="L86" i="70"/>
  <c r="M87" i="70"/>
  <c r="O87" i="70" s="1"/>
  <c r="L86" i="25"/>
  <c r="N87" i="25"/>
  <c r="O87" i="25" s="1"/>
  <c r="O87" i="13"/>
  <c r="N87" i="46"/>
  <c r="O87" i="46" s="1"/>
  <c r="M87" i="24"/>
  <c r="N87" i="24"/>
  <c r="L86" i="24"/>
  <c r="N87" i="95"/>
  <c r="O87" i="95" s="1"/>
  <c r="L86" i="95"/>
  <c r="O87" i="92"/>
  <c r="G22" i="35"/>
  <c r="B23" i="35"/>
  <c r="E23" i="35"/>
  <c r="F23" i="35" s="1"/>
  <c r="H22" i="35"/>
  <c r="I28" i="32"/>
  <c r="I25" i="74"/>
  <c r="I19" i="87"/>
  <c r="B20" i="87"/>
  <c r="I26" i="42"/>
  <c r="D95" i="17"/>
  <c r="J96" i="17" s="1"/>
  <c r="D95" i="74"/>
  <c r="J96" i="74" s="1"/>
  <c r="D95" i="96"/>
  <c r="J96" i="96" s="1"/>
  <c r="D95" i="53"/>
  <c r="D95" i="25"/>
  <c r="D95" i="83"/>
  <c r="J96" i="83" s="1"/>
  <c r="D95" i="29"/>
  <c r="J96" i="29" s="1"/>
  <c r="D95" i="22"/>
  <c r="J96" i="22" s="1"/>
  <c r="D95" i="60"/>
  <c r="J96" i="60" s="1"/>
  <c r="D95" i="45"/>
  <c r="D95" i="88"/>
  <c r="J96" i="88" s="1"/>
  <c r="D95" i="77"/>
  <c r="J96" i="77" s="1"/>
  <c r="D95" i="54"/>
  <c r="D95" i="30"/>
  <c r="D95" i="31"/>
  <c r="D95" i="19"/>
  <c r="J96" i="19" s="1"/>
  <c r="D95" i="81"/>
  <c r="J96" i="81" s="1"/>
  <c r="D95" i="33"/>
  <c r="D95" i="20"/>
  <c r="J96" i="20" s="1"/>
  <c r="D95" i="35"/>
  <c r="D95" i="27"/>
  <c r="J96" i="27" s="1"/>
  <c r="D95" i="70"/>
  <c r="J96" i="70" s="1"/>
  <c r="D95" i="65"/>
  <c r="D95" i="61"/>
  <c r="J96" i="61" s="1"/>
  <c r="D95" i="75"/>
  <c r="J96" i="75" s="1"/>
  <c r="D95" i="34"/>
  <c r="J96" i="34" s="1"/>
  <c r="D95" i="62"/>
  <c r="J96" i="62" s="1"/>
  <c r="D95" i="85"/>
  <c r="J96" i="85" s="1"/>
  <c r="D95" i="84"/>
  <c r="J96" i="84" s="1"/>
  <c r="D95" i="89"/>
  <c r="J96" i="89" s="1"/>
  <c r="D95" i="66"/>
  <c r="J96" i="66" s="1"/>
  <c r="D95" i="42"/>
  <c r="D95" i="46"/>
  <c r="J96" i="46" s="1"/>
  <c r="D95" i="86"/>
  <c r="J96" i="86" s="1"/>
  <c r="D95" i="39"/>
  <c r="J96" i="39" s="1"/>
  <c r="D95" i="64"/>
  <c r="J96" i="64" s="1"/>
  <c r="D95" i="24"/>
  <c r="J96" i="24" s="1"/>
  <c r="D95" i="23"/>
  <c r="J96" i="23" s="1"/>
  <c r="D95" i="80"/>
  <c r="J96" i="80" s="1"/>
  <c r="D95" i="21"/>
  <c r="J96" i="21" s="1"/>
  <c r="D95" i="43"/>
  <c r="D95" i="71"/>
  <c r="J96" i="71" s="1"/>
  <c r="D95" i="69"/>
  <c r="J96" i="69" s="1"/>
  <c r="D95" i="59"/>
  <c r="J96" i="59" s="1"/>
  <c r="D95" i="95"/>
  <c r="J96" i="95" s="1"/>
  <c r="D95" i="57"/>
  <c r="J96" i="57" s="1"/>
  <c r="D95" i="68"/>
  <c r="J96" i="68" s="1"/>
  <c r="D95" i="32"/>
  <c r="J96" i="32" s="1"/>
  <c r="D95" i="26"/>
  <c r="D95" i="94"/>
  <c r="J96" i="94" s="1"/>
  <c r="D95" i="90"/>
  <c r="J96" i="90" s="1"/>
  <c r="D95" i="58"/>
  <c r="J96" i="58" s="1"/>
  <c r="D95" i="79"/>
  <c r="J96" i="79" s="1"/>
  <c r="D95" i="41"/>
  <c r="D95" i="72"/>
  <c r="J96" i="72" s="1"/>
  <c r="D95" i="78"/>
  <c r="J96" i="78" s="1"/>
  <c r="D95" i="91"/>
  <c r="J96" i="91" s="1"/>
  <c r="D95" i="18"/>
  <c r="J96" i="18" s="1"/>
  <c r="D95" i="76"/>
  <c r="J96" i="76" s="1"/>
  <c r="D95" i="92"/>
  <c r="J96" i="92" s="1"/>
  <c r="D95" i="55"/>
  <c r="J96" i="55" s="1"/>
  <c r="D95" i="73"/>
  <c r="J96" i="73" s="1"/>
  <c r="D95" i="13"/>
  <c r="D95" i="63"/>
  <c r="J96" i="63" s="1"/>
  <c r="D95" i="93"/>
  <c r="J96" i="93" s="1"/>
  <c r="D95" i="56"/>
  <c r="J96" i="56" s="1"/>
  <c r="B106" i="56" s="1"/>
  <c r="J95" i="29"/>
  <c r="J95" i="22"/>
  <c r="J95" i="92"/>
  <c r="J95" i="58"/>
  <c r="J95" i="18"/>
  <c r="J95" i="30"/>
  <c r="J95" i="65"/>
  <c r="J95" i="39"/>
  <c r="J95" i="91"/>
  <c r="J95" i="59"/>
  <c r="I102" i="35"/>
  <c r="H102" i="35"/>
  <c r="H101" i="35"/>
  <c r="I101" i="35"/>
  <c r="D19" i="26" l="1"/>
  <c r="I17" i="26"/>
  <c r="E32" i="1"/>
  <c r="O87" i="31"/>
  <c r="E32" i="2"/>
  <c r="O87" i="74"/>
  <c r="J96" i="53"/>
  <c r="J96" i="43"/>
  <c r="D20" i="13"/>
  <c r="E20" i="13" s="1"/>
  <c r="G18" i="26"/>
  <c r="I18" i="26" s="1"/>
  <c r="J96" i="45"/>
  <c r="J96" i="65"/>
  <c r="J96" i="31"/>
  <c r="O87" i="60"/>
  <c r="C99" i="43"/>
  <c r="C100" i="43" s="1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I14" i="17"/>
  <c r="C22" i="17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E19" i="25"/>
  <c r="F19" i="25" s="1"/>
  <c r="H19" i="25" s="1"/>
  <c r="H17" i="25"/>
  <c r="I17" i="25" s="1"/>
  <c r="H18" i="25"/>
  <c r="I18" i="25" s="1"/>
  <c r="H17" i="13"/>
  <c r="I17" i="13" s="1"/>
  <c r="H18" i="13"/>
  <c r="I18" i="13" s="1"/>
  <c r="J96" i="54"/>
  <c r="J96" i="42"/>
  <c r="H19" i="13"/>
  <c r="I19" i="13" s="1"/>
  <c r="H17" i="33"/>
  <c r="I17" i="33" s="1"/>
  <c r="H18" i="33"/>
  <c r="I18" i="33" s="1"/>
  <c r="O87" i="64"/>
  <c r="O87" i="59"/>
  <c r="B100" i="98"/>
  <c r="B100" i="99"/>
  <c r="J99" i="98"/>
  <c r="B110" i="30"/>
  <c r="B100" i="97"/>
  <c r="O87" i="33"/>
  <c r="I29" i="31"/>
  <c r="I20" i="86"/>
  <c r="I20" i="88"/>
  <c r="O87" i="67"/>
  <c r="I23" i="67"/>
  <c r="I28" i="18"/>
  <c r="O87" i="66"/>
  <c r="O87" i="65"/>
  <c r="B100" i="95"/>
  <c r="C99" i="54"/>
  <c r="C100" i="54" s="1"/>
  <c r="C101" i="54" s="1"/>
  <c r="C102" i="54" s="1"/>
  <c r="C103" i="54" s="1"/>
  <c r="C104" i="54" s="1"/>
  <c r="C105" i="54" s="1"/>
  <c r="C106" i="54" s="1"/>
  <c r="C107" i="54" s="1"/>
  <c r="C108" i="54" s="1"/>
  <c r="C109" i="54" s="1"/>
  <c r="C110" i="54" s="1"/>
  <c r="C111" i="54" s="1"/>
  <c r="C112" i="54" s="1"/>
  <c r="C113" i="54" s="1"/>
  <c r="C114" i="54" s="1"/>
  <c r="C115" i="54" s="1"/>
  <c r="C116" i="54" s="1"/>
  <c r="C117" i="54" s="1"/>
  <c r="C118" i="54" s="1"/>
  <c r="C119" i="54" s="1"/>
  <c r="C120" i="54" s="1"/>
  <c r="C121" i="54" s="1"/>
  <c r="C122" i="54" s="1"/>
  <c r="C123" i="54" s="1"/>
  <c r="C124" i="54" s="1"/>
  <c r="C125" i="54" s="1"/>
  <c r="C126" i="54" s="1"/>
  <c r="C127" i="54" s="1"/>
  <c r="C128" i="54" s="1"/>
  <c r="C129" i="54" s="1"/>
  <c r="C130" i="54" s="1"/>
  <c r="C131" i="54" s="1"/>
  <c r="C132" i="54" s="1"/>
  <c r="C133" i="54" s="1"/>
  <c r="C134" i="54" s="1"/>
  <c r="C135" i="54" s="1"/>
  <c r="C136" i="54" s="1"/>
  <c r="C137" i="54" s="1"/>
  <c r="C138" i="54" s="1"/>
  <c r="C139" i="54" s="1"/>
  <c r="C140" i="54" s="1"/>
  <c r="C141" i="54" s="1"/>
  <c r="C142" i="54" s="1"/>
  <c r="C143" i="54" s="1"/>
  <c r="C144" i="54" s="1"/>
  <c r="C145" i="54" s="1"/>
  <c r="C146" i="54" s="1"/>
  <c r="C147" i="54" s="1"/>
  <c r="C148" i="54" s="1"/>
  <c r="C149" i="54" s="1"/>
  <c r="C150" i="54" s="1"/>
  <c r="C151" i="54" s="1"/>
  <c r="C152" i="54" s="1"/>
  <c r="C153" i="54" s="1"/>
  <c r="C154" i="54" s="1"/>
  <c r="C99" i="29"/>
  <c r="D99" i="29" s="1"/>
  <c r="E99" i="26"/>
  <c r="F99" i="26" s="1"/>
  <c r="D100" i="26" s="1"/>
  <c r="B100" i="26" s="1"/>
  <c r="J96" i="41"/>
  <c r="J96" i="30"/>
  <c r="C99" i="25"/>
  <c r="D99" i="25" s="1"/>
  <c r="C99" i="91"/>
  <c r="C100" i="91" s="1"/>
  <c r="C101" i="91" s="1"/>
  <c r="C102" i="91" s="1"/>
  <c r="C103" i="91" s="1"/>
  <c r="C104" i="91" s="1"/>
  <c r="C105" i="91" s="1"/>
  <c r="C106" i="91" s="1"/>
  <c r="C107" i="91" s="1"/>
  <c r="C108" i="91" s="1"/>
  <c r="C109" i="91" s="1"/>
  <c r="C110" i="91" s="1"/>
  <c r="C111" i="91" s="1"/>
  <c r="C112" i="91" s="1"/>
  <c r="C113" i="91" s="1"/>
  <c r="C114" i="91" s="1"/>
  <c r="C115" i="91" s="1"/>
  <c r="C116" i="91" s="1"/>
  <c r="C117" i="91" s="1"/>
  <c r="C118" i="91" s="1"/>
  <c r="C119" i="91" s="1"/>
  <c r="C120" i="91" s="1"/>
  <c r="C121" i="91" s="1"/>
  <c r="C122" i="91" s="1"/>
  <c r="C123" i="91" s="1"/>
  <c r="C124" i="91" s="1"/>
  <c r="C125" i="91" s="1"/>
  <c r="C126" i="91" s="1"/>
  <c r="C127" i="91" s="1"/>
  <c r="C128" i="91" s="1"/>
  <c r="C129" i="91" s="1"/>
  <c r="C130" i="91" s="1"/>
  <c r="C131" i="91" s="1"/>
  <c r="C132" i="91" s="1"/>
  <c r="C133" i="91" s="1"/>
  <c r="C134" i="91" s="1"/>
  <c r="C135" i="91" s="1"/>
  <c r="C136" i="91" s="1"/>
  <c r="C137" i="91" s="1"/>
  <c r="C138" i="91" s="1"/>
  <c r="C139" i="91" s="1"/>
  <c r="C140" i="91" s="1"/>
  <c r="C141" i="91" s="1"/>
  <c r="C142" i="91" s="1"/>
  <c r="C143" i="91" s="1"/>
  <c r="C144" i="91" s="1"/>
  <c r="C145" i="91" s="1"/>
  <c r="C146" i="91" s="1"/>
  <c r="C147" i="91" s="1"/>
  <c r="C148" i="91" s="1"/>
  <c r="C149" i="91" s="1"/>
  <c r="C150" i="91" s="1"/>
  <c r="C151" i="91" s="1"/>
  <c r="C152" i="91" s="1"/>
  <c r="C153" i="91" s="1"/>
  <c r="C154" i="91" s="1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E99" i="25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C99" i="8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C131" i="81" s="1"/>
  <c r="C132" i="81" s="1"/>
  <c r="C133" i="81" s="1"/>
  <c r="C134" i="81" s="1"/>
  <c r="C135" i="81" s="1"/>
  <c r="C136" i="81" s="1"/>
  <c r="C137" i="81" s="1"/>
  <c r="C138" i="81" s="1"/>
  <c r="C139" i="81" s="1"/>
  <c r="C140" i="81" s="1"/>
  <c r="C141" i="81" s="1"/>
  <c r="C142" i="81" s="1"/>
  <c r="C143" i="81" s="1"/>
  <c r="C144" i="81" s="1"/>
  <c r="C145" i="81" s="1"/>
  <c r="C146" i="81" s="1"/>
  <c r="C147" i="81" s="1"/>
  <c r="C148" i="81" s="1"/>
  <c r="C149" i="81" s="1"/>
  <c r="C150" i="81" s="1"/>
  <c r="C151" i="81" s="1"/>
  <c r="C152" i="81" s="1"/>
  <c r="C153" i="81" s="1"/>
  <c r="C154" i="81" s="1"/>
  <c r="C99" i="3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F99" i="33"/>
  <c r="C99" i="64"/>
  <c r="C100" i="64" s="1"/>
  <c r="C101" i="64" s="1"/>
  <c r="C102" i="64" s="1"/>
  <c r="C103" i="64" s="1"/>
  <c r="C104" i="64" s="1"/>
  <c r="C105" i="64" s="1"/>
  <c r="C106" i="64" s="1"/>
  <c r="C107" i="64" s="1"/>
  <c r="C108" i="64" s="1"/>
  <c r="C109" i="64" s="1"/>
  <c r="C110" i="64" s="1"/>
  <c r="C111" i="64" s="1"/>
  <c r="C112" i="64" s="1"/>
  <c r="C113" i="64" s="1"/>
  <c r="C114" i="64" s="1"/>
  <c r="C115" i="64" s="1"/>
  <c r="C116" i="64" s="1"/>
  <c r="C117" i="64" s="1"/>
  <c r="C118" i="64" s="1"/>
  <c r="C119" i="64" s="1"/>
  <c r="C120" i="64" s="1"/>
  <c r="C121" i="64" s="1"/>
  <c r="C122" i="64" s="1"/>
  <c r="C123" i="64" s="1"/>
  <c r="C124" i="64" s="1"/>
  <c r="C125" i="64" s="1"/>
  <c r="C126" i="64" s="1"/>
  <c r="C127" i="64" s="1"/>
  <c r="C128" i="64" s="1"/>
  <c r="C129" i="64" s="1"/>
  <c r="C130" i="64" s="1"/>
  <c r="C131" i="64" s="1"/>
  <c r="C132" i="64" s="1"/>
  <c r="C133" i="64" s="1"/>
  <c r="C134" i="64" s="1"/>
  <c r="C135" i="64" s="1"/>
  <c r="C136" i="64" s="1"/>
  <c r="C137" i="64" s="1"/>
  <c r="C138" i="64" s="1"/>
  <c r="C139" i="64" s="1"/>
  <c r="C140" i="64" s="1"/>
  <c r="C141" i="64" s="1"/>
  <c r="C142" i="64" s="1"/>
  <c r="C143" i="64" s="1"/>
  <c r="C144" i="64" s="1"/>
  <c r="C145" i="64" s="1"/>
  <c r="C146" i="64" s="1"/>
  <c r="C147" i="64" s="1"/>
  <c r="C148" i="64" s="1"/>
  <c r="C149" i="64" s="1"/>
  <c r="C150" i="64" s="1"/>
  <c r="C151" i="64" s="1"/>
  <c r="C152" i="64" s="1"/>
  <c r="C153" i="64" s="1"/>
  <c r="C154" i="64" s="1"/>
  <c r="C99" i="21"/>
  <c r="C100" i="21" s="1"/>
  <c r="C101" i="21" s="1"/>
  <c r="C102" i="21" s="1"/>
  <c r="C103" i="21" s="1"/>
  <c r="C104" i="21" s="1"/>
  <c r="C105" i="21" s="1"/>
  <c r="C106" i="21" s="1"/>
  <c r="C107" i="21" s="1"/>
  <c r="C108" i="21" s="1"/>
  <c r="C109" i="21" s="1"/>
  <c r="C110" i="21" s="1"/>
  <c r="C111" i="21" s="1"/>
  <c r="C112" i="21" s="1"/>
  <c r="C113" i="21" s="1"/>
  <c r="C114" i="21" s="1"/>
  <c r="C115" i="21" s="1"/>
  <c r="C116" i="21" s="1"/>
  <c r="C117" i="21" s="1"/>
  <c r="C118" i="21" s="1"/>
  <c r="C119" i="21" s="1"/>
  <c r="C120" i="21" s="1"/>
  <c r="C121" i="21" s="1"/>
  <c r="C122" i="21" s="1"/>
  <c r="C123" i="21" s="1"/>
  <c r="C124" i="21" s="1"/>
  <c r="C125" i="21" s="1"/>
  <c r="C126" i="21" s="1"/>
  <c r="C127" i="21" s="1"/>
  <c r="C128" i="21" s="1"/>
  <c r="C129" i="21" s="1"/>
  <c r="C130" i="21" s="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C150" i="21" s="1"/>
  <c r="C151" i="21" s="1"/>
  <c r="C152" i="21" s="1"/>
  <c r="C153" i="21" s="1"/>
  <c r="C154" i="21" s="1"/>
  <c r="C99" i="19"/>
  <c r="C100" i="19" s="1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C121" i="19" s="1"/>
  <c r="C122" i="19" s="1"/>
  <c r="C123" i="19" s="1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E106" i="35"/>
  <c r="F106" i="35" s="1"/>
  <c r="G106" i="35" s="1"/>
  <c r="B106" i="35"/>
  <c r="H104" i="35"/>
  <c r="J104" i="35" s="1"/>
  <c r="B100" i="96"/>
  <c r="I21" i="78"/>
  <c r="I28" i="71"/>
  <c r="B24" i="67"/>
  <c r="B25" i="46"/>
  <c r="I24" i="46"/>
  <c r="B29" i="24"/>
  <c r="I27" i="19"/>
  <c r="O87" i="39"/>
  <c r="I21" i="76"/>
  <c r="I21" i="80"/>
  <c r="D99" i="26"/>
  <c r="C100" i="26"/>
  <c r="C101" i="26" s="1"/>
  <c r="C102" i="26" s="1"/>
  <c r="C103" i="26" s="1"/>
  <c r="C104" i="26" s="1"/>
  <c r="C105" i="26" s="1"/>
  <c r="C106" i="26" s="1"/>
  <c r="C107" i="26" s="1"/>
  <c r="C108" i="26" s="1"/>
  <c r="C109" i="26" s="1"/>
  <c r="C110" i="26" s="1"/>
  <c r="C111" i="26" s="1"/>
  <c r="C112" i="26" s="1"/>
  <c r="C113" i="26" s="1"/>
  <c r="C114" i="26" s="1"/>
  <c r="C115" i="26" s="1"/>
  <c r="C116" i="26" s="1"/>
  <c r="C117" i="26" s="1"/>
  <c r="C118" i="26" s="1"/>
  <c r="C119" i="26" s="1"/>
  <c r="C120" i="26" s="1"/>
  <c r="C121" i="26" s="1"/>
  <c r="C122" i="26" s="1"/>
  <c r="C123" i="26" s="1"/>
  <c r="C124" i="26" s="1"/>
  <c r="C125" i="26" s="1"/>
  <c r="C126" i="26" s="1"/>
  <c r="C127" i="26" s="1"/>
  <c r="C128" i="26" s="1"/>
  <c r="C129" i="26" s="1"/>
  <c r="C130" i="26" s="1"/>
  <c r="C131" i="26" s="1"/>
  <c r="C132" i="26" s="1"/>
  <c r="C133" i="26" s="1"/>
  <c r="C134" i="26" s="1"/>
  <c r="C135" i="26" s="1"/>
  <c r="C136" i="26" s="1"/>
  <c r="C137" i="26" s="1"/>
  <c r="C138" i="26" s="1"/>
  <c r="C139" i="26" s="1"/>
  <c r="C140" i="26" s="1"/>
  <c r="C141" i="26" s="1"/>
  <c r="C142" i="26" s="1"/>
  <c r="C143" i="26" s="1"/>
  <c r="C144" i="26" s="1"/>
  <c r="C145" i="26" s="1"/>
  <c r="C146" i="26" s="1"/>
  <c r="C147" i="26" s="1"/>
  <c r="C148" i="26" s="1"/>
  <c r="C149" i="26" s="1"/>
  <c r="C150" i="26" s="1"/>
  <c r="C151" i="26" s="1"/>
  <c r="C152" i="26" s="1"/>
  <c r="C153" i="26" s="1"/>
  <c r="C154" i="26" s="1"/>
  <c r="B19" i="93"/>
  <c r="D99" i="33"/>
  <c r="B21" i="91"/>
  <c r="B24" i="66"/>
  <c r="I23" i="61"/>
  <c r="I20" i="85"/>
  <c r="B21" i="84"/>
  <c r="B25" i="53"/>
  <c r="I27" i="17"/>
  <c r="I27" i="21"/>
  <c r="I20" i="81"/>
  <c r="I18" i="95"/>
  <c r="I20" i="91"/>
  <c r="I22" i="75"/>
  <c r="B27" i="42"/>
  <c r="B30" i="23"/>
  <c r="I20" i="84"/>
  <c r="I22" i="68"/>
  <c r="I27" i="41"/>
  <c r="I24" i="72"/>
  <c r="I23" i="65"/>
  <c r="I24" i="57"/>
  <c r="B28" i="22"/>
  <c r="B21" i="81"/>
  <c r="B19" i="95"/>
  <c r="B30" i="27"/>
  <c r="I26" i="44"/>
  <c r="I26" i="39"/>
  <c r="B22" i="76"/>
  <c r="B19" i="96"/>
  <c r="I29" i="27"/>
  <c r="B27" i="44"/>
  <c r="B25" i="72"/>
  <c r="I24" i="54"/>
  <c r="B27" i="39"/>
  <c r="B24" i="61"/>
  <c r="B21" i="85"/>
  <c r="I26" i="73"/>
  <c r="I29" i="29"/>
  <c r="O87" i="79"/>
  <c r="D20" i="33"/>
  <c r="H19" i="33"/>
  <c r="G19" i="33"/>
  <c r="B27" i="73"/>
  <c r="B22" i="79"/>
  <c r="I23" i="63"/>
  <c r="I29" i="71"/>
  <c r="B28" i="17"/>
  <c r="B20" i="89"/>
  <c r="B30" i="70"/>
  <c r="B25" i="54"/>
  <c r="B24" i="63"/>
  <c r="I26" i="43"/>
  <c r="B28" i="21"/>
  <c r="I26" i="74"/>
  <c r="B30" i="29"/>
  <c r="B20" i="92"/>
  <c r="I29" i="70"/>
  <c r="B22" i="78"/>
  <c r="E19" i="26"/>
  <c r="F19" i="26" s="1"/>
  <c r="H19" i="26" s="1"/>
  <c r="B19" i="26"/>
  <c r="B29" i="32"/>
  <c r="B28" i="3"/>
  <c r="B23" i="68"/>
  <c r="O87" i="22"/>
  <c r="I31" i="28"/>
  <c r="B22" i="77"/>
  <c r="B28" i="19"/>
  <c r="I19" i="92"/>
  <c r="I19" i="89"/>
  <c r="I26" i="45"/>
  <c r="I21" i="79"/>
  <c r="B27" i="43"/>
  <c r="B25" i="57"/>
  <c r="B28" i="41"/>
  <c r="O87" i="62"/>
  <c r="O87" i="29"/>
  <c r="O87" i="77"/>
  <c r="O87" i="84"/>
  <c r="O87" i="24"/>
  <c r="F53" i="1"/>
  <c r="E30" i="1"/>
  <c r="E33" i="1" s="1"/>
  <c r="B24" i="59"/>
  <c r="B29" i="18"/>
  <c r="B106" i="57"/>
  <c r="I23" i="59"/>
  <c r="I22" i="35"/>
  <c r="B110" i="71"/>
  <c r="B109" i="18"/>
  <c r="E24" i="35"/>
  <c r="F24" i="35" s="1"/>
  <c r="H23" i="35"/>
  <c r="G23" i="35"/>
  <c r="B24" i="35"/>
  <c r="E104" i="34"/>
  <c r="J102" i="35"/>
  <c r="J101" i="35"/>
  <c r="F53" i="2"/>
  <c r="E30" i="2"/>
  <c r="H105" i="35"/>
  <c r="I105" i="35"/>
  <c r="G99" i="13"/>
  <c r="D100" i="13"/>
  <c r="E100" i="13" s="1"/>
  <c r="E33" i="2" l="1"/>
  <c r="B20" i="13"/>
  <c r="B22" i="90"/>
  <c r="E101" i="98"/>
  <c r="B22" i="88"/>
  <c r="C100" i="25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D20" i="25"/>
  <c r="G19" i="25"/>
  <c r="I19" i="25" s="1"/>
  <c r="I19" i="97"/>
  <c r="I30" i="31"/>
  <c r="D101" i="97"/>
  <c r="E101" i="97" s="1"/>
  <c r="I27" i="73"/>
  <c r="G99" i="33"/>
  <c r="H99" i="33" s="1"/>
  <c r="J99" i="97"/>
  <c r="F99" i="25"/>
  <c r="D100" i="25" s="1"/>
  <c r="B100" i="25" s="1"/>
  <c r="C100" i="29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B107" i="35"/>
  <c r="E37" i="1"/>
  <c r="F54" i="1" s="1"/>
  <c r="F55" i="1" s="1"/>
  <c r="I21" i="86"/>
  <c r="D100" i="33"/>
  <c r="E100" i="33" s="1"/>
  <c r="E107" i="35"/>
  <c r="F107" i="35" s="1"/>
  <c r="G107" i="35" s="1"/>
  <c r="G99" i="26"/>
  <c r="I99" i="26" s="1"/>
  <c r="D99" i="27"/>
  <c r="E100" i="26"/>
  <c r="F100" i="26" s="1"/>
  <c r="D101" i="26" s="1"/>
  <c r="B101" i="26" s="1"/>
  <c r="J99" i="96"/>
  <c r="I19" i="94"/>
  <c r="I25" i="46"/>
  <c r="I29" i="24"/>
  <c r="I26" i="55"/>
  <c r="I23" i="35"/>
  <c r="I22" i="76"/>
  <c r="B22" i="80"/>
  <c r="I25" i="53"/>
  <c r="I22" i="82"/>
  <c r="I21" i="84"/>
  <c r="B20" i="94"/>
  <c r="I19" i="93"/>
  <c r="B22" i="86"/>
  <c r="B23" i="82"/>
  <c r="B27" i="55"/>
  <c r="B100" i="93"/>
  <c r="I27" i="43"/>
  <c r="I30" i="69"/>
  <c r="I26" i="58"/>
  <c r="B24" i="65"/>
  <c r="I30" i="29"/>
  <c r="I27" i="42"/>
  <c r="I29" i="34"/>
  <c r="I22" i="77"/>
  <c r="B23" i="75"/>
  <c r="B27" i="58"/>
  <c r="I24" i="56"/>
  <c r="I24" i="61"/>
  <c r="I19" i="95"/>
  <c r="I27" i="39"/>
  <c r="I27" i="44"/>
  <c r="I28" i="22"/>
  <c r="I25" i="72"/>
  <c r="I19" i="96"/>
  <c r="I23" i="60"/>
  <c r="B30" i="71"/>
  <c r="B21" i="83"/>
  <c r="I24" i="64"/>
  <c r="I28" i="19"/>
  <c r="B32" i="28"/>
  <c r="B30" i="30"/>
  <c r="B31" i="31"/>
  <c r="I20" i="89"/>
  <c r="B31" i="69"/>
  <c r="I23" i="68"/>
  <c r="D20" i="26"/>
  <c r="E20" i="26" s="1"/>
  <c r="B27" i="74"/>
  <c r="B27" i="45"/>
  <c r="I20" i="83"/>
  <c r="B25" i="64"/>
  <c r="I29" i="32"/>
  <c r="E20" i="33"/>
  <c r="F20" i="33" s="1"/>
  <c r="H20" i="33" s="1"/>
  <c r="B20" i="33"/>
  <c r="B24" i="60"/>
  <c r="I25" i="57"/>
  <c r="B30" i="34"/>
  <c r="I29" i="30"/>
  <c r="G19" i="26"/>
  <c r="I19" i="26" s="1"/>
  <c r="I22" i="78"/>
  <c r="I20" i="92"/>
  <c r="I25" i="54"/>
  <c r="I30" i="70"/>
  <c r="B25" i="56"/>
  <c r="I28" i="17"/>
  <c r="I22" i="79"/>
  <c r="I19" i="33"/>
  <c r="B100" i="94"/>
  <c r="J105" i="57"/>
  <c r="J105" i="56"/>
  <c r="B105" i="59"/>
  <c r="E37" i="2"/>
  <c r="F54" i="2" s="1"/>
  <c r="F55" i="2" s="1"/>
  <c r="B107" i="56"/>
  <c r="I23" i="62"/>
  <c r="B25" i="35"/>
  <c r="G24" i="35"/>
  <c r="H24" i="35"/>
  <c r="E25" i="35"/>
  <c r="F25" i="35" s="1"/>
  <c r="I20" i="87"/>
  <c r="B21" i="87"/>
  <c r="B24" i="62"/>
  <c r="B110" i="23"/>
  <c r="I27" i="20"/>
  <c r="F20" i="13"/>
  <c r="B28" i="20"/>
  <c r="B109" i="22"/>
  <c r="B102" i="81"/>
  <c r="B101" i="89"/>
  <c r="F104" i="34"/>
  <c r="B108" i="41"/>
  <c r="B106" i="58"/>
  <c r="B107" i="45"/>
  <c r="B108" i="73"/>
  <c r="B101" i="92"/>
  <c r="B101" i="91"/>
  <c r="B104" i="65"/>
  <c r="B111" i="30"/>
  <c r="B103" i="79"/>
  <c r="J109" i="23"/>
  <c r="B103" i="76"/>
  <c r="B109" i="17"/>
  <c r="B106" i="55"/>
  <c r="H106" i="35"/>
  <c r="I106" i="35"/>
  <c r="F100" i="13"/>
  <c r="B100" i="13"/>
  <c r="J105" i="35"/>
  <c r="B102" i="80"/>
  <c r="I99" i="13"/>
  <c r="H99" i="13"/>
  <c r="B103" i="75"/>
  <c r="B102" i="83"/>
  <c r="B108" i="42"/>
  <c r="B103" i="77"/>
  <c r="B110" i="24"/>
  <c r="B106" i="54"/>
  <c r="B109" i="21"/>
  <c r="D101" i="98" l="1"/>
  <c r="F101" i="98" s="1"/>
  <c r="H99" i="26"/>
  <c r="M99" i="26" s="1"/>
  <c r="I21" i="90"/>
  <c r="I19" i="99"/>
  <c r="D23" i="90"/>
  <c r="B23" i="90" s="1"/>
  <c r="E23" i="90"/>
  <c r="G99" i="25"/>
  <c r="I99" i="25" s="1"/>
  <c r="I99" i="33"/>
  <c r="J99" i="33" s="1"/>
  <c r="I19" i="98"/>
  <c r="B20" i="97"/>
  <c r="E20" i="25"/>
  <c r="F20" i="25" s="1"/>
  <c r="B20" i="25"/>
  <c r="B20" i="98"/>
  <c r="B20" i="99"/>
  <c r="I30" i="23"/>
  <c r="I24" i="67"/>
  <c r="I28" i="41"/>
  <c r="I24" i="66"/>
  <c r="E101" i="99"/>
  <c r="D101" i="99"/>
  <c r="I21" i="91"/>
  <c r="I21" i="88"/>
  <c r="B21" i="94"/>
  <c r="B100" i="33"/>
  <c r="J100" i="99"/>
  <c r="J99" i="99"/>
  <c r="E100" i="25"/>
  <c r="F100" i="25" s="1"/>
  <c r="D101" i="25" s="1"/>
  <c r="E101" i="25" s="1"/>
  <c r="B108" i="35"/>
  <c r="E108" i="35"/>
  <c r="F108" i="35" s="1"/>
  <c r="B109" i="35" s="1"/>
  <c r="F76" i="1"/>
  <c r="F77" i="1" s="1"/>
  <c r="F62" i="1"/>
  <c r="F65" i="1" s="1"/>
  <c r="F67" i="1" s="1"/>
  <c r="F69" i="1" s="1"/>
  <c r="F70" i="1" s="1"/>
  <c r="F71" i="1" s="1"/>
  <c r="F56" i="1" s="1"/>
  <c r="F57" i="1" s="1"/>
  <c r="F59" i="1" s="1"/>
  <c r="F79" i="1" s="1"/>
  <c r="I21" i="85"/>
  <c r="I28" i="21"/>
  <c r="B101" i="95"/>
  <c r="B101" i="97"/>
  <c r="F101" i="97"/>
  <c r="J99" i="95"/>
  <c r="F100" i="33"/>
  <c r="G100" i="33" s="1"/>
  <c r="G100" i="26"/>
  <c r="H100" i="26" s="1"/>
  <c r="E101" i="26"/>
  <c r="F101" i="26" s="1"/>
  <c r="G101" i="26" s="1"/>
  <c r="I101" i="26" s="1"/>
  <c r="J109" i="71"/>
  <c r="B111" i="71"/>
  <c r="B110" i="18"/>
  <c r="K95" i="85"/>
  <c r="J99" i="93"/>
  <c r="B25" i="67"/>
  <c r="B26" i="46"/>
  <c r="I30" i="27"/>
  <c r="B30" i="24"/>
  <c r="E24" i="82"/>
  <c r="D24" i="82"/>
  <c r="B20" i="93"/>
  <c r="O99" i="26"/>
  <c r="B31" i="23"/>
  <c r="B28" i="42"/>
  <c r="E28" i="55"/>
  <c r="D28" i="55"/>
  <c r="G20" i="33"/>
  <c r="I20" i="33" s="1"/>
  <c r="E28" i="58"/>
  <c r="D28" i="58"/>
  <c r="B25" i="66"/>
  <c r="B22" i="84"/>
  <c r="B22" i="91"/>
  <c r="B26" i="53"/>
  <c r="I21" i="83"/>
  <c r="B20" i="96"/>
  <c r="B23" i="76"/>
  <c r="I28" i="20"/>
  <c r="B29" i="22"/>
  <c r="B22" i="85"/>
  <c r="B22" i="81"/>
  <c r="B25" i="61"/>
  <c r="I27" i="74"/>
  <c r="B20" i="95"/>
  <c r="B28" i="39"/>
  <c r="B31" i="27"/>
  <c r="I21" i="81"/>
  <c r="B28" i="44"/>
  <c r="B26" i="72"/>
  <c r="I24" i="35"/>
  <c r="B26" i="57"/>
  <c r="B31" i="70"/>
  <c r="B28" i="43"/>
  <c r="B21" i="92"/>
  <c r="B20" i="26"/>
  <c r="F20" i="26"/>
  <c r="H20" i="26" s="1"/>
  <c r="E32" i="31"/>
  <c r="D32" i="31"/>
  <c r="B29" i="19"/>
  <c r="B23" i="79"/>
  <c r="B29" i="21"/>
  <c r="B28" i="73"/>
  <c r="B21" i="89"/>
  <c r="B30" i="32"/>
  <c r="B26" i="54"/>
  <c r="B23" i="78"/>
  <c r="B23" i="77"/>
  <c r="B25" i="63"/>
  <c r="B24" i="68"/>
  <c r="C38" i="17"/>
  <c r="B29" i="17"/>
  <c r="I25" i="56"/>
  <c r="B31" i="29"/>
  <c r="I24" i="60"/>
  <c r="D21" i="33"/>
  <c r="E21" i="33" s="1"/>
  <c r="F21" i="33" s="1"/>
  <c r="B29" i="41"/>
  <c r="B29" i="3"/>
  <c r="I24" i="63"/>
  <c r="I30" i="30"/>
  <c r="J99" i="94"/>
  <c r="B111" i="23"/>
  <c r="E108" i="56"/>
  <c r="B101" i="93"/>
  <c r="J108" i="18"/>
  <c r="J104" i="59"/>
  <c r="I24" i="59"/>
  <c r="I29" i="18"/>
  <c r="E26" i="35"/>
  <c r="F26" i="35" s="1"/>
  <c r="H25" i="35"/>
  <c r="B26" i="35"/>
  <c r="G25" i="35"/>
  <c r="D21" i="13"/>
  <c r="E21" i="13" s="1"/>
  <c r="G20" i="13"/>
  <c r="H20" i="13"/>
  <c r="I24" i="62"/>
  <c r="B30" i="18"/>
  <c r="B25" i="59"/>
  <c r="B101" i="86"/>
  <c r="B104" i="66"/>
  <c r="B109" i="19"/>
  <c r="B109" i="34"/>
  <c r="B105" i="64"/>
  <c r="J100" i="89"/>
  <c r="B104" i="68"/>
  <c r="B110" i="32"/>
  <c r="B109" i="20"/>
  <c r="B111" i="29"/>
  <c r="B105" i="63"/>
  <c r="B106" i="46"/>
  <c r="B103" i="78"/>
  <c r="B101" i="90"/>
  <c r="B105" i="61"/>
  <c r="B105" i="60"/>
  <c r="B107" i="74"/>
  <c r="B110" i="31"/>
  <c r="B106" i="53"/>
  <c r="B105" i="62"/>
  <c r="B111" i="70"/>
  <c r="B101" i="84"/>
  <c r="B106" i="72"/>
  <c r="B108" i="39"/>
  <c r="B102" i="85"/>
  <c r="B108" i="43"/>
  <c r="B111" i="27"/>
  <c r="B101" i="88"/>
  <c r="B105" i="34"/>
  <c r="G104" i="34"/>
  <c r="B111" i="69"/>
  <c r="B106" i="59"/>
  <c r="F62" i="2"/>
  <c r="F65" i="2" s="1"/>
  <c r="F67" i="2" s="1"/>
  <c r="F69" i="2" s="1"/>
  <c r="B107" i="57"/>
  <c r="J108" i="21"/>
  <c r="G100" i="13"/>
  <c r="D101" i="13"/>
  <c r="E101" i="13" s="1"/>
  <c r="B101" i="96"/>
  <c r="J99" i="13"/>
  <c r="J107" i="42"/>
  <c r="B104" i="67"/>
  <c r="J105" i="54"/>
  <c r="I107" i="35"/>
  <c r="H107" i="35"/>
  <c r="J105" i="55"/>
  <c r="J102" i="77"/>
  <c r="B102" i="82"/>
  <c r="J108" i="17"/>
  <c r="B108" i="44"/>
  <c r="J102" i="75"/>
  <c r="J101" i="80"/>
  <c r="B112" i="28"/>
  <c r="J101" i="83"/>
  <c r="B101" i="87"/>
  <c r="J109" i="24"/>
  <c r="J102" i="76"/>
  <c r="B109" i="3"/>
  <c r="J106" i="35"/>
  <c r="I27" i="58" l="1"/>
  <c r="I31" i="31"/>
  <c r="D23" i="88"/>
  <c r="B23" i="88" s="1"/>
  <c r="I27" i="55"/>
  <c r="F23" i="90"/>
  <c r="G23" i="90" s="1"/>
  <c r="N5" i="90" s="1"/>
  <c r="E23" i="88"/>
  <c r="B101" i="98"/>
  <c r="I22" i="88"/>
  <c r="J99" i="26"/>
  <c r="P99" i="26"/>
  <c r="H99" i="25"/>
  <c r="J99" i="25" s="1"/>
  <c r="D101" i="33"/>
  <c r="E101" i="33" s="1"/>
  <c r="F101" i="33" s="1"/>
  <c r="I22" i="90"/>
  <c r="F80" i="1"/>
  <c r="F82" i="1" s="1"/>
  <c r="D21" i="97"/>
  <c r="D21" i="98"/>
  <c r="E21" i="98"/>
  <c r="D21" i="99"/>
  <c r="E21" i="99"/>
  <c r="H20" i="25"/>
  <c r="G20" i="25"/>
  <c r="D21" i="25"/>
  <c r="I30" i="71"/>
  <c r="I21" i="87"/>
  <c r="I30" i="34"/>
  <c r="I24" i="65"/>
  <c r="I32" i="28"/>
  <c r="G100" i="25"/>
  <c r="I100" i="25" s="1"/>
  <c r="B101" i="25"/>
  <c r="F101" i="99"/>
  <c r="B101" i="99"/>
  <c r="I20" i="94"/>
  <c r="I23" i="75"/>
  <c r="E109" i="35"/>
  <c r="F109" i="35" s="1"/>
  <c r="B110" i="35" s="1"/>
  <c r="F101" i="25"/>
  <c r="G101" i="25" s="1"/>
  <c r="H101" i="25" s="1"/>
  <c r="G108" i="35"/>
  <c r="H108" i="35" s="1"/>
  <c r="I100" i="26"/>
  <c r="J100" i="26" s="1"/>
  <c r="B105" i="65"/>
  <c r="D102" i="98"/>
  <c r="G101" i="98"/>
  <c r="E102" i="98"/>
  <c r="J100" i="98"/>
  <c r="D102" i="97"/>
  <c r="G101" i="97"/>
  <c r="E102" i="97"/>
  <c r="H101" i="26"/>
  <c r="J101" i="26" s="1"/>
  <c r="B103" i="81"/>
  <c r="J100" i="97"/>
  <c r="J106" i="56"/>
  <c r="D102" i="95"/>
  <c r="D102" i="26"/>
  <c r="D112" i="71"/>
  <c r="D108" i="56"/>
  <c r="B108" i="56" s="1"/>
  <c r="E112" i="23"/>
  <c r="I22" i="86"/>
  <c r="D26" i="67"/>
  <c r="E26" i="67"/>
  <c r="I22" i="80"/>
  <c r="F24" i="82"/>
  <c r="G24" i="82" s="1"/>
  <c r="N5" i="82" s="1"/>
  <c r="B24" i="82"/>
  <c r="H23" i="90"/>
  <c r="B23" i="80"/>
  <c r="B23" i="86"/>
  <c r="I23" i="82"/>
  <c r="G20" i="26"/>
  <c r="I20" i="26" s="1"/>
  <c r="D23" i="91"/>
  <c r="E23" i="91"/>
  <c r="E26" i="66"/>
  <c r="D26" i="66"/>
  <c r="B28" i="58"/>
  <c r="F28" i="58"/>
  <c r="B24" i="75"/>
  <c r="B25" i="65"/>
  <c r="F28" i="55"/>
  <c r="G28" i="55" s="1"/>
  <c r="N5" i="55" s="1"/>
  <c r="B28" i="55"/>
  <c r="D32" i="23"/>
  <c r="E32" i="23"/>
  <c r="D24" i="90"/>
  <c r="E24" i="90"/>
  <c r="I23" i="79"/>
  <c r="I25" i="64"/>
  <c r="I25" i="35"/>
  <c r="B31" i="34"/>
  <c r="B31" i="30"/>
  <c r="B22" i="83"/>
  <c r="I31" i="69"/>
  <c r="E30" i="41"/>
  <c r="D30" i="41"/>
  <c r="F32" i="31"/>
  <c r="H32" i="31" s="1"/>
  <c r="N6" i="31" s="1"/>
  <c r="B32" i="31"/>
  <c r="B31" i="71"/>
  <c r="B25" i="60"/>
  <c r="D22" i="33"/>
  <c r="I29" i="17"/>
  <c r="B28" i="45"/>
  <c r="B28" i="74"/>
  <c r="B26" i="56"/>
  <c r="B33" i="28"/>
  <c r="B26" i="64"/>
  <c r="B21" i="33"/>
  <c r="H21" i="33"/>
  <c r="G21" i="33"/>
  <c r="B32" i="69"/>
  <c r="D21" i="26"/>
  <c r="E21" i="26" s="1"/>
  <c r="F21" i="26" s="1"/>
  <c r="I27" i="45"/>
  <c r="B101" i="94"/>
  <c r="B109" i="41"/>
  <c r="J105" i="59"/>
  <c r="D102" i="93"/>
  <c r="J107" i="35"/>
  <c r="B109" i="73"/>
  <c r="E31" i="18"/>
  <c r="D31" i="18"/>
  <c r="B21" i="13"/>
  <c r="F21" i="13"/>
  <c r="H21" i="13" s="1"/>
  <c r="B25" i="62"/>
  <c r="B27" i="35"/>
  <c r="H26" i="35"/>
  <c r="E27" i="35"/>
  <c r="F27" i="35" s="1"/>
  <c r="G26" i="35"/>
  <c r="B29" i="20"/>
  <c r="J110" i="23"/>
  <c r="I20" i="13"/>
  <c r="B22" i="87"/>
  <c r="J105" i="58"/>
  <c r="J104" i="61"/>
  <c r="J102" i="78"/>
  <c r="J108" i="20"/>
  <c r="J101" i="81"/>
  <c r="J103" i="65"/>
  <c r="J110" i="30"/>
  <c r="J103" i="68"/>
  <c r="J109" i="31"/>
  <c r="J106" i="74"/>
  <c r="J108" i="19"/>
  <c r="J103" i="66"/>
  <c r="B108" i="45"/>
  <c r="J105" i="46"/>
  <c r="J100" i="92"/>
  <c r="J108" i="22"/>
  <c r="B102" i="89"/>
  <c r="J110" i="69"/>
  <c r="J107" i="41"/>
  <c r="J107" i="73"/>
  <c r="J109" i="32"/>
  <c r="J105" i="53"/>
  <c r="J104" i="64"/>
  <c r="J104" i="60"/>
  <c r="J104" i="62"/>
  <c r="J100" i="88"/>
  <c r="I104" i="34"/>
  <c r="H104" i="34"/>
  <c r="L104" i="34" s="1"/>
  <c r="M104" i="34" s="1"/>
  <c r="J110" i="70"/>
  <c r="J104" i="63"/>
  <c r="B106" i="62"/>
  <c r="J105" i="72"/>
  <c r="J106" i="45"/>
  <c r="J107" i="43"/>
  <c r="B102" i="91"/>
  <c r="J100" i="84"/>
  <c r="J102" i="79"/>
  <c r="J100" i="86"/>
  <c r="J110" i="27"/>
  <c r="J110" i="29"/>
  <c r="J107" i="39"/>
  <c r="J100" i="91"/>
  <c r="J101" i="85"/>
  <c r="J100" i="90"/>
  <c r="J109" i="18"/>
  <c r="D107" i="59"/>
  <c r="E107" i="59"/>
  <c r="F70" i="2"/>
  <c r="F71" i="2" s="1"/>
  <c r="F56" i="2" s="1"/>
  <c r="F57" i="2" s="1"/>
  <c r="D108" i="57"/>
  <c r="E108" i="57"/>
  <c r="D102" i="96"/>
  <c r="E102" i="96" s="1"/>
  <c r="B109" i="42"/>
  <c r="B111" i="24"/>
  <c r="B110" i="21"/>
  <c r="B107" i="54"/>
  <c r="B104" i="75"/>
  <c r="H100" i="33"/>
  <c r="I100" i="33"/>
  <c r="I100" i="13"/>
  <c r="H100" i="13"/>
  <c r="B107" i="55"/>
  <c r="J108" i="3"/>
  <c r="B104" i="77"/>
  <c r="J111" i="28"/>
  <c r="J103" i="67"/>
  <c r="J100" i="96"/>
  <c r="J107" i="44"/>
  <c r="B103" i="80"/>
  <c r="B104" i="76"/>
  <c r="J100" i="87"/>
  <c r="B110" i="17"/>
  <c r="J101" i="82"/>
  <c r="F101" i="13"/>
  <c r="B101" i="13"/>
  <c r="B103" i="83"/>
  <c r="E47" i="36"/>
  <c r="E74" i="36"/>
  <c r="E82" i="36"/>
  <c r="I23" i="90" l="1"/>
  <c r="N6" i="90"/>
  <c r="N7" i="90" s="1"/>
  <c r="F23" i="88"/>
  <c r="G23" i="88" s="1"/>
  <c r="N5" i="88" s="1"/>
  <c r="I30" i="18"/>
  <c r="I22" i="91"/>
  <c r="I29" i="41"/>
  <c r="I25" i="66"/>
  <c r="B101" i="33"/>
  <c r="H100" i="25"/>
  <c r="J100" i="25" s="1"/>
  <c r="I29" i="22"/>
  <c r="I101" i="25"/>
  <c r="J101" i="25" s="1"/>
  <c r="F108" i="56"/>
  <c r="G108" i="56" s="1"/>
  <c r="I20" i="25"/>
  <c r="I20" i="98"/>
  <c r="I26" i="46"/>
  <c r="I20" i="99"/>
  <c r="F21" i="98"/>
  <c r="G21" i="98" s="1"/>
  <c r="N5" i="98" s="1"/>
  <c r="B21" i="98"/>
  <c r="E21" i="97"/>
  <c r="F21" i="97" s="1"/>
  <c r="D22" i="97" s="1"/>
  <c r="B21" i="97"/>
  <c r="I20" i="97"/>
  <c r="E21" i="25"/>
  <c r="F21" i="25" s="1"/>
  <c r="B21" i="25"/>
  <c r="F21" i="99"/>
  <c r="H21" i="99" s="1"/>
  <c r="N6" i="99" s="1"/>
  <c r="B21" i="99"/>
  <c r="I28" i="44"/>
  <c r="I24" i="68"/>
  <c r="I23" i="77"/>
  <c r="I29" i="21"/>
  <c r="I21" i="89"/>
  <c r="I23" i="76"/>
  <c r="I28" i="39"/>
  <c r="I25" i="59"/>
  <c r="I30" i="24"/>
  <c r="I26" i="53"/>
  <c r="I29" i="19"/>
  <c r="I30" i="32"/>
  <c r="I25" i="61"/>
  <c r="I26" i="57"/>
  <c r="I26" i="54"/>
  <c r="I31" i="70"/>
  <c r="I23" i="78"/>
  <c r="I31" i="29"/>
  <c r="I28" i="42"/>
  <c r="G109" i="35"/>
  <c r="E102" i="99"/>
  <c r="G101" i="99"/>
  <c r="D102" i="99"/>
  <c r="E110" i="35"/>
  <c r="F110" i="35" s="1"/>
  <c r="I20" i="96"/>
  <c r="I20" i="95"/>
  <c r="I21" i="94"/>
  <c r="I20" i="93"/>
  <c r="I21" i="92"/>
  <c r="I22" i="85"/>
  <c r="I22" i="81"/>
  <c r="D102" i="25"/>
  <c r="E102" i="25" s="1"/>
  <c r="I108" i="35"/>
  <c r="J108" i="35" s="1"/>
  <c r="J100" i="93"/>
  <c r="E112" i="71"/>
  <c r="F112" i="71" s="1"/>
  <c r="J106" i="57"/>
  <c r="D106" i="65"/>
  <c r="B106" i="65" s="1"/>
  <c r="J100" i="95"/>
  <c r="D111" i="18"/>
  <c r="B111" i="18" s="1"/>
  <c r="H28" i="55"/>
  <c r="D112" i="23"/>
  <c r="B112" i="23" s="1"/>
  <c r="E111" i="18"/>
  <c r="I101" i="97"/>
  <c r="N88" i="97" s="1"/>
  <c r="N89" i="97" s="1"/>
  <c r="H101" i="97"/>
  <c r="M88" i="97" s="1"/>
  <c r="M89" i="97" s="1"/>
  <c r="B102" i="97"/>
  <c r="F102" i="97"/>
  <c r="H101" i="98"/>
  <c r="M88" i="98" s="1"/>
  <c r="M89" i="98" s="1"/>
  <c r="I101" i="98"/>
  <c r="N88" i="98" s="1"/>
  <c r="B102" i="98"/>
  <c r="F102" i="98"/>
  <c r="J110" i="71"/>
  <c r="E102" i="26"/>
  <c r="F102" i="26" s="1"/>
  <c r="G102" i="26" s="1"/>
  <c r="B102" i="26"/>
  <c r="E102" i="95"/>
  <c r="F102" i="95" s="1"/>
  <c r="B102" i="95"/>
  <c r="J107" i="56"/>
  <c r="E110" i="41"/>
  <c r="B26" i="67"/>
  <c r="F26" i="67"/>
  <c r="G26" i="67" s="1"/>
  <c r="N5" i="67" s="1"/>
  <c r="I25" i="67"/>
  <c r="I25" i="63"/>
  <c r="B27" i="46"/>
  <c r="B31" i="24"/>
  <c r="I31" i="27"/>
  <c r="D24" i="86"/>
  <c r="E24" i="86"/>
  <c r="B22" i="94"/>
  <c r="B21" i="93"/>
  <c r="D24" i="80"/>
  <c r="E24" i="80"/>
  <c r="J100" i="94"/>
  <c r="E25" i="82"/>
  <c r="D25" i="82"/>
  <c r="H24" i="82"/>
  <c r="B32" i="23"/>
  <c r="F32" i="23"/>
  <c r="H32" i="23" s="1"/>
  <c r="N6" i="23" s="1"/>
  <c r="D29" i="55"/>
  <c r="E29" i="55"/>
  <c r="E29" i="58"/>
  <c r="H28" i="58"/>
  <c r="N6" i="58" s="1"/>
  <c r="D29" i="58"/>
  <c r="D26" i="65"/>
  <c r="E26" i="65"/>
  <c r="F23" i="91"/>
  <c r="H23" i="91" s="1"/>
  <c r="N6" i="91" s="1"/>
  <c r="B23" i="91"/>
  <c r="B24" i="90"/>
  <c r="F24" i="90"/>
  <c r="G24" i="90" s="1"/>
  <c r="B27" i="53"/>
  <c r="B26" i="66"/>
  <c r="F26" i="66"/>
  <c r="G26" i="66" s="1"/>
  <c r="N5" i="66" s="1"/>
  <c r="I22" i="84"/>
  <c r="B29" i="42"/>
  <c r="B23" i="84"/>
  <c r="I26" i="72"/>
  <c r="I31" i="23"/>
  <c r="G28" i="58"/>
  <c r="N5" i="58" s="1"/>
  <c r="E25" i="75"/>
  <c r="D25" i="75"/>
  <c r="B21" i="96"/>
  <c r="B21" i="95"/>
  <c r="B23" i="81"/>
  <c r="B26" i="61"/>
  <c r="B24" i="76"/>
  <c r="B27" i="72"/>
  <c r="B29" i="39"/>
  <c r="B32" i="27"/>
  <c r="B29" i="44"/>
  <c r="B23" i="85"/>
  <c r="B30" i="22"/>
  <c r="I21" i="33"/>
  <c r="B24" i="79"/>
  <c r="E34" i="28"/>
  <c r="D34" i="28"/>
  <c r="B30" i="17"/>
  <c r="C39" i="17"/>
  <c r="B22" i="33"/>
  <c r="D22" i="26"/>
  <c r="E22" i="26" s="1"/>
  <c r="D33" i="69"/>
  <c r="E33" i="69"/>
  <c r="E29" i="45"/>
  <c r="D29" i="45"/>
  <c r="E32" i="71"/>
  <c r="D32" i="71"/>
  <c r="B24" i="77"/>
  <c r="E27" i="64"/>
  <c r="D27" i="64"/>
  <c r="G21" i="13"/>
  <c r="I21" i="13" s="1"/>
  <c r="B22" i="92"/>
  <c r="B21" i="26"/>
  <c r="G21" i="26"/>
  <c r="H21" i="26"/>
  <c r="B29" i="73"/>
  <c r="B32" i="29"/>
  <c r="B27" i="57"/>
  <c r="H23" i="88"/>
  <c r="B30" i="21"/>
  <c r="B31" i="32"/>
  <c r="B24" i="78"/>
  <c r="B29" i="43"/>
  <c r="D33" i="31"/>
  <c r="E33" i="31"/>
  <c r="B26" i="63"/>
  <c r="B30" i="3"/>
  <c r="E32" i="34"/>
  <c r="D32" i="34"/>
  <c r="B30" i="19"/>
  <c r="B27" i="54"/>
  <c r="B32" i="70"/>
  <c r="B22" i="89"/>
  <c r="I26" i="35"/>
  <c r="I28" i="73"/>
  <c r="B25" i="68"/>
  <c r="E22" i="33"/>
  <c r="F22" i="33" s="1"/>
  <c r="I28" i="43"/>
  <c r="G32" i="31"/>
  <c r="F30" i="41"/>
  <c r="G30" i="41" s="1"/>
  <c r="N5" i="41" s="1"/>
  <c r="B30" i="41"/>
  <c r="B102" i="94"/>
  <c r="B110" i="22"/>
  <c r="J101" i="89"/>
  <c r="J102" i="81"/>
  <c r="E102" i="93"/>
  <c r="F102" i="93" s="1"/>
  <c r="G102" i="93" s="1"/>
  <c r="B102" i="93"/>
  <c r="D107" i="62"/>
  <c r="D23" i="87"/>
  <c r="E23" i="87"/>
  <c r="B26" i="59"/>
  <c r="B31" i="18"/>
  <c r="F31" i="18"/>
  <c r="G31" i="18" s="1"/>
  <c r="N5" i="18" s="1"/>
  <c r="E28" i="35"/>
  <c r="F28" i="35" s="1"/>
  <c r="B28" i="35"/>
  <c r="G27" i="35"/>
  <c r="H27" i="35"/>
  <c r="D22" i="13"/>
  <c r="E22" i="13" s="1"/>
  <c r="B108" i="74"/>
  <c r="B102" i="92"/>
  <c r="B105" i="68"/>
  <c r="D103" i="91"/>
  <c r="E103" i="91"/>
  <c r="B109" i="43"/>
  <c r="J104" i="34"/>
  <c r="N104" i="34"/>
  <c r="O104" i="34" s="1"/>
  <c r="P104" i="34" s="1"/>
  <c r="B105" i="66"/>
  <c r="B106" i="61"/>
  <c r="B111" i="32"/>
  <c r="B112" i="70"/>
  <c r="B110" i="19"/>
  <c r="B102" i="88"/>
  <c r="E103" i="89"/>
  <c r="D103" i="89"/>
  <c r="D109" i="45"/>
  <c r="E109" i="45"/>
  <c r="B106" i="64"/>
  <c r="B112" i="30"/>
  <c r="B102" i="90"/>
  <c r="B104" i="79"/>
  <c r="B109" i="39"/>
  <c r="B110" i="20"/>
  <c r="B104" i="78"/>
  <c r="B111" i="31"/>
  <c r="B102" i="84"/>
  <c r="B106" i="60"/>
  <c r="B112" i="69"/>
  <c r="B112" i="29"/>
  <c r="B107" i="46"/>
  <c r="B102" i="86"/>
  <c r="B107" i="58"/>
  <c r="B106" i="63"/>
  <c r="B107" i="53"/>
  <c r="B110" i="34"/>
  <c r="B112" i="27"/>
  <c r="D111" i="22"/>
  <c r="E111" i="22"/>
  <c r="J104" i="65"/>
  <c r="B107" i="72"/>
  <c r="B103" i="85"/>
  <c r="F59" i="2"/>
  <c r="F79" i="2" s="1"/>
  <c r="F80" i="2" s="1"/>
  <c r="F82" i="2" s="1"/>
  <c r="F76" i="2"/>
  <c r="F77" i="2" s="1"/>
  <c r="B107" i="59"/>
  <c r="F107" i="59"/>
  <c r="B112" i="71"/>
  <c r="B108" i="57"/>
  <c r="F108" i="57"/>
  <c r="D102" i="33"/>
  <c r="E102" i="33" s="1"/>
  <c r="G101" i="33"/>
  <c r="E104" i="83"/>
  <c r="D104" i="83"/>
  <c r="B102" i="87"/>
  <c r="D108" i="55"/>
  <c r="E108" i="55"/>
  <c r="B105" i="67"/>
  <c r="I109" i="35"/>
  <c r="H109" i="35"/>
  <c r="B103" i="82"/>
  <c r="E105" i="76"/>
  <c r="D105" i="76"/>
  <c r="J109" i="17"/>
  <c r="D105" i="75"/>
  <c r="E105" i="75"/>
  <c r="J110" i="24"/>
  <c r="G110" i="35"/>
  <c r="E111" i="35"/>
  <c r="F111" i="35" s="1"/>
  <c r="B111" i="35"/>
  <c r="E111" i="21"/>
  <c r="D111" i="21"/>
  <c r="J106" i="54"/>
  <c r="J102" i="80"/>
  <c r="E104" i="80"/>
  <c r="D104" i="80"/>
  <c r="D105" i="77"/>
  <c r="E105" i="77"/>
  <c r="J103" i="75"/>
  <c r="D111" i="17"/>
  <c r="E111" i="17"/>
  <c r="B109" i="44"/>
  <c r="J106" i="55"/>
  <c r="J100" i="33"/>
  <c r="E108" i="54"/>
  <c r="D108" i="54"/>
  <c r="J103" i="77"/>
  <c r="B113" i="28"/>
  <c r="J103" i="76"/>
  <c r="E110" i="42"/>
  <c r="D110" i="42"/>
  <c r="G101" i="13"/>
  <c r="D102" i="13"/>
  <c r="E102" i="13" s="1"/>
  <c r="J109" i="21"/>
  <c r="J108" i="42"/>
  <c r="B110" i="3"/>
  <c r="J100" i="13"/>
  <c r="J102" i="83"/>
  <c r="D112" i="24"/>
  <c r="E112" i="24"/>
  <c r="F102" i="96"/>
  <c r="B102" i="96"/>
  <c r="E39" i="36"/>
  <c r="E80" i="36"/>
  <c r="E58" i="36"/>
  <c r="E20" i="36"/>
  <c r="E90" i="36"/>
  <c r="E59" i="36"/>
  <c r="F82" i="36"/>
  <c r="E50" i="36"/>
  <c r="D24" i="88" l="1"/>
  <c r="E24" i="88"/>
  <c r="G82" i="36"/>
  <c r="I24" i="82"/>
  <c r="N6" i="82"/>
  <c r="N7" i="82" s="1"/>
  <c r="I32" i="31"/>
  <c r="N5" i="31"/>
  <c r="I23" i="88"/>
  <c r="N6" i="88"/>
  <c r="N7" i="88" s="1"/>
  <c r="I28" i="55"/>
  <c r="N6" i="55"/>
  <c r="N7" i="55" s="1"/>
  <c r="N7" i="58"/>
  <c r="O88" i="98"/>
  <c r="O89" i="98" s="1"/>
  <c r="O88" i="97"/>
  <c r="O89" i="97" s="1"/>
  <c r="N89" i="98"/>
  <c r="E26" i="68"/>
  <c r="I31" i="71"/>
  <c r="I32" i="69"/>
  <c r="I23" i="80"/>
  <c r="I28" i="45"/>
  <c r="I25" i="65"/>
  <c r="I31" i="34"/>
  <c r="I24" i="75"/>
  <c r="D109" i="56"/>
  <c r="E109" i="56"/>
  <c r="H21" i="25"/>
  <c r="D22" i="25"/>
  <c r="G21" i="25"/>
  <c r="H21" i="97"/>
  <c r="N6" i="97" s="1"/>
  <c r="D22" i="98"/>
  <c r="E22" i="98"/>
  <c r="E22" i="97"/>
  <c r="F22" i="97" s="1"/>
  <c r="B22" i="97"/>
  <c r="D22" i="99"/>
  <c r="E22" i="99"/>
  <c r="G21" i="99"/>
  <c r="N5" i="99" s="1"/>
  <c r="G21" i="97"/>
  <c r="N5" i="97" s="1"/>
  <c r="H21" i="98"/>
  <c r="N6" i="98" s="1"/>
  <c r="N7" i="98" s="1"/>
  <c r="I25" i="60"/>
  <c r="I31" i="30"/>
  <c r="I25" i="62"/>
  <c r="B102" i="99"/>
  <c r="F102" i="99"/>
  <c r="I101" i="99"/>
  <c r="N88" i="99" s="1"/>
  <c r="H101" i="99"/>
  <c r="M88" i="99" s="1"/>
  <c r="M89" i="99" s="1"/>
  <c r="I22" i="83"/>
  <c r="I28" i="74"/>
  <c r="D26" i="68"/>
  <c r="B102" i="25"/>
  <c r="F102" i="25"/>
  <c r="F112" i="23"/>
  <c r="D113" i="23" s="1"/>
  <c r="E106" i="65"/>
  <c r="F106" i="65" s="1"/>
  <c r="D107" i="65" s="1"/>
  <c r="J101" i="91"/>
  <c r="D104" i="81"/>
  <c r="E104" i="81"/>
  <c r="J107" i="45"/>
  <c r="F111" i="18"/>
  <c r="D112" i="18" s="1"/>
  <c r="J108" i="41"/>
  <c r="D110" i="73"/>
  <c r="B110" i="73" s="1"/>
  <c r="J108" i="73"/>
  <c r="H102" i="26"/>
  <c r="I102" i="26"/>
  <c r="E110" i="73"/>
  <c r="J101" i="95"/>
  <c r="J101" i="98"/>
  <c r="J101" i="97"/>
  <c r="D103" i="26"/>
  <c r="D103" i="98"/>
  <c r="G102" i="98"/>
  <c r="E103" i="98"/>
  <c r="D103" i="97"/>
  <c r="E103" i="97" s="1"/>
  <c r="G102" i="97"/>
  <c r="G102" i="95"/>
  <c r="D103" i="95"/>
  <c r="J109" i="22"/>
  <c r="D110" i="41"/>
  <c r="F110" i="41" s="1"/>
  <c r="H26" i="67"/>
  <c r="E27" i="67"/>
  <c r="D27" i="67"/>
  <c r="E28" i="46"/>
  <c r="D28" i="46"/>
  <c r="E32" i="24"/>
  <c r="D32" i="24"/>
  <c r="B24" i="80"/>
  <c r="F24" i="80"/>
  <c r="I23" i="86"/>
  <c r="B25" i="82"/>
  <c r="F25" i="82"/>
  <c r="G25" i="82" s="1"/>
  <c r="E22" i="93"/>
  <c r="D22" i="93"/>
  <c r="D23" i="94"/>
  <c r="E23" i="94"/>
  <c r="F24" i="86"/>
  <c r="B24" i="86"/>
  <c r="D33" i="23"/>
  <c r="E33" i="23"/>
  <c r="F25" i="75"/>
  <c r="H25" i="75" s="1"/>
  <c r="N6" i="75" s="1"/>
  <c r="B25" i="75"/>
  <c r="D30" i="42"/>
  <c r="E30" i="42"/>
  <c r="I30" i="17"/>
  <c r="H26" i="66"/>
  <c r="E27" i="66"/>
  <c r="D27" i="66"/>
  <c r="F26" i="65"/>
  <c r="G26" i="65" s="1"/>
  <c r="N5" i="65" s="1"/>
  <c r="B26" i="65"/>
  <c r="F29" i="58"/>
  <c r="G29" i="58" s="1"/>
  <c r="B29" i="58"/>
  <c r="D28" i="53"/>
  <c r="E28" i="53"/>
  <c r="G23" i="91"/>
  <c r="D24" i="91"/>
  <c r="E24" i="91"/>
  <c r="H30" i="41"/>
  <c r="D24" i="84"/>
  <c r="E24" i="84"/>
  <c r="H24" i="90"/>
  <c r="I24" i="90" s="1"/>
  <c r="D25" i="90"/>
  <c r="E25" i="90"/>
  <c r="I28" i="58"/>
  <c r="B29" i="55"/>
  <c r="F29" i="55"/>
  <c r="H29" i="55" s="1"/>
  <c r="G32" i="23"/>
  <c r="D28" i="72"/>
  <c r="E28" i="72"/>
  <c r="E24" i="81"/>
  <c r="D24" i="81"/>
  <c r="D31" i="22"/>
  <c r="E31" i="22"/>
  <c r="D33" i="27"/>
  <c r="E33" i="27"/>
  <c r="D30" i="39"/>
  <c r="E30" i="39"/>
  <c r="D22" i="96"/>
  <c r="E22" i="96"/>
  <c r="D25" i="76"/>
  <c r="E25" i="76"/>
  <c r="D24" i="85"/>
  <c r="E24" i="85"/>
  <c r="E30" i="44"/>
  <c r="D30" i="44"/>
  <c r="D27" i="61"/>
  <c r="E27" i="61"/>
  <c r="E22" i="95"/>
  <c r="D22" i="95"/>
  <c r="I26" i="64"/>
  <c r="B32" i="30"/>
  <c r="E31" i="19"/>
  <c r="D31" i="19"/>
  <c r="E27" i="63"/>
  <c r="D27" i="63"/>
  <c r="E32" i="32"/>
  <c r="D32" i="32"/>
  <c r="D23" i="33"/>
  <c r="E23" i="89"/>
  <c r="D23" i="89"/>
  <c r="D33" i="70"/>
  <c r="E33" i="70"/>
  <c r="E30" i="43"/>
  <c r="D30" i="43"/>
  <c r="D25" i="78"/>
  <c r="E25" i="78"/>
  <c r="I33" i="28"/>
  <c r="E28" i="57"/>
  <c r="D28" i="57"/>
  <c r="B22" i="26"/>
  <c r="F22" i="26"/>
  <c r="G22" i="33"/>
  <c r="B34" i="28"/>
  <c r="F34" i="28"/>
  <c r="H34" i="28" s="1"/>
  <c r="N6" i="28" s="1"/>
  <c r="F32" i="34"/>
  <c r="B32" i="34"/>
  <c r="E23" i="92"/>
  <c r="D23" i="92"/>
  <c r="I27" i="35"/>
  <c r="B26" i="60"/>
  <c r="D31" i="3"/>
  <c r="E31" i="3" s="1"/>
  <c r="F24" i="88"/>
  <c r="H24" i="88" s="1"/>
  <c r="B24" i="88"/>
  <c r="E33" i="29"/>
  <c r="D33" i="29"/>
  <c r="I21" i="26"/>
  <c r="B27" i="56"/>
  <c r="H22" i="33"/>
  <c r="D31" i="17"/>
  <c r="E31" i="17"/>
  <c r="D25" i="79"/>
  <c r="E25" i="79"/>
  <c r="F27" i="64"/>
  <c r="B27" i="64"/>
  <c r="D25" i="77"/>
  <c r="E25" i="77"/>
  <c r="F33" i="69"/>
  <c r="G33" i="69" s="1"/>
  <c r="N5" i="69" s="1"/>
  <c r="B33" i="69"/>
  <c r="D31" i="41"/>
  <c r="E31" i="41"/>
  <c r="B29" i="74"/>
  <c r="E28" i="54"/>
  <c r="D28" i="54"/>
  <c r="B23" i="83"/>
  <c r="F33" i="31"/>
  <c r="G33" i="31" s="1"/>
  <c r="B33" i="31"/>
  <c r="E31" i="21"/>
  <c r="D31" i="21"/>
  <c r="E30" i="73"/>
  <c r="D30" i="73"/>
  <c r="I26" i="56"/>
  <c r="F32" i="71"/>
  <c r="B32" i="71"/>
  <c r="B29" i="45"/>
  <c r="F29" i="45"/>
  <c r="G29" i="45" s="1"/>
  <c r="N5" i="45" s="1"/>
  <c r="J101" i="93"/>
  <c r="E107" i="62"/>
  <c r="F107" i="62" s="1"/>
  <c r="D103" i="93"/>
  <c r="E103" i="93" s="1"/>
  <c r="J106" i="53"/>
  <c r="J103" i="78"/>
  <c r="J109" i="20"/>
  <c r="J103" i="79"/>
  <c r="J109" i="19"/>
  <c r="J110" i="31"/>
  <c r="J107" i="57"/>
  <c r="J106" i="72"/>
  <c r="J111" i="29"/>
  <c r="J101" i="84"/>
  <c r="J105" i="61"/>
  <c r="J106" i="46"/>
  <c r="J111" i="27"/>
  <c r="J105" i="62"/>
  <c r="J104" i="66"/>
  <c r="B23" i="87"/>
  <c r="F23" i="87"/>
  <c r="H23" i="87" s="1"/>
  <c r="N6" i="87" s="1"/>
  <c r="J105" i="64"/>
  <c r="D27" i="59"/>
  <c r="E27" i="59"/>
  <c r="J111" i="69"/>
  <c r="J105" i="60"/>
  <c r="J101" i="88"/>
  <c r="J110" i="32"/>
  <c r="H28" i="35"/>
  <c r="E29" i="35"/>
  <c r="F29" i="35" s="1"/>
  <c r="G28" i="35"/>
  <c r="B29" i="35"/>
  <c r="E32" i="18"/>
  <c r="D32" i="18"/>
  <c r="J101" i="90"/>
  <c r="J107" i="74"/>
  <c r="B22" i="13"/>
  <c r="F22" i="13"/>
  <c r="H31" i="18"/>
  <c r="N6" i="18" s="1"/>
  <c r="N7" i="18" s="1"/>
  <c r="I22" i="87"/>
  <c r="B26" i="62"/>
  <c r="J108" i="39"/>
  <c r="J111" i="30"/>
  <c r="I29" i="20"/>
  <c r="B30" i="20"/>
  <c r="E108" i="46"/>
  <c r="D108" i="46"/>
  <c r="D113" i="29"/>
  <c r="E113" i="29"/>
  <c r="D107" i="60"/>
  <c r="E107" i="60"/>
  <c r="E103" i="88"/>
  <c r="D103" i="88"/>
  <c r="E110" i="43"/>
  <c r="D110" i="43"/>
  <c r="B107" i="62"/>
  <c r="D103" i="92"/>
  <c r="E103" i="92"/>
  <c r="E104" i="85"/>
  <c r="D104" i="85"/>
  <c r="J104" i="68"/>
  <c r="E107" i="63"/>
  <c r="D107" i="63"/>
  <c r="E112" i="31"/>
  <c r="D112" i="31"/>
  <c r="J102" i="85"/>
  <c r="E106" i="68"/>
  <c r="D106" i="68"/>
  <c r="J111" i="70"/>
  <c r="E108" i="72"/>
  <c r="D108" i="72"/>
  <c r="J101" i="92"/>
  <c r="D108" i="53"/>
  <c r="E108" i="53"/>
  <c r="D113" i="69"/>
  <c r="E113" i="69"/>
  <c r="J109" i="34"/>
  <c r="E103" i="84"/>
  <c r="D103" i="84"/>
  <c r="D111" i="20"/>
  <c r="E111" i="20"/>
  <c r="D110" i="39"/>
  <c r="E110" i="39"/>
  <c r="E105" i="79"/>
  <c r="D105" i="79"/>
  <c r="E103" i="90"/>
  <c r="D103" i="90"/>
  <c r="E107" i="64"/>
  <c r="D107" i="64"/>
  <c r="F103" i="89"/>
  <c r="B103" i="89"/>
  <c r="E111" i="19"/>
  <c r="D111" i="19"/>
  <c r="J105" i="63"/>
  <c r="D112" i="32"/>
  <c r="E112" i="32"/>
  <c r="D107" i="61"/>
  <c r="E107" i="61"/>
  <c r="E106" i="66"/>
  <c r="D106" i="66"/>
  <c r="F103" i="91"/>
  <c r="B103" i="91"/>
  <c r="B111" i="22"/>
  <c r="F111" i="22"/>
  <c r="D113" i="27"/>
  <c r="E113" i="27"/>
  <c r="E108" i="58"/>
  <c r="D108" i="58"/>
  <c r="D105" i="78"/>
  <c r="E105" i="78"/>
  <c r="J106" i="58"/>
  <c r="E113" i="30"/>
  <c r="D113" i="30"/>
  <c r="B109" i="45"/>
  <c r="F109" i="45"/>
  <c r="J108" i="43"/>
  <c r="E113" i="70"/>
  <c r="D113" i="70"/>
  <c r="J101" i="86"/>
  <c r="J111" i="71"/>
  <c r="J110" i="18"/>
  <c r="J106" i="59"/>
  <c r="G107" i="59"/>
  <c r="D108" i="59"/>
  <c r="E108" i="59"/>
  <c r="J111" i="23"/>
  <c r="I108" i="56"/>
  <c r="N88" i="56" s="1"/>
  <c r="H108" i="56"/>
  <c r="M88" i="56" s="1"/>
  <c r="M89" i="56" s="1"/>
  <c r="E109" i="57"/>
  <c r="G108" i="57"/>
  <c r="D109" i="57"/>
  <c r="D113" i="71"/>
  <c r="G112" i="71"/>
  <c r="E113" i="71"/>
  <c r="B110" i="42"/>
  <c r="F110" i="42"/>
  <c r="I102" i="93"/>
  <c r="N88" i="93" s="1"/>
  <c r="H102" i="93"/>
  <c r="M88" i="93" s="1"/>
  <c r="M89" i="93" s="1"/>
  <c r="F105" i="77"/>
  <c r="B105" i="77"/>
  <c r="J109" i="35"/>
  <c r="F104" i="83"/>
  <c r="B104" i="83"/>
  <c r="J101" i="87"/>
  <c r="D114" i="28"/>
  <c r="E114" i="28"/>
  <c r="B108" i="54"/>
  <c r="F108" i="54"/>
  <c r="F105" i="76"/>
  <c r="B105" i="76"/>
  <c r="D111" i="3"/>
  <c r="E111" i="3"/>
  <c r="B102" i="13"/>
  <c r="F102" i="13"/>
  <c r="J104" i="67"/>
  <c r="D104" i="82"/>
  <c r="E104" i="82"/>
  <c r="D106" i="67"/>
  <c r="E106" i="67"/>
  <c r="G102" i="96"/>
  <c r="D103" i="96"/>
  <c r="E103" i="96" s="1"/>
  <c r="J112" i="28"/>
  <c r="H101" i="13"/>
  <c r="I101" i="13"/>
  <c r="J102" i="82"/>
  <c r="J109" i="3"/>
  <c r="J101" i="96"/>
  <c r="F111" i="21"/>
  <c r="B111" i="21"/>
  <c r="B112" i="35"/>
  <c r="G111" i="35"/>
  <c r="E112" i="35"/>
  <c r="F112" i="35" s="1"/>
  <c r="F108" i="55"/>
  <c r="B108" i="55"/>
  <c r="D103" i="87"/>
  <c r="E103" i="87"/>
  <c r="B102" i="33"/>
  <c r="F102" i="33"/>
  <c r="D110" i="44"/>
  <c r="E110" i="44"/>
  <c r="I101" i="33"/>
  <c r="H101" i="33"/>
  <c r="B112" i="24"/>
  <c r="F112" i="24"/>
  <c r="F111" i="17"/>
  <c r="B111" i="17"/>
  <c r="B104" i="80"/>
  <c r="F104" i="80"/>
  <c r="I110" i="35"/>
  <c r="H110" i="35"/>
  <c r="B105" i="75"/>
  <c r="F105" i="75"/>
  <c r="J108" i="44"/>
  <c r="F90" i="36"/>
  <c r="E33" i="36"/>
  <c r="E43" i="36"/>
  <c r="F74" i="36"/>
  <c r="E89" i="36"/>
  <c r="E61" i="36"/>
  <c r="F47" i="36"/>
  <c r="F50" i="36"/>
  <c r="E57" i="36"/>
  <c r="E91" i="36"/>
  <c r="F80" i="36"/>
  <c r="F20" i="36"/>
  <c r="F26" i="68" l="1"/>
  <c r="G80" i="36"/>
  <c r="G74" i="36"/>
  <c r="G90" i="36"/>
  <c r="G50" i="36"/>
  <c r="G47" i="36"/>
  <c r="I30" i="41"/>
  <c r="N6" i="41"/>
  <c r="N7" i="41" s="1"/>
  <c r="I26" i="66"/>
  <c r="N6" i="66"/>
  <c r="N7" i="66" s="1"/>
  <c r="I32" i="23"/>
  <c r="N5" i="23"/>
  <c r="I26" i="67"/>
  <c r="N6" i="67"/>
  <c r="N7" i="67" s="1"/>
  <c r="N7" i="97"/>
  <c r="N7" i="31"/>
  <c r="I23" i="91"/>
  <c r="N5" i="91"/>
  <c r="N7" i="99"/>
  <c r="O88" i="93"/>
  <c r="O89" i="93" s="1"/>
  <c r="N89" i="93"/>
  <c r="O88" i="99"/>
  <c r="O89" i="99" s="1"/>
  <c r="N89" i="99"/>
  <c r="N89" i="56"/>
  <c r="O88" i="56"/>
  <c r="O89" i="56" s="1"/>
  <c r="B26" i="68"/>
  <c r="G20" i="36"/>
  <c r="I21" i="96"/>
  <c r="I30" i="22"/>
  <c r="I21" i="93"/>
  <c r="I27" i="54"/>
  <c r="I22" i="92"/>
  <c r="I29" i="39"/>
  <c r="I29" i="44"/>
  <c r="I22" i="94"/>
  <c r="I32" i="29"/>
  <c r="I29" i="43"/>
  <c r="I22" i="89"/>
  <c r="I27" i="46"/>
  <c r="I30" i="21"/>
  <c r="I32" i="70"/>
  <c r="I30" i="3"/>
  <c r="I24" i="78"/>
  <c r="I26" i="61"/>
  <c r="I29" i="73"/>
  <c r="I27" i="53"/>
  <c r="I23" i="84"/>
  <c r="I27" i="72"/>
  <c r="I32" i="27"/>
  <c r="I31" i="24"/>
  <c r="I24" i="77"/>
  <c r="I21" i="95"/>
  <c r="I23" i="85"/>
  <c r="I24" i="76"/>
  <c r="I23" i="81"/>
  <c r="I25" i="68"/>
  <c r="F109" i="56"/>
  <c r="E110" i="56" s="1"/>
  <c r="E112" i="18"/>
  <c r="G112" i="23"/>
  <c r="I112" i="23" s="1"/>
  <c r="N88" i="23" s="1"/>
  <c r="B109" i="56"/>
  <c r="E113" i="23"/>
  <c r="F113" i="23" s="1"/>
  <c r="F110" i="73"/>
  <c r="D111" i="73" s="1"/>
  <c r="J105" i="65"/>
  <c r="I21" i="25"/>
  <c r="F22" i="99"/>
  <c r="H22" i="99" s="1"/>
  <c r="B22" i="99"/>
  <c r="D23" i="97"/>
  <c r="E23" i="97"/>
  <c r="I21" i="97"/>
  <c r="H22" i="97"/>
  <c r="E22" i="25"/>
  <c r="F22" i="25" s="1"/>
  <c r="B22" i="25"/>
  <c r="I21" i="98"/>
  <c r="G22" i="97"/>
  <c r="F22" i="98"/>
  <c r="G22" i="98" s="1"/>
  <c r="B22" i="98"/>
  <c r="I21" i="99"/>
  <c r="G102" i="99"/>
  <c r="E103" i="99"/>
  <c r="D103" i="99"/>
  <c r="J101" i="99"/>
  <c r="I24" i="79"/>
  <c r="D103" i="25"/>
  <c r="G102" i="25"/>
  <c r="G106" i="65"/>
  <c r="H106" i="65" s="1"/>
  <c r="M88" i="65" s="1"/>
  <c r="M89" i="65" s="1"/>
  <c r="J102" i="26"/>
  <c r="E107" i="65"/>
  <c r="F107" i="65" s="1"/>
  <c r="F104" i="81"/>
  <c r="G104" i="81" s="1"/>
  <c r="G111" i="18"/>
  <c r="I111" i="18" s="1"/>
  <c r="N88" i="18" s="1"/>
  <c r="B104" i="81"/>
  <c r="D103" i="94"/>
  <c r="B103" i="94" s="1"/>
  <c r="J102" i="94"/>
  <c r="J109" i="41"/>
  <c r="H102" i="98"/>
  <c r="I102" i="98"/>
  <c r="H102" i="97"/>
  <c r="I102" i="97"/>
  <c r="F103" i="98"/>
  <c r="B103" i="98"/>
  <c r="F103" i="97"/>
  <c r="B103" i="97"/>
  <c r="B103" i="26"/>
  <c r="E103" i="26"/>
  <c r="F103" i="26" s="1"/>
  <c r="E103" i="95"/>
  <c r="F103" i="95" s="1"/>
  <c r="B103" i="95"/>
  <c r="B110" i="41"/>
  <c r="I102" i="95"/>
  <c r="N88" i="95" s="1"/>
  <c r="H102" i="95"/>
  <c r="M88" i="95" s="1"/>
  <c r="M89" i="95" s="1"/>
  <c r="J101" i="94"/>
  <c r="B27" i="67"/>
  <c r="F27" i="67"/>
  <c r="H27" i="67" s="1"/>
  <c r="F28" i="46"/>
  <c r="H28" i="46" s="1"/>
  <c r="N6" i="46" s="1"/>
  <c r="B28" i="46"/>
  <c r="H33" i="31"/>
  <c r="I33" i="31" s="1"/>
  <c r="F32" i="24"/>
  <c r="G32" i="24" s="1"/>
  <c r="N5" i="24" s="1"/>
  <c r="B32" i="24"/>
  <c r="H24" i="86"/>
  <c r="N6" i="86" s="1"/>
  <c r="E25" i="86"/>
  <c r="G24" i="86"/>
  <c r="N5" i="86" s="1"/>
  <c r="D25" i="86"/>
  <c r="D25" i="80"/>
  <c r="E25" i="80"/>
  <c r="H25" i="82"/>
  <c r="I25" i="82" s="1"/>
  <c r="D26" i="82"/>
  <c r="E26" i="82"/>
  <c r="G24" i="80"/>
  <c r="N5" i="80" s="1"/>
  <c r="B23" i="94"/>
  <c r="F23" i="94"/>
  <c r="H24" i="80"/>
  <c r="N6" i="80" s="1"/>
  <c r="F22" i="93"/>
  <c r="G22" i="93" s="1"/>
  <c r="N5" i="93" s="1"/>
  <c r="B22" i="93"/>
  <c r="B25" i="90"/>
  <c r="F25" i="90"/>
  <c r="H25" i="90" s="1"/>
  <c r="F28" i="53"/>
  <c r="G28" i="53" s="1"/>
  <c r="N5" i="53" s="1"/>
  <c r="B28" i="53"/>
  <c r="F28" i="72"/>
  <c r="G28" i="72" s="1"/>
  <c r="N5" i="72" s="1"/>
  <c r="D30" i="55"/>
  <c r="E30" i="55"/>
  <c r="F24" i="84"/>
  <c r="G24" i="84" s="1"/>
  <c r="N5" i="84" s="1"/>
  <c r="B24" i="84"/>
  <c r="F24" i="91"/>
  <c r="H24" i="91" s="1"/>
  <c r="B24" i="91"/>
  <c r="F33" i="23"/>
  <c r="B33" i="23"/>
  <c r="H33" i="69"/>
  <c r="H26" i="65"/>
  <c r="E27" i="65"/>
  <c r="D27" i="65"/>
  <c r="F27" i="66"/>
  <c r="B27" i="66"/>
  <c r="I22" i="33"/>
  <c r="F30" i="43"/>
  <c r="E31" i="43" s="1"/>
  <c r="F30" i="39"/>
  <c r="D31" i="39" s="1"/>
  <c r="G29" i="55"/>
  <c r="I29" i="55" s="1"/>
  <c r="I29" i="42"/>
  <c r="E30" i="58"/>
  <c r="H29" i="58"/>
  <c r="I29" i="58" s="1"/>
  <c r="D30" i="58"/>
  <c r="F30" i="42"/>
  <c r="B30" i="42"/>
  <c r="G25" i="75"/>
  <c r="D26" i="75"/>
  <c r="E26" i="75"/>
  <c r="G23" i="87"/>
  <c r="B27" i="61"/>
  <c r="F27" i="61"/>
  <c r="H27" i="61" s="1"/>
  <c r="N6" i="61" s="1"/>
  <c r="B24" i="85"/>
  <c r="F24" i="85"/>
  <c r="G24" i="85" s="1"/>
  <c r="N5" i="85" s="1"/>
  <c r="B30" i="39"/>
  <c r="F33" i="27"/>
  <c r="H33" i="27" s="1"/>
  <c r="N6" i="27" s="1"/>
  <c r="B33" i="27"/>
  <c r="B31" i="22"/>
  <c r="F31" i="22"/>
  <c r="H31" i="22" s="1"/>
  <c r="N6" i="22" s="1"/>
  <c r="G24" i="88"/>
  <c r="I24" i="88" s="1"/>
  <c r="F30" i="44"/>
  <c r="G30" i="44" s="1"/>
  <c r="N5" i="44" s="1"/>
  <c r="B30" i="44"/>
  <c r="B22" i="95"/>
  <c r="F22" i="95"/>
  <c r="H22" i="95" s="1"/>
  <c r="N6" i="95" s="1"/>
  <c r="B25" i="76"/>
  <c r="F25" i="76"/>
  <c r="G25" i="76" s="1"/>
  <c r="N5" i="76" s="1"/>
  <c r="F22" i="96"/>
  <c r="H22" i="96" s="1"/>
  <c r="N6" i="96" s="1"/>
  <c r="B22" i="96"/>
  <c r="B24" i="81"/>
  <c r="F24" i="81"/>
  <c r="H24" i="81" s="1"/>
  <c r="N6" i="81" s="1"/>
  <c r="B28" i="72"/>
  <c r="I26" i="63"/>
  <c r="I31" i="32"/>
  <c r="B30" i="73"/>
  <c r="F30" i="73"/>
  <c r="G30" i="73" s="1"/>
  <c r="N5" i="73" s="1"/>
  <c r="E28" i="64"/>
  <c r="D28" i="64"/>
  <c r="F23" i="92"/>
  <c r="H23" i="92" s="1"/>
  <c r="N6" i="92" s="1"/>
  <c r="B23" i="92"/>
  <c r="B25" i="77"/>
  <c r="F25" i="77"/>
  <c r="H25" i="77" s="1"/>
  <c r="N6" i="77" s="1"/>
  <c r="H27" i="64"/>
  <c r="N6" i="64" s="1"/>
  <c r="C40" i="17"/>
  <c r="F31" i="17"/>
  <c r="B25" i="78"/>
  <c r="F25" i="78"/>
  <c r="H25" i="78" s="1"/>
  <c r="N6" i="78" s="1"/>
  <c r="F31" i="19"/>
  <c r="H31" i="19" s="1"/>
  <c r="N6" i="19" s="1"/>
  <c r="B31" i="19"/>
  <c r="D33" i="30"/>
  <c r="E33" i="30"/>
  <c r="H32" i="71"/>
  <c r="N6" i="71" s="1"/>
  <c r="D33" i="71"/>
  <c r="E33" i="71"/>
  <c r="D28" i="56"/>
  <c r="E28" i="56"/>
  <c r="H22" i="26"/>
  <c r="D23" i="26"/>
  <c r="D27" i="68"/>
  <c r="E27" i="68"/>
  <c r="F32" i="32"/>
  <c r="B32" i="32"/>
  <c r="G32" i="71"/>
  <c r="N5" i="71" s="1"/>
  <c r="B28" i="54"/>
  <c r="F28" i="54"/>
  <c r="H28" i="54" s="1"/>
  <c r="N6" i="54" s="1"/>
  <c r="F31" i="41"/>
  <c r="H31" i="41" s="1"/>
  <c r="B31" i="41"/>
  <c r="G27" i="64"/>
  <c r="N5" i="64" s="1"/>
  <c r="I27" i="57"/>
  <c r="E25" i="88"/>
  <c r="D25" i="88"/>
  <c r="F31" i="3"/>
  <c r="H31" i="3" s="1"/>
  <c r="N6" i="3" s="1"/>
  <c r="B31" i="3"/>
  <c r="D27" i="60"/>
  <c r="E27" i="60"/>
  <c r="H26" i="68"/>
  <c r="N6" i="68" s="1"/>
  <c r="B23" i="33"/>
  <c r="F27" i="63"/>
  <c r="H27" i="63" s="1"/>
  <c r="N6" i="63" s="1"/>
  <c r="B27" i="63"/>
  <c r="E30" i="45"/>
  <c r="D30" i="45"/>
  <c r="D30" i="74"/>
  <c r="E30" i="74"/>
  <c r="F33" i="29"/>
  <c r="B33" i="29"/>
  <c r="I30" i="19"/>
  <c r="H32" i="34"/>
  <c r="N6" i="34" s="1"/>
  <c r="N7" i="34" s="1"/>
  <c r="D33" i="34"/>
  <c r="E33" i="34"/>
  <c r="G32" i="34"/>
  <c r="N5" i="34" s="1"/>
  <c r="E35" i="28"/>
  <c r="D35" i="28"/>
  <c r="B23" i="89"/>
  <c r="F23" i="89"/>
  <c r="H23" i="89" s="1"/>
  <c r="N6" i="89" s="1"/>
  <c r="H29" i="45"/>
  <c r="F31" i="21"/>
  <c r="B31" i="21"/>
  <c r="D34" i="31"/>
  <c r="E34" i="31"/>
  <c r="D24" i="83"/>
  <c r="E24" i="83"/>
  <c r="E34" i="69"/>
  <c r="D34" i="69"/>
  <c r="B25" i="79"/>
  <c r="F25" i="79"/>
  <c r="G25" i="79" s="1"/>
  <c r="N5" i="79" s="1"/>
  <c r="G34" i="28"/>
  <c r="G22" i="26"/>
  <c r="F28" i="57"/>
  <c r="B28" i="57"/>
  <c r="B30" i="43"/>
  <c r="G26" i="68"/>
  <c r="N5" i="68" s="1"/>
  <c r="F33" i="70"/>
  <c r="B33" i="70"/>
  <c r="E23" i="33"/>
  <c r="F23" i="33" s="1"/>
  <c r="B103" i="93"/>
  <c r="E103" i="94"/>
  <c r="F103" i="93"/>
  <c r="D104" i="93" s="1"/>
  <c r="E104" i="93" s="1"/>
  <c r="J106" i="62"/>
  <c r="J110" i="22"/>
  <c r="J109" i="73"/>
  <c r="J103" i="81"/>
  <c r="D31" i="20"/>
  <c r="E31" i="20"/>
  <c r="E27" i="62"/>
  <c r="D27" i="62"/>
  <c r="D23" i="13"/>
  <c r="E23" i="13" s="1"/>
  <c r="B27" i="59"/>
  <c r="F27" i="59"/>
  <c r="H27" i="59" s="1"/>
  <c r="N6" i="59" s="1"/>
  <c r="I26" i="59"/>
  <c r="I31" i="18"/>
  <c r="H22" i="13"/>
  <c r="B30" i="35"/>
  <c r="G29" i="35"/>
  <c r="E30" i="35"/>
  <c r="F30" i="35" s="1"/>
  <c r="H29" i="35"/>
  <c r="G22" i="13"/>
  <c r="B32" i="18"/>
  <c r="F32" i="18"/>
  <c r="I28" i="35"/>
  <c r="D24" i="87"/>
  <c r="E24" i="87"/>
  <c r="B113" i="30"/>
  <c r="F113" i="30"/>
  <c r="B108" i="58"/>
  <c r="F108" i="58"/>
  <c r="B111" i="34"/>
  <c r="E112" i="22"/>
  <c r="G111" i="22"/>
  <c r="D112" i="22"/>
  <c r="B106" i="66"/>
  <c r="F106" i="66"/>
  <c r="F112" i="32"/>
  <c r="B112" i="32"/>
  <c r="B113" i="69"/>
  <c r="F113" i="69"/>
  <c r="B108" i="53"/>
  <c r="F108" i="53"/>
  <c r="F106" i="68"/>
  <c r="B106" i="68"/>
  <c r="F104" i="85"/>
  <c r="B104" i="85"/>
  <c r="D108" i="62"/>
  <c r="E108" i="62"/>
  <c r="G107" i="62"/>
  <c r="J102" i="89"/>
  <c r="B107" i="65"/>
  <c r="B103" i="86"/>
  <c r="B105" i="78"/>
  <c r="F105" i="78"/>
  <c r="B107" i="61"/>
  <c r="F107" i="61"/>
  <c r="F105" i="79"/>
  <c r="B105" i="79"/>
  <c r="F111" i="20"/>
  <c r="B111" i="20"/>
  <c r="F108" i="72"/>
  <c r="B108" i="72"/>
  <c r="J108" i="45"/>
  <c r="B112" i="31"/>
  <c r="F112" i="31"/>
  <c r="E111" i="41"/>
  <c r="G110" i="41"/>
  <c r="D111" i="41"/>
  <c r="F103" i="88"/>
  <c r="B103" i="88"/>
  <c r="F113" i="29"/>
  <c r="B113" i="29"/>
  <c r="E110" i="45"/>
  <c r="D110" i="45"/>
  <c r="G109" i="45"/>
  <c r="B113" i="27"/>
  <c r="F113" i="27"/>
  <c r="F111" i="19"/>
  <c r="B111" i="19"/>
  <c r="E104" i="89"/>
  <c r="D104" i="89"/>
  <c r="G103" i="89"/>
  <c r="F103" i="90"/>
  <c r="B103" i="90"/>
  <c r="B110" i="39"/>
  <c r="F110" i="39"/>
  <c r="B103" i="84"/>
  <c r="F103" i="84"/>
  <c r="F107" i="63"/>
  <c r="B107" i="63"/>
  <c r="B109" i="74"/>
  <c r="F107" i="60"/>
  <c r="B107" i="60"/>
  <c r="J102" i="91"/>
  <c r="B113" i="70"/>
  <c r="F113" i="70"/>
  <c r="D104" i="91"/>
  <c r="E104" i="91"/>
  <c r="G103" i="91"/>
  <c r="F107" i="64"/>
  <c r="B107" i="64"/>
  <c r="B103" i="92"/>
  <c r="F103" i="92"/>
  <c r="F110" i="43"/>
  <c r="B110" i="43"/>
  <c r="F108" i="46"/>
  <c r="B108" i="46"/>
  <c r="F108" i="59"/>
  <c r="B108" i="59"/>
  <c r="J108" i="56"/>
  <c r="B113" i="23"/>
  <c r="B112" i="18"/>
  <c r="F112" i="18"/>
  <c r="H107" i="59"/>
  <c r="M88" i="59" s="1"/>
  <c r="M89" i="59" s="1"/>
  <c r="I107" i="59"/>
  <c r="N88" i="59" s="1"/>
  <c r="H112" i="23"/>
  <c r="M88" i="23" s="1"/>
  <c r="M89" i="23" s="1"/>
  <c r="J110" i="35"/>
  <c r="I112" i="71"/>
  <c r="N88" i="71" s="1"/>
  <c r="H112" i="71"/>
  <c r="M88" i="71" s="1"/>
  <c r="M89" i="71" s="1"/>
  <c r="B113" i="71"/>
  <c r="F113" i="71"/>
  <c r="B109" i="57"/>
  <c r="F109" i="57"/>
  <c r="I108" i="57"/>
  <c r="N88" i="57" s="1"/>
  <c r="H108" i="57"/>
  <c r="M88" i="57" s="1"/>
  <c r="M89" i="57" s="1"/>
  <c r="F103" i="87"/>
  <c r="B103" i="87"/>
  <c r="D105" i="80"/>
  <c r="G104" i="80"/>
  <c r="E105" i="80"/>
  <c r="D113" i="24"/>
  <c r="G112" i="24"/>
  <c r="E113" i="24"/>
  <c r="F110" i="44"/>
  <c r="B110" i="44"/>
  <c r="B113" i="35"/>
  <c r="G112" i="35"/>
  <c r="E113" i="35"/>
  <c r="F113" i="35" s="1"/>
  <c r="D112" i="21"/>
  <c r="E112" i="21"/>
  <c r="G111" i="21"/>
  <c r="J104" i="77"/>
  <c r="J107" i="54"/>
  <c r="J107" i="55"/>
  <c r="G102" i="13"/>
  <c r="D103" i="13"/>
  <c r="E103" i="13" s="1"/>
  <c r="F111" i="3"/>
  <c r="B111" i="3"/>
  <c r="D106" i="76"/>
  <c r="E106" i="76"/>
  <c r="G105" i="76"/>
  <c r="D109" i="54"/>
  <c r="G108" i="54"/>
  <c r="E109" i="54"/>
  <c r="E105" i="83"/>
  <c r="G104" i="83"/>
  <c r="D105" i="83"/>
  <c r="G105" i="77"/>
  <c r="D106" i="77"/>
  <c r="E106" i="77"/>
  <c r="D103" i="33"/>
  <c r="G102" i="33"/>
  <c r="H102" i="96"/>
  <c r="M88" i="96" s="1"/>
  <c r="M89" i="96" s="1"/>
  <c r="I102" i="96"/>
  <c r="N88" i="96" s="1"/>
  <c r="B106" i="67"/>
  <c r="F106" i="67"/>
  <c r="J102" i="93"/>
  <c r="G105" i="75"/>
  <c r="D106" i="75"/>
  <c r="E106" i="75"/>
  <c r="G111" i="17"/>
  <c r="D112" i="17"/>
  <c r="E112" i="17"/>
  <c r="J104" i="75"/>
  <c r="E109" i="55"/>
  <c r="D109" i="55"/>
  <c r="G108" i="55"/>
  <c r="H111" i="35"/>
  <c r="I111" i="35"/>
  <c r="F103" i="96"/>
  <c r="B103" i="96"/>
  <c r="B104" i="82"/>
  <c r="F104" i="82"/>
  <c r="J111" i="24"/>
  <c r="B114" i="28"/>
  <c r="F114" i="28"/>
  <c r="J104" i="76"/>
  <c r="E111" i="42"/>
  <c r="G110" i="42"/>
  <c r="D111" i="42"/>
  <c r="J101" i="33"/>
  <c r="J103" i="83"/>
  <c r="J110" i="17"/>
  <c r="J101" i="13"/>
  <c r="J110" i="21"/>
  <c r="J103" i="80"/>
  <c r="J109" i="42"/>
  <c r="E36" i="36"/>
  <c r="E76" i="36"/>
  <c r="E65" i="36"/>
  <c r="E63" i="36"/>
  <c r="F59" i="36"/>
  <c r="E77" i="36"/>
  <c r="F36" i="36"/>
  <c r="E60" i="36"/>
  <c r="E68" i="36"/>
  <c r="E56" i="36"/>
  <c r="E78" i="36"/>
  <c r="E26" i="36"/>
  <c r="F33" i="36"/>
  <c r="E85" i="36"/>
  <c r="F58" i="36"/>
  <c r="E25" i="36"/>
  <c r="F91" i="36"/>
  <c r="E64" i="36"/>
  <c r="E45" i="36"/>
  <c r="E72" i="36"/>
  <c r="E83" i="36"/>
  <c r="E42" i="36"/>
  <c r="E71" i="36"/>
  <c r="F89" i="36"/>
  <c r="F39" i="36"/>
  <c r="N7" i="86" l="1"/>
  <c r="N7" i="64"/>
  <c r="N7" i="80"/>
  <c r="G39" i="36"/>
  <c r="G91" i="36"/>
  <c r="G89" i="36"/>
  <c r="G33" i="36"/>
  <c r="G59" i="36"/>
  <c r="G58" i="36"/>
  <c r="I34" i="28"/>
  <c r="N5" i="28"/>
  <c r="I23" i="87"/>
  <c r="N5" i="87"/>
  <c r="I29" i="45"/>
  <c r="N6" i="45"/>
  <c r="N7" i="45" s="1"/>
  <c r="I25" i="75"/>
  <c r="N5" i="75"/>
  <c r="I33" i="69"/>
  <c r="N6" i="69"/>
  <c r="N7" i="69" s="1"/>
  <c r="N7" i="23"/>
  <c r="N7" i="71"/>
  <c r="I26" i="65"/>
  <c r="N6" i="65"/>
  <c r="N7" i="65" s="1"/>
  <c r="N7" i="91"/>
  <c r="N89" i="96"/>
  <c r="O88" i="96"/>
  <c r="O89" i="96" s="1"/>
  <c r="N89" i="57"/>
  <c r="O88" i="57"/>
  <c r="O89" i="57" s="1"/>
  <c r="O88" i="23"/>
  <c r="O89" i="23" s="1"/>
  <c r="N89" i="23"/>
  <c r="O88" i="59"/>
  <c r="O89" i="59" s="1"/>
  <c r="N89" i="59"/>
  <c r="O88" i="95"/>
  <c r="O89" i="95" s="1"/>
  <c r="N89" i="95"/>
  <c r="N89" i="18"/>
  <c r="N89" i="71"/>
  <c r="O88" i="71"/>
  <c r="O89" i="71" s="1"/>
  <c r="D110" i="56"/>
  <c r="F110" i="56" s="1"/>
  <c r="G109" i="56"/>
  <c r="I109" i="56" s="1"/>
  <c r="G36" i="36"/>
  <c r="I23" i="83"/>
  <c r="N7" i="68"/>
  <c r="I26" i="60"/>
  <c r="I106" i="65"/>
  <c r="D31" i="43"/>
  <c r="F31" i="43" s="1"/>
  <c r="E32" i="43" s="1"/>
  <c r="G110" i="73"/>
  <c r="H110" i="73" s="1"/>
  <c r="M88" i="73" s="1"/>
  <c r="M89" i="73" s="1"/>
  <c r="E111" i="73"/>
  <c r="F111" i="73" s="1"/>
  <c r="G22" i="99"/>
  <c r="I22" i="99" s="1"/>
  <c r="H28" i="72"/>
  <c r="H30" i="43"/>
  <c r="N6" i="43" s="1"/>
  <c r="E29" i="72"/>
  <c r="I29" i="74"/>
  <c r="H22" i="98"/>
  <c r="I22" i="98" s="1"/>
  <c r="H22" i="25"/>
  <c r="D23" i="25"/>
  <c r="G22" i="25"/>
  <c r="D23" i="98"/>
  <c r="E23" i="98"/>
  <c r="I22" i="97"/>
  <c r="F23" i="97"/>
  <c r="B23" i="97"/>
  <c r="D23" i="99"/>
  <c r="E23" i="99"/>
  <c r="B103" i="99"/>
  <c r="F103" i="99"/>
  <c r="H102" i="99"/>
  <c r="I102" i="99"/>
  <c r="G30" i="43"/>
  <c r="N5" i="43" s="1"/>
  <c r="G30" i="39"/>
  <c r="N5" i="39" s="1"/>
  <c r="E103" i="25"/>
  <c r="F103" i="25" s="1"/>
  <c r="B103" i="25"/>
  <c r="I102" i="25"/>
  <c r="H102" i="25"/>
  <c r="E105" i="81"/>
  <c r="D105" i="81"/>
  <c r="B105" i="81" s="1"/>
  <c r="H111" i="18"/>
  <c r="J102" i="97"/>
  <c r="F103" i="94"/>
  <c r="D104" i="94" s="1"/>
  <c r="B104" i="94" s="1"/>
  <c r="D29" i="72"/>
  <c r="B29" i="72" s="1"/>
  <c r="H30" i="44"/>
  <c r="I32" i="30"/>
  <c r="J102" i="98"/>
  <c r="D104" i="97"/>
  <c r="G103" i="97"/>
  <c r="E104" i="97"/>
  <c r="D104" i="26"/>
  <c r="G103" i="26"/>
  <c r="D104" i="98"/>
  <c r="G103" i="98"/>
  <c r="E104" i="98"/>
  <c r="J102" i="95"/>
  <c r="D104" i="95"/>
  <c r="B104" i="95" s="1"/>
  <c r="G103" i="95"/>
  <c r="E104" i="95"/>
  <c r="I24" i="80"/>
  <c r="H25" i="76"/>
  <c r="F30" i="74"/>
  <c r="E31" i="74" s="1"/>
  <c r="G27" i="67"/>
  <c r="I27" i="67" s="1"/>
  <c r="E28" i="67"/>
  <c r="D28" i="67"/>
  <c r="G28" i="46"/>
  <c r="E29" i="46"/>
  <c r="D29" i="46"/>
  <c r="H30" i="39"/>
  <c r="E31" i="39"/>
  <c r="F31" i="39" s="1"/>
  <c r="G31" i="39" s="1"/>
  <c r="H32" i="24"/>
  <c r="E33" i="24"/>
  <c r="D33" i="24"/>
  <c r="G27" i="61"/>
  <c r="E23" i="93"/>
  <c r="D23" i="93"/>
  <c r="D24" i="94"/>
  <c r="E24" i="94"/>
  <c r="B26" i="82"/>
  <c r="B25" i="86"/>
  <c r="F25" i="86"/>
  <c r="G27" i="59"/>
  <c r="H22" i="93"/>
  <c r="H23" i="94"/>
  <c r="N6" i="94" s="1"/>
  <c r="G23" i="94"/>
  <c r="N5" i="94" s="1"/>
  <c r="F26" i="82"/>
  <c r="G26" i="82" s="1"/>
  <c r="F25" i="80"/>
  <c r="B25" i="80"/>
  <c r="I24" i="86"/>
  <c r="H30" i="42"/>
  <c r="N6" i="42" s="1"/>
  <c r="D31" i="42"/>
  <c r="E31" i="42"/>
  <c r="E28" i="66"/>
  <c r="D28" i="66"/>
  <c r="D34" i="23"/>
  <c r="H33" i="23"/>
  <c r="G33" i="23"/>
  <c r="E34" i="23"/>
  <c r="G27" i="63"/>
  <c r="F30" i="58"/>
  <c r="B30" i="58"/>
  <c r="B27" i="65"/>
  <c r="F27" i="65"/>
  <c r="G27" i="65" s="1"/>
  <c r="B26" i="75"/>
  <c r="F26" i="75"/>
  <c r="B30" i="55"/>
  <c r="F30" i="55"/>
  <c r="H30" i="55" s="1"/>
  <c r="G28" i="54"/>
  <c r="H30" i="73"/>
  <c r="G30" i="42"/>
  <c r="N5" i="42" s="1"/>
  <c r="H27" i="66"/>
  <c r="G25" i="90"/>
  <c r="I25" i="90" s="1"/>
  <c r="D26" i="90"/>
  <c r="E26" i="90"/>
  <c r="H28" i="53"/>
  <c r="D29" i="53"/>
  <c r="E29" i="53"/>
  <c r="G31" i="22"/>
  <c r="G27" i="66"/>
  <c r="D25" i="91"/>
  <c r="G24" i="91"/>
  <c r="I24" i="91" s="1"/>
  <c r="E25" i="91"/>
  <c r="H24" i="84"/>
  <c r="E25" i="84"/>
  <c r="D25" i="84"/>
  <c r="G23" i="89"/>
  <c r="I22" i="26"/>
  <c r="G25" i="78"/>
  <c r="H24" i="85"/>
  <c r="D25" i="85"/>
  <c r="E25" i="85"/>
  <c r="E28" i="61"/>
  <c r="D28" i="61"/>
  <c r="G22" i="96"/>
  <c r="D23" i="96"/>
  <c r="E23" i="96"/>
  <c r="E31" i="44"/>
  <c r="D31" i="44"/>
  <c r="E32" i="22"/>
  <c r="D32" i="22"/>
  <c r="I26" i="68"/>
  <c r="G25" i="77"/>
  <c r="G24" i="81"/>
  <c r="E25" i="81"/>
  <c r="D25" i="81"/>
  <c r="E26" i="76"/>
  <c r="D26" i="76"/>
  <c r="G22" i="95"/>
  <c r="D23" i="95"/>
  <c r="E23" i="95"/>
  <c r="G33" i="27"/>
  <c r="E34" i="27"/>
  <c r="D34" i="27"/>
  <c r="B31" i="39"/>
  <c r="I29" i="35"/>
  <c r="D24" i="33"/>
  <c r="E24" i="33" s="1"/>
  <c r="G23" i="33"/>
  <c r="H23" i="33"/>
  <c r="B33" i="34"/>
  <c r="F33" i="34"/>
  <c r="D34" i="29"/>
  <c r="E34" i="29"/>
  <c r="E33" i="32"/>
  <c r="D33" i="32"/>
  <c r="D34" i="70"/>
  <c r="E34" i="70"/>
  <c r="E29" i="57"/>
  <c r="D29" i="57"/>
  <c r="F34" i="69"/>
  <c r="H34" i="69" s="1"/>
  <c r="F34" i="31"/>
  <c r="G34" i="31" s="1"/>
  <c r="B34" i="31"/>
  <c r="H33" i="29"/>
  <c r="N6" i="29" s="1"/>
  <c r="B27" i="60"/>
  <c r="F27" i="60"/>
  <c r="G27" i="60" s="1"/>
  <c r="N5" i="60" s="1"/>
  <c r="G32" i="32"/>
  <c r="N5" i="32" s="1"/>
  <c r="G31" i="21"/>
  <c r="N5" i="21" s="1"/>
  <c r="D32" i="21"/>
  <c r="E32" i="21"/>
  <c r="B30" i="45"/>
  <c r="F30" i="45"/>
  <c r="G31" i="17"/>
  <c r="E32" i="17"/>
  <c r="D32" i="17"/>
  <c r="F28" i="64"/>
  <c r="G28" i="64" s="1"/>
  <c r="B28" i="64"/>
  <c r="H33" i="70"/>
  <c r="N6" i="70" s="1"/>
  <c r="H28" i="57"/>
  <c r="N6" i="57" s="1"/>
  <c r="H25" i="79"/>
  <c r="E26" i="79"/>
  <c r="D26" i="79"/>
  <c r="F24" i="83"/>
  <c r="H24" i="83" s="1"/>
  <c r="N6" i="83" s="1"/>
  <c r="B24" i="83"/>
  <c r="H31" i="21"/>
  <c r="N6" i="21" s="1"/>
  <c r="I32" i="34"/>
  <c r="G33" i="29"/>
  <c r="N5" i="29" s="1"/>
  <c r="B30" i="74"/>
  <c r="G31" i="3"/>
  <c r="D32" i="3"/>
  <c r="E32" i="3" s="1"/>
  <c r="I27" i="56"/>
  <c r="G31" i="41"/>
  <c r="I31" i="41" s="1"/>
  <c r="D32" i="41"/>
  <c r="E32" i="41"/>
  <c r="D29" i="54"/>
  <c r="E29" i="54"/>
  <c r="B27" i="68"/>
  <c r="F27" i="68"/>
  <c r="G27" i="68" s="1"/>
  <c r="B28" i="56"/>
  <c r="F28" i="56"/>
  <c r="H28" i="56" s="1"/>
  <c r="N6" i="56" s="1"/>
  <c r="B33" i="71"/>
  <c r="F33" i="71"/>
  <c r="H33" i="71" s="1"/>
  <c r="B33" i="30"/>
  <c r="F33" i="30"/>
  <c r="G33" i="30" s="1"/>
  <c r="N5" i="30" s="1"/>
  <c r="G31" i="19"/>
  <c r="D32" i="19"/>
  <c r="E32" i="19"/>
  <c r="E26" i="78"/>
  <c r="D26" i="78"/>
  <c r="I27" i="64"/>
  <c r="D24" i="92"/>
  <c r="E24" i="92"/>
  <c r="B34" i="69"/>
  <c r="F35" i="28"/>
  <c r="B35" i="28"/>
  <c r="G103" i="93"/>
  <c r="H103" i="93" s="1"/>
  <c r="G33" i="70"/>
  <c r="N5" i="70" s="1"/>
  <c r="G28" i="57"/>
  <c r="N5" i="57" s="1"/>
  <c r="D24" i="89"/>
  <c r="E24" i="89"/>
  <c r="D28" i="63"/>
  <c r="E28" i="63"/>
  <c r="F25" i="88"/>
  <c r="G25" i="88" s="1"/>
  <c r="B25" i="88"/>
  <c r="H32" i="32"/>
  <c r="N6" i="32" s="1"/>
  <c r="E23" i="26"/>
  <c r="F23" i="26" s="1"/>
  <c r="B23" i="26"/>
  <c r="I32" i="71"/>
  <c r="H31" i="17"/>
  <c r="D26" i="77"/>
  <c r="E26" i="77"/>
  <c r="G23" i="92"/>
  <c r="E31" i="73"/>
  <c r="D31" i="73"/>
  <c r="J110" i="19"/>
  <c r="J109" i="43"/>
  <c r="J107" i="72"/>
  <c r="J106" i="64"/>
  <c r="J106" i="61"/>
  <c r="J102" i="84"/>
  <c r="J102" i="90"/>
  <c r="J105" i="68"/>
  <c r="J112" i="69"/>
  <c r="J112" i="23"/>
  <c r="J112" i="70"/>
  <c r="J106" i="60"/>
  <c r="B23" i="13"/>
  <c r="F23" i="13"/>
  <c r="H23" i="13" s="1"/>
  <c r="B27" i="62"/>
  <c r="F27" i="62"/>
  <c r="D33" i="18"/>
  <c r="E33" i="18"/>
  <c r="I30" i="20"/>
  <c r="J112" i="27"/>
  <c r="J107" i="58"/>
  <c r="J107" i="46"/>
  <c r="J107" i="53"/>
  <c r="G32" i="18"/>
  <c r="G30" i="35"/>
  <c r="B31" i="35"/>
  <c r="H30" i="35"/>
  <c r="E31" i="35"/>
  <c r="F31" i="35" s="1"/>
  <c r="I26" i="62"/>
  <c r="D28" i="59"/>
  <c r="E28" i="59"/>
  <c r="F31" i="20"/>
  <c r="G31" i="20" s="1"/>
  <c r="N5" i="20" s="1"/>
  <c r="B31" i="20"/>
  <c r="J102" i="86"/>
  <c r="J112" i="29"/>
  <c r="B24" i="87"/>
  <c r="F24" i="87"/>
  <c r="H32" i="18"/>
  <c r="I22" i="13"/>
  <c r="G108" i="46"/>
  <c r="D109" i="46"/>
  <c r="E109" i="46"/>
  <c r="D111" i="43"/>
  <c r="E111" i="43"/>
  <c r="G110" i="43"/>
  <c r="J108" i="74"/>
  <c r="J104" i="79"/>
  <c r="H104" i="81"/>
  <c r="M88" i="81" s="1"/>
  <c r="M89" i="81" s="1"/>
  <c r="I104" i="81"/>
  <c r="N88" i="81" s="1"/>
  <c r="E108" i="60"/>
  <c r="G107" i="60"/>
  <c r="D108" i="60"/>
  <c r="E108" i="63"/>
  <c r="D108" i="63"/>
  <c r="G107" i="63"/>
  <c r="E104" i="84"/>
  <c r="D104" i="84"/>
  <c r="G103" i="84"/>
  <c r="J102" i="92"/>
  <c r="E106" i="78"/>
  <c r="G105" i="78"/>
  <c r="D106" i="78"/>
  <c r="D104" i="86"/>
  <c r="E104" i="86"/>
  <c r="F108" i="62"/>
  <c r="B108" i="62"/>
  <c r="J111" i="31"/>
  <c r="J110" i="20"/>
  <c r="I111" i="22"/>
  <c r="N88" i="22" s="1"/>
  <c r="H111" i="22"/>
  <c r="M88" i="22" s="1"/>
  <c r="M89" i="22" s="1"/>
  <c r="D109" i="58"/>
  <c r="E109" i="58"/>
  <c r="G108" i="58"/>
  <c r="E104" i="92"/>
  <c r="D104" i="92"/>
  <c r="G103" i="92"/>
  <c r="H103" i="91"/>
  <c r="M88" i="91" s="1"/>
  <c r="M89" i="91" s="1"/>
  <c r="I103" i="91"/>
  <c r="N88" i="91" s="1"/>
  <c r="D110" i="74"/>
  <c r="E110" i="74"/>
  <c r="I110" i="73"/>
  <c r="N88" i="73" s="1"/>
  <c r="E104" i="90"/>
  <c r="G103" i="90"/>
  <c r="D104" i="90"/>
  <c r="J104" i="78"/>
  <c r="H109" i="45"/>
  <c r="M88" i="45" s="1"/>
  <c r="M89" i="45" s="1"/>
  <c r="I109" i="45"/>
  <c r="N88" i="45" s="1"/>
  <c r="E114" i="29"/>
  <c r="D114" i="29"/>
  <c r="G113" i="29"/>
  <c r="D109" i="72"/>
  <c r="G108" i="72"/>
  <c r="E109" i="72"/>
  <c r="D112" i="20"/>
  <c r="E112" i="20"/>
  <c r="G111" i="20"/>
  <c r="D106" i="79"/>
  <c r="E106" i="79"/>
  <c r="G105" i="79"/>
  <c r="D108" i="65"/>
  <c r="G107" i="65"/>
  <c r="E108" i="65"/>
  <c r="D109" i="53"/>
  <c r="E109" i="53"/>
  <c r="G108" i="53"/>
  <c r="D107" i="66"/>
  <c r="E107" i="66"/>
  <c r="G106" i="66"/>
  <c r="J103" i="85"/>
  <c r="G107" i="64"/>
  <c r="E108" i="64"/>
  <c r="D108" i="64"/>
  <c r="J110" i="34"/>
  <c r="D114" i="70"/>
  <c r="E114" i="70"/>
  <c r="G113" i="70"/>
  <c r="J102" i="88"/>
  <c r="G110" i="39"/>
  <c r="D111" i="39"/>
  <c r="E111" i="39"/>
  <c r="H103" i="89"/>
  <c r="M88" i="89" s="1"/>
  <c r="M89" i="89" s="1"/>
  <c r="I103" i="89"/>
  <c r="N88" i="89" s="1"/>
  <c r="E112" i="19"/>
  <c r="D112" i="19"/>
  <c r="G111" i="19"/>
  <c r="J105" i="66"/>
  <c r="F110" i="45"/>
  <c r="B110" i="45"/>
  <c r="B111" i="41"/>
  <c r="F111" i="41"/>
  <c r="J106" i="63"/>
  <c r="J109" i="39"/>
  <c r="G107" i="61"/>
  <c r="E108" i="61"/>
  <c r="D108" i="61"/>
  <c r="I107" i="62"/>
  <c r="N88" i="62" s="1"/>
  <c r="H107" i="62"/>
  <c r="M88" i="62" s="1"/>
  <c r="M89" i="62" s="1"/>
  <c r="E105" i="85"/>
  <c r="G104" i="85"/>
  <c r="D105" i="85"/>
  <c r="D107" i="68"/>
  <c r="G106" i="68"/>
  <c r="E107" i="68"/>
  <c r="G112" i="32"/>
  <c r="E113" i="32"/>
  <c r="D113" i="32"/>
  <c r="D114" i="30"/>
  <c r="G113" i="30"/>
  <c r="E114" i="30"/>
  <c r="F104" i="91"/>
  <c r="B104" i="91"/>
  <c r="B111" i="73"/>
  <c r="B104" i="89"/>
  <c r="F104" i="89"/>
  <c r="J111" i="32"/>
  <c r="D114" i="27"/>
  <c r="G113" i="27"/>
  <c r="E114" i="27"/>
  <c r="J112" i="30"/>
  <c r="D104" i="88"/>
  <c r="G103" i="88"/>
  <c r="E104" i="88"/>
  <c r="I110" i="41"/>
  <c r="N88" i="41" s="1"/>
  <c r="H110" i="41"/>
  <c r="M88" i="41" s="1"/>
  <c r="M89" i="41" s="1"/>
  <c r="D113" i="31"/>
  <c r="G112" i="31"/>
  <c r="E113" i="31"/>
  <c r="E114" i="69"/>
  <c r="G113" i="69"/>
  <c r="D114" i="69"/>
  <c r="B112" i="22"/>
  <c r="F112" i="22"/>
  <c r="D112" i="34"/>
  <c r="E112" i="34"/>
  <c r="G112" i="18"/>
  <c r="E113" i="18"/>
  <c r="D113" i="18"/>
  <c r="J108" i="57"/>
  <c r="G108" i="59"/>
  <c r="D109" i="59"/>
  <c r="E109" i="59"/>
  <c r="J107" i="59"/>
  <c r="D114" i="23"/>
  <c r="E114" i="23"/>
  <c r="G113" i="23"/>
  <c r="J111" i="35"/>
  <c r="D114" i="71"/>
  <c r="E114" i="71"/>
  <c r="G113" i="71"/>
  <c r="F112" i="17"/>
  <c r="G112" i="17" s="1"/>
  <c r="E110" i="57"/>
  <c r="G109" i="57"/>
  <c r="D110" i="57"/>
  <c r="J112" i="71"/>
  <c r="B106" i="75"/>
  <c r="F106" i="75"/>
  <c r="B103" i="33"/>
  <c r="J113" i="28"/>
  <c r="J103" i="82"/>
  <c r="F111" i="42"/>
  <c r="B111" i="42"/>
  <c r="G104" i="82"/>
  <c r="D105" i="82"/>
  <c r="E105" i="82"/>
  <c r="B109" i="55"/>
  <c r="F109" i="55"/>
  <c r="I105" i="75"/>
  <c r="N88" i="75" s="1"/>
  <c r="H105" i="75"/>
  <c r="M88" i="75" s="1"/>
  <c r="M89" i="75" s="1"/>
  <c r="J102" i="96"/>
  <c r="B106" i="76"/>
  <c r="F106" i="76"/>
  <c r="G111" i="3"/>
  <c r="D112" i="3"/>
  <c r="E112" i="3"/>
  <c r="B112" i="21"/>
  <c r="F112" i="21"/>
  <c r="I112" i="24"/>
  <c r="N88" i="24" s="1"/>
  <c r="H112" i="24"/>
  <c r="M88" i="24" s="1"/>
  <c r="M89" i="24" s="1"/>
  <c r="H104" i="80"/>
  <c r="M88" i="80" s="1"/>
  <c r="M89" i="80" s="1"/>
  <c r="I104" i="80"/>
  <c r="N88" i="80" s="1"/>
  <c r="J105" i="67"/>
  <c r="I108" i="55"/>
  <c r="N88" i="55" s="1"/>
  <c r="H108" i="55"/>
  <c r="M88" i="55" s="1"/>
  <c r="M89" i="55" s="1"/>
  <c r="H104" i="83"/>
  <c r="M88" i="83" s="1"/>
  <c r="M89" i="83" s="1"/>
  <c r="I104" i="83"/>
  <c r="N88" i="83" s="1"/>
  <c r="I102" i="13"/>
  <c r="H102" i="13"/>
  <c r="I110" i="42"/>
  <c r="N88" i="42" s="1"/>
  <c r="H110" i="42"/>
  <c r="M88" i="42" s="1"/>
  <c r="M89" i="42" s="1"/>
  <c r="D115" i="28"/>
  <c r="G114" i="28"/>
  <c r="E115" i="28"/>
  <c r="G103" i="96"/>
  <c r="D104" i="96"/>
  <c r="B104" i="93"/>
  <c r="F104" i="93"/>
  <c r="I102" i="33"/>
  <c r="H102" i="33"/>
  <c r="J109" i="44"/>
  <c r="E114" i="35"/>
  <c r="F114" i="35" s="1"/>
  <c r="B114" i="35"/>
  <c r="G113" i="35"/>
  <c r="F113" i="24"/>
  <c r="B113" i="24"/>
  <c r="B105" i="80"/>
  <c r="F105" i="80"/>
  <c r="I111" i="17"/>
  <c r="N88" i="17" s="1"/>
  <c r="H111" i="17"/>
  <c r="M88" i="17" s="1"/>
  <c r="J110" i="3"/>
  <c r="H105" i="77"/>
  <c r="M88" i="77" s="1"/>
  <c r="M89" i="77" s="1"/>
  <c r="I105" i="77"/>
  <c r="N88" i="77" s="1"/>
  <c r="B109" i="54"/>
  <c r="F109" i="54"/>
  <c r="G110" i="44"/>
  <c r="D111" i="44"/>
  <c r="E111" i="44"/>
  <c r="G103" i="87"/>
  <c r="D104" i="87"/>
  <c r="E104" i="87"/>
  <c r="J102" i="87"/>
  <c r="D107" i="67"/>
  <c r="G106" i="67"/>
  <c r="E107" i="67"/>
  <c r="E103" i="33"/>
  <c r="F103" i="33" s="1"/>
  <c r="B106" i="77"/>
  <c r="F106" i="77"/>
  <c r="F105" i="83"/>
  <c r="B105" i="83"/>
  <c r="H108" i="54"/>
  <c r="M88" i="54" s="1"/>
  <c r="M89" i="54" s="1"/>
  <c r="I108" i="54"/>
  <c r="N88" i="54" s="1"/>
  <c r="H105" i="76"/>
  <c r="M88" i="76" s="1"/>
  <c r="M89" i="76" s="1"/>
  <c r="I105" i="76"/>
  <c r="N88" i="76" s="1"/>
  <c r="F103" i="13"/>
  <c r="B103" i="13"/>
  <c r="H111" i="21"/>
  <c r="M88" i="21" s="1"/>
  <c r="M89" i="21" s="1"/>
  <c r="I111" i="21"/>
  <c r="N88" i="21" s="1"/>
  <c r="I112" i="35"/>
  <c r="N88" i="35" s="1"/>
  <c r="H112" i="35"/>
  <c r="M88" i="35" s="1"/>
  <c r="M89" i="35" s="1"/>
  <c r="E23" i="36"/>
  <c r="E34" i="36"/>
  <c r="F60" i="36"/>
  <c r="F63" i="36"/>
  <c r="F57" i="36"/>
  <c r="F72" i="36"/>
  <c r="F43" i="36"/>
  <c r="F78" i="36"/>
  <c r="E40" i="36"/>
  <c r="E49" i="36"/>
  <c r="E86" i="36"/>
  <c r="E55" i="36"/>
  <c r="F56" i="36"/>
  <c r="E30" i="36"/>
  <c r="E79" i="36"/>
  <c r="F83" i="36"/>
  <c r="E31" i="36"/>
  <c r="E41" i="36"/>
  <c r="E67" i="36"/>
  <c r="E62" i="36"/>
  <c r="E22" i="36"/>
  <c r="F61" i="36"/>
  <c r="E32" i="36"/>
  <c r="F25" i="36"/>
  <c r="E38" i="36"/>
  <c r="N7" i="94" l="1"/>
  <c r="N7" i="70"/>
  <c r="G78" i="36"/>
  <c r="G72" i="36"/>
  <c r="G56" i="36"/>
  <c r="N7" i="29"/>
  <c r="N7" i="57"/>
  <c r="N7" i="43"/>
  <c r="G43" i="36"/>
  <c r="G83" i="36"/>
  <c r="G25" i="36"/>
  <c r="G61" i="36"/>
  <c r="G63" i="36"/>
  <c r="G57" i="36"/>
  <c r="I25" i="78"/>
  <c r="N5" i="78"/>
  <c r="I24" i="81"/>
  <c r="N5" i="81"/>
  <c r="I27" i="63"/>
  <c r="N5" i="63"/>
  <c r="I22" i="96"/>
  <c r="N5" i="96"/>
  <c r="I31" i="22"/>
  <c r="N5" i="22"/>
  <c r="N7" i="42"/>
  <c r="I27" i="59"/>
  <c r="N5" i="59"/>
  <c r="N7" i="75"/>
  <c r="I23" i="92"/>
  <c r="N5" i="92"/>
  <c r="I25" i="79"/>
  <c r="N6" i="79"/>
  <c r="N7" i="79" s="1"/>
  <c r="I22" i="95"/>
  <c r="N5" i="95"/>
  <c r="I28" i="54"/>
  <c r="N5" i="54"/>
  <c r="I33" i="27"/>
  <c r="N5" i="27"/>
  <c r="I24" i="84"/>
  <c r="N6" i="84"/>
  <c r="N7" i="84" s="1"/>
  <c r="I28" i="53"/>
  <c r="N6" i="53"/>
  <c r="N7" i="53" s="1"/>
  <c r="I22" i="93"/>
  <c r="N6" i="93"/>
  <c r="N7" i="93" s="1"/>
  <c r="I32" i="24"/>
  <c r="N6" i="24"/>
  <c r="N7" i="24" s="1"/>
  <c r="N7" i="28"/>
  <c r="B110" i="56"/>
  <c r="I25" i="77"/>
  <c r="N5" i="77"/>
  <c r="I23" i="89"/>
  <c r="N5" i="89"/>
  <c r="I27" i="61"/>
  <c r="N5" i="61"/>
  <c r="I28" i="46"/>
  <c r="N5" i="46"/>
  <c r="N7" i="32"/>
  <c r="I31" i="19"/>
  <c r="N5" i="19"/>
  <c r="I31" i="3"/>
  <c r="N5" i="3"/>
  <c r="N7" i="21"/>
  <c r="I24" i="85"/>
  <c r="N6" i="85"/>
  <c r="N7" i="85" s="1"/>
  <c r="I30" i="73"/>
  <c r="N6" i="73"/>
  <c r="N7" i="73" s="1"/>
  <c r="I30" i="39"/>
  <c r="N6" i="39"/>
  <c r="N7" i="39" s="1"/>
  <c r="I25" i="76"/>
  <c r="N6" i="76"/>
  <c r="N7" i="76" s="1"/>
  <c r="I30" i="44"/>
  <c r="N6" i="44"/>
  <c r="N7" i="44" s="1"/>
  <c r="I28" i="72"/>
  <c r="N6" i="72"/>
  <c r="N7" i="72" s="1"/>
  <c r="N7" i="87"/>
  <c r="O88" i="35"/>
  <c r="O89" i="35" s="1"/>
  <c r="N89" i="35"/>
  <c r="O88" i="77"/>
  <c r="O89" i="77" s="1"/>
  <c r="N89" i="77"/>
  <c r="O88" i="17"/>
  <c r="N89" i="75"/>
  <c r="O88" i="75"/>
  <c r="O89" i="75" s="1"/>
  <c r="N89" i="73"/>
  <c r="O88" i="73"/>
  <c r="O89" i="73" s="1"/>
  <c r="O88" i="22"/>
  <c r="O89" i="22" s="1"/>
  <c r="N89" i="22"/>
  <c r="J111" i="18"/>
  <c r="M88" i="18"/>
  <c r="N89" i="54"/>
  <c r="O88" i="54"/>
  <c r="O89" i="54" s="1"/>
  <c r="N89" i="55"/>
  <c r="O88" i="55"/>
  <c r="O89" i="55" s="1"/>
  <c r="N89" i="62"/>
  <c r="O88" i="62"/>
  <c r="O89" i="62" s="1"/>
  <c r="N89" i="81"/>
  <c r="O88" i="81"/>
  <c r="O89" i="81" s="1"/>
  <c r="J106" i="65"/>
  <c r="N88" i="65"/>
  <c r="N89" i="83"/>
  <c r="O88" i="83"/>
  <c r="O89" i="83" s="1"/>
  <c r="N89" i="24"/>
  <c r="O88" i="24"/>
  <c r="O89" i="24" s="1"/>
  <c r="N89" i="41"/>
  <c r="O88" i="41"/>
  <c r="O89" i="41" s="1"/>
  <c r="N89" i="45"/>
  <c r="O88" i="45"/>
  <c r="O89" i="45" s="1"/>
  <c r="N89" i="21"/>
  <c r="O88" i="21"/>
  <c r="O89" i="21" s="1"/>
  <c r="N89" i="76"/>
  <c r="O88" i="76"/>
  <c r="O89" i="76" s="1"/>
  <c r="N89" i="42"/>
  <c r="O88" i="42"/>
  <c r="O89" i="42" s="1"/>
  <c r="N89" i="80"/>
  <c r="O88" i="80"/>
  <c r="O89" i="80" s="1"/>
  <c r="N89" i="89"/>
  <c r="O88" i="89"/>
  <c r="O89" i="89" s="1"/>
  <c r="O88" i="91"/>
  <c r="O89" i="91" s="1"/>
  <c r="N89" i="91"/>
  <c r="H109" i="56"/>
  <c r="J109" i="56" s="1"/>
  <c r="B31" i="43"/>
  <c r="G60" i="36"/>
  <c r="F105" i="81"/>
  <c r="D106" i="81" s="1"/>
  <c r="I30" i="43"/>
  <c r="I22" i="25"/>
  <c r="F23" i="99"/>
  <c r="H23" i="99" s="1"/>
  <c r="B23" i="99"/>
  <c r="D24" i="97"/>
  <c r="E24" i="97"/>
  <c r="F23" i="98"/>
  <c r="B23" i="98"/>
  <c r="E23" i="25"/>
  <c r="F23" i="25" s="1"/>
  <c r="B23" i="25"/>
  <c r="H23" i="97"/>
  <c r="G23" i="97"/>
  <c r="I31" i="17"/>
  <c r="J102" i="99"/>
  <c r="E104" i="99"/>
  <c r="D104" i="99"/>
  <c r="G103" i="99"/>
  <c r="F29" i="72"/>
  <c r="G29" i="72" s="1"/>
  <c r="G34" i="69"/>
  <c r="I34" i="69" s="1"/>
  <c r="H31" i="43"/>
  <c r="G31" i="43"/>
  <c r="G103" i="25"/>
  <c r="D104" i="25"/>
  <c r="B104" i="25" s="1"/>
  <c r="J102" i="25"/>
  <c r="G103" i="94"/>
  <c r="I103" i="94" s="1"/>
  <c r="N88" i="94" s="1"/>
  <c r="I30" i="42"/>
  <c r="G30" i="74"/>
  <c r="N5" i="74" s="1"/>
  <c r="D31" i="74"/>
  <c r="F31" i="74" s="1"/>
  <c r="H31" i="74" s="1"/>
  <c r="H30" i="74"/>
  <c r="N6" i="74" s="1"/>
  <c r="I31" i="21"/>
  <c r="F32" i="3"/>
  <c r="D33" i="3" s="1"/>
  <c r="B104" i="26"/>
  <c r="E104" i="26"/>
  <c r="F104" i="26" s="1"/>
  <c r="H103" i="98"/>
  <c r="I103" i="98"/>
  <c r="B104" i="98"/>
  <c r="F104" i="98"/>
  <c r="I103" i="97"/>
  <c r="H103" i="97"/>
  <c r="H103" i="26"/>
  <c r="I103" i="26"/>
  <c r="F104" i="97"/>
  <c r="B104" i="97"/>
  <c r="H103" i="95"/>
  <c r="I103" i="95"/>
  <c r="F104" i="95"/>
  <c r="I103" i="93"/>
  <c r="J103" i="93" s="1"/>
  <c r="B28" i="67"/>
  <c r="F28" i="67"/>
  <c r="G28" i="67" s="1"/>
  <c r="H27" i="65"/>
  <c r="I27" i="65" s="1"/>
  <c r="F29" i="46"/>
  <c r="G29" i="46" s="1"/>
  <c r="B29" i="46"/>
  <c r="D32" i="43"/>
  <c r="B32" i="43" s="1"/>
  <c r="F31" i="42"/>
  <c r="D32" i="42" s="1"/>
  <c r="F33" i="24"/>
  <c r="H33" i="24" s="1"/>
  <c r="B33" i="24"/>
  <c r="G25" i="80"/>
  <c r="D26" i="80"/>
  <c r="E26" i="80"/>
  <c r="B24" i="94"/>
  <c r="F24" i="94"/>
  <c r="H24" i="94" s="1"/>
  <c r="D27" i="82"/>
  <c r="E27" i="82"/>
  <c r="H26" i="82"/>
  <c r="I26" i="82" s="1"/>
  <c r="B23" i="93"/>
  <c r="F23" i="93"/>
  <c r="G23" i="93" s="1"/>
  <c r="H33" i="30"/>
  <c r="H25" i="80"/>
  <c r="G25" i="86"/>
  <c r="D26" i="86"/>
  <c r="H25" i="86"/>
  <c r="E26" i="86"/>
  <c r="I23" i="94"/>
  <c r="B25" i="91"/>
  <c r="F25" i="91"/>
  <c r="H25" i="91" s="1"/>
  <c r="H31" i="20"/>
  <c r="E104" i="94"/>
  <c r="F104" i="94" s="1"/>
  <c r="H28" i="64"/>
  <c r="I28" i="64" s="1"/>
  <c r="I27" i="66"/>
  <c r="D27" i="75"/>
  <c r="E27" i="75"/>
  <c r="I33" i="23"/>
  <c r="F29" i="53"/>
  <c r="H29" i="53" s="1"/>
  <c r="B29" i="53"/>
  <c r="H25" i="88"/>
  <c r="I25" i="88" s="1"/>
  <c r="H27" i="60"/>
  <c r="G26" i="75"/>
  <c r="G30" i="58"/>
  <c r="E31" i="58"/>
  <c r="H30" i="58"/>
  <c r="D31" i="58"/>
  <c r="F34" i="23"/>
  <c r="B34" i="23"/>
  <c r="B31" i="42"/>
  <c r="F23" i="95"/>
  <c r="E24" i="95" s="1"/>
  <c r="F25" i="84"/>
  <c r="G25" i="84" s="1"/>
  <c r="B25" i="84"/>
  <c r="B26" i="90"/>
  <c r="F26" i="90"/>
  <c r="G26" i="90" s="1"/>
  <c r="G30" i="55"/>
  <c r="I30" i="55" s="1"/>
  <c r="E31" i="55"/>
  <c r="D31" i="55"/>
  <c r="H26" i="75"/>
  <c r="E28" i="65"/>
  <c r="D28" i="65"/>
  <c r="F28" i="66"/>
  <c r="B28" i="66"/>
  <c r="F34" i="27"/>
  <c r="B34" i="27"/>
  <c r="B32" i="22"/>
  <c r="F32" i="22"/>
  <c r="G32" i="22" s="1"/>
  <c r="B25" i="85"/>
  <c r="F25" i="85"/>
  <c r="H25" i="85" s="1"/>
  <c r="H34" i="31"/>
  <c r="I34" i="31" s="1"/>
  <c r="D32" i="39"/>
  <c r="E32" i="39"/>
  <c r="B23" i="95"/>
  <c r="B23" i="96"/>
  <c r="F23" i="96"/>
  <c r="H23" i="96" s="1"/>
  <c r="B28" i="61"/>
  <c r="F28" i="61"/>
  <c r="G28" i="61" s="1"/>
  <c r="G24" i="83"/>
  <c r="B25" i="81"/>
  <c r="F25" i="81"/>
  <c r="G25" i="81" s="1"/>
  <c r="F31" i="44"/>
  <c r="G31" i="44" s="1"/>
  <c r="B31" i="44"/>
  <c r="F32" i="19"/>
  <c r="G32" i="19" s="1"/>
  <c r="H31" i="39"/>
  <c r="I31" i="39" s="1"/>
  <c r="B26" i="76"/>
  <c r="F26" i="76"/>
  <c r="I23" i="33"/>
  <c r="B32" i="41"/>
  <c r="F32" i="41"/>
  <c r="G32" i="41" s="1"/>
  <c r="C41" i="17"/>
  <c r="B32" i="17"/>
  <c r="F32" i="17"/>
  <c r="F34" i="29"/>
  <c r="H34" i="29" s="1"/>
  <c r="B34" i="29"/>
  <c r="G23" i="26"/>
  <c r="H23" i="26"/>
  <c r="D24" i="26"/>
  <c r="E24" i="26" s="1"/>
  <c r="D36" i="28"/>
  <c r="E36" i="28"/>
  <c r="B32" i="19"/>
  <c r="D34" i="71"/>
  <c r="E34" i="71"/>
  <c r="D29" i="56"/>
  <c r="E29" i="56"/>
  <c r="D28" i="68"/>
  <c r="E28" i="68"/>
  <c r="B29" i="57"/>
  <c r="F29" i="57"/>
  <c r="H29" i="57" s="1"/>
  <c r="B33" i="32"/>
  <c r="G33" i="34"/>
  <c r="E34" i="34"/>
  <c r="D34" i="34"/>
  <c r="G30" i="45"/>
  <c r="E31" i="45"/>
  <c r="D31" i="45"/>
  <c r="F34" i="70"/>
  <c r="H34" i="70" s="1"/>
  <c r="B34" i="70"/>
  <c r="B26" i="77"/>
  <c r="F26" i="77"/>
  <c r="H26" i="77" s="1"/>
  <c r="H35" i="28"/>
  <c r="F24" i="92"/>
  <c r="B24" i="92"/>
  <c r="F26" i="78"/>
  <c r="G26" i="78" s="1"/>
  <c r="B26" i="78"/>
  <c r="D25" i="83"/>
  <c r="E25" i="83"/>
  <c r="I28" i="57"/>
  <c r="H30" i="45"/>
  <c r="D28" i="60"/>
  <c r="E28" i="60"/>
  <c r="F33" i="32"/>
  <c r="B29" i="54"/>
  <c r="F29" i="54"/>
  <c r="G29" i="54" s="1"/>
  <c r="B32" i="21"/>
  <c r="F32" i="21"/>
  <c r="H32" i="21" s="1"/>
  <c r="D35" i="69"/>
  <c r="E35" i="69"/>
  <c r="B31" i="73"/>
  <c r="F31" i="73"/>
  <c r="I32" i="32"/>
  <c r="E26" i="88"/>
  <c r="D26" i="88"/>
  <c r="F28" i="63"/>
  <c r="H28" i="63" s="1"/>
  <c r="B28" i="63"/>
  <c r="B24" i="89"/>
  <c r="F24" i="89"/>
  <c r="G24" i="89" s="1"/>
  <c r="G35" i="28"/>
  <c r="D34" i="30"/>
  <c r="E34" i="30"/>
  <c r="G33" i="71"/>
  <c r="I33" i="71" s="1"/>
  <c r="G28" i="56"/>
  <c r="H27" i="68"/>
  <c r="I27" i="68" s="1"/>
  <c r="B32" i="3"/>
  <c r="F26" i="79"/>
  <c r="G26" i="79" s="1"/>
  <c r="B26" i="79"/>
  <c r="I33" i="70"/>
  <c r="E29" i="64"/>
  <c r="D29" i="64"/>
  <c r="I33" i="29"/>
  <c r="E35" i="31"/>
  <c r="D35" i="31"/>
  <c r="H33" i="34"/>
  <c r="B24" i="33"/>
  <c r="F24" i="33"/>
  <c r="D113" i="17"/>
  <c r="B113" i="17" s="1"/>
  <c r="E113" i="17"/>
  <c r="D25" i="87"/>
  <c r="E25" i="87"/>
  <c r="D28" i="62"/>
  <c r="E28" i="62"/>
  <c r="J103" i="89"/>
  <c r="J104" i="81"/>
  <c r="E32" i="35"/>
  <c r="F32" i="35" s="1"/>
  <c r="G31" i="35"/>
  <c r="H31" i="35"/>
  <c r="B32" i="35"/>
  <c r="H27" i="62"/>
  <c r="N6" i="62" s="1"/>
  <c r="D24" i="13"/>
  <c r="E24" i="13" s="1"/>
  <c r="G24" i="87"/>
  <c r="D32" i="20"/>
  <c r="E32" i="20"/>
  <c r="B28" i="59"/>
  <c r="F28" i="59"/>
  <c r="G28" i="59" s="1"/>
  <c r="I30" i="35"/>
  <c r="B33" i="18"/>
  <c r="F33" i="18"/>
  <c r="G33" i="18" s="1"/>
  <c r="G23" i="13"/>
  <c r="I32" i="18"/>
  <c r="J107" i="62"/>
  <c r="J103" i="91"/>
  <c r="H24" i="87"/>
  <c r="G27" i="62"/>
  <c r="N5" i="62" s="1"/>
  <c r="B112" i="34"/>
  <c r="F112" i="34"/>
  <c r="I113" i="69"/>
  <c r="N88" i="69" s="1"/>
  <c r="H113" i="69"/>
  <c r="M88" i="69" s="1"/>
  <c r="M89" i="69" s="1"/>
  <c r="F113" i="31"/>
  <c r="B113" i="31"/>
  <c r="I103" i="88"/>
  <c r="N88" i="88" s="1"/>
  <c r="H103" i="88"/>
  <c r="M88" i="88" s="1"/>
  <c r="M89" i="88" s="1"/>
  <c r="I113" i="27"/>
  <c r="N88" i="27" s="1"/>
  <c r="H113" i="27"/>
  <c r="M88" i="27" s="1"/>
  <c r="M89" i="27" s="1"/>
  <c r="I113" i="30"/>
  <c r="N88" i="30" s="1"/>
  <c r="H113" i="30"/>
  <c r="M88" i="30" s="1"/>
  <c r="M89" i="30" s="1"/>
  <c r="H112" i="32"/>
  <c r="M88" i="32" s="1"/>
  <c r="M89" i="32" s="1"/>
  <c r="I112" i="32"/>
  <c r="N88" i="32" s="1"/>
  <c r="F105" i="85"/>
  <c r="B105" i="85"/>
  <c r="F112" i="19"/>
  <c r="B112" i="19"/>
  <c r="H113" i="70"/>
  <c r="M88" i="70" s="1"/>
  <c r="M89" i="70" s="1"/>
  <c r="I113" i="70"/>
  <c r="N88" i="70" s="1"/>
  <c r="F108" i="64"/>
  <c r="B108" i="64"/>
  <c r="H106" i="66"/>
  <c r="M88" i="66" s="1"/>
  <c r="M89" i="66" s="1"/>
  <c r="I106" i="66"/>
  <c r="N88" i="66" s="1"/>
  <c r="F108" i="65"/>
  <c r="B108" i="65"/>
  <c r="H111" i="20"/>
  <c r="M88" i="20" s="1"/>
  <c r="M89" i="20" s="1"/>
  <c r="I111" i="20"/>
  <c r="N88" i="20" s="1"/>
  <c r="H108" i="72"/>
  <c r="M88" i="72" s="1"/>
  <c r="M89" i="72" s="1"/>
  <c r="I108" i="72"/>
  <c r="N88" i="72" s="1"/>
  <c r="B104" i="90"/>
  <c r="F104" i="90"/>
  <c r="B104" i="86"/>
  <c r="F104" i="86"/>
  <c r="I107" i="63"/>
  <c r="N88" i="63" s="1"/>
  <c r="H107" i="63"/>
  <c r="M88" i="63" s="1"/>
  <c r="M89" i="63" s="1"/>
  <c r="I107" i="60"/>
  <c r="N88" i="60" s="1"/>
  <c r="H107" i="60"/>
  <c r="M88" i="60" s="1"/>
  <c r="M89" i="60" s="1"/>
  <c r="B111" i="43"/>
  <c r="F111" i="43"/>
  <c r="D113" i="22"/>
  <c r="G112" i="22"/>
  <c r="E113" i="22"/>
  <c r="B104" i="88"/>
  <c r="F104" i="88"/>
  <c r="F114" i="27"/>
  <c r="B114" i="27"/>
  <c r="F114" i="30"/>
  <c r="B114" i="30"/>
  <c r="H104" i="85"/>
  <c r="M88" i="85" s="1"/>
  <c r="M89" i="85" s="1"/>
  <c r="I104" i="85"/>
  <c r="N88" i="85" s="1"/>
  <c r="F108" i="61"/>
  <c r="B108" i="61"/>
  <c r="D111" i="45"/>
  <c r="E111" i="45"/>
  <c r="G110" i="45"/>
  <c r="F111" i="39"/>
  <c r="B111" i="39"/>
  <c r="B109" i="53"/>
  <c r="F109" i="53"/>
  <c r="I105" i="79"/>
  <c r="N88" i="79" s="1"/>
  <c r="H105" i="79"/>
  <c r="M88" i="79" s="1"/>
  <c r="M89" i="79" s="1"/>
  <c r="B109" i="72"/>
  <c r="F109" i="72"/>
  <c r="J109" i="45"/>
  <c r="H103" i="90"/>
  <c r="M88" i="90" s="1"/>
  <c r="M89" i="90" s="1"/>
  <c r="I103" i="90"/>
  <c r="N88" i="90" s="1"/>
  <c r="H108" i="58"/>
  <c r="M88" i="58" s="1"/>
  <c r="M89" i="58" s="1"/>
  <c r="I108" i="58"/>
  <c r="N88" i="58" s="1"/>
  <c r="J111" i="22"/>
  <c r="D109" i="62"/>
  <c r="G108" i="62"/>
  <c r="E109" i="62"/>
  <c r="B106" i="78"/>
  <c r="F106" i="78"/>
  <c r="H103" i="84"/>
  <c r="M88" i="84" s="1"/>
  <c r="M89" i="84" s="1"/>
  <c r="I103" i="84"/>
  <c r="N88" i="84" s="1"/>
  <c r="B108" i="63"/>
  <c r="F108" i="63"/>
  <c r="J110" i="41"/>
  <c r="D112" i="73"/>
  <c r="G111" i="73"/>
  <c r="E112" i="73"/>
  <c r="G104" i="91"/>
  <c r="D105" i="91"/>
  <c r="E105" i="91"/>
  <c r="F113" i="32"/>
  <c r="B113" i="32"/>
  <c r="H106" i="68"/>
  <c r="M88" i="68" s="1"/>
  <c r="M89" i="68" s="1"/>
  <c r="I106" i="68"/>
  <c r="N88" i="68" s="1"/>
  <c r="E112" i="41"/>
  <c r="G111" i="41"/>
  <c r="D112" i="41"/>
  <c r="I110" i="39"/>
  <c r="N88" i="39" s="1"/>
  <c r="H110" i="39"/>
  <c r="M88" i="39" s="1"/>
  <c r="M89" i="39" s="1"/>
  <c r="F114" i="70"/>
  <c r="B114" i="70"/>
  <c r="I107" i="64"/>
  <c r="N88" i="64" s="1"/>
  <c r="H107" i="64"/>
  <c r="M88" i="64" s="1"/>
  <c r="M89" i="64" s="1"/>
  <c r="B107" i="66"/>
  <c r="F107" i="66"/>
  <c r="B112" i="20"/>
  <c r="F112" i="20"/>
  <c r="H113" i="29"/>
  <c r="M88" i="29" s="1"/>
  <c r="M89" i="29" s="1"/>
  <c r="I113" i="29"/>
  <c r="N88" i="29" s="1"/>
  <c r="F110" i="74"/>
  <c r="B110" i="74"/>
  <c r="H103" i="92"/>
  <c r="M88" i="92" s="1"/>
  <c r="M89" i="92" s="1"/>
  <c r="I103" i="92"/>
  <c r="N88" i="92" s="1"/>
  <c r="I105" i="78"/>
  <c r="N88" i="78" s="1"/>
  <c r="H105" i="78"/>
  <c r="M88" i="78" s="1"/>
  <c r="M89" i="78" s="1"/>
  <c r="B104" i="84"/>
  <c r="F104" i="84"/>
  <c r="I110" i="43"/>
  <c r="N88" i="43" s="1"/>
  <c r="H110" i="43"/>
  <c r="M88" i="43" s="1"/>
  <c r="M89" i="43" s="1"/>
  <c r="F109" i="46"/>
  <c r="B109" i="46"/>
  <c r="F114" i="69"/>
  <c r="B114" i="69"/>
  <c r="H112" i="31"/>
  <c r="M88" i="31" s="1"/>
  <c r="M89" i="31" s="1"/>
  <c r="I112" i="31"/>
  <c r="N88" i="31" s="1"/>
  <c r="G104" i="89"/>
  <c r="E105" i="89"/>
  <c r="D105" i="89"/>
  <c r="G105" i="81"/>
  <c r="B107" i="68"/>
  <c r="F107" i="68"/>
  <c r="H107" i="61"/>
  <c r="M88" i="61" s="1"/>
  <c r="M89" i="61" s="1"/>
  <c r="I107" i="61"/>
  <c r="N88" i="61" s="1"/>
  <c r="H111" i="19"/>
  <c r="M88" i="19" s="1"/>
  <c r="M89" i="19" s="1"/>
  <c r="I111" i="19"/>
  <c r="N88" i="19" s="1"/>
  <c r="I108" i="53"/>
  <c r="N88" i="53" s="1"/>
  <c r="H108" i="53"/>
  <c r="M88" i="53" s="1"/>
  <c r="M89" i="53" s="1"/>
  <c r="H107" i="65"/>
  <c r="I107" i="65"/>
  <c r="B106" i="79"/>
  <c r="F106" i="79"/>
  <c r="B114" i="29"/>
  <c r="F114" i="29"/>
  <c r="J110" i="73"/>
  <c r="F104" i="92"/>
  <c r="B104" i="92"/>
  <c r="B109" i="58"/>
  <c r="F109" i="58"/>
  <c r="F108" i="60"/>
  <c r="B108" i="60"/>
  <c r="I108" i="46"/>
  <c r="N88" i="46" s="1"/>
  <c r="H108" i="46"/>
  <c r="M88" i="46" s="1"/>
  <c r="M89" i="46" s="1"/>
  <c r="B114" i="23"/>
  <c r="F114" i="23"/>
  <c r="I112" i="18"/>
  <c r="H112" i="18"/>
  <c r="F109" i="59"/>
  <c r="B109" i="59"/>
  <c r="H113" i="23"/>
  <c r="I113" i="23"/>
  <c r="E111" i="56"/>
  <c r="G110" i="56"/>
  <c r="D111" i="56"/>
  <c r="H108" i="59"/>
  <c r="I108" i="59"/>
  <c r="F113" i="18"/>
  <c r="B113" i="18"/>
  <c r="I109" i="57"/>
  <c r="H109" i="57"/>
  <c r="F114" i="71"/>
  <c r="B114" i="71"/>
  <c r="F110" i="57"/>
  <c r="B110" i="57"/>
  <c r="H113" i="71"/>
  <c r="I113" i="71"/>
  <c r="G106" i="75"/>
  <c r="D107" i="75"/>
  <c r="E107" i="75"/>
  <c r="J105" i="76"/>
  <c r="I106" i="67"/>
  <c r="N88" i="67" s="1"/>
  <c r="H106" i="67"/>
  <c r="M88" i="67" s="1"/>
  <c r="M89" i="67" s="1"/>
  <c r="B111" i="44"/>
  <c r="F111" i="44"/>
  <c r="G114" i="35"/>
  <c r="B115" i="35"/>
  <c r="E115" i="35"/>
  <c r="F115" i="35" s="1"/>
  <c r="B104" i="96"/>
  <c r="H103" i="87"/>
  <c r="M88" i="87" s="1"/>
  <c r="M89" i="87" s="1"/>
  <c r="I103" i="87"/>
  <c r="N88" i="87" s="1"/>
  <c r="D106" i="80"/>
  <c r="G105" i="80"/>
  <c r="E106" i="80"/>
  <c r="J110" i="42"/>
  <c r="J112" i="24"/>
  <c r="H111" i="3"/>
  <c r="M88" i="3" s="1"/>
  <c r="M89" i="3" s="1"/>
  <c r="I111" i="3"/>
  <c r="N88" i="3" s="1"/>
  <c r="H104" i="82"/>
  <c r="M88" i="82" s="1"/>
  <c r="M89" i="82" s="1"/>
  <c r="I104" i="82"/>
  <c r="N88" i="82" s="1"/>
  <c r="J102" i="33"/>
  <c r="H114" i="28"/>
  <c r="M88" i="28" s="1"/>
  <c r="M89" i="28" s="1"/>
  <c r="I114" i="28"/>
  <c r="N88" i="28" s="1"/>
  <c r="J112" i="35"/>
  <c r="G103" i="13"/>
  <c r="D104" i="13"/>
  <c r="E106" i="83"/>
  <c r="G105" i="83"/>
  <c r="D106" i="83"/>
  <c r="B107" i="67"/>
  <c r="F107" i="67"/>
  <c r="H110" i="44"/>
  <c r="M88" i="44" s="1"/>
  <c r="M89" i="44" s="1"/>
  <c r="I110" i="44"/>
  <c r="N88" i="44" s="1"/>
  <c r="E104" i="96"/>
  <c r="F104" i="96" s="1"/>
  <c r="F115" i="28"/>
  <c r="B115" i="28"/>
  <c r="J102" i="13"/>
  <c r="J104" i="80"/>
  <c r="D110" i="55"/>
  <c r="G109" i="55"/>
  <c r="E110" i="55"/>
  <c r="H112" i="17"/>
  <c r="I112" i="17"/>
  <c r="D114" i="24"/>
  <c r="G113" i="24"/>
  <c r="E114" i="24"/>
  <c r="J111" i="17"/>
  <c r="E107" i="76"/>
  <c r="G106" i="76"/>
  <c r="D107" i="76"/>
  <c r="J105" i="75"/>
  <c r="G103" i="33"/>
  <c r="D104" i="33"/>
  <c r="E104" i="33" s="1"/>
  <c r="J111" i="21"/>
  <c r="J108" i="54"/>
  <c r="G106" i="77"/>
  <c r="D107" i="77"/>
  <c r="E107" i="77"/>
  <c r="B104" i="87"/>
  <c r="F104" i="87"/>
  <c r="G109" i="54"/>
  <c r="D110" i="54"/>
  <c r="E110" i="54"/>
  <c r="J105" i="77"/>
  <c r="I113" i="35"/>
  <c r="H113" i="35"/>
  <c r="G104" i="93"/>
  <c r="D105" i="93"/>
  <c r="E105" i="93" s="1"/>
  <c r="H103" i="96"/>
  <c r="I103" i="96"/>
  <c r="J104" i="83"/>
  <c r="J108" i="55"/>
  <c r="E113" i="21"/>
  <c r="G112" i="21"/>
  <c r="D113" i="21"/>
  <c r="B112" i="3"/>
  <c r="F112" i="3"/>
  <c r="F105" i="82"/>
  <c r="B105" i="82"/>
  <c r="G111" i="42"/>
  <c r="D112" i="42"/>
  <c r="E112" i="42"/>
  <c r="E54" i="36"/>
  <c r="F79" i="36"/>
  <c r="F45" i="36"/>
  <c r="F31" i="36"/>
  <c r="E18" i="36"/>
  <c r="F62" i="36"/>
  <c r="F38" i="36"/>
  <c r="E51" i="36"/>
  <c r="E52" i="36"/>
  <c r="E69" i="36"/>
  <c r="F41" i="36"/>
  <c r="F34" i="36"/>
  <c r="E21" i="36"/>
  <c r="E66" i="36"/>
  <c r="F76" i="36"/>
  <c r="E87" i="36"/>
  <c r="E53" i="36"/>
  <c r="F30" i="36"/>
  <c r="F65" i="36"/>
  <c r="E84" i="36"/>
  <c r="F49" i="36"/>
  <c r="F42" i="36"/>
  <c r="F26" i="36"/>
  <c r="E46" i="36"/>
  <c r="E73" i="36"/>
  <c r="F86" i="36"/>
  <c r="F68" i="36"/>
  <c r="E29" i="36"/>
  <c r="E44" i="36"/>
  <c r="F23" i="36"/>
  <c r="E70" i="36"/>
  <c r="F67" i="36"/>
  <c r="F71" i="36"/>
  <c r="F40" i="36"/>
  <c r="F77" i="36"/>
  <c r="E88" i="36"/>
  <c r="E24" i="36"/>
  <c r="E81" i="36"/>
  <c r="F85" i="36"/>
  <c r="F64" i="36"/>
  <c r="G62" i="36" l="1"/>
  <c r="G86" i="36"/>
  <c r="G49" i="36"/>
  <c r="G31" i="36"/>
  <c r="G41" i="36"/>
  <c r="N7" i="62"/>
  <c r="G65" i="36"/>
  <c r="G26" i="36"/>
  <c r="G34" i="36"/>
  <c r="G40" i="36"/>
  <c r="G64" i="36"/>
  <c r="G45" i="36"/>
  <c r="G42" i="36"/>
  <c r="G38" i="36"/>
  <c r="G77" i="36"/>
  <c r="G85" i="36"/>
  <c r="G76" i="36"/>
  <c r="G71" i="36"/>
  <c r="G67" i="36"/>
  <c r="G68" i="36"/>
  <c r="G23" i="36"/>
  <c r="G79" i="36"/>
  <c r="G30" i="36"/>
  <c r="I33" i="30"/>
  <c r="N6" i="30"/>
  <c r="N7" i="30" s="1"/>
  <c r="N7" i="95"/>
  <c r="I24" i="83"/>
  <c r="N5" i="83"/>
  <c r="I27" i="60"/>
  <c r="N6" i="60"/>
  <c r="N7" i="60" s="1"/>
  <c r="N7" i="3"/>
  <c r="N7" i="61"/>
  <c r="N7" i="96"/>
  <c r="N7" i="74"/>
  <c r="N7" i="46"/>
  <c r="N7" i="89"/>
  <c r="N7" i="54"/>
  <c r="N7" i="22"/>
  <c r="N7" i="63"/>
  <c r="N7" i="78"/>
  <c r="I28" i="56"/>
  <c r="N5" i="56"/>
  <c r="N7" i="77"/>
  <c r="N7" i="27"/>
  <c r="N7" i="92"/>
  <c r="N7" i="81"/>
  <c r="I31" i="20"/>
  <c r="N6" i="20"/>
  <c r="N7" i="20" s="1"/>
  <c r="N7" i="19"/>
  <c r="N7" i="59"/>
  <c r="N89" i="28"/>
  <c r="O88" i="28"/>
  <c r="O89" i="28" s="1"/>
  <c r="N89" i="87"/>
  <c r="O88" i="87"/>
  <c r="O89" i="87" s="1"/>
  <c r="N89" i="61"/>
  <c r="O88" i="61"/>
  <c r="O89" i="61" s="1"/>
  <c r="N89" i="31"/>
  <c r="O88" i="31"/>
  <c r="O89" i="31" s="1"/>
  <c r="O88" i="20"/>
  <c r="O89" i="20" s="1"/>
  <c r="N89" i="20"/>
  <c r="N89" i="66"/>
  <c r="O88" i="66"/>
  <c r="O89" i="66" s="1"/>
  <c r="N89" i="70"/>
  <c r="O88" i="70"/>
  <c r="O89" i="70" s="1"/>
  <c r="N89" i="67"/>
  <c r="O88" i="67"/>
  <c r="O89" i="67" s="1"/>
  <c r="O88" i="53"/>
  <c r="O89" i="53" s="1"/>
  <c r="N89" i="53"/>
  <c r="N89" i="64"/>
  <c r="O88" i="64"/>
  <c r="O89" i="64" s="1"/>
  <c r="N89" i="39"/>
  <c r="O88" i="39"/>
  <c r="O89" i="39" s="1"/>
  <c r="O88" i="68"/>
  <c r="O89" i="68" s="1"/>
  <c r="N89" i="68"/>
  <c r="N89" i="90"/>
  <c r="O88" i="90"/>
  <c r="O89" i="90" s="1"/>
  <c r="N89" i="85"/>
  <c r="O88" i="85"/>
  <c r="O89" i="85" s="1"/>
  <c r="N89" i="63"/>
  <c r="O88" i="63"/>
  <c r="O89" i="63" s="1"/>
  <c r="N89" i="30"/>
  <c r="O88" i="30"/>
  <c r="O89" i="30" s="1"/>
  <c r="N89" i="88"/>
  <c r="O88" i="88"/>
  <c r="O89" i="88" s="1"/>
  <c r="N89" i="69"/>
  <c r="O88" i="69"/>
  <c r="O89" i="69" s="1"/>
  <c r="O88" i="65"/>
  <c r="O89" i="65" s="1"/>
  <c r="N89" i="65"/>
  <c r="N89" i="44"/>
  <c r="O88" i="44"/>
  <c r="O89" i="44" s="1"/>
  <c r="N89" i="46"/>
  <c r="O88" i="46"/>
  <c r="O89" i="46" s="1"/>
  <c r="N89" i="19"/>
  <c r="O88" i="19"/>
  <c r="O89" i="19" s="1"/>
  <c r="N89" i="92"/>
  <c r="O88" i="92"/>
  <c r="O89" i="92" s="1"/>
  <c r="N89" i="29"/>
  <c r="O88" i="29"/>
  <c r="O89" i="29" s="1"/>
  <c r="N89" i="72"/>
  <c r="O88" i="72"/>
  <c r="O89" i="72" s="1"/>
  <c r="N89" i="32"/>
  <c r="O88" i="32"/>
  <c r="O89" i="32" s="1"/>
  <c r="N89" i="3"/>
  <c r="O88" i="3"/>
  <c r="O89" i="3" s="1"/>
  <c r="N89" i="82"/>
  <c r="O88" i="82"/>
  <c r="O89" i="82" s="1"/>
  <c r="O88" i="43"/>
  <c r="O89" i="43" s="1"/>
  <c r="N89" i="43"/>
  <c r="N89" i="78"/>
  <c r="O88" i="78"/>
  <c r="O89" i="78" s="1"/>
  <c r="N89" i="84"/>
  <c r="O88" i="84"/>
  <c r="O89" i="84" s="1"/>
  <c r="N89" i="58"/>
  <c r="O88" i="58"/>
  <c r="O89" i="58" s="1"/>
  <c r="O88" i="79"/>
  <c r="O89" i="79" s="1"/>
  <c r="N89" i="79"/>
  <c r="N89" i="60"/>
  <c r="O88" i="60"/>
  <c r="O89" i="60" s="1"/>
  <c r="O88" i="27"/>
  <c r="O89" i="27" s="1"/>
  <c r="N89" i="27"/>
  <c r="N89" i="94"/>
  <c r="M89" i="18"/>
  <c r="O88" i="18"/>
  <c r="O89" i="18" s="1"/>
  <c r="E106" i="81"/>
  <c r="G25" i="91"/>
  <c r="I25" i="91" s="1"/>
  <c r="I23" i="13"/>
  <c r="H103" i="94"/>
  <c r="D30" i="72"/>
  <c r="B30" i="72" s="1"/>
  <c r="I25" i="80"/>
  <c r="E30" i="72"/>
  <c r="H29" i="72"/>
  <c r="I29" i="72" s="1"/>
  <c r="G23" i="99"/>
  <c r="I23" i="99" s="1"/>
  <c r="E32" i="42"/>
  <c r="F32" i="42" s="1"/>
  <c r="G32" i="42" s="1"/>
  <c r="G32" i="3"/>
  <c r="H23" i="25"/>
  <c r="G23" i="25"/>
  <c r="D24" i="25"/>
  <c r="I23" i="97"/>
  <c r="D24" i="98"/>
  <c r="E24" i="98"/>
  <c r="H23" i="98"/>
  <c r="H32" i="3"/>
  <c r="E33" i="3"/>
  <c r="F33" i="3" s="1"/>
  <c r="H33" i="3" s="1"/>
  <c r="G23" i="98"/>
  <c r="F24" i="97"/>
  <c r="D25" i="97" s="1"/>
  <c r="B24" i="97"/>
  <c r="D24" i="99"/>
  <c r="E24" i="99"/>
  <c r="E104" i="25"/>
  <c r="F104" i="25" s="1"/>
  <c r="I103" i="99"/>
  <c r="H103" i="99"/>
  <c r="B104" i="99"/>
  <c r="F104" i="99"/>
  <c r="B31" i="74"/>
  <c r="I30" i="74"/>
  <c r="I31" i="43"/>
  <c r="H31" i="42"/>
  <c r="F32" i="43"/>
  <c r="G32" i="43" s="1"/>
  <c r="G31" i="42"/>
  <c r="G33" i="24"/>
  <c r="I33" i="24" s="1"/>
  <c r="I103" i="25"/>
  <c r="H103" i="25"/>
  <c r="J103" i="95"/>
  <c r="J103" i="98"/>
  <c r="H29" i="46"/>
  <c r="I29" i="46" s="1"/>
  <c r="H31" i="44"/>
  <c r="I31" i="44" s="1"/>
  <c r="E33" i="19"/>
  <c r="D105" i="97"/>
  <c r="G104" i="97"/>
  <c r="E105" i="97"/>
  <c r="J103" i="97"/>
  <c r="J103" i="26"/>
  <c r="D105" i="98"/>
  <c r="G104" i="98"/>
  <c r="E105" i="98"/>
  <c r="D105" i="26"/>
  <c r="G104" i="26"/>
  <c r="G104" i="95"/>
  <c r="D105" i="95"/>
  <c r="B105" i="95" s="1"/>
  <c r="E105" i="95"/>
  <c r="H26" i="90"/>
  <c r="I26" i="90" s="1"/>
  <c r="G24" i="94"/>
  <c r="I24" i="94" s="1"/>
  <c r="H23" i="93"/>
  <c r="I23" i="93" s="1"/>
  <c r="H26" i="79"/>
  <c r="I26" i="79" s="1"/>
  <c r="I26" i="75"/>
  <c r="H28" i="67"/>
  <c r="I28" i="67" s="1"/>
  <c r="D29" i="67"/>
  <c r="E29" i="67"/>
  <c r="I30" i="58"/>
  <c r="D30" i="46"/>
  <c r="E30" i="46"/>
  <c r="G34" i="29"/>
  <c r="I34" i="29" s="1"/>
  <c r="E34" i="24"/>
  <c r="D34" i="24"/>
  <c r="D33" i="19"/>
  <c r="H32" i="19"/>
  <c r="I32" i="19" s="1"/>
  <c r="H33" i="18"/>
  <c r="I33" i="18" s="1"/>
  <c r="H25" i="84"/>
  <c r="I25" i="84" s="1"/>
  <c r="B26" i="86"/>
  <c r="F26" i="86"/>
  <c r="H26" i="86" s="1"/>
  <c r="B26" i="80"/>
  <c r="F26" i="80"/>
  <c r="G26" i="80" s="1"/>
  <c r="D24" i="93"/>
  <c r="E24" i="93"/>
  <c r="F27" i="82"/>
  <c r="G27" i="82" s="1"/>
  <c r="B27" i="82"/>
  <c r="D25" i="94"/>
  <c r="E25" i="94"/>
  <c r="H25" i="81"/>
  <c r="I25" i="81" s="1"/>
  <c r="I25" i="86"/>
  <c r="E35" i="23"/>
  <c r="D35" i="23"/>
  <c r="G104" i="94"/>
  <c r="D105" i="94"/>
  <c r="G23" i="95"/>
  <c r="G28" i="66"/>
  <c r="E29" i="66"/>
  <c r="D29" i="66"/>
  <c r="F31" i="55"/>
  <c r="G31" i="55" s="1"/>
  <c r="B31" i="55"/>
  <c r="G34" i="23"/>
  <c r="B27" i="75"/>
  <c r="F27" i="75"/>
  <c r="H27" i="75" s="1"/>
  <c r="G32" i="21"/>
  <c r="I32" i="21" s="1"/>
  <c r="H23" i="95"/>
  <c r="H32" i="22"/>
  <c r="I32" i="22" s="1"/>
  <c r="D24" i="95"/>
  <c r="B24" i="95" s="1"/>
  <c r="B28" i="65"/>
  <c r="F28" i="65"/>
  <c r="H28" i="65" s="1"/>
  <c r="D27" i="90"/>
  <c r="E27" i="90"/>
  <c r="H34" i="23"/>
  <c r="D26" i="91"/>
  <c r="E26" i="91"/>
  <c r="B32" i="42"/>
  <c r="H28" i="66"/>
  <c r="D26" i="84"/>
  <c r="E26" i="84"/>
  <c r="F31" i="58"/>
  <c r="B31" i="58"/>
  <c r="G29" i="53"/>
  <c r="I29" i="53" s="1"/>
  <c r="D30" i="53"/>
  <c r="E30" i="53"/>
  <c r="H26" i="76"/>
  <c r="E27" i="76"/>
  <c r="D27" i="76"/>
  <c r="G34" i="70"/>
  <c r="I34" i="70" s="1"/>
  <c r="G26" i="76"/>
  <c r="D29" i="61"/>
  <c r="E29" i="61"/>
  <c r="G23" i="96"/>
  <c r="I23" i="96" s="1"/>
  <c r="E24" i="96"/>
  <c r="D24" i="96"/>
  <c r="H34" i="27"/>
  <c r="G34" i="27"/>
  <c r="E35" i="27"/>
  <c r="D35" i="27"/>
  <c r="G29" i="57"/>
  <c r="I29" i="57" s="1"/>
  <c r="D26" i="81"/>
  <c r="E26" i="81"/>
  <c r="E32" i="44"/>
  <c r="D32" i="44"/>
  <c r="H28" i="61"/>
  <c r="I28" i="61" s="1"/>
  <c r="F32" i="39"/>
  <c r="G32" i="39" s="1"/>
  <c r="B32" i="39"/>
  <c r="G25" i="85"/>
  <c r="I25" i="85" s="1"/>
  <c r="D26" i="85"/>
  <c r="E26" i="85"/>
  <c r="D33" i="22"/>
  <c r="E33" i="22"/>
  <c r="I33" i="34"/>
  <c r="I30" i="45"/>
  <c r="D25" i="33"/>
  <c r="E25" i="33" s="1"/>
  <c r="B35" i="69"/>
  <c r="F35" i="69"/>
  <c r="F31" i="45"/>
  <c r="B31" i="45"/>
  <c r="B28" i="68"/>
  <c r="F28" i="68"/>
  <c r="H28" i="68" s="1"/>
  <c r="B36" i="28"/>
  <c r="F36" i="28"/>
  <c r="G36" i="28" s="1"/>
  <c r="D33" i="17"/>
  <c r="E33" i="17"/>
  <c r="F29" i="64"/>
  <c r="H29" i="64" s="1"/>
  <c r="B29" i="64"/>
  <c r="H24" i="89"/>
  <c r="I24" i="89" s="1"/>
  <c r="D25" i="89"/>
  <c r="E25" i="89"/>
  <c r="B26" i="88"/>
  <c r="D33" i="21"/>
  <c r="E33" i="21"/>
  <c r="D34" i="32"/>
  <c r="E34" i="32"/>
  <c r="I35" i="28"/>
  <c r="G26" i="77"/>
  <c r="I26" i="77" s="1"/>
  <c r="D27" i="77"/>
  <c r="E27" i="77"/>
  <c r="D35" i="29"/>
  <c r="E35" i="29"/>
  <c r="D33" i="41"/>
  <c r="E33" i="41"/>
  <c r="B35" i="31"/>
  <c r="F35" i="31"/>
  <c r="E29" i="63"/>
  <c r="D29" i="63"/>
  <c r="H31" i="73"/>
  <c r="E32" i="73"/>
  <c r="D32" i="73"/>
  <c r="G31" i="73"/>
  <c r="D27" i="78"/>
  <c r="E27" i="78"/>
  <c r="H24" i="92"/>
  <c r="E25" i="92"/>
  <c r="D25" i="92"/>
  <c r="D32" i="74"/>
  <c r="E32" i="74"/>
  <c r="B34" i="71"/>
  <c r="F34" i="71"/>
  <c r="G34" i="71" s="1"/>
  <c r="H24" i="33"/>
  <c r="F26" i="88"/>
  <c r="H26" i="88" s="1"/>
  <c r="G24" i="92"/>
  <c r="H33" i="32"/>
  <c r="B29" i="56"/>
  <c r="F29" i="56"/>
  <c r="G29" i="56" s="1"/>
  <c r="B24" i="26"/>
  <c r="F24" i="26"/>
  <c r="G32" i="17"/>
  <c r="B33" i="3"/>
  <c r="I31" i="35"/>
  <c r="G24" i="33"/>
  <c r="D27" i="79"/>
  <c r="E27" i="79"/>
  <c r="F34" i="30"/>
  <c r="B34" i="30"/>
  <c r="G28" i="63"/>
  <c r="I28" i="63" s="1"/>
  <c r="H29" i="54"/>
  <c r="I29" i="54" s="1"/>
  <c r="E30" i="54"/>
  <c r="D30" i="54"/>
  <c r="B28" i="60"/>
  <c r="F28" i="60"/>
  <c r="H28" i="60" s="1"/>
  <c r="B25" i="83"/>
  <c r="F25" i="83"/>
  <c r="H25" i="83" s="1"/>
  <c r="H26" i="78"/>
  <c r="I26" i="78" s="1"/>
  <c r="D35" i="70"/>
  <c r="E35" i="70"/>
  <c r="F34" i="34"/>
  <c r="B34" i="34"/>
  <c r="G33" i="32"/>
  <c r="E30" i="57"/>
  <c r="D30" i="57"/>
  <c r="G31" i="74"/>
  <c r="I31" i="74" s="1"/>
  <c r="I23" i="26"/>
  <c r="H32" i="17"/>
  <c r="H32" i="41"/>
  <c r="I32" i="41" s="1"/>
  <c r="J111" i="20"/>
  <c r="J106" i="66"/>
  <c r="F113" i="17"/>
  <c r="G113" i="17" s="1"/>
  <c r="J113" i="70"/>
  <c r="J113" i="23"/>
  <c r="J103" i="90"/>
  <c r="J104" i="85"/>
  <c r="I27" i="62"/>
  <c r="I24" i="87"/>
  <c r="B32" i="20"/>
  <c r="F32" i="20"/>
  <c r="G32" i="20" s="1"/>
  <c r="F28" i="62"/>
  <c r="G28" i="62" s="1"/>
  <c r="B28" i="62"/>
  <c r="E29" i="59"/>
  <c r="D29" i="59"/>
  <c r="F25" i="87"/>
  <c r="H25" i="87" s="1"/>
  <c r="B25" i="87"/>
  <c r="J108" i="53"/>
  <c r="J103" i="86"/>
  <c r="J107" i="64"/>
  <c r="J110" i="39"/>
  <c r="E33" i="35"/>
  <c r="F33" i="35" s="1"/>
  <c r="B33" i="35"/>
  <c r="H32" i="35"/>
  <c r="N6" i="35" s="1"/>
  <c r="G32" i="35"/>
  <c r="N5" i="35" s="1"/>
  <c r="J113" i="71"/>
  <c r="J107" i="65"/>
  <c r="J111" i="19"/>
  <c r="J112" i="31"/>
  <c r="J103" i="92"/>
  <c r="J113" i="29"/>
  <c r="J108" i="72"/>
  <c r="J112" i="32"/>
  <c r="D34" i="18"/>
  <c r="E34" i="18"/>
  <c r="H28" i="59"/>
  <c r="I28" i="59" s="1"/>
  <c r="F24" i="13"/>
  <c r="G24" i="13" s="1"/>
  <c r="N5" i="13" s="1"/>
  <c r="B24" i="13"/>
  <c r="J108" i="46"/>
  <c r="J109" i="74"/>
  <c r="E107" i="79"/>
  <c r="G106" i="79"/>
  <c r="D107" i="79"/>
  <c r="J107" i="61"/>
  <c r="D105" i="84"/>
  <c r="G104" i="84"/>
  <c r="E105" i="84"/>
  <c r="E113" i="20"/>
  <c r="D113" i="20"/>
  <c r="G112" i="20"/>
  <c r="D114" i="32"/>
  <c r="E114" i="32"/>
  <c r="G113" i="32"/>
  <c r="I108" i="62"/>
  <c r="H108" i="62"/>
  <c r="E110" i="72"/>
  <c r="D110" i="72"/>
  <c r="G109" i="72"/>
  <c r="D110" i="53"/>
  <c r="E110" i="53"/>
  <c r="G109" i="53"/>
  <c r="H110" i="45"/>
  <c r="I110" i="45"/>
  <c r="E109" i="61"/>
  <c r="D109" i="61"/>
  <c r="G108" i="61"/>
  <c r="E115" i="30"/>
  <c r="D115" i="30"/>
  <c r="G114" i="30"/>
  <c r="G111" i="43"/>
  <c r="E112" i="43"/>
  <c r="D112" i="43"/>
  <c r="D105" i="90"/>
  <c r="G104" i="90"/>
  <c r="E105" i="90"/>
  <c r="B106" i="81"/>
  <c r="F106" i="81"/>
  <c r="I104" i="89"/>
  <c r="H104" i="89"/>
  <c r="G114" i="69"/>
  <c r="E115" i="69"/>
  <c r="D115" i="69"/>
  <c r="D110" i="46"/>
  <c r="E110" i="46"/>
  <c r="G109" i="46"/>
  <c r="G110" i="74"/>
  <c r="D111" i="74"/>
  <c r="E111" i="74"/>
  <c r="J106" i="68"/>
  <c r="H111" i="73"/>
  <c r="I111" i="73"/>
  <c r="E109" i="63"/>
  <c r="G108" i="63"/>
  <c r="D109" i="63"/>
  <c r="G106" i="78"/>
  <c r="E107" i="78"/>
  <c r="D107" i="78"/>
  <c r="B109" i="62"/>
  <c r="F109" i="62"/>
  <c r="J107" i="63"/>
  <c r="G105" i="85"/>
  <c r="E106" i="85"/>
  <c r="D106" i="85"/>
  <c r="J113" i="30"/>
  <c r="J103" i="88"/>
  <c r="J113" i="69"/>
  <c r="D109" i="60"/>
  <c r="G108" i="60"/>
  <c r="E109" i="60"/>
  <c r="D105" i="92"/>
  <c r="E105" i="92"/>
  <c r="G104" i="92"/>
  <c r="D115" i="29"/>
  <c r="G114" i="29"/>
  <c r="E115" i="29"/>
  <c r="D108" i="68"/>
  <c r="E108" i="68"/>
  <c r="G107" i="68"/>
  <c r="I105" i="81"/>
  <c r="H105" i="81"/>
  <c r="D108" i="66"/>
  <c r="E108" i="66"/>
  <c r="G107" i="66"/>
  <c r="B112" i="41"/>
  <c r="F112" i="41"/>
  <c r="F105" i="91"/>
  <c r="B105" i="91"/>
  <c r="F112" i="73"/>
  <c r="B112" i="73"/>
  <c r="F111" i="45"/>
  <c r="B111" i="45"/>
  <c r="D115" i="27"/>
  <c r="G114" i="27"/>
  <c r="E115" i="27"/>
  <c r="H112" i="22"/>
  <c r="I112" i="22"/>
  <c r="D105" i="86"/>
  <c r="E105" i="86"/>
  <c r="G104" i="86"/>
  <c r="G112" i="34"/>
  <c r="D113" i="34"/>
  <c r="E113" i="34"/>
  <c r="D110" i="58"/>
  <c r="E110" i="58"/>
  <c r="G109" i="58"/>
  <c r="F105" i="89"/>
  <c r="B105" i="89"/>
  <c r="J111" i="34"/>
  <c r="J110" i="43"/>
  <c r="J105" i="78"/>
  <c r="G114" i="70"/>
  <c r="E115" i="70"/>
  <c r="D115" i="70"/>
  <c r="I111" i="41"/>
  <c r="H111" i="41"/>
  <c r="I104" i="91"/>
  <c r="H104" i="91"/>
  <c r="J103" i="84"/>
  <c r="J108" i="58"/>
  <c r="J105" i="79"/>
  <c r="D112" i="39"/>
  <c r="G111" i="39"/>
  <c r="E112" i="39"/>
  <c r="G104" i="88"/>
  <c r="D105" i="88"/>
  <c r="E105" i="88"/>
  <c r="F113" i="22"/>
  <c r="B113" i="22"/>
  <c r="J107" i="60"/>
  <c r="D109" i="65"/>
  <c r="E109" i="65"/>
  <c r="G108" i="65"/>
  <c r="G108" i="64"/>
  <c r="D109" i="64"/>
  <c r="E109" i="64"/>
  <c r="D113" i="19"/>
  <c r="G112" i="19"/>
  <c r="E113" i="19"/>
  <c r="J113" i="27"/>
  <c r="D114" i="31"/>
  <c r="G113" i="31"/>
  <c r="E114" i="31"/>
  <c r="B111" i="56"/>
  <c r="F111" i="56"/>
  <c r="G109" i="59"/>
  <c r="E110" i="59"/>
  <c r="D110" i="59"/>
  <c r="D114" i="18"/>
  <c r="E114" i="18"/>
  <c r="G113" i="18"/>
  <c r="H110" i="56"/>
  <c r="I110" i="56"/>
  <c r="J112" i="17"/>
  <c r="J108" i="59"/>
  <c r="J112" i="18"/>
  <c r="E115" i="23"/>
  <c r="D115" i="23"/>
  <c r="G114" i="23"/>
  <c r="D111" i="57"/>
  <c r="G110" i="57"/>
  <c r="E111" i="57"/>
  <c r="E115" i="71"/>
  <c r="G114" i="71"/>
  <c r="D115" i="71"/>
  <c r="J109" i="57"/>
  <c r="G104" i="96"/>
  <c r="D105" i="96"/>
  <c r="J103" i="96"/>
  <c r="H109" i="54"/>
  <c r="I109" i="54"/>
  <c r="J104" i="82"/>
  <c r="I105" i="80"/>
  <c r="H105" i="80"/>
  <c r="I106" i="76"/>
  <c r="H106" i="76"/>
  <c r="I113" i="24"/>
  <c r="H113" i="24"/>
  <c r="B104" i="13"/>
  <c r="B106" i="80"/>
  <c r="F106" i="80"/>
  <c r="D112" i="44"/>
  <c r="G111" i="44"/>
  <c r="E112" i="44"/>
  <c r="B107" i="76"/>
  <c r="F107" i="76"/>
  <c r="B116" i="35"/>
  <c r="G115" i="35"/>
  <c r="E116" i="35"/>
  <c r="F116" i="35" s="1"/>
  <c r="J106" i="67"/>
  <c r="D106" i="82"/>
  <c r="G105" i="82"/>
  <c r="E106" i="82"/>
  <c r="B107" i="77"/>
  <c r="F107" i="77"/>
  <c r="H112" i="21"/>
  <c r="I112" i="21"/>
  <c r="F105" i="93"/>
  <c r="B105" i="93"/>
  <c r="J113" i="35"/>
  <c r="H106" i="77"/>
  <c r="I106" i="77"/>
  <c r="B104" i="33"/>
  <c r="F104" i="33"/>
  <c r="F114" i="24"/>
  <c r="B114" i="24"/>
  <c r="H109" i="55"/>
  <c r="I109" i="55"/>
  <c r="D116" i="28"/>
  <c r="G115" i="28"/>
  <c r="E116" i="28"/>
  <c r="J110" i="44"/>
  <c r="F106" i="83"/>
  <c r="B106" i="83"/>
  <c r="H103" i="13"/>
  <c r="I103" i="13"/>
  <c r="J103" i="87"/>
  <c r="H114" i="35"/>
  <c r="I114" i="35"/>
  <c r="B107" i="75"/>
  <c r="F107" i="75"/>
  <c r="B112" i="42"/>
  <c r="F112" i="42"/>
  <c r="G107" i="67"/>
  <c r="D108" i="67"/>
  <c r="E108" i="67"/>
  <c r="H111" i="42"/>
  <c r="I111" i="42"/>
  <c r="F113" i="21"/>
  <c r="B113" i="21"/>
  <c r="D113" i="3"/>
  <c r="G112" i="3"/>
  <c r="E113" i="3"/>
  <c r="H104" i="93"/>
  <c r="I104" i="93"/>
  <c r="B110" i="54"/>
  <c r="F110" i="54"/>
  <c r="G104" i="87"/>
  <c r="D105" i="87"/>
  <c r="E105" i="87"/>
  <c r="H103" i="33"/>
  <c r="I103" i="33"/>
  <c r="B110" i="55"/>
  <c r="F110" i="55"/>
  <c r="I105" i="83"/>
  <c r="H105" i="83"/>
  <c r="E104" i="13"/>
  <c r="F104" i="13" s="1"/>
  <c r="J114" i="28"/>
  <c r="J111" i="3"/>
  <c r="I106" i="75"/>
  <c r="H106" i="75"/>
  <c r="F70" i="36"/>
  <c r="F18" i="36"/>
  <c r="F88" i="36"/>
  <c r="F55" i="36"/>
  <c r="F69" i="36"/>
  <c r="F21" i="36"/>
  <c r="F87" i="36"/>
  <c r="F22" i="36"/>
  <c r="F73" i="36"/>
  <c r="F32" i="36"/>
  <c r="F52" i="36"/>
  <c r="F29" i="36"/>
  <c r="F24" i="36"/>
  <c r="E75" i="36"/>
  <c r="E48" i="36"/>
  <c r="F66" i="36"/>
  <c r="E37" i="36"/>
  <c r="F54" i="36"/>
  <c r="F46" i="36"/>
  <c r="F53" i="36"/>
  <c r="F81" i="36"/>
  <c r="F44" i="36"/>
  <c r="F84" i="36"/>
  <c r="F51" i="36"/>
  <c r="G54" i="36" l="1"/>
  <c r="G66" i="36"/>
  <c r="G21" i="36"/>
  <c r="G55" i="36"/>
  <c r="G22" i="36"/>
  <c r="G29" i="36"/>
  <c r="G70" i="36"/>
  <c r="G81" i="36"/>
  <c r="G52" i="36"/>
  <c r="G87" i="36"/>
  <c r="G51" i="36"/>
  <c r="G73" i="36"/>
  <c r="G24" i="36"/>
  <c r="G18" i="36"/>
  <c r="G84" i="36"/>
  <c r="G46" i="36"/>
  <c r="G88" i="36"/>
  <c r="G69" i="36"/>
  <c r="G53" i="36"/>
  <c r="G44" i="36"/>
  <c r="G32" i="36"/>
  <c r="N7" i="35"/>
  <c r="N7" i="56"/>
  <c r="N7" i="83"/>
  <c r="J103" i="94"/>
  <c r="M88" i="94"/>
  <c r="F30" i="72"/>
  <c r="D31" i="72" s="1"/>
  <c r="H32" i="43"/>
  <c r="I32" i="43" s="1"/>
  <c r="I32" i="3"/>
  <c r="D33" i="43"/>
  <c r="B33" i="43" s="1"/>
  <c r="E33" i="43"/>
  <c r="I31" i="42"/>
  <c r="I23" i="25"/>
  <c r="E24" i="25"/>
  <c r="F24" i="25" s="1"/>
  <c r="H24" i="25" s="1"/>
  <c r="B24" i="25"/>
  <c r="F24" i="99"/>
  <c r="G24" i="99" s="1"/>
  <c r="B24" i="99"/>
  <c r="E25" i="97"/>
  <c r="F25" i="97" s="1"/>
  <c r="D26" i="97" s="1"/>
  <c r="B25" i="97"/>
  <c r="I23" i="98"/>
  <c r="H24" i="97"/>
  <c r="H26" i="80"/>
  <c r="I26" i="80" s="1"/>
  <c r="F33" i="19"/>
  <c r="H33" i="19" s="1"/>
  <c r="G24" i="97"/>
  <c r="F24" i="98"/>
  <c r="B24" i="98"/>
  <c r="J103" i="99"/>
  <c r="G104" i="25"/>
  <c r="D105" i="25"/>
  <c r="I28" i="66"/>
  <c r="D105" i="99"/>
  <c r="G104" i="99"/>
  <c r="E105" i="99"/>
  <c r="J103" i="25"/>
  <c r="I32" i="17"/>
  <c r="B33" i="19"/>
  <c r="H104" i="98"/>
  <c r="I104" i="98"/>
  <c r="I104" i="26"/>
  <c r="H104" i="26"/>
  <c r="F105" i="98"/>
  <c r="B105" i="98"/>
  <c r="I104" i="97"/>
  <c r="H104" i="97"/>
  <c r="F105" i="95"/>
  <c r="E106" i="95" s="1"/>
  <c r="B105" i="26"/>
  <c r="E105" i="26"/>
  <c r="F105" i="26" s="1"/>
  <c r="F105" i="97"/>
  <c r="B105" i="97"/>
  <c r="I104" i="95"/>
  <c r="H104" i="95"/>
  <c r="D114" i="17"/>
  <c r="B114" i="17" s="1"/>
  <c r="E114" i="17"/>
  <c r="I23" i="95"/>
  <c r="G25" i="83"/>
  <c r="I25" i="83" s="1"/>
  <c r="F24" i="95"/>
  <c r="H24" i="95" s="1"/>
  <c r="F29" i="67"/>
  <c r="G29" i="67" s="1"/>
  <c r="B29" i="67"/>
  <c r="G29" i="64"/>
  <c r="I29" i="64" s="1"/>
  <c r="B30" i="46"/>
  <c r="F30" i="46"/>
  <c r="G30" i="46" s="1"/>
  <c r="F34" i="24"/>
  <c r="H34" i="24" s="1"/>
  <c r="B34" i="24"/>
  <c r="I34" i="27"/>
  <c r="F24" i="93"/>
  <c r="H24" i="93" s="1"/>
  <c r="B24" i="93"/>
  <c r="F25" i="94"/>
  <c r="H25" i="94" s="1"/>
  <c r="B25" i="94"/>
  <c r="E28" i="82"/>
  <c r="D28" i="82"/>
  <c r="D27" i="86"/>
  <c r="E27" i="86"/>
  <c r="G26" i="86"/>
  <c r="I26" i="86" s="1"/>
  <c r="H24" i="13"/>
  <c r="H27" i="82"/>
  <c r="I27" i="82" s="1"/>
  <c r="D27" i="80"/>
  <c r="E27" i="80"/>
  <c r="G31" i="58"/>
  <c r="D32" i="58"/>
  <c r="E32" i="58"/>
  <c r="E105" i="94"/>
  <c r="F105" i="94" s="1"/>
  <c r="B105" i="94"/>
  <c r="G33" i="3"/>
  <c r="I33" i="3" s="1"/>
  <c r="H32" i="42"/>
  <c r="I32" i="42" s="1"/>
  <c r="D33" i="42"/>
  <c r="E33" i="42"/>
  <c r="F26" i="91"/>
  <c r="H26" i="91" s="1"/>
  <c r="B26" i="91"/>
  <c r="B27" i="90"/>
  <c r="F27" i="90"/>
  <c r="H104" i="94"/>
  <c r="I104" i="94"/>
  <c r="B30" i="53"/>
  <c r="F30" i="53"/>
  <c r="G30" i="53" s="1"/>
  <c r="B29" i="66"/>
  <c r="F29" i="66"/>
  <c r="H29" i="66" s="1"/>
  <c r="F26" i="84"/>
  <c r="B26" i="84"/>
  <c r="D29" i="65"/>
  <c r="E29" i="65"/>
  <c r="F35" i="23"/>
  <c r="B35" i="23"/>
  <c r="H36" i="28"/>
  <c r="I36" i="28" s="1"/>
  <c r="F26" i="85"/>
  <c r="E27" i="85" s="1"/>
  <c r="H31" i="58"/>
  <c r="I34" i="23"/>
  <c r="G28" i="65"/>
  <c r="I28" i="65" s="1"/>
  <c r="G27" i="75"/>
  <c r="I27" i="75" s="1"/>
  <c r="D28" i="75"/>
  <c r="E28" i="75"/>
  <c r="H31" i="55"/>
  <c r="I31" i="55" s="1"/>
  <c r="E32" i="55"/>
  <c r="D32" i="55"/>
  <c r="I24" i="33"/>
  <c r="H34" i="71"/>
  <c r="I34" i="71" s="1"/>
  <c r="B35" i="27"/>
  <c r="F35" i="27"/>
  <c r="F27" i="76"/>
  <c r="B27" i="76"/>
  <c r="G25" i="87"/>
  <c r="I25" i="87" s="1"/>
  <c r="B33" i="22"/>
  <c r="F33" i="22"/>
  <c r="G33" i="22" s="1"/>
  <c r="E33" i="39"/>
  <c r="D33" i="39"/>
  <c r="B32" i="44"/>
  <c r="F32" i="44"/>
  <c r="H32" i="44" s="1"/>
  <c r="B26" i="81"/>
  <c r="F26" i="81"/>
  <c r="H26" i="81" s="1"/>
  <c r="F24" i="96"/>
  <c r="G24" i="96" s="1"/>
  <c r="B24" i="96"/>
  <c r="B29" i="61"/>
  <c r="F29" i="61"/>
  <c r="G29" i="61" s="1"/>
  <c r="I26" i="76"/>
  <c r="B26" i="85"/>
  <c r="H32" i="39"/>
  <c r="I32" i="39" s="1"/>
  <c r="I33" i="32"/>
  <c r="B25" i="92"/>
  <c r="F25" i="92"/>
  <c r="G25" i="92" s="1"/>
  <c r="G31" i="45"/>
  <c r="D32" i="45"/>
  <c r="E32" i="45"/>
  <c r="F30" i="57"/>
  <c r="G30" i="57" s="1"/>
  <c r="B30" i="57"/>
  <c r="D35" i="34"/>
  <c r="E35" i="34"/>
  <c r="F35" i="70"/>
  <c r="B35" i="70"/>
  <c r="B30" i="54"/>
  <c r="F30" i="54"/>
  <c r="G30" i="54" s="1"/>
  <c r="D30" i="56"/>
  <c r="E30" i="56"/>
  <c r="D27" i="88"/>
  <c r="E27" i="88"/>
  <c r="I31" i="73"/>
  <c r="F29" i="63"/>
  <c r="G29" i="63" s="1"/>
  <c r="B29" i="63"/>
  <c r="G35" i="31"/>
  <c r="D36" i="31"/>
  <c r="E36" i="31"/>
  <c r="B33" i="41"/>
  <c r="F33" i="41"/>
  <c r="G33" i="41" s="1"/>
  <c r="F33" i="21"/>
  <c r="H33" i="21" s="1"/>
  <c r="B33" i="21"/>
  <c r="D35" i="30"/>
  <c r="E35" i="30"/>
  <c r="G24" i="26"/>
  <c r="H24" i="26"/>
  <c r="D25" i="26"/>
  <c r="F27" i="78"/>
  <c r="B27" i="78"/>
  <c r="E36" i="69"/>
  <c r="D36" i="69"/>
  <c r="H28" i="62"/>
  <c r="I28" i="62" s="1"/>
  <c r="G34" i="34"/>
  <c r="D26" i="83"/>
  <c r="E26" i="83"/>
  <c r="G28" i="60"/>
  <c r="I28" i="60" s="1"/>
  <c r="D29" i="60"/>
  <c r="E29" i="60"/>
  <c r="H34" i="30"/>
  <c r="I24" i="92"/>
  <c r="B32" i="73"/>
  <c r="F32" i="73"/>
  <c r="H32" i="73" s="1"/>
  <c r="F27" i="77"/>
  <c r="H27" i="77" s="1"/>
  <c r="B27" i="77"/>
  <c r="F25" i="89"/>
  <c r="H25" i="89" s="1"/>
  <c r="B25" i="89"/>
  <c r="H31" i="45"/>
  <c r="H35" i="69"/>
  <c r="C42" i="17"/>
  <c r="B33" i="17"/>
  <c r="F33" i="17"/>
  <c r="H33" i="17" s="1"/>
  <c r="H34" i="34"/>
  <c r="G34" i="30"/>
  <c r="F27" i="79"/>
  <c r="H27" i="79" s="1"/>
  <c r="B27" i="79"/>
  <c r="D34" i="3"/>
  <c r="E34" i="3"/>
  <c r="H29" i="56"/>
  <c r="I29" i="56" s="1"/>
  <c r="E35" i="71"/>
  <c r="D35" i="71"/>
  <c r="B32" i="74"/>
  <c r="F32" i="74"/>
  <c r="H32" i="74" s="1"/>
  <c r="H35" i="31"/>
  <c r="F35" i="29"/>
  <c r="G35" i="29" s="1"/>
  <c r="B35" i="29"/>
  <c r="F34" i="32"/>
  <c r="H34" i="32" s="1"/>
  <c r="B34" i="32"/>
  <c r="G26" i="88"/>
  <c r="I26" i="88" s="1"/>
  <c r="D30" i="64"/>
  <c r="E30" i="64"/>
  <c r="D37" i="28"/>
  <c r="E37" i="28"/>
  <c r="G28" i="68"/>
  <c r="I28" i="68" s="1"/>
  <c r="D29" i="68"/>
  <c r="E29" i="68"/>
  <c r="G35" i="69"/>
  <c r="B25" i="33"/>
  <c r="F25" i="33"/>
  <c r="J108" i="62"/>
  <c r="J110" i="56"/>
  <c r="J112" i="22"/>
  <c r="D25" i="13"/>
  <c r="I32" i="35"/>
  <c r="B29" i="59"/>
  <c r="F29" i="59"/>
  <c r="H29" i="59" s="1"/>
  <c r="H32" i="20"/>
  <c r="I32" i="20" s="1"/>
  <c r="B34" i="18"/>
  <c r="F34" i="18"/>
  <c r="G34" i="18" s="1"/>
  <c r="D26" i="87"/>
  <c r="E26" i="87"/>
  <c r="D33" i="20"/>
  <c r="E33" i="20"/>
  <c r="J105" i="81"/>
  <c r="J111" i="73"/>
  <c r="H33" i="35"/>
  <c r="G33" i="35"/>
  <c r="E34" i="35"/>
  <c r="F34" i="35" s="1"/>
  <c r="B34" i="35"/>
  <c r="E29" i="62"/>
  <c r="D29" i="62"/>
  <c r="B109" i="64"/>
  <c r="F109" i="64"/>
  <c r="F109" i="65"/>
  <c r="B109" i="65"/>
  <c r="H111" i="39"/>
  <c r="I111" i="39"/>
  <c r="J111" i="41"/>
  <c r="E106" i="89"/>
  <c r="D106" i="89"/>
  <c r="G105" i="89"/>
  <c r="G111" i="45"/>
  <c r="E112" i="45"/>
  <c r="D112" i="45"/>
  <c r="D106" i="91"/>
  <c r="G105" i="91"/>
  <c r="E106" i="91"/>
  <c r="I107" i="68"/>
  <c r="H107" i="68"/>
  <c r="I114" i="29"/>
  <c r="H114" i="29"/>
  <c r="F105" i="92"/>
  <c r="B105" i="92"/>
  <c r="F109" i="63"/>
  <c r="B109" i="63"/>
  <c r="I110" i="74"/>
  <c r="N88" i="74" s="1"/>
  <c r="H110" i="74"/>
  <c r="M88" i="74" s="1"/>
  <c r="M89" i="74" s="1"/>
  <c r="B115" i="69"/>
  <c r="F115" i="69"/>
  <c r="J104" i="89"/>
  <c r="H104" i="90"/>
  <c r="I104" i="90"/>
  <c r="H111" i="43"/>
  <c r="I111" i="43"/>
  <c r="I108" i="61"/>
  <c r="H108" i="61"/>
  <c r="H109" i="72"/>
  <c r="I109" i="72"/>
  <c r="I112" i="20"/>
  <c r="H112" i="20"/>
  <c r="I104" i="84"/>
  <c r="H104" i="84"/>
  <c r="I106" i="79"/>
  <c r="H106" i="79"/>
  <c r="I113" i="31"/>
  <c r="H113" i="31"/>
  <c r="I112" i="19"/>
  <c r="H112" i="19"/>
  <c r="H108" i="64"/>
  <c r="I108" i="64"/>
  <c r="F105" i="88"/>
  <c r="B105" i="88"/>
  <c r="F112" i="39"/>
  <c r="B112" i="39"/>
  <c r="F115" i="70"/>
  <c r="B115" i="70"/>
  <c r="H109" i="58"/>
  <c r="I109" i="58"/>
  <c r="F113" i="34"/>
  <c r="B113" i="34"/>
  <c r="B105" i="86"/>
  <c r="F105" i="86"/>
  <c r="H114" i="27"/>
  <c r="I114" i="27"/>
  <c r="D113" i="41"/>
  <c r="E113" i="41"/>
  <c r="G112" i="41"/>
  <c r="B108" i="66"/>
  <c r="F108" i="66"/>
  <c r="F115" i="29"/>
  <c r="B115" i="29"/>
  <c r="H105" i="85"/>
  <c r="I105" i="85"/>
  <c r="F107" i="78"/>
  <c r="B107" i="78"/>
  <c r="I108" i="63"/>
  <c r="H108" i="63"/>
  <c r="I109" i="46"/>
  <c r="H109" i="46"/>
  <c r="D107" i="81"/>
  <c r="G106" i="81"/>
  <c r="E107" i="81"/>
  <c r="B105" i="90"/>
  <c r="F105" i="90"/>
  <c r="I114" i="30"/>
  <c r="H114" i="30"/>
  <c r="F109" i="61"/>
  <c r="B109" i="61"/>
  <c r="I109" i="53"/>
  <c r="H109" i="53"/>
  <c r="B110" i="72"/>
  <c r="F110" i="72"/>
  <c r="H113" i="32"/>
  <c r="I113" i="32"/>
  <c r="B113" i="20"/>
  <c r="F113" i="20"/>
  <c r="F105" i="84"/>
  <c r="B105" i="84"/>
  <c r="F114" i="31"/>
  <c r="B114" i="31"/>
  <c r="F113" i="19"/>
  <c r="B113" i="19"/>
  <c r="I108" i="65"/>
  <c r="H108" i="65"/>
  <c r="I104" i="88"/>
  <c r="H104" i="88"/>
  <c r="J104" i="91"/>
  <c r="I112" i="34"/>
  <c r="N88" i="34" s="1"/>
  <c r="H112" i="34"/>
  <c r="M88" i="34" s="1"/>
  <c r="M89" i="34" s="1"/>
  <c r="B115" i="27"/>
  <c r="F115" i="27"/>
  <c r="G112" i="73"/>
  <c r="D113" i="73"/>
  <c r="E113" i="73"/>
  <c r="F108" i="68"/>
  <c r="B108" i="68"/>
  <c r="I104" i="92"/>
  <c r="H104" i="92"/>
  <c r="H108" i="60"/>
  <c r="I108" i="60"/>
  <c r="I114" i="69"/>
  <c r="H114" i="69"/>
  <c r="F112" i="43"/>
  <c r="B112" i="43"/>
  <c r="F115" i="30"/>
  <c r="B115" i="30"/>
  <c r="E114" i="22"/>
  <c r="D114" i="22"/>
  <c r="G113" i="22"/>
  <c r="H114" i="70"/>
  <c r="I114" i="70"/>
  <c r="F110" i="58"/>
  <c r="B110" i="58"/>
  <c r="I104" i="86"/>
  <c r="N88" i="86" s="1"/>
  <c r="H104" i="86"/>
  <c r="M88" i="86" s="1"/>
  <c r="M89" i="86" s="1"/>
  <c r="I107" i="66"/>
  <c r="H107" i="66"/>
  <c r="B109" i="60"/>
  <c r="F109" i="60"/>
  <c r="B106" i="85"/>
  <c r="F106" i="85"/>
  <c r="G109" i="62"/>
  <c r="D110" i="62"/>
  <c r="E110" i="62"/>
  <c r="I106" i="78"/>
  <c r="H106" i="78"/>
  <c r="F111" i="74"/>
  <c r="B111" i="74"/>
  <c r="B110" i="46"/>
  <c r="F110" i="46"/>
  <c r="J110" i="45"/>
  <c r="B110" i="53"/>
  <c r="F110" i="53"/>
  <c r="F114" i="32"/>
  <c r="B114" i="32"/>
  <c r="F107" i="79"/>
  <c r="B107" i="79"/>
  <c r="E112" i="56"/>
  <c r="D112" i="56"/>
  <c r="G111" i="56"/>
  <c r="H114" i="23"/>
  <c r="I114" i="23"/>
  <c r="F114" i="18"/>
  <c r="B114" i="18"/>
  <c r="F115" i="23"/>
  <c r="B115" i="23"/>
  <c r="F110" i="59"/>
  <c r="B110" i="59"/>
  <c r="I109" i="59"/>
  <c r="H109" i="59"/>
  <c r="J114" i="35"/>
  <c r="I113" i="18"/>
  <c r="H113" i="18"/>
  <c r="H114" i="71"/>
  <c r="I114" i="71"/>
  <c r="H110" i="57"/>
  <c r="I110" i="57"/>
  <c r="F111" i="57"/>
  <c r="B111" i="57"/>
  <c r="B115" i="71"/>
  <c r="F115" i="71"/>
  <c r="J105" i="83"/>
  <c r="G110" i="55"/>
  <c r="E111" i="55"/>
  <c r="D111" i="55"/>
  <c r="H107" i="67"/>
  <c r="I107" i="67"/>
  <c r="J103" i="13"/>
  <c r="J106" i="77"/>
  <c r="J112" i="21"/>
  <c r="F106" i="82"/>
  <c r="B106" i="82"/>
  <c r="I115" i="35"/>
  <c r="H115" i="35"/>
  <c r="B105" i="87"/>
  <c r="F105" i="87"/>
  <c r="D105" i="13"/>
  <c r="E105" i="13" s="1"/>
  <c r="G104" i="13"/>
  <c r="B105" i="96"/>
  <c r="H104" i="87"/>
  <c r="I104" i="87"/>
  <c r="I112" i="3"/>
  <c r="H112" i="3"/>
  <c r="E113" i="42"/>
  <c r="G112" i="42"/>
  <c r="D113" i="42"/>
  <c r="J109" i="55"/>
  <c r="D105" i="33"/>
  <c r="E105" i="33" s="1"/>
  <c r="G104" i="33"/>
  <c r="E108" i="76"/>
  <c r="G107" i="76"/>
  <c r="D108" i="76"/>
  <c r="B112" i="44"/>
  <c r="F112" i="44"/>
  <c r="G106" i="80"/>
  <c r="E107" i="80"/>
  <c r="D107" i="80"/>
  <c r="J106" i="76"/>
  <c r="J109" i="54"/>
  <c r="E105" i="96"/>
  <c r="F105" i="96" s="1"/>
  <c r="J111" i="42"/>
  <c r="D108" i="75"/>
  <c r="G107" i="75"/>
  <c r="E108" i="75"/>
  <c r="F116" i="28"/>
  <c r="B116" i="28"/>
  <c r="D108" i="77"/>
  <c r="E108" i="77"/>
  <c r="G107" i="77"/>
  <c r="J113" i="24"/>
  <c r="D115" i="24"/>
  <c r="G114" i="24"/>
  <c r="E115" i="24"/>
  <c r="I111" i="44"/>
  <c r="H111" i="44"/>
  <c r="J105" i="80"/>
  <c r="J106" i="75"/>
  <c r="J103" i="33"/>
  <c r="H113" i="17"/>
  <c r="I113" i="17"/>
  <c r="D111" i="54"/>
  <c r="G110" i="54"/>
  <c r="E111" i="54"/>
  <c r="J104" i="93"/>
  <c r="B113" i="3"/>
  <c r="F113" i="3"/>
  <c r="D114" i="21"/>
  <c r="G113" i="21"/>
  <c r="E114" i="21"/>
  <c r="B108" i="67"/>
  <c r="F108" i="67"/>
  <c r="E107" i="83"/>
  <c r="G106" i="83"/>
  <c r="D107" i="83"/>
  <c r="I115" i="28"/>
  <c r="H115" i="28"/>
  <c r="G105" i="93"/>
  <c r="D106" i="93"/>
  <c r="E106" i="93" s="1"/>
  <c r="I105" i="82"/>
  <c r="H105" i="82"/>
  <c r="E117" i="35"/>
  <c r="F117" i="35" s="1"/>
  <c r="B117" i="35"/>
  <c r="G116" i="35"/>
  <c r="I104" i="96"/>
  <c r="H104" i="96"/>
  <c r="F37" i="36"/>
  <c r="F75" i="36"/>
  <c r="F48" i="36"/>
  <c r="H30" i="72" l="1"/>
  <c r="G30" i="72"/>
  <c r="E31" i="72"/>
  <c r="F31" i="72" s="1"/>
  <c r="G75" i="36"/>
  <c r="G37" i="36"/>
  <c r="G48" i="36"/>
  <c r="I24" i="13"/>
  <c r="N6" i="13"/>
  <c r="N7" i="13" s="1"/>
  <c r="O88" i="86"/>
  <c r="O89" i="86" s="1"/>
  <c r="N89" i="86"/>
  <c r="N89" i="34"/>
  <c r="O88" i="34"/>
  <c r="O89" i="34" s="1"/>
  <c r="M89" i="94"/>
  <c r="O88" i="94"/>
  <c r="O89" i="94" s="1"/>
  <c r="N89" i="74"/>
  <c r="O88" i="74"/>
  <c r="O89" i="74" s="1"/>
  <c r="E34" i="19"/>
  <c r="F33" i="43"/>
  <c r="E34" i="43" s="1"/>
  <c r="F114" i="17"/>
  <c r="G33" i="19"/>
  <c r="I33" i="19" s="1"/>
  <c r="E25" i="95"/>
  <c r="G24" i="25"/>
  <c r="I24" i="25" s="1"/>
  <c r="D34" i="19"/>
  <c r="F34" i="19" s="1"/>
  <c r="G34" i="19" s="1"/>
  <c r="D25" i="95"/>
  <c r="G25" i="97"/>
  <c r="H24" i="99"/>
  <c r="I24" i="99" s="1"/>
  <c r="D25" i="98"/>
  <c r="E25" i="98"/>
  <c r="H24" i="98"/>
  <c r="G24" i="98"/>
  <c r="E26" i="97"/>
  <c r="F26" i="97" s="1"/>
  <c r="B26" i="97"/>
  <c r="I24" i="97"/>
  <c r="H25" i="97"/>
  <c r="D25" i="99"/>
  <c r="E25" i="99"/>
  <c r="D25" i="25"/>
  <c r="E25" i="25" s="1"/>
  <c r="F25" i="25" s="1"/>
  <c r="B105" i="25"/>
  <c r="E105" i="25"/>
  <c r="F105" i="25" s="1"/>
  <c r="I104" i="25"/>
  <c r="H104" i="25"/>
  <c r="H104" i="99"/>
  <c r="I104" i="99"/>
  <c r="F105" i="99"/>
  <c r="B105" i="99"/>
  <c r="G24" i="95"/>
  <c r="I24" i="95" s="1"/>
  <c r="H26" i="85"/>
  <c r="G26" i="85"/>
  <c r="H30" i="46"/>
  <c r="I30" i="46" s="1"/>
  <c r="G34" i="32"/>
  <c r="I34" i="32" s="1"/>
  <c r="J104" i="95"/>
  <c r="J104" i="98"/>
  <c r="D106" i="97"/>
  <c r="E106" i="97" s="1"/>
  <c r="G105" i="97"/>
  <c r="D106" i="26"/>
  <c r="G105" i="26"/>
  <c r="J104" i="97"/>
  <c r="J104" i="26"/>
  <c r="D106" i="95"/>
  <c r="B106" i="95" s="1"/>
  <c r="G105" i="95"/>
  <c r="D106" i="98"/>
  <c r="G105" i="98"/>
  <c r="E106" i="98"/>
  <c r="J104" i="94"/>
  <c r="D27" i="85"/>
  <c r="F27" i="85" s="1"/>
  <c r="F27" i="80"/>
  <c r="H27" i="80" s="1"/>
  <c r="G27" i="77"/>
  <c r="I27" i="77" s="1"/>
  <c r="G32" i="74"/>
  <c r="I32" i="74" s="1"/>
  <c r="H29" i="67"/>
  <c r="I29" i="67" s="1"/>
  <c r="E30" i="67"/>
  <c r="D30" i="67"/>
  <c r="D31" i="46"/>
  <c r="E31" i="46"/>
  <c r="G32" i="44"/>
  <c r="I32" i="44" s="1"/>
  <c r="G34" i="24"/>
  <c r="I34" i="24" s="1"/>
  <c r="E35" i="24"/>
  <c r="D35" i="24"/>
  <c r="H33" i="41"/>
  <c r="I33" i="41" s="1"/>
  <c r="G29" i="66"/>
  <c r="I29" i="66" s="1"/>
  <c r="G33" i="21"/>
  <c r="B27" i="80"/>
  <c r="B27" i="86"/>
  <c r="F27" i="86"/>
  <c r="G24" i="93"/>
  <c r="I24" i="93" s="1"/>
  <c r="D25" i="93"/>
  <c r="E25" i="93"/>
  <c r="B28" i="82"/>
  <c r="F28" i="82"/>
  <c r="G28" i="82" s="1"/>
  <c r="G25" i="94"/>
  <c r="I25" i="94" s="1"/>
  <c r="D26" i="94"/>
  <c r="E26" i="94"/>
  <c r="E27" i="84"/>
  <c r="D27" i="84"/>
  <c r="E28" i="90"/>
  <c r="D28" i="90"/>
  <c r="I33" i="21"/>
  <c r="G26" i="84"/>
  <c r="G105" i="94"/>
  <c r="D106" i="94"/>
  <c r="F32" i="58"/>
  <c r="H32" i="58" s="1"/>
  <c r="B32" i="58"/>
  <c r="B28" i="75"/>
  <c r="F28" i="75"/>
  <c r="G28" i="75" s="1"/>
  <c r="H26" i="84"/>
  <c r="H30" i="53"/>
  <c r="I30" i="53" s="1"/>
  <c r="E31" i="53"/>
  <c r="D31" i="53"/>
  <c r="H27" i="90"/>
  <c r="B33" i="42"/>
  <c r="F33" i="42"/>
  <c r="H33" i="42" s="1"/>
  <c r="I31" i="58"/>
  <c r="B32" i="55"/>
  <c r="F32" i="55"/>
  <c r="G32" i="55" s="1"/>
  <c r="G35" i="23"/>
  <c r="D36" i="23"/>
  <c r="E36" i="23"/>
  <c r="H35" i="23"/>
  <c r="I24" i="26"/>
  <c r="F29" i="65"/>
  <c r="H29" i="65" s="1"/>
  <c r="B29" i="65"/>
  <c r="E30" i="66"/>
  <c r="D30" i="66"/>
  <c r="G27" i="90"/>
  <c r="G26" i="91"/>
  <c r="I26" i="91" s="1"/>
  <c r="D27" i="91"/>
  <c r="E27" i="91"/>
  <c r="H34" i="18"/>
  <c r="I34" i="18" s="1"/>
  <c r="E33" i="44"/>
  <c r="D33" i="44"/>
  <c r="H27" i="76"/>
  <c r="D28" i="76"/>
  <c r="E28" i="76"/>
  <c r="G35" i="27"/>
  <c r="D36" i="27"/>
  <c r="E36" i="27"/>
  <c r="H35" i="27"/>
  <c r="D30" i="61"/>
  <c r="E30" i="61"/>
  <c r="E34" i="22"/>
  <c r="D34" i="22"/>
  <c r="E25" i="96"/>
  <c r="D25" i="96"/>
  <c r="F33" i="39"/>
  <c r="G33" i="39" s="1"/>
  <c r="B33" i="39"/>
  <c r="G27" i="76"/>
  <c r="B31" i="72"/>
  <c r="G33" i="17"/>
  <c r="I33" i="17" s="1"/>
  <c r="I35" i="69"/>
  <c r="H29" i="61"/>
  <c r="I29" i="61" s="1"/>
  <c r="H24" i="96"/>
  <c r="I24" i="96" s="1"/>
  <c r="G26" i="81"/>
  <c r="I26" i="81" s="1"/>
  <c r="E27" i="81"/>
  <c r="D27" i="81"/>
  <c r="H33" i="22"/>
  <c r="I33" i="22" s="1"/>
  <c r="I31" i="45"/>
  <c r="I34" i="34"/>
  <c r="I35" i="31"/>
  <c r="D26" i="33"/>
  <c r="E26" i="33" s="1"/>
  <c r="F26" i="83"/>
  <c r="H26" i="83" s="1"/>
  <c r="B26" i="83"/>
  <c r="G27" i="78"/>
  <c r="E28" i="78"/>
  <c r="D28" i="78"/>
  <c r="F29" i="68"/>
  <c r="G29" i="68" s="1"/>
  <c r="B29" i="68"/>
  <c r="D34" i="17"/>
  <c r="E34" i="17"/>
  <c r="D34" i="43"/>
  <c r="B29" i="60"/>
  <c r="F29" i="60"/>
  <c r="E25" i="26"/>
  <c r="F25" i="26" s="1"/>
  <c r="B25" i="26"/>
  <c r="B35" i="30"/>
  <c r="F35" i="30"/>
  <c r="H35" i="30" s="1"/>
  <c r="D31" i="54"/>
  <c r="E31" i="54"/>
  <c r="G35" i="70"/>
  <c r="D36" i="70"/>
  <c r="E36" i="70"/>
  <c r="F37" i="28"/>
  <c r="B37" i="28"/>
  <c r="E26" i="89"/>
  <c r="D26" i="89"/>
  <c r="F36" i="31"/>
  <c r="G36" i="31" s="1"/>
  <c r="B36" i="31"/>
  <c r="E26" i="92"/>
  <c r="D26" i="92"/>
  <c r="G29" i="59"/>
  <c r="I29" i="59" s="1"/>
  <c r="H25" i="33"/>
  <c r="B30" i="64"/>
  <c r="F30" i="64"/>
  <c r="H30" i="64" s="1"/>
  <c r="B34" i="3"/>
  <c r="F34" i="3"/>
  <c r="G34" i="3" s="1"/>
  <c r="E28" i="79"/>
  <c r="D28" i="79"/>
  <c r="G25" i="89"/>
  <c r="I25" i="89" s="1"/>
  <c r="E33" i="73"/>
  <c r="D33" i="73"/>
  <c r="F27" i="88"/>
  <c r="H27" i="88" s="1"/>
  <c r="B27" i="88"/>
  <c r="D31" i="57"/>
  <c r="E31" i="57"/>
  <c r="H35" i="29"/>
  <c r="I35" i="29" s="1"/>
  <c r="D36" i="29"/>
  <c r="E36" i="29"/>
  <c r="F30" i="56"/>
  <c r="H30" i="56" s="1"/>
  <c r="B30" i="56"/>
  <c r="B32" i="45"/>
  <c r="F32" i="45"/>
  <c r="G25" i="33"/>
  <c r="E35" i="32"/>
  <c r="D35" i="32"/>
  <c r="D33" i="74"/>
  <c r="E33" i="74"/>
  <c r="F35" i="71"/>
  <c r="G35" i="71" s="1"/>
  <c r="B35" i="71"/>
  <c r="G27" i="79"/>
  <c r="I27" i="79" s="1"/>
  <c r="D28" i="77"/>
  <c r="E28" i="77"/>
  <c r="G32" i="73"/>
  <c r="I32" i="73" s="1"/>
  <c r="I34" i="30"/>
  <c r="B36" i="69"/>
  <c r="F36" i="69"/>
  <c r="H27" i="78"/>
  <c r="E34" i="21"/>
  <c r="D34" i="21"/>
  <c r="D34" i="41"/>
  <c r="E34" i="41"/>
  <c r="H29" i="63"/>
  <c r="I29" i="63" s="1"/>
  <c r="D30" i="63"/>
  <c r="E30" i="63"/>
  <c r="H30" i="54"/>
  <c r="I30" i="54" s="1"/>
  <c r="H35" i="70"/>
  <c r="B35" i="34"/>
  <c r="F35" i="34"/>
  <c r="G35" i="34" s="1"/>
  <c r="H30" i="57"/>
  <c r="I30" i="57" s="1"/>
  <c r="H25" i="92"/>
  <c r="I25" i="92" s="1"/>
  <c r="J106" i="78"/>
  <c r="J114" i="69"/>
  <c r="J104" i="92"/>
  <c r="J104" i="88"/>
  <c r="J109" i="53"/>
  <c r="J114" i="30"/>
  <c r="J105" i="85"/>
  <c r="J113" i="31"/>
  <c r="J104" i="84"/>
  <c r="J111" i="39"/>
  <c r="J107" i="66"/>
  <c r="J108" i="60"/>
  <c r="J112" i="34"/>
  <c r="J108" i="63"/>
  <c r="J114" i="27"/>
  <c r="J104" i="90"/>
  <c r="E35" i="35"/>
  <c r="F35" i="35" s="1"/>
  <c r="B35" i="35"/>
  <c r="G34" i="35"/>
  <c r="H34" i="35"/>
  <c r="B33" i="20"/>
  <c r="F33" i="20"/>
  <c r="G33" i="20" s="1"/>
  <c r="B29" i="62"/>
  <c r="F29" i="62"/>
  <c r="H29" i="62" s="1"/>
  <c r="B25" i="13"/>
  <c r="J114" i="23"/>
  <c r="J104" i="86"/>
  <c r="J110" i="74"/>
  <c r="J107" i="68"/>
  <c r="I33" i="35"/>
  <c r="B26" i="87"/>
  <c r="F26" i="87"/>
  <c r="G26" i="87" s="1"/>
  <c r="D35" i="18"/>
  <c r="E35" i="18"/>
  <c r="E30" i="59"/>
  <c r="D30" i="59"/>
  <c r="E25" i="13"/>
  <c r="F25" i="13" s="1"/>
  <c r="D111" i="53"/>
  <c r="E111" i="53"/>
  <c r="G110" i="53"/>
  <c r="D107" i="85"/>
  <c r="E107" i="85"/>
  <c r="G106" i="85"/>
  <c r="I113" i="22"/>
  <c r="H113" i="22"/>
  <c r="D116" i="30"/>
  <c r="G115" i="30"/>
  <c r="E116" i="30"/>
  <c r="F113" i="73"/>
  <c r="B113" i="73"/>
  <c r="D114" i="19"/>
  <c r="E114" i="19"/>
  <c r="G113" i="19"/>
  <c r="G105" i="84"/>
  <c r="E106" i="84"/>
  <c r="D106" i="84"/>
  <c r="H106" i="81"/>
  <c r="I106" i="81"/>
  <c r="E109" i="66"/>
  <c r="D109" i="66"/>
  <c r="G108" i="66"/>
  <c r="F113" i="41"/>
  <c r="B113" i="41"/>
  <c r="G112" i="39"/>
  <c r="E113" i="39"/>
  <c r="D113" i="39"/>
  <c r="D116" i="69"/>
  <c r="G115" i="69"/>
  <c r="E116" i="69"/>
  <c r="D108" i="79"/>
  <c r="E108" i="79"/>
  <c r="G107" i="79"/>
  <c r="G110" i="58"/>
  <c r="D111" i="58"/>
  <c r="E111" i="58"/>
  <c r="F114" i="22"/>
  <c r="B114" i="22"/>
  <c r="I112" i="73"/>
  <c r="H112" i="73"/>
  <c r="E114" i="20"/>
  <c r="D114" i="20"/>
  <c r="G113" i="20"/>
  <c r="G110" i="72"/>
  <c r="D111" i="72"/>
  <c r="E111" i="72"/>
  <c r="E106" i="90"/>
  <c r="G105" i="90"/>
  <c r="D106" i="90"/>
  <c r="B107" i="81"/>
  <c r="F107" i="81"/>
  <c r="E110" i="63"/>
  <c r="D110" i="63"/>
  <c r="G109" i="63"/>
  <c r="J114" i="29"/>
  <c r="H105" i="91"/>
  <c r="I105" i="91"/>
  <c r="H111" i="45"/>
  <c r="I111" i="45"/>
  <c r="G109" i="65"/>
  <c r="E110" i="65"/>
  <c r="D110" i="65"/>
  <c r="J113" i="18"/>
  <c r="J109" i="59"/>
  <c r="D112" i="74"/>
  <c r="G111" i="74"/>
  <c r="E112" i="74"/>
  <c r="B110" i="62"/>
  <c r="F110" i="62"/>
  <c r="D110" i="60"/>
  <c r="E110" i="60"/>
  <c r="G109" i="60"/>
  <c r="J114" i="70"/>
  <c r="D113" i="43"/>
  <c r="E113" i="43"/>
  <c r="G112" i="43"/>
  <c r="D109" i="68"/>
  <c r="E109" i="68"/>
  <c r="G108" i="68"/>
  <c r="E116" i="27"/>
  <c r="G115" i="27"/>
  <c r="D116" i="27"/>
  <c r="J108" i="65"/>
  <c r="G114" i="31"/>
  <c r="D115" i="31"/>
  <c r="E115" i="31"/>
  <c r="E110" i="61"/>
  <c r="D110" i="61"/>
  <c r="G109" i="61"/>
  <c r="I112" i="41"/>
  <c r="H112" i="41"/>
  <c r="G113" i="34"/>
  <c r="E114" i="34"/>
  <c r="D114" i="34"/>
  <c r="D116" i="70"/>
  <c r="E116" i="70"/>
  <c r="G115" i="70"/>
  <c r="G105" i="88"/>
  <c r="E106" i="88"/>
  <c r="D106" i="88"/>
  <c r="J112" i="19"/>
  <c r="J106" i="79"/>
  <c r="J112" i="20"/>
  <c r="J108" i="61"/>
  <c r="F106" i="91"/>
  <c r="B106" i="91"/>
  <c r="H105" i="89"/>
  <c r="I105" i="89"/>
  <c r="E110" i="64"/>
  <c r="D110" i="64"/>
  <c r="G109" i="64"/>
  <c r="G114" i="32"/>
  <c r="D115" i="32"/>
  <c r="E115" i="32"/>
  <c r="G110" i="46"/>
  <c r="E111" i="46"/>
  <c r="D111" i="46"/>
  <c r="H109" i="62"/>
  <c r="I109" i="62"/>
  <c r="J113" i="32"/>
  <c r="J109" i="46"/>
  <c r="G107" i="78"/>
  <c r="D108" i="78"/>
  <c r="E108" i="78"/>
  <c r="D116" i="29"/>
  <c r="G115" i="29"/>
  <c r="E116" i="29"/>
  <c r="E106" i="86"/>
  <c r="G105" i="86"/>
  <c r="D106" i="86"/>
  <c r="J109" i="58"/>
  <c r="J108" i="64"/>
  <c r="J109" i="72"/>
  <c r="J111" i="43"/>
  <c r="E106" i="92"/>
  <c r="D106" i="92"/>
  <c r="G105" i="92"/>
  <c r="B112" i="45"/>
  <c r="F112" i="45"/>
  <c r="F106" i="89"/>
  <c r="B106" i="89"/>
  <c r="D111" i="59"/>
  <c r="E111" i="59"/>
  <c r="G110" i="59"/>
  <c r="F112" i="56"/>
  <c r="B112" i="56"/>
  <c r="E116" i="23"/>
  <c r="G115" i="23"/>
  <c r="D116" i="23"/>
  <c r="G114" i="18"/>
  <c r="E115" i="18"/>
  <c r="D115" i="18"/>
  <c r="J114" i="71"/>
  <c r="H111" i="56"/>
  <c r="I111" i="56"/>
  <c r="D112" i="57"/>
  <c r="G111" i="57"/>
  <c r="E112" i="57"/>
  <c r="D116" i="71"/>
  <c r="G115" i="71"/>
  <c r="E116" i="71"/>
  <c r="J110" i="57"/>
  <c r="J111" i="44"/>
  <c r="I114" i="24"/>
  <c r="H114" i="24"/>
  <c r="G112" i="44"/>
  <c r="D113" i="44"/>
  <c r="E113" i="44"/>
  <c r="J104" i="96"/>
  <c r="G117" i="35"/>
  <c r="E118" i="35"/>
  <c r="F118" i="35" s="1"/>
  <c r="B118" i="35"/>
  <c r="D109" i="67"/>
  <c r="G108" i="67"/>
  <c r="E109" i="67"/>
  <c r="I107" i="77"/>
  <c r="H107" i="77"/>
  <c r="H104" i="33"/>
  <c r="I104" i="33"/>
  <c r="D107" i="82"/>
  <c r="G106" i="82"/>
  <c r="E107" i="82"/>
  <c r="I113" i="21"/>
  <c r="H113" i="21"/>
  <c r="B111" i="54"/>
  <c r="F111" i="54"/>
  <c r="D117" i="28"/>
  <c r="G116" i="28"/>
  <c r="E117" i="28"/>
  <c r="B107" i="80"/>
  <c r="F107" i="80"/>
  <c r="F108" i="76"/>
  <c r="B108" i="76"/>
  <c r="B113" i="42"/>
  <c r="F113" i="42"/>
  <c r="H104" i="13"/>
  <c r="M88" i="13" s="1"/>
  <c r="M89" i="13" s="1"/>
  <c r="I104" i="13"/>
  <c r="N88" i="13" s="1"/>
  <c r="D106" i="87"/>
  <c r="G105" i="87"/>
  <c r="E106" i="87"/>
  <c r="B111" i="55"/>
  <c r="F111" i="55"/>
  <c r="I105" i="93"/>
  <c r="H105" i="93"/>
  <c r="G113" i="3"/>
  <c r="D114" i="3"/>
  <c r="E114" i="3"/>
  <c r="F108" i="75"/>
  <c r="B108" i="75"/>
  <c r="I106" i="80"/>
  <c r="H106" i="80"/>
  <c r="J112" i="3"/>
  <c r="J104" i="87"/>
  <c r="G105" i="96"/>
  <c r="D106" i="96"/>
  <c r="H110" i="55"/>
  <c r="I110" i="55"/>
  <c r="B107" i="83"/>
  <c r="F107" i="83"/>
  <c r="H110" i="54"/>
  <c r="I110" i="54"/>
  <c r="F115" i="24"/>
  <c r="B115" i="24"/>
  <c r="G114" i="17"/>
  <c r="D115" i="17"/>
  <c r="E115" i="17"/>
  <c r="H106" i="83"/>
  <c r="I106" i="83"/>
  <c r="H116" i="35"/>
  <c r="I116" i="35"/>
  <c r="J105" i="82"/>
  <c r="F106" i="93"/>
  <c r="B106" i="93"/>
  <c r="J115" i="28"/>
  <c r="F114" i="21"/>
  <c r="B114" i="21"/>
  <c r="J113" i="17"/>
  <c r="F108" i="77"/>
  <c r="B108" i="77"/>
  <c r="H107" i="75"/>
  <c r="I107" i="75"/>
  <c r="H107" i="76"/>
  <c r="I107" i="76"/>
  <c r="F105" i="33"/>
  <c r="B105" i="33"/>
  <c r="H112" i="42"/>
  <c r="I112" i="42"/>
  <c r="F105" i="13"/>
  <c r="B105" i="13"/>
  <c r="J115" i="35"/>
  <c r="J107" i="67"/>
  <c r="I30" i="72" l="1"/>
  <c r="H33" i="43"/>
  <c r="G33" i="43"/>
  <c r="O88" i="13"/>
  <c r="O89" i="13" s="1"/>
  <c r="N89" i="13"/>
  <c r="F25" i="95"/>
  <c r="G25" i="95" s="1"/>
  <c r="B25" i="95"/>
  <c r="B34" i="19"/>
  <c r="I25" i="97"/>
  <c r="I26" i="85"/>
  <c r="D26" i="25"/>
  <c r="B26" i="25" s="1"/>
  <c r="D27" i="97"/>
  <c r="E27" i="97"/>
  <c r="H26" i="97"/>
  <c r="G26" i="97"/>
  <c r="F25" i="99"/>
  <c r="D26" i="99" s="1"/>
  <c r="B25" i="99"/>
  <c r="I24" i="98"/>
  <c r="B25" i="25"/>
  <c r="G25" i="25"/>
  <c r="H25" i="25"/>
  <c r="F25" i="98"/>
  <c r="B25" i="98"/>
  <c r="J104" i="25"/>
  <c r="G105" i="25"/>
  <c r="D106" i="25"/>
  <c r="E106" i="99"/>
  <c r="D106" i="99"/>
  <c r="G105" i="99"/>
  <c r="J104" i="99"/>
  <c r="D28" i="80"/>
  <c r="B28" i="80" s="1"/>
  <c r="B27" i="85"/>
  <c r="E28" i="80"/>
  <c r="G27" i="80"/>
  <c r="I27" i="80" s="1"/>
  <c r="F106" i="95"/>
  <c r="D107" i="95" s="1"/>
  <c r="E107" i="95" s="1"/>
  <c r="H105" i="98"/>
  <c r="I105" i="98"/>
  <c r="B106" i="98"/>
  <c r="F106" i="98"/>
  <c r="H105" i="95"/>
  <c r="I105" i="95"/>
  <c r="H105" i="26"/>
  <c r="I105" i="26"/>
  <c r="I105" i="97"/>
  <c r="H105" i="97"/>
  <c r="B106" i="26"/>
  <c r="E106" i="26"/>
  <c r="F106" i="26" s="1"/>
  <c r="F106" i="97"/>
  <c r="B106" i="97"/>
  <c r="G27" i="88"/>
  <c r="I27" i="88" s="1"/>
  <c r="B30" i="67"/>
  <c r="F30" i="67"/>
  <c r="G30" i="67" s="1"/>
  <c r="F31" i="46"/>
  <c r="H31" i="46" s="1"/>
  <c r="B31" i="46"/>
  <c r="F35" i="24"/>
  <c r="H35" i="24" s="1"/>
  <c r="B35" i="24"/>
  <c r="B26" i="94"/>
  <c r="F26" i="94"/>
  <c r="G26" i="94" s="1"/>
  <c r="E28" i="86"/>
  <c r="D28" i="86"/>
  <c r="G27" i="86"/>
  <c r="H27" i="86"/>
  <c r="I35" i="27"/>
  <c r="F25" i="93"/>
  <c r="G25" i="93" s="1"/>
  <c r="B25" i="93"/>
  <c r="I35" i="23"/>
  <c r="H28" i="82"/>
  <c r="I28" i="82" s="1"/>
  <c r="D29" i="82"/>
  <c r="E29" i="82"/>
  <c r="I27" i="78"/>
  <c r="H32" i="55"/>
  <c r="I32" i="55" s="1"/>
  <c r="E33" i="55"/>
  <c r="D33" i="55"/>
  <c r="G33" i="42"/>
  <c r="I33" i="42" s="1"/>
  <c r="E34" i="42"/>
  <c r="D34" i="42"/>
  <c r="B31" i="53"/>
  <c r="F31" i="53"/>
  <c r="H31" i="53" s="1"/>
  <c r="I105" i="94"/>
  <c r="H105" i="94"/>
  <c r="H35" i="34"/>
  <c r="I35" i="34" s="1"/>
  <c r="I25" i="33"/>
  <c r="H29" i="68"/>
  <c r="I29" i="68" s="1"/>
  <c r="F30" i="66"/>
  <c r="G30" i="66" s="1"/>
  <c r="B30" i="66"/>
  <c r="G29" i="65"/>
  <c r="I29" i="65" s="1"/>
  <c r="D30" i="65"/>
  <c r="E30" i="65"/>
  <c r="B36" i="23"/>
  <c r="F36" i="23"/>
  <c r="G36" i="23" s="1"/>
  <c r="H28" i="75"/>
  <c r="I28" i="75" s="1"/>
  <c r="E29" i="75"/>
  <c r="D29" i="75"/>
  <c r="G32" i="58"/>
  <c r="I32" i="58" s="1"/>
  <c r="E33" i="58"/>
  <c r="D33" i="58"/>
  <c r="F27" i="84"/>
  <c r="H27" i="84" s="1"/>
  <c r="B27" i="84"/>
  <c r="B28" i="90"/>
  <c r="F28" i="90"/>
  <c r="H34" i="3"/>
  <c r="I34" i="3" s="1"/>
  <c r="H33" i="39"/>
  <c r="I33" i="39" s="1"/>
  <c r="F27" i="91"/>
  <c r="B27" i="91"/>
  <c r="I27" i="90"/>
  <c r="I26" i="84"/>
  <c r="E106" i="94"/>
  <c r="F106" i="94" s="1"/>
  <c r="B106" i="94"/>
  <c r="D32" i="72"/>
  <c r="E32" i="72"/>
  <c r="F34" i="22"/>
  <c r="H34" i="22" s="1"/>
  <c r="D28" i="85"/>
  <c r="E28" i="85"/>
  <c r="B27" i="81"/>
  <c r="F27" i="81"/>
  <c r="G27" i="81" s="1"/>
  <c r="G31" i="72"/>
  <c r="B36" i="27"/>
  <c r="F36" i="27"/>
  <c r="H36" i="27" s="1"/>
  <c r="G27" i="85"/>
  <c r="F33" i="44"/>
  <c r="H33" i="44" s="1"/>
  <c r="H31" i="72"/>
  <c r="F25" i="96"/>
  <c r="H25" i="96" s="1"/>
  <c r="B25" i="96"/>
  <c r="F30" i="61"/>
  <c r="H30" i="61" s="1"/>
  <c r="B30" i="61"/>
  <c r="B28" i="76"/>
  <c r="F28" i="76"/>
  <c r="G28" i="76" s="1"/>
  <c r="D34" i="39"/>
  <c r="E34" i="39"/>
  <c r="B34" i="22"/>
  <c r="H25" i="95"/>
  <c r="I25" i="95" s="1"/>
  <c r="I27" i="76"/>
  <c r="H27" i="85"/>
  <c r="I35" i="70"/>
  <c r="H25" i="26"/>
  <c r="D26" i="26"/>
  <c r="G25" i="26"/>
  <c r="B34" i="41"/>
  <c r="F34" i="41"/>
  <c r="H29" i="60"/>
  <c r="D30" i="60"/>
  <c r="E30" i="60"/>
  <c r="B30" i="63"/>
  <c r="F30" i="63"/>
  <c r="B34" i="21"/>
  <c r="F34" i="21"/>
  <c r="G34" i="21" s="1"/>
  <c r="G36" i="69"/>
  <c r="D37" i="69"/>
  <c r="E37" i="69"/>
  <c r="B28" i="77"/>
  <c r="F28" i="77"/>
  <c r="H28" i="77" s="1"/>
  <c r="B33" i="74"/>
  <c r="F33" i="74"/>
  <c r="G33" i="74" s="1"/>
  <c r="D33" i="45"/>
  <c r="E33" i="45"/>
  <c r="I33" i="43"/>
  <c r="D35" i="19"/>
  <c r="E35" i="19"/>
  <c r="B26" i="92"/>
  <c r="D37" i="31"/>
  <c r="E37" i="31"/>
  <c r="D38" i="28"/>
  <c r="E38" i="28"/>
  <c r="B31" i="54"/>
  <c r="F31" i="54"/>
  <c r="G31" i="54" s="1"/>
  <c r="B28" i="78"/>
  <c r="F28" i="78"/>
  <c r="G28" i="78" s="1"/>
  <c r="B26" i="33"/>
  <c r="F26" i="33"/>
  <c r="D27" i="33" s="1"/>
  <c r="E31" i="56"/>
  <c r="D31" i="56"/>
  <c r="H26" i="87"/>
  <c r="I26" i="87" s="1"/>
  <c r="H33" i="20"/>
  <c r="I33" i="20" s="1"/>
  <c r="I34" i="35"/>
  <c r="H36" i="69"/>
  <c r="E36" i="71"/>
  <c r="D36" i="71"/>
  <c r="F35" i="32"/>
  <c r="B35" i="32"/>
  <c r="G32" i="45"/>
  <c r="G30" i="56"/>
  <c r="I30" i="56" s="1"/>
  <c r="B36" i="29"/>
  <c r="F36" i="29"/>
  <c r="G36" i="29" s="1"/>
  <c r="B31" i="57"/>
  <c r="F31" i="57"/>
  <c r="G31" i="57" s="1"/>
  <c r="E28" i="88"/>
  <c r="D28" i="88"/>
  <c r="F33" i="73"/>
  <c r="B33" i="73"/>
  <c r="H34" i="19"/>
  <c r="I34" i="19" s="1"/>
  <c r="G30" i="64"/>
  <c r="I30" i="64" s="1"/>
  <c r="E31" i="64"/>
  <c r="D31" i="64"/>
  <c r="F26" i="92"/>
  <c r="H26" i="92" s="1"/>
  <c r="H36" i="31"/>
  <c r="I36" i="31" s="1"/>
  <c r="H37" i="28"/>
  <c r="F36" i="70"/>
  <c r="H36" i="70" s="1"/>
  <c r="B36" i="70"/>
  <c r="G35" i="30"/>
  <c r="I35" i="30" s="1"/>
  <c r="D36" i="30"/>
  <c r="E36" i="30"/>
  <c r="G26" i="83"/>
  <c r="I26" i="83" s="1"/>
  <c r="D27" i="83"/>
  <c r="E27" i="83"/>
  <c r="D36" i="34"/>
  <c r="E36" i="34"/>
  <c r="H35" i="71"/>
  <c r="I35" i="71" s="1"/>
  <c r="H32" i="45"/>
  <c r="F28" i="79"/>
  <c r="B28" i="79"/>
  <c r="D35" i="3"/>
  <c r="E35" i="3"/>
  <c r="B26" i="89"/>
  <c r="F26" i="89"/>
  <c r="H26" i="89" s="1"/>
  <c r="G37" i="28"/>
  <c r="G29" i="60"/>
  <c r="F34" i="43"/>
  <c r="G34" i="43" s="1"/>
  <c r="B34" i="43"/>
  <c r="F34" i="17"/>
  <c r="G34" i="17" s="1"/>
  <c r="C43" i="17"/>
  <c r="B34" i="17"/>
  <c r="E30" i="68"/>
  <c r="D30" i="68"/>
  <c r="J112" i="41"/>
  <c r="D26" i="13"/>
  <c r="E26" i="13" s="1"/>
  <c r="G25" i="13"/>
  <c r="H25" i="13"/>
  <c r="J104" i="13"/>
  <c r="J105" i="91"/>
  <c r="B30" i="59"/>
  <c r="F30" i="59"/>
  <c r="G30" i="59" s="1"/>
  <c r="E30" i="62"/>
  <c r="D30" i="62"/>
  <c r="G35" i="35"/>
  <c r="E36" i="35"/>
  <c r="F36" i="35" s="1"/>
  <c r="B36" i="35"/>
  <c r="H35" i="35"/>
  <c r="E27" i="87"/>
  <c r="D27" i="87"/>
  <c r="B35" i="18"/>
  <c r="F35" i="18"/>
  <c r="H35" i="18" s="1"/>
  <c r="J112" i="73"/>
  <c r="G29" i="62"/>
  <c r="I29" i="62" s="1"/>
  <c r="E34" i="20"/>
  <c r="D34" i="20"/>
  <c r="F106" i="86"/>
  <c r="B106" i="86"/>
  <c r="I115" i="29"/>
  <c r="H115" i="29"/>
  <c r="H107" i="78"/>
  <c r="I107" i="78"/>
  <c r="F110" i="64"/>
  <c r="B110" i="64"/>
  <c r="H105" i="88"/>
  <c r="I105" i="88"/>
  <c r="B114" i="34"/>
  <c r="F114" i="34"/>
  <c r="B116" i="27"/>
  <c r="F116" i="27"/>
  <c r="B113" i="43"/>
  <c r="F113" i="43"/>
  <c r="B110" i="60"/>
  <c r="F110" i="60"/>
  <c r="H111" i="74"/>
  <c r="I111" i="74"/>
  <c r="F110" i="65"/>
  <c r="B110" i="65"/>
  <c r="H109" i="63"/>
  <c r="I109" i="63"/>
  <c r="B114" i="20"/>
  <c r="F114" i="20"/>
  <c r="H110" i="58"/>
  <c r="I110" i="58"/>
  <c r="I108" i="66"/>
  <c r="H108" i="66"/>
  <c r="I113" i="19"/>
  <c r="H113" i="19"/>
  <c r="E114" i="73"/>
  <c r="D114" i="73"/>
  <c r="G113" i="73"/>
  <c r="B107" i="85"/>
  <c r="F107" i="85"/>
  <c r="H105" i="92"/>
  <c r="I105" i="92"/>
  <c r="I105" i="86"/>
  <c r="H105" i="86"/>
  <c r="F116" i="29"/>
  <c r="B116" i="29"/>
  <c r="F111" i="46"/>
  <c r="B111" i="46"/>
  <c r="B115" i="32"/>
  <c r="F115" i="32"/>
  <c r="D107" i="91"/>
  <c r="G106" i="91"/>
  <c r="E107" i="91"/>
  <c r="I115" i="70"/>
  <c r="H115" i="70"/>
  <c r="H109" i="61"/>
  <c r="I109" i="61"/>
  <c r="F115" i="31"/>
  <c r="B115" i="31"/>
  <c r="H115" i="27"/>
  <c r="I115" i="27"/>
  <c r="F109" i="68"/>
  <c r="B109" i="68"/>
  <c r="G110" i="62"/>
  <c r="E111" i="62"/>
  <c r="D111" i="62"/>
  <c r="B112" i="74"/>
  <c r="F112" i="74"/>
  <c r="B110" i="63"/>
  <c r="F110" i="63"/>
  <c r="B106" i="90"/>
  <c r="F106" i="90"/>
  <c r="F111" i="72"/>
  <c r="B111" i="72"/>
  <c r="G114" i="22"/>
  <c r="D115" i="22"/>
  <c r="E115" i="22"/>
  <c r="I107" i="79"/>
  <c r="H107" i="79"/>
  <c r="H115" i="69"/>
  <c r="I115" i="69"/>
  <c r="I112" i="39"/>
  <c r="H112" i="39"/>
  <c r="B109" i="66"/>
  <c r="F109" i="66"/>
  <c r="B106" i="84"/>
  <c r="F106" i="84"/>
  <c r="J113" i="22"/>
  <c r="I110" i="53"/>
  <c r="H110" i="53"/>
  <c r="J107" i="76"/>
  <c r="E107" i="89"/>
  <c r="G106" i="89"/>
  <c r="D107" i="89"/>
  <c r="F106" i="92"/>
  <c r="B106" i="92"/>
  <c r="I114" i="32"/>
  <c r="H114" i="32"/>
  <c r="J105" i="89"/>
  <c r="F106" i="88"/>
  <c r="B106" i="88"/>
  <c r="H113" i="34"/>
  <c r="I113" i="34"/>
  <c r="B110" i="61"/>
  <c r="F110" i="61"/>
  <c r="I114" i="31"/>
  <c r="H114" i="31"/>
  <c r="H112" i="43"/>
  <c r="I112" i="43"/>
  <c r="I109" i="60"/>
  <c r="H109" i="60"/>
  <c r="I109" i="65"/>
  <c r="H109" i="65"/>
  <c r="I105" i="90"/>
  <c r="H105" i="90"/>
  <c r="H110" i="72"/>
  <c r="I110" i="72"/>
  <c r="F116" i="69"/>
  <c r="B116" i="69"/>
  <c r="B114" i="19"/>
  <c r="F114" i="19"/>
  <c r="I115" i="30"/>
  <c r="H115" i="30"/>
  <c r="H106" i="85"/>
  <c r="I106" i="85"/>
  <c r="J110" i="55"/>
  <c r="D113" i="45"/>
  <c r="E113" i="45"/>
  <c r="G112" i="45"/>
  <c r="F108" i="78"/>
  <c r="B108" i="78"/>
  <c r="J109" i="62"/>
  <c r="I110" i="46"/>
  <c r="H110" i="46"/>
  <c r="H109" i="64"/>
  <c r="I109" i="64"/>
  <c r="F116" i="70"/>
  <c r="B116" i="70"/>
  <c r="H108" i="68"/>
  <c r="I108" i="68"/>
  <c r="J111" i="45"/>
  <c r="G107" i="81"/>
  <c r="E108" i="81"/>
  <c r="D108" i="81"/>
  <c r="I113" i="20"/>
  <c r="H113" i="20"/>
  <c r="F111" i="58"/>
  <c r="B111" i="58"/>
  <c r="B108" i="79"/>
  <c r="F108" i="79"/>
  <c r="F113" i="39"/>
  <c r="B113" i="39"/>
  <c r="D114" i="41"/>
  <c r="G113" i="41"/>
  <c r="E114" i="41"/>
  <c r="J106" i="81"/>
  <c r="I105" i="84"/>
  <c r="H105" i="84"/>
  <c r="F116" i="30"/>
  <c r="B116" i="30"/>
  <c r="B111" i="53"/>
  <c r="F111" i="53"/>
  <c r="G112" i="56"/>
  <c r="E113" i="56"/>
  <c r="D113" i="56"/>
  <c r="H114" i="18"/>
  <c r="I114" i="18"/>
  <c r="I115" i="23"/>
  <c r="H115" i="23"/>
  <c r="H110" i="59"/>
  <c r="I110" i="59"/>
  <c r="B116" i="23"/>
  <c r="F116" i="23"/>
  <c r="J107" i="75"/>
  <c r="J116" i="35"/>
  <c r="J110" i="54"/>
  <c r="J104" i="33"/>
  <c r="J111" i="56"/>
  <c r="B115" i="18"/>
  <c r="F115" i="18"/>
  <c r="F111" i="59"/>
  <c r="B111" i="59"/>
  <c r="F116" i="71"/>
  <c r="B116" i="71"/>
  <c r="H111" i="57"/>
  <c r="I111" i="57"/>
  <c r="J112" i="42"/>
  <c r="B112" i="57"/>
  <c r="F112" i="57"/>
  <c r="I115" i="71"/>
  <c r="H115" i="71"/>
  <c r="J106" i="80"/>
  <c r="J105" i="93"/>
  <c r="J113" i="21"/>
  <c r="E119" i="35"/>
  <c r="F119" i="35" s="1"/>
  <c r="B119" i="35"/>
  <c r="G118" i="35"/>
  <c r="J114" i="24"/>
  <c r="G105" i="13"/>
  <c r="D106" i="13"/>
  <c r="E106" i="13" s="1"/>
  <c r="H114" i="17"/>
  <c r="I114" i="17"/>
  <c r="E108" i="83"/>
  <c r="G107" i="83"/>
  <c r="D108" i="83"/>
  <c r="B114" i="3"/>
  <c r="F114" i="3"/>
  <c r="D109" i="76"/>
  <c r="G108" i="76"/>
  <c r="E109" i="76"/>
  <c r="I108" i="67"/>
  <c r="H108" i="67"/>
  <c r="E109" i="77"/>
  <c r="G108" i="77"/>
  <c r="D109" i="77"/>
  <c r="H113" i="3"/>
  <c r="I113" i="3"/>
  <c r="F109" i="67"/>
  <c r="B109" i="67"/>
  <c r="E115" i="21"/>
  <c r="G114" i="21"/>
  <c r="D115" i="21"/>
  <c r="H105" i="96"/>
  <c r="I105" i="96"/>
  <c r="D109" i="75"/>
  <c r="G108" i="75"/>
  <c r="E109" i="75"/>
  <c r="I105" i="87"/>
  <c r="H105" i="87"/>
  <c r="D112" i="54"/>
  <c r="G111" i="54"/>
  <c r="E112" i="54"/>
  <c r="F107" i="82"/>
  <c r="B107" i="82"/>
  <c r="J107" i="77"/>
  <c r="H117" i="35"/>
  <c r="I117" i="35"/>
  <c r="B113" i="44"/>
  <c r="F113" i="44"/>
  <c r="B106" i="96"/>
  <c r="F117" i="28"/>
  <c r="B117" i="28"/>
  <c r="D116" i="24"/>
  <c r="E116" i="24"/>
  <c r="G115" i="24"/>
  <c r="E106" i="96"/>
  <c r="F106" i="96" s="1"/>
  <c r="D112" i="55"/>
  <c r="G111" i="55"/>
  <c r="E112" i="55"/>
  <c r="G113" i="42"/>
  <c r="D114" i="42"/>
  <c r="E114" i="42"/>
  <c r="I106" i="82"/>
  <c r="H106" i="82"/>
  <c r="G105" i="33"/>
  <c r="D106" i="33"/>
  <c r="E106" i="33" s="1"/>
  <c r="D107" i="93"/>
  <c r="E107" i="93" s="1"/>
  <c r="G106" i="93"/>
  <c r="J106" i="83"/>
  <c r="F115" i="17"/>
  <c r="B115" i="17"/>
  <c r="F106" i="87"/>
  <c r="B106" i="87"/>
  <c r="E108" i="80"/>
  <c r="G107" i="80"/>
  <c r="D108" i="80"/>
  <c r="H116" i="28"/>
  <c r="I116" i="28"/>
  <c r="I112" i="44"/>
  <c r="H112" i="44"/>
  <c r="E26" i="95" l="1"/>
  <c r="D26" i="95"/>
  <c r="E26" i="25"/>
  <c r="F26" i="25" s="1"/>
  <c r="G26" i="25" s="1"/>
  <c r="B107" i="95"/>
  <c r="I25" i="25"/>
  <c r="D26" i="98"/>
  <c r="E26" i="98"/>
  <c r="H25" i="98"/>
  <c r="E26" i="99"/>
  <c r="F26" i="99" s="1"/>
  <c r="B26" i="99"/>
  <c r="F27" i="97"/>
  <c r="D28" i="97" s="1"/>
  <c r="B27" i="97"/>
  <c r="G25" i="98"/>
  <c r="H25" i="99"/>
  <c r="F28" i="80"/>
  <c r="D29" i="80" s="1"/>
  <c r="G25" i="99"/>
  <c r="I26" i="97"/>
  <c r="B106" i="25"/>
  <c r="E106" i="25"/>
  <c r="F106" i="25" s="1"/>
  <c r="I35" i="35"/>
  <c r="H105" i="25"/>
  <c r="I105" i="25"/>
  <c r="H105" i="99"/>
  <c r="I105" i="99"/>
  <c r="B106" i="99"/>
  <c r="F106" i="99"/>
  <c r="I36" i="69"/>
  <c r="H30" i="67"/>
  <c r="I30" i="67" s="1"/>
  <c r="J105" i="95"/>
  <c r="J105" i="98"/>
  <c r="F107" i="95"/>
  <c r="G107" i="95" s="1"/>
  <c r="G106" i="95"/>
  <c r="H30" i="59"/>
  <c r="I30" i="59" s="1"/>
  <c r="G35" i="18"/>
  <c r="I35" i="18" s="1"/>
  <c r="G106" i="98"/>
  <c r="D107" i="98"/>
  <c r="E107" i="98"/>
  <c r="G106" i="97"/>
  <c r="D107" i="97"/>
  <c r="E107" i="97"/>
  <c r="J105" i="97"/>
  <c r="D107" i="26"/>
  <c r="G106" i="26"/>
  <c r="J105" i="26"/>
  <c r="J105" i="94"/>
  <c r="I27" i="86"/>
  <c r="H27" i="81"/>
  <c r="I27" i="81" s="1"/>
  <c r="I31" i="72"/>
  <c r="E31" i="67"/>
  <c r="D31" i="67"/>
  <c r="G31" i="46"/>
  <c r="I31" i="46" s="1"/>
  <c r="E32" i="46"/>
  <c r="D32" i="46"/>
  <c r="G35" i="24"/>
  <c r="I35" i="24" s="1"/>
  <c r="D36" i="24"/>
  <c r="E36" i="24"/>
  <c r="B29" i="82"/>
  <c r="F29" i="82"/>
  <c r="G27" i="84"/>
  <c r="I27" i="84" s="1"/>
  <c r="H25" i="93"/>
  <c r="I25" i="93" s="1"/>
  <c r="D26" i="93"/>
  <c r="E26" i="93"/>
  <c r="H26" i="94"/>
  <c r="I26" i="94" s="1"/>
  <c r="D27" i="94"/>
  <c r="E27" i="94"/>
  <c r="F28" i="86"/>
  <c r="B28" i="86"/>
  <c r="G106" i="94"/>
  <c r="D107" i="94"/>
  <c r="G30" i="61"/>
  <c r="I30" i="61" s="1"/>
  <c r="G36" i="27"/>
  <c r="I36" i="27" s="1"/>
  <c r="B33" i="55"/>
  <c r="F33" i="55"/>
  <c r="G33" i="55" s="1"/>
  <c r="F33" i="58"/>
  <c r="G33" i="58" s="1"/>
  <c r="B33" i="58"/>
  <c r="H34" i="17"/>
  <c r="I34" i="17" s="1"/>
  <c r="G34" i="22"/>
  <c r="I34" i="22" s="1"/>
  <c r="F30" i="65"/>
  <c r="H30" i="65" s="1"/>
  <c r="B30" i="65"/>
  <c r="H30" i="66"/>
  <c r="I30" i="66" s="1"/>
  <c r="E31" i="66"/>
  <c r="D31" i="66"/>
  <c r="G31" i="53"/>
  <c r="I31" i="53" s="1"/>
  <c r="D32" i="53"/>
  <c r="E32" i="53"/>
  <c r="F34" i="42"/>
  <c r="B34" i="42"/>
  <c r="G28" i="90"/>
  <c r="D29" i="90"/>
  <c r="E29" i="90"/>
  <c r="D28" i="91"/>
  <c r="E28" i="91"/>
  <c r="G27" i="91"/>
  <c r="H27" i="91"/>
  <c r="H28" i="90"/>
  <c r="E28" i="84"/>
  <c r="D28" i="84"/>
  <c r="B29" i="75"/>
  <c r="F29" i="75"/>
  <c r="D37" i="23"/>
  <c r="E37" i="23"/>
  <c r="H36" i="23"/>
  <c r="I36" i="23" s="1"/>
  <c r="B34" i="39"/>
  <c r="F34" i="39"/>
  <c r="H34" i="39" s="1"/>
  <c r="I27" i="85"/>
  <c r="G28" i="77"/>
  <c r="I28" i="77" s="1"/>
  <c r="F30" i="60"/>
  <c r="E31" i="60" s="1"/>
  <c r="H28" i="76"/>
  <c r="I28" i="76" s="1"/>
  <c r="D29" i="76"/>
  <c r="E29" i="76"/>
  <c r="G25" i="96"/>
  <c r="I25" i="96" s="1"/>
  <c r="D26" i="96"/>
  <c r="E26" i="96"/>
  <c r="G33" i="44"/>
  <c r="I33" i="44" s="1"/>
  <c r="D37" i="27"/>
  <c r="E37" i="27"/>
  <c r="H31" i="57"/>
  <c r="I31" i="57" s="1"/>
  <c r="H36" i="29"/>
  <c r="I36" i="29" s="1"/>
  <c r="B26" i="95"/>
  <c r="D31" i="61"/>
  <c r="E31" i="61"/>
  <c r="B28" i="85"/>
  <c r="F28" i="85"/>
  <c r="G28" i="85" s="1"/>
  <c r="B32" i="72"/>
  <c r="F32" i="72"/>
  <c r="G32" i="72" s="1"/>
  <c r="D34" i="44"/>
  <c r="E34" i="44"/>
  <c r="E28" i="81"/>
  <c r="D28" i="81"/>
  <c r="D35" i="22"/>
  <c r="E35" i="22"/>
  <c r="I32" i="45"/>
  <c r="E27" i="33"/>
  <c r="F27" i="33" s="1"/>
  <c r="B27" i="33"/>
  <c r="E35" i="41"/>
  <c r="D35" i="41"/>
  <c r="B35" i="3"/>
  <c r="F35" i="3"/>
  <c r="H35" i="3" s="1"/>
  <c r="D29" i="79"/>
  <c r="E29" i="79"/>
  <c r="F36" i="30"/>
  <c r="H36" i="30" s="1"/>
  <c r="B36" i="30"/>
  <c r="G36" i="70"/>
  <c r="I36" i="70" s="1"/>
  <c r="D27" i="92"/>
  <c r="E27" i="92"/>
  <c r="D34" i="73"/>
  <c r="E34" i="73"/>
  <c r="E36" i="32"/>
  <c r="D36" i="32"/>
  <c r="H26" i="33"/>
  <c r="D32" i="54"/>
  <c r="E32" i="54"/>
  <c r="B35" i="19"/>
  <c r="F35" i="19"/>
  <c r="G35" i="19" s="1"/>
  <c r="E34" i="74"/>
  <c r="D34" i="74"/>
  <c r="F37" i="69"/>
  <c r="H37" i="69" s="1"/>
  <c r="B37" i="69"/>
  <c r="E35" i="21"/>
  <c r="D35" i="21"/>
  <c r="H34" i="41"/>
  <c r="E26" i="26"/>
  <c r="F26" i="26" s="1"/>
  <c r="B26" i="26"/>
  <c r="B30" i="68"/>
  <c r="F30" i="68"/>
  <c r="G30" i="68" s="1"/>
  <c r="B31" i="56"/>
  <c r="F31" i="56"/>
  <c r="B38" i="28"/>
  <c r="F38" i="28"/>
  <c r="H34" i="43"/>
  <c r="I34" i="43" s="1"/>
  <c r="E35" i="43"/>
  <c r="D35" i="43"/>
  <c r="G28" i="79"/>
  <c r="B36" i="34"/>
  <c r="F36" i="34"/>
  <c r="F31" i="64"/>
  <c r="B31" i="64"/>
  <c r="G33" i="73"/>
  <c r="B28" i="88"/>
  <c r="F28" i="88"/>
  <c r="H28" i="88" s="1"/>
  <c r="E32" i="57"/>
  <c r="D32" i="57"/>
  <c r="E37" i="29"/>
  <c r="D37" i="29"/>
  <c r="G35" i="32"/>
  <c r="F36" i="71"/>
  <c r="B36" i="71"/>
  <c r="F37" i="31"/>
  <c r="G37" i="31" s="1"/>
  <c r="B37" i="31"/>
  <c r="H33" i="74"/>
  <c r="I33" i="74" s="1"/>
  <c r="D29" i="77"/>
  <c r="E29" i="77"/>
  <c r="B30" i="60"/>
  <c r="I25" i="26"/>
  <c r="B27" i="83"/>
  <c r="F27" i="83"/>
  <c r="E37" i="70"/>
  <c r="D37" i="70"/>
  <c r="D29" i="78"/>
  <c r="E29" i="78"/>
  <c r="H30" i="63"/>
  <c r="E31" i="63"/>
  <c r="D31" i="63"/>
  <c r="E35" i="17"/>
  <c r="D35" i="17"/>
  <c r="G26" i="89"/>
  <c r="I26" i="89" s="1"/>
  <c r="D27" i="89"/>
  <c r="E27" i="89"/>
  <c r="H28" i="79"/>
  <c r="I37" i="28"/>
  <c r="H33" i="73"/>
  <c r="H35" i="32"/>
  <c r="G26" i="33"/>
  <c r="H28" i="78"/>
  <c r="I28" i="78" s="1"/>
  <c r="H31" i="54"/>
  <c r="I31" i="54" s="1"/>
  <c r="G26" i="92"/>
  <c r="I26" i="92" s="1"/>
  <c r="B33" i="45"/>
  <c r="F33" i="45"/>
  <c r="H34" i="21"/>
  <c r="I34" i="21" s="1"/>
  <c r="G30" i="63"/>
  <c r="I29" i="60"/>
  <c r="G34" i="41"/>
  <c r="J115" i="27"/>
  <c r="J109" i="61"/>
  <c r="J105" i="88"/>
  <c r="J107" i="78"/>
  <c r="J106" i="85"/>
  <c r="J110" i="72"/>
  <c r="J112" i="43"/>
  <c r="J115" i="69"/>
  <c r="J105" i="84"/>
  <c r="J105" i="86"/>
  <c r="J110" i="58"/>
  <c r="J113" i="20"/>
  <c r="J110" i="46"/>
  <c r="J110" i="53"/>
  <c r="J113" i="34"/>
  <c r="J109" i="63"/>
  <c r="J111" i="74"/>
  <c r="J114" i="32"/>
  <c r="H36" i="35"/>
  <c r="E37" i="35"/>
  <c r="F37" i="35" s="1"/>
  <c r="B37" i="35"/>
  <c r="G36" i="35"/>
  <c r="B30" i="62"/>
  <c r="F30" i="62"/>
  <c r="B26" i="13"/>
  <c r="F26" i="13"/>
  <c r="J116" i="28"/>
  <c r="J105" i="92"/>
  <c r="B34" i="20"/>
  <c r="F34" i="20"/>
  <c r="G34" i="20" s="1"/>
  <c r="D36" i="18"/>
  <c r="E36" i="18"/>
  <c r="B27" i="87"/>
  <c r="F27" i="87"/>
  <c r="G27" i="87" s="1"/>
  <c r="E31" i="59"/>
  <c r="D31" i="59"/>
  <c r="I25" i="13"/>
  <c r="E112" i="58"/>
  <c r="D112" i="58"/>
  <c r="G111" i="58"/>
  <c r="E107" i="92"/>
  <c r="D107" i="92"/>
  <c r="G106" i="92"/>
  <c r="E107" i="84"/>
  <c r="D107" i="84"/>
  <c r="G106" i="84"/>
  <c r="D112" i="46"/>
  <c r="G111" i="46"/>
  <c r="E112" i="46"/>
  <c r="E112" i="53"/>
  <c r="G111" i="53"/>
  <c r="D112" i="53"/>
  <c r="I113" i="41"/>
  <c r="H113" i="41"/>
  <c r="E109" i="79"/>
  <c r="G108" i="79"/>
  <c r="D109" i="79"/>
  <c r="I107" i="81"/>
  <c r="H107" i="81"/>
  <c r="D109" i="78"/>
  <c r="E109" i="78"/>
  <c r="G108" i="78"/>
  <c r="J115" i="30"/>
  <c r="D117" i="69"/>
  <c r="G116" i="69"/>
  <c r="E117" i="69"/>
  <c r="J105" i="90"/>
  <c r="J109" i="60"/>
  <c r="J114" i="31"/>
  <c r="B107" i="89"/>
  <c r="F107" i="89"/>
  <c r="J112" i="39"/>
  <c r="J107" i="79"/>
  <c r="D111" i="63"/>
  <c r="G110" i="63"/>
  <c r="E111" i="63"/>
  <c r="B111" i="62"/>
  <c r="F111" i="62"/>
  <c r="G109" i="68"/>
  <c r="D110" i="68"/>
  <c r="E110" i="68"/>
  <c r="E116" i="31"/>
  <c r="G115" i="31"/>
  <c r="D116" i="31"/>
  <c r="J115" i="70"/>
  <c r="D116" i="32"/>
  <c r="G115" i="32"/>
  <c r="E116" i="32"/>
  <c r="H113" i="73"/>
  <c r="I113" i="73"/>
  <c r="J113" i="19"/>
  <c r="G110" i="64"/>
  <c r="D111" i="64"/>
  <c r="E111" i="64"/>
  <c r="J115" i="29"/>
  <c r="G113" i="43"/>
  <c r="D114" i="43"/>
  <c r="E114" i="43"/>
  <c r="B114" i="41"/>
  <c r="F114" i="41"/>
  <c r="D117" i="70"/>
  <c r="E117" i="70"/>
  <c r="G116" i="70"/>
  <c r="I112" i="45"/>
  <c r="H112" i="45"/>
  <c r="D115" i="19"/>
  <c r="E115" i="19"/>
  <c r="G114" i="19"/>
  <c r="D111" i="61"/>
  <c r="G110" i="61"/>
  <c r="E111" i="61"/>
  <c r="H106" i="89"/>
  <c r="I106" i="89"/>
  <c r="D110" i="66"/>
  <c r="G109" i="66"/>
  <c r="E110" i="66"/>
  <c r="D112" i="72"/>
  <c r="E112" i="72"/>
  <c r="G111" i="72"/>
  <c r="G116" i="29"/>
  <c r="E117" i="29"/>
  <c r="D117" i="29"/>
  <c r="F114" i="73"/>
  <c r="B114" i="73"/>
  <c r="E115" i="20"/>
  <c r="G114" i="20"/>
  <c r="D115" i="20"/>
  <c r="E111" i="60"/>
  <c r="D111" i="60"/>
  <c r="G110" i="60"/>
  <c r="G116" i="27"/>
  <c r="E117" i="27"/>
  <c r="D117" i="27"/>
  <c r="E117" i="30"/>
  <c r="D117" i="30"/>
  <c r="G116" i="30"/>
  <c r="D114" i="39"/>
  <c r="E114" i="39"/>
  <c r="G113" i="39"/>
  <c r="F113" i="45"/>
  <c r="B113" i="45"/>
  <c r="I114" i="22"/>
  <c r="H114" i="22"/>
  <c r="B107" i="91"/>
  <c r="F107" i="91"/>
  <c r="D115" i="34"/>
  <c r="E115" i="34"/>
  <c r="G114" i="34"/>
  <c r="J117" i="35"/>
  <c r="J110" i="59"/>
  <c r="J114" i="18"/>
  <c r="F108" i="81"/>
  <c r="B108" i="81"/>
  <c r="J108" i="68"/>
  <c r="J109" i="64"/>
  <c r="J109" i="65"/>
  <c r="D107" i="88"/>
  <c r="G106" i="88"/>
  <c r="E107" i="88"/>
  <c r="B115" i="22"/>
  <c r="F115" i="22"/>
  <c r="E107" i="90"/>
  <c r="G106" i="90"/>
  <c r="D107" i="90"/>
  <c r="E113" i="74"/>
  <c r="G112" i="74"/>
  <c r="D113" i="74"/>
  <c r="H110" i="62"/>
  <c r="I110" i="62"/>
  <c r="H106" i="91"/>
  <c r="I106" i="91"/>
  <c r="E108" i="85"/>
  <c r="D108" i="85"/>
  <c r="G107" i="85"/>
  <c r="J108" i="66"/>
  <c r="G110" i="65"/>
  <c r="E111" i="65"/>
  <c r="D111" i="65"/>
  <c r="E107" i="86"/>
  <c r="D107" i="86"/>
  <c r="G106" i="86"/>
  <c r="D117" i="23"/>
  <c r="E117" i="23"/>
  <c r="G116" i="23"/>
  <c r="J105" i="87"/>
  <c r="J115" i="71"/>
  <c r="G115" i="18"/>
  <c r="D116" i="18"/>
  <c r="E116" i="18"/>
  <c r="J115" i="23"/>
  <c r="B113" i="56"/>
  <c r="F113" i="56"/>
  <c r="J114" i="17"/>
  <c r="E112" i="59"/>
  <c r="G111" i="59"/>
  <c r="D112" i="59"/>
  <c r="H112" i="56"/>
  <c r="I112" i="56"/>
  <c r="J106" i="82"/>
  <c r="D117" i="71"/>
  <c r="G116" i="71"/>
  <c r="E117" i="71"/>
  <c r="D113" i="57"/>
  <c r="E113" i="57"/>
  <c r="G112" i="57"/>
  <c r="J113" i="3"/>
  <c r="J111" i="57"/>
  <c r="D107" i="96"/>
  <c r="G106" i="96"/>
  <c r="B114" i="42"/>
  <c r="F114" i="42"/>
  <c r="B116" i="24"/>
  <c r="F116" i="24"/>
  <c r="H114" i="21"/>
  <c r="I114" i="21"/>
  <c r="B109" i="76"/>
  <c r="F109" i="76"/>
  <c r="I107" i="83"/>
  <c r="H107" i="83"/>
  <c r="I106" i="93"/>
  <c r="H106" i="93"/>
  <c r="H111" i="55"/>
  <c r="I111" i="55"/>
  <c r="D110" i="67"/>
  <c r="G109" i="67"/>
  <c r="E110" i="67"/>
  <c r="B109" i="77"/>
  <c r="F109" i="77"/>
  <c r="F106" i="13"/>
  <c r="B106" i="13"/>
  <c r="B108" i="80"/>
  <c r="F108" i="80"/>
  <c r="B112" i="55"/>
  <c r="F112" i="55"/>
  <c r="I115" i="24"/>
  <c r="H115" i="24"/>
  <c r="G117" i="28"/>
  <c r="D118" i="28"/>
  <c r="E118" i="28"/>
  <c r="D114" i="44"/>
  <c r="G113" i="44"/>
  <c r="E114" i="44"/>
  <c r="F112" i="54"/>
  <c r="B112" i="54"/>
  <c r="B109" i="75"/>
  <c r="F109" i="75"/>
  <c r="I108" i="77"/>
  <c r="H108" i="77"/>
  <c r="H105" i="13"/>
  <c r="I105" i="13"/>
  <c r="H118" i="35"/>
  <c r="I118" i="35"/>
  <c r="E120" i="35"/>
  <c r="F120" i="35" s="1"/>
  <c r="B120" i="35"/>
  <c r="G119" i="35"/>
  <c r="J112" i="44"/>
  <c r="E116" i="17"/>
  <c r="G115" i="17"/>
  <c r="D116" i="17"/>
  <c r="H105" i="33"/>
  <c r="I105" i="33"/>
  <c r="I113" i="42"/>
  <c r="H113" i="42"/>
  <c r="H111" i="54"/>
  <c r="I111" i="54"/>
  <c r="I108" i="75"/>
  <c r="H108" i="75"/>
  <c r="G114" i="3"/>
  <c r="D115" i="3"/>
  <c r="E115" i="3"/>
  <c r="I107" i="80"/>
  <c r="H107" i="80"/>
  <c r="D107" i="87"/>
  <c r="G106" i="87"/>
  <c r="E107" i="87"/>
  <c r="B107" i="93"/>
  <c r="F107" i="93"/>
  <c r="B106" i="33"/>
  <c r="F106" i="33"/>
  <c r="G107" i="82"/>
  <c r="D108" i="82"/>
  <c r="E108" i="82"/>
  <c r="J105" i="96"/>
  <c r="F115" i="21"/>
  <c r="B115" i="21"/>
  <c r="J108" i="67"/>
  <c r="H108" i="76"/>
  <c r="I108" i="76"/>
  <c r="B108" i="83"/>
  <c r="F108" i="83"/>
  <c r="F26" i="95" l="1"/>
  <c r="G26" i="95" s="1"/>
  <c r="E29" i="80"/>
  <c r="H26" i="25"/>
  <c r="I26" i="25" s="1"/>
  <c r="D31" i="60"/>
  <c r="B31" i="60" s="1"/>
  <c r="D27" i="25"/>
  <c r="J105" i="99"/>
  <c r="H28" i="80"/>
  <c r="G28" i="80"/>
  <c r="I25" i="98"/>
  <c r="H30" i="60"/>
  <c r="H27" i="97"/>
  <c r="G27" i="97"/>
  <c r="D27" i="99"/>
  <c r="H26" i="99"/>
  <c r="G26" i="99"/>
  <c r="I25" i="99"/>
  <c r="E28" i="97"/>
  <c r="F28" i="97" s="1"/>
  <c r="D29" i="97" s="1"/>
  <c r="B28" i="97"/>
  <c r="B26" i="98"/>
  <c r="F26" i="98"/>
  <c r="G26" i="98" s="1"/>
  <c r="G106" i="25"/>
  <c r="D107" i="25"/>
  <c r="J105" i="25"/>
  <c r="D107" i="99"/>
  <c r="G106" i="99"/>
  <c r="E107" i="99"/>
  <c r="I28" i="79"/>
  <c r="G30" i="60"/>
  <c r="I35" i="32"/>
  <c r="D108" i="95"/>
  <c r="E108" i="95" s="1"/>
  <c r="H106" i="95"/>
  <c r="I106" i="95"/>
  <c r="I33" i="73"/>
  <c r="B107" i="26"/>
  <c r="E107" i="26"/>
  <c r="F107" i="26" s="1"/>
  <c r="I106" i="97"/>
  <c r="H106" i="97"/>
  <c r="F107" i="98"/>
  <c r="B107" i="98"/>
  <c r="I106" i="26"/>
  <c r="H106" i="26"/>
  <c r="F107" i="97"/>
  <c r="B107" i="97"/>
  <c r="H106" i="98"/>
  <c r="I106" i="98"/>
  <c r="I28" i="90"/>
  <c r="B31" i="67"/>
  <c r="F31" i="67"/>
  <c r="G31" i="67" s="1"/>
  <c r="F32" i="46"/>
  <c r="G32" i="46" s="1"/>
  <c r="B32" i="46"/>
  <c r="B36" i="24"/>
  <c r="F36" i="24"/>
  <c r="H36" i="24" s="1"/>
  <c r="B26" i="93"/>
  <c r="F26" i="93"/>
  <c r="H30" i="68"/>
  <c r="I30" i="68" s="1"/>
  <c r="G37" i="69"/>
  <c r="I37" i="69" s="1"/>
  <c r="I27" i="91"/>
  <c r="G29" i="82"/>
  <c r="E30" i="82"/>
  <c r="D30" i="82"/>
  <c r="B27" i="94"/>
  <c r="F27" i="94"/>
  <c r="H27" i="94" s="1"/>
  <c r="H28" i="86"/>
  <c r="G28" i="86"/>
  <c r="D29" i="86"/>
  <c r="E29" i="86"/>
  <c r="F29" i="80"/>
  <c r="H29" i="80" s="1"/>
  <c r="B29" i="80"/>
  <c r="H29" i="82"/>
  <c r="H26" i="26"/>
  <c r="G26" i="26"/>
  <c r="B37" i="23"/>
  <c r="F37" i="23"/>
  <c r="H34" i="42"/>
  <c r="E35" i="42"/>
  <c r="D35" i="42"/>
  <c r="H33" i="58"/>
  <c r="I33" i="58" s="1"/>
  <c r="E34" i="58"/>
  <c r="D34" i="58"/>
  <c r="I106" i="94"/>
  <c r="H106" i="94"/>
  <c r="D30" i="75"/>
  <c r="E30" i="75"/>
  <c r="B28" i="91"/>
  <c r="F28" i="91"/>
  <c r="H28" i="91" s="1"/>
  <c r="E31" i="65"/>
  <c r="D31" i="65"/>
  <c r="H34" i="20"/>
  <c r="I34" i="20" s="1"/>
  <c r="H29" i="75"/>
  <c r="B28" i="84"/>
  <c r="F28" i="84"/>
  <c r="G28" i="84" s="1"/>
  <c r="F29" i="90"/>
  <c r="B29" i="90"/>
  <c r="G34" i="42"/>
  <c r="F31" i="66"/>
  <c r="H31" i="66" s="1"/>
  <c r="B31" i="66"/>
  <c r="G30" i="65"/>
  <c r="I30" i="65" s="1"/>
  <c r="H33" i="55"/>
  <c r="I33" i="55" s="1"/>
  <c r="E34" i="55"/>
  <c r="D34" i="55"/>
  <c r="F32" i="53"/>
  <c r="B32" i="53"/>
  <c r="E107" i="94"/>
  <c r="F107" i="94" s="1"/>
  <c r="B107" i="94"/>
  <c r="I34" i="41"/>
  <c r="G29" i="75"/>
  <c r="F37" i="27"/>
  <c r="B37" i="27"/>
  <c r="G35" i="3"/>
  <c r="I35" i="3" s="1"/>
  <c r="B34" i="44"/>
  <c r="F34" i="44"/>
  <c r="H34" i="44" s="1"/>
  <c r="B31" i="61"/>
  <c r="F31" i="61"/>
  <c r="H31" i="61" s="1"/>
  <c r="D27" i="95"/>
  <c r="E27" i="95"/>
  <c r="D35" i="39"/>
  <c r="E35" i="39"/>
  <c r="F35" i="22"/>
  <c r="H35" i="22" s="1"/>
  <c r="B35" i="22"/>
  <c r="H28" i="85"/>
  <c r="I28" i="85" s="1"/>
  <c r="D29" i="85"/>
  <c r="E29" i="85"/>
  <c r="H26" i="95"/>
  <c r="I26" i="95" s="1"/>
  <c r="B29" i="76"/>
  <c r="F29" i="76"/>
  <c r="G34" i="39"/>
  <c r="I34" i="39" s="1"/>
  <c r="F28" i="81"/>
  <c r="H28" i="81" s="1"/>
  <c r="B28" i="81"/>
  <c r="H32" i="72"/>
  <c r="I32" i="72" s="1"/>
  <c r="D33" i="72"/>
  <c r="E33" i="72"/>
  <c r="F26" i="96"/>
  <c r="H26" i="96" s="1"/>
  <c r="B26" i="96"/>
  <c r="G27" i="33"/>
  <c r="D28" i="33"/>
  <c r="H27" i="33"/>
  <c r="E34" i="45"/>
  <c r="D34" i="45"/>
  <c r="F31" i="63"/>
  <c r="G31" i="63" s="1"/>
  <c r="B31" i="63"/>
  <c r="H27" i="83"/>
  <c r="D28" i="83"/>
  <c r="E28" i="83"/>
  <c r="G36" i="34"/>
  <c r="H36" i="34"/>
  <c r="D37" i="34"/>
  <c r="E37" i="34"/>
  <c r="F32" i="57"/>
  <c r="H32" i="57" s="1"/>
  <c r="B32" i="57"/>
  <c r="D32" i="64"/>
  <c r="E32" i="64"/>
  <c r="B35" i="43"/>
  <c r="F35" i="43"/>
  <c r="H35" i="43" s="1"/>
  <c r="D36" i="19"/>
  <c r="E36" i="19"/>
  <c r="D37" i="30"/>
  <c r="E37" i="30"/>
  <c r="H27" i="87"/>
  <c r="I27" i="87" s="1"/>
  <c r="G33" i="45"/>
  <c r="B27" i="89"/>
  <c r="F27" i="89"/>
  <c r="G27" i="89" s="1"/>
  <c r="F29" i="77"/>
  <c r="G29" i="77" s="1"/>
  <c r="B29" i="77"/>
  <c r="H31" i="64"/>
  <c r="E31" i="68"/>
  <c r="D31" i="68"/>
  <c r="D27" i="26"/>
  <c r="E27" i="26" s="1"/>
  <c r="F35" i="21"/>
  <c r="H35" i="21" s="1"/>
  <c r="B35" i="21"/>
  <c r="F32" i="54"/>
  <c r="G32" i="54" s="1"/>
  <c r="B32" i="54"/>
  <c r="B34" i="73"/>
  <c r="F34" i="73"/>
  <c r="G36" i="30"/>
  <c r="I36" i="30" s="1"/>
  <c r="D36" i="3"/>
  <c r="E36" i="3" s="1"/>
  <c r="F35" i="41"/>
  <c r="H35" i="41" s="1"/>
  <c r="B35" i="41"/>
  <c r="C44" i="17"/>
  <c r="F35" i="17"/>
  <c r="H35" i="17" s="1"/>
  <c r="B35" i="17"/>
  <c r="F29" i="78"/>
  <c r="H29" i="78" s="1"/>
  <c r="B29" i="78"/>
  <c r="E29" i="88"/>
  <c r="D29" i="88"/>
  <c r="G38" i="28"/>
  <c r="E39" i="28"/>
  <c r="D39" i="28"/>
  <c r="G31" i="56"/>
  <c r="D32" i="56"/>
  <c r="E32" i="56"/>
  <c r="F27" i="92"/>
  <c r="B27" i="92"/>
  <c r="B37" i="70"/>
  <c r="F37" i="70"/>
  <c r="G37" i="70" s="1"/>
  <c r="E38" i="31"/>
  <c r="D38" i="31"/>
  <c r="G36" i="71"/>
  <c r="D37" i="71"/>
  <c r="E37" i="71"/>
  <c r="H38" i="28"/>
  <c r="I30" i="63"/>
  <c r="H33" i="45"/>
  <c r="G27" i="83"/>
  <c r="H37" i="31"/>
  <c r="I37" i="31" s="1"/>
  <c r="H36" i="71"/>
  <c r="F37" i="29"/>
  <c r="G37" i="29" s="1"/>
  <c r="B37" i="29"/>
  <c r="G28" i="88"/>
  <c r="I28" i="88" s="1"/>
  <c r="G31" i="64"/>
  <c r="H31" i="56"/>
  <c r="E38" i="69"/>
  <c r="D38" i="69"/>
  <c r="F34" i="74"/>
  <c r="G34" i="74" s="1"/>
  <c r="B34" i="74"/>
  <c r="H35" i="19"/>
  <c r="I35" i="19" s="1"/>
  <c r="I26" i="33"/>
  <c r="F36" i="32"/>
  <c r="G36" i="32" s="1"/>
  <c r="B36" i="32"/>
  <c r="B29" i="79"/>
  <c r="F29" i="79"/>
  <c r="G29" i="79" s="1"/>
  <c r="J118" i="35"/>
  <c r="J114" i="22"/>
  <c r="J107" i="81"/>
  <c r="J113" i="73"/>
  <c r="J112" i="45"/>
  <c r="B31" i="59"/>
  <c r="F31" i="59"/>
  <c r="H31" i="59" s="1"/>
  <c r="D27" i="13"/>
  <c r="E31" i="62"/>
  <c r="D31" i="62"/>
  <c r="E38" i="35"/>
  <c r="F38" i="35" s="1"/>
  <c r="H37" i="35"/>
  <c r="G37" i="35"/>
  <c r="B38" i="35"/>
  <c r="D28" i="87"/>
  <c r="E28" i="87"/>
  <c r="G26" i="13"/>
  <c r="I36" i="35"/>
  <c r="E35" i="20"/>
  <c r="D35" i="20"/>
  <c r="G30" i="62"/>
  <c r="F36" i="18"/>
  <c r="G36" i="18" s="1"/>
  <c r="B36" i="18"/>
  <c r="H26" i="13"/>
  <c r="H30" i="62"/>
  <c r="F107" i="86"/>
  <c r="B107" i="86"/>
  <c r="H110" i="65"/>
  <c r="I110" i="65"/>
  <c r="F107" i="90"/>
  <c r="B107" i="90"/>
  <c r="D109" i="81"/>
  <c r="G108" i="81"/>
  <c r="E109" i="81"/>
  <c r="H114" i="34"/>
  <c r="I114" i="34"/>
  <c r="D114" i="45"/>
  <c r="E114" i="45"/>
  <c r="G113" i="45"/>
  <c r="H116" i="30"/>
  <c r="I116" i="30"/>
  <c r="H116" i="29"/>
  <c r="I116" i="29"/>
  <c r="H114" i="19"/>
  <c r="I114" i="19"/>
  <c r="G114" i="41"/>
  <c r="D115" i="41"/>
  <c r="E115" i="41"/>
  <c r="H113" i="43"/>
  <c r="I113" i="43"/>
  <c r="H110" i="64"/>
  <c r="I110" i="64"/>
  <c r="B116" i="31"/>
  <c r="F116" i="31"/>
  <c r="B110" i="68"/>
  <c r="F110" i="68"/>
  <c r="B117" i="69"/>
  <c r="F117" i="69"/>
  <c r="B109" i="78"/>
  <c r="F109" i="78"/>
  <c r="I108" i="79"/>
  <c r="H108" i="79"/>
  <c r="B112" i="53"/>
  <c r="F112" i="53"/>
  <c r="F107" i="84"/>
  <c r="B107" i="84"/>
  <c r="J112" i="56"/>
  <c r="J106" i="91"/>
  <c r="B113" i="74"/>
  <c r="F113" i="74"/>
  <c r="H106" i="90"/>
  <c r="I106" i="90"/>
  <c r="I113" i="39"/>
  <c r="H113" i="39"/>
  <c r="B117" i="30"/>
  <c r="F117" i="30"/>
  <c r="I116" i="27"/>
  <c r="H116" i="27"/>
  <c r="F115" i="20"/>
  <c r="B115" i="20"/>
  <c r="E115" i="73"/>
  <c r="G114" i="73"/>
  <c r="D115" i="73"/>
  <c r="H111" i="72"/>
  <c r="I111" i="72"/>
  <c r="I109" i="66"/>
  <c r="H109" i="66"/>
  <c r="H116" i="70"/>
  <c r="I116" i="70"/>
  <c r="I115" i="32"/>
  <c r="H115" i="32"/>
  <c r="H115" i="31"/>
  <c r="I115" i="31"/>
  <c r="H109" i="68"/>
  <c r="I109" i="68"/>
  <c r="H110" i="63"/>
  <c r="I110" i="63"/>
  <c r="E108" i="89"/>
  <c r="D108" i="89"/>
  <c r="G107" i="89"/>
  <c r="I111" i="53"/>
  <c r="H111" i="53"/>
  <c r="I111" i="46"/>
  <c r="H111" i="46"/>
  <c r="H111" i="58"/>
  <c r="I111" i="58"/>
  <c r="J114" i="21"/>
  <c r="F111" i="65"/>
  <c r="B111" i="65"/>
  <c r="I107" i="85"/>
  <c r="H107" i="85"/>
  <c r="I112" i="74"/>
  <c r="H112" i="74"/>
  <c r="H106" i="88"/>
  <c r="I106" i="88"/>
  <c r="F115" i="34"/>
  <c r="B115" i="34"/>
  <c r="I110" i="60"/>
  <c r="H110" i="60"/>
  <c r="I114" i="20"/>
  <c r="H114" i="20"/>
  <c r="B117" i="29"/>
  <c r="F117" i="29"/>
  <c r="F110" i="66"/>
  <c r="B110" i="66"/>
  <c r="I110" i="61"/>
  <c r="H110" i="61"/>
  <c r="B115" i="19"/>
  <c r="F115" i="19"/>
  <c r="B116" i="32"/>
  <c r="F116" i="32"/>
  <c r="D112" i="62"/>
  <c r="G111" i="62"/>
  <c r="E112" i="62"/>
  <c r="B111" i="63"/>
  <c r="F111" i="63"/>
  <c r="I108" i="78"/>
  <c r="H108" i="78"/>
  <c r="F112" i="46"/>
  <c r="B112" i="46"/>
  <c r="I106" i="92"/>
  <c r="H106" i="92"/>
  <c r="F112" i="58"/>
  <c r="B112" i="58"/>
  <c r="H106" i="86"/>
  <c r="I106" i="86"/>
  <c r="F108" i="85"/>
  <c r="B108" i="85"/>
  <c r="J110" i="62"/>
  <c r="D116" i="22"/>
  <c r="G115" i="22"/>
  <c r="E116" i="22"/>
  <c r="F107" i="88"/>
  <c r="B107" i="88"/>
  <c r="D108" i="91"/>
  <c r="G107" i="91"/>
  <c r="E108" i="91"/>
  <c r="B114" i="39"/>
  <c r="F114" i="39"/>
  <c r="F117" i="27"/>
  <c r="B117" i="27"/>
  <c r="B111" i="60"/>
  <c r="F111" i="60"/>
  <c r="F112" i="72"/>
  <c r="B112" i="72"/>
  <c r="J106" i="89"/>
  <c r="B111" i="61"/>
  <c r="F111" i="61"/>
  <c r="F117" i="70"/>
  <c r="B117" i="70"/>
  <c r="F114" i="43"/>
  <c r="B114" i="43"/>
  <c r="F111" i="64"/>
  <c r="B111" i="64"/>
  <c r="I116" i="69"/>
  <c r="H116" i="69"/>
  <c r="B109" i="79"/>
  <c r="F109" i="79"/>
  <c r="J113" i="41"/>
  <c r="I106" i="84"/>
  <c r="H106" i="84"/>
  <c r="F107" i="92"/>
  <c r="B107" i="92"/>
  <c r="B117" i="23"/>
  <c r="F117" i="23"/>
  <c r="F112" i="59"/>
  <c r="B112" i="59"/>
  <c r="B116" i="18"/>
  <c r="F116" i="18"/>
  <c r="H111" i="59"/>
  <c r="I111" i="59"/>
  <c r="I115" i="18"/>
  <c r="H115" i="18"/>
  <c r="H116" i="23"/>
  <c r="I116" i="23"/>
  <c r="J106" i="93"/>
  <c r="E114" i="56"/>
  <c r="G113" i="56"/>
  <c r="D114" i="56"/>
  <c r="F113" i="57"/>
  <c r="B113" i="57"/>
  <c r="J113" i="42"/>
  <c r="J105" i="33"/>
  <c r="I116" i="71"/>
  <c r="H116" i="71"/>
  <c r="J105" i="13"/>
  <c r="I112" i="57"/>
  <c r="H112" i="57"/>
  <c r="F117" i="71"/>
  <c r="B117" i="71"/>
  <c r="E113" i="54"/>
  <c r="G112" i="54"/>
  <c r="D113" i="54"/>
  <c r="I117" i="28"/>
  <c r="H117" i="28"/>
  <c r="E109" i="83"/>
  <c r="G108" i="83"/>
  <c r="D109" i="83"/>
  <c r="G115" i="21"/>
  <c r="E116" i="21"/>
  <c r="D116" i="21"/>
  <c r="F108" i="82"/>
  <c r="B108" i="82"/>
  <c r="G106" i="33"/>
  <c r="D107" i="33"/>
  <c r="E107" i="33" s="1"/>
  <c r="G107" i="93"/>
  <c r="D108" i="93"/>
  <c r="E108" i="93" s="1"/>
  <c r="J107" i="80"/>
  <c r="F116" i="17"/>
  <c r="B116" i="17"/>
  <c r="E121" i="35"/>
  <c r="F121" i="35" s="1"/>
  <c r="B121" i="35"/>
  <c r="G120" i="35"/>
  <c r="B108" i="95"/>
  <c r="J108" i="77"/>
  <c r="F110" i="67"/>
  <c r="B110" i="67"/>
  <c r="I106" i="96"/>
  <c r="H106" i="96"/>
  <c r="I114" i="3"/>
  <c r="H114" i="3"/>
  <c r="H109" i="67"/>
  <c r="I109" i="67"/>
  <c r="E115" i="42"/>
  <c r="G114" i="42"/>
  <c r="D115" i="42"/>
  <c r="I107" i="82"/>
  <c r="H107" i="82"/>
  <c r="I106" i="87"/>
  <c r="H106" i="87"/>
  <c r="J108" i="75"/>
  <c r="I115" i="17"/>
  <c r="H115" i="17"/>
  <c r="I107" i="95"/>
  <c r="H107" i="95"/>
  <c r="H113" i="44"/>
  <c r="I113" i="44"/>
  <c r="J115" i="24"/>
  <c r="E113" i="55"/>
  <c r="G112" i="55"/>
  <c r="D113" i="55"/>
  <c r="E109" i="80"/>
  <c r="G108" i="80"/>
  <c r="D109" i="80"/>
  <c r="G109" i="77"/>
  <c r="E110" i="77"/>
  <c r="D110" i="77"/>
  <c r="J107" i="83"/>
  <c r="D117" i="24"/>
  <c r="E117" i="24"/>
  <c r="G116" i="24"/>
  <c r="B107" i="96"/>
  <c r="J108" i="76"/>
  <c r="F107" i="87"/>
  <c r="B107" i="87"/>
  <c r="F115" i="3"/>
  <c r="B115" i="3"/>
  <c r="J111" i="54"/>
  <c r="I119" i="35"/>
  <c r="H119" i="35"/>
  <c r="D110" i="75"/>
  <c r="G109" i="75"/>
  <c r="E110" i="75"/>
  <c r="B114" i="44"/>
  <c r="F114" i="44"/>
  <c r="B118" i="28"/>
  <c r="F118" i="28"/>
  <c r="G106" i="13"/>
  <c r="D107" i="13"/>
  <c r="J111" i="55"/>
  <c r="D110" i="76"/>
  <c r="E110" i="76"/>
  <c r="G109" i="76"/>
  <c r="E107" i="96"/>
  <c r="F107" i="96" s="1"/>
  <c r="F31" i="60" l="1"/>
  <c r="G31" i="60" s="1"/>
  <c r="I28" i="80"/>
  <c r="F108" i="95"/>
  <c r="B27" i="25"/>
  <c r="E27" i="25"/>
  <c r="F27" i="25" s="1"/>
  <c r="I30" i="60"/>
  <c r="G28" i="97"/>
  <c r="I27" i="97"/>
  <c r="D27" i="98"/>
  <c r="E27" i="98"/>
  <c r="E29" i="97"/>
  <c r="F29" i="97" s="1"/>
  <c r="B29" i="97"/>
  <c r="I26" i="99"/>
  <c r="I26" i="26"/>
  <c r="H26" i="98"/>
  <c r="I26" i="98" s="1"/>
  <c r="H28" i="97"/>
  <c r="E27" i="99"/>
  <c r="F27" i="99" s="1"/>
  <c r="B27" i="99"/>
  <c r="I26" i="13"/>
  <c r="E107" i="25"/>
  <c r="F107" i="25" s="1"/>
  <c r="B107" i="25"/>
  <c r="I106" i="25"/>
  <c r="H106" i="25"/>
  <c r="H106" i="99"/>
  <c r="I106" i="99"/>
  <c r="F107" i="99"/>
  <c r="B107" i="99"/>
  <c r="I29" i="82"/>
  <c r="G32" i="57"/>
  <c r="I32" i="57" s="1"/>
  <c r="J106" i="95"/>
  <c r="H31" i="67"/>
  <c r="I31" i="67" s="1"/>
  <c r="H32" i="46"/>
  <c r="I32" i="46" s="1"/>
  <c r="J106" i="98"/>
  <c r="J106" i="26"/>
  <c r="J106" i="97"/>
  <c r="D108" i="26"/>
  <c r="B108" i="26" s="1"/>
  <c r="G107" i="26"/>
  <c r="G107" i="97"/>
  <c r="D108" i="97"/>
  <c r="E108" i="97"/>
  <c r="D108" i="98"/>
  <c r="G107" i="98"/>
  <c r="E108" i="98"/>
  <c r="G29" i="80"/>
  <c r="I29" i="80" s="1"/>
  <c r="H29" i="79"/>
  <c r="I29" i="79" s="1"/>
  <c r="D32" i="67"/>
  <c r="E32" i="67"/>
  <c r="H32" i="54"/>
  <c r="I32" i="54" s="1"/>
  <c r="D33" i="46"/>
  <c r="E33" i="46"/>
  <c r="G36" i="24"/>
  <c r="I36" i="24" s="1"/>
  <c r="E37" i="24"/>
  <c r="D37" i="24"/>
  <c r="G35" i="22"/>
  <c r="I35" i="22" s="1"/>
  <c r="G35" i="21"/>
  <c r="I35" i="21" s="1"/>
  <c r="I28" i="86"/>
  <c r="D30" i="80"/>
  <c r="E30" i="80"/>
  <c r="E27" i="93"/>
  <c r="D27" i="93"/>
  <c r="F30" i="82"/>
  <c r="H30" i="82" s="1"/>
  <c r="B30" i="82"/>
  <c r="I36" i="34"/>
  <c r="B29" i="86"/>
  <c r="F29" i="86"/>
  <c r="H29" i="86" s="1"/>
  <c r="G27" i="94"/>
  <c r="I27" i="94" s="1"/>
  <c r="D28" i="94"/>
  <c r="E28" i="94"/>
  <c r="H26" i="93"/>
  <c r="I29" i="75"/>
  <c r="G26" i="93"/>
  <c r="B34" i="58"/>
  <c r="F34" i="58"/>
  <c r="G107" i="94"/>
  <c r="D108" i="94"/>
  <c r="G32" i="53"/>
  <c r="D33" i="53"/>
  <c r="E33" i="53"/>
  <c r="I34" i="42"/>
  <c r="H29" i="90"/>
  <c r="D30" i="90"/>
  <c r="E30" i="90"/>
  <c r="F30" i="75"/>
  <c r="G30" i="75" s="1"/>
  <c r="B30" i="75"/>
  <c r="I31" i="56"/>
  <c r="I36" i="71"/>
  <c r="G35" i="17"/>
  <c r="I35" i="17" s="1"/>
  <c r="F34" i="55"/>
  <c r="H34" i="55" s="1"/>
  <c r="B34" i="55"/>
  <c r="G29" i="90"/>
  <c r="H28" i="84"/>
  <c r="I28" i="84" s="1"/>
  <c r="E29" i="84"/>
  <c r="D29" i="84"/>
  <c r="B31" i="65"/>
  <c r="F31" i="65"/>
  <c r="H31" i="65" s="1"/>
  <c r="J106" i="94"/>
  <c r="E38" i="23"/>
  <c r="D38" i="23"/>
  <c r="H37" i="23"/>
  <c r="G37" i="23"/>
  <c r="G31" i="66"/>
  <c r="I31" i="66" s="1"/>
  <c r="E32" i="66"/>
  <c r="D32" i="66"/>
  <c r="G28" i="91"/>
  <c r="I28" i="91" s="1"/>
  <c r="E29" i="91"/>
  <c r="D29" i="91"/>
  <c r="G31" i="59"/>
  <c r="I31" i="59" s="1"/>
  <c r="H34" i="74"/>
  <c r="I34" i="74" s="1"/>
  <c r="H32" i="53"/>
  <c r="F35" i="42"/>
  <c r="B35" i="42"/>
  <c r="H36" i="32"/>
  <c r="I36" i="32" s="1"/>
  <c r="H29" i="77"/>
  <c r="I29" i="77" s="1"/>
  <c r="H27" i="89"/>
  <c r="I27" i="89" s="1"/>
  <c r="H31" i="60"/>
  <c r="I31" i="60" s="1"/>
  <c r="B33" i="72"/>
  <c r="F33" i="72"/>
  <c r="H33" i="72" s="1"/>
  <c r="G28" i="81"/>
  <c r="I28" i="81" s="1"/>
  <c r="D29" i="81"/>
  <c r="E29" i="81"/>
  <c r="F29" i="85"/>
  <c r="B29" i="85"/>
  <c r="G29" i="76"/>
  <c r="D30" i="76"/>
  <c r="E30" i="76"/>
  <c r="I30" i="62"/>
  <c r="F35" i="39"/>
  <c r="H35" i="39" s="1"/>
  <c r="B35" i="39"/>
  <c r="F27" i="95"/>
  <c r="H27" i="95" s="1"/>
  <c r="B27" i="95"/>
  <c r="G37" i="27"/>
  <c r="D38" i="27"/>
  <c r="E38" i="27"/>
  <c r="H37" i="27"/>
  <c r="G26" i="96"/>
  <c r="I26" i="96" s="1"/>
  <c r="D27" i="96"/>
  <c r="E27" i="96"/>
  <c r="H29" i="76"/>
  <c r="E36" i="22"/>
  <c r="D36" i="22"/>
  <c r="G31" i="61"/>
  <c r="I31" i="61" s="1"/>
  <c r="D32" i="61"/>
  <c r="E32" i="61"/>
  <c r="G34" i="44"/>
  <c r="I34" i="44" s="1"/>
  <c r="D35" i="44"/>
  <c r="E35" i="44"/>
  <c r="I27" i="33"/>
  <c r="F37" i="71"/>
  <c r="B37" i="71"/>
  <c r="F36" i="19"/>
  <c r="G36" i="19" s="1"/>
  <c r="B36" i="19"/>
  <c r="B38" i="69"/>
  <c r="F38" i="69"/>
  <c r="H38" i="69" s="1"/>
  <c r="D28" i="92"/>
  <c r="E28" i="92"/>
  <c r="G27" i="92"/>
  <c r="D32" i="63"/>
  <c r="E32" i="63"/>
  <c r="I38" i="28"/>
  <c r="B38" i="31"/>
  <c r="F38" i="31"/>
  <c r="H38" i="31" s="1"/>
  <c r="H27" i="92"/>
  <c r="B29" i="88"/>
  <c r="F29" i="88"/>
  <c r="H29" i="88" s="1"/>
  <c r="G29" i="78"/>
  <c r="I29" i="78" s="1"/>
  <c r="E30" i="78"/>
  <c r="D30" i="78"/>
  <c r="D36" i="17"/>
  <c r="E36" i="17"/>
  <c r="G35" i="41"/>
  <c r="I35" i="41" s="1"/>
  <c r="D36" i="41"/>
  <c r="E36" i="41"/>
  <c r="H34" i="73"/>
  <c r="E35" i="73"/>
  <c r="D35" i="73"/>
  <c r="G34" i="73"/>
  <c r="F31" i="68"/>
  <c r="G31" i="68" s="1"/>
  <c r="B31" i="68"/>
  <c r="E28" i="89"/>
  <c r="D28" i="89"/>
  <c r="B37" i="30"/>
  <c r="F37" i="30"/>
  <c r="H37" i="30" s="1"/>
  <c r="D33" i="57"/>
  <c r="E33" i="57"/>
  <c r="B34" i="45"/>
  <c r="F34" i="45"/>
  <c r="H34" i="45" s="1"/>
  <c r="E28" i="33"/>
  <c r="F28" i="33" s="1"/>
  <c r="B28" i="33"/>
  <c r="H37" i="29"/>
  <c r="I37" i="29" s="1"/>
  <c r="D38" i="29"/>
  <c r="E38" i="29"/>
  <c r="B28" i="83"/>
  <c r="F28" i="83"/>
  <c r="H28" i="83" s="1"/>
  <c r="D38" i="70"/>
  <c r="E38" i="70"/>
  <c r="B32" i="56"/>
  <c r="F32" i="56"/>
  <c r="G32" i="56" s="1"/>
  <c r="B27" i="26"/>
  <c r="F27" i="26"/>
  <c r="H27" i="26" s="1"/>
  <c r="D36" i="43"/>
  <c r="E36" i="43"/>
  <c r="E30" i="79"/>
  <c r="D30" i="79"/>
  <c r="D37" i="32"/>
  <c r="E37" i="32"/>
  <c r="E35" i="74"/>
  <c r="D35" i="74"/>
  <c r="I27" i="83"/>
  <c r="I33" i="45"/>
  <c r="H37" i="70"/>
  <c r="I37" i="70" s="1"/>
  <c r="B39" i="28"/>
  <c r="F39" i="28"/>
  <c r="G39" i="28" s="1"/>
  <c r="N6" i="17"/>
  <c r="N5" i="17"/>
  <c r="M87" i="17"/>
  <c r="N87" i="17"/>
  <c r="B36" i="3"/>
  <c r="F36" i="3"/>
  <c r="G36" i="3" s="1"/>
  <c r="E33" i="54"/>
  <c r="D33" i="54"/>
  <c r="E36" i="21"/>
  <c r="D36" i="21"/>
  <c r="I31" i="64"/>
  <c r="E30" i="77"/>
  <c r="D30" i="77"/>
  <c r="D32" i="60"/>
  <c r="E32" i="60"/>
  <c r="G35" i="43"/>
  <c r="I35" i="43" s="1"/>
  <c r="B32" i="64"/>
  <c r="F32" i="64"/>
  <c r="G32" i="64" s="1"/>
  <c r="F37" i="34"/>
  <c r="B37" i="34"/>
  <c r="H31" i="63"/>
  <c r="I31" i="63" s="1"/>
  <c r="J116" i="29"/>
  <c r="J111" i="58"/>
  <c r="J110" i="61"/>
  <c r="J106" i="90"/>
  <c r="B35" i="20"/>
  <c r="F35" i="20"/>
  <c r="I37" i="35"/>
  <c r="B27" i="13"/>
  <c r="E37" i="18"/>
  <c r="D37" i="18"/>
  <c r="J108" i="79"/>
  <c r="H36" i="18"/>
  <c r="I36" i="18" s="1"/>
  <c r="B39" i="35"/>
  <c r="H38" i="35"/>
  <c r="E39" i="35"/>
  <c r="F39" i="35" s="1"/>
  <c r="G38" i="35"/>
  <c r="E27" i="13"/>
  <c r="F27" i="13" s="1"/>
  <c r="F28" i="87"/>
  <c r="B28" i="87"/>
  <c r="J111" i="59"/>
  <c r="J106" i="88"/>
  <c r="J109" i="68"/>
  <c r="J110" i="64"/>
  <c r="J114" i="34"/>
  <c r="B31" i="62"/>
  <c r="F31" i="62"/>
  <c r="G31" i="62" s="1"/>
  <c r="D32" i="59"/>
  <c r="E32" i="59"/>
  <c r="E108" i="92"/>
  <c r="G107" i="92"/>
  <c r="D108" i="92"/>
  <c r="G109" i="79"/>
  <c r="D110" i="79"/>
  <c r="E110" i="79"/>
  <c r="B116" i="22"/>
  <c r="F116" i="22"/>
  <c r="J106" i="86"/>
  <c r="G112" i="58"/>
  <c r="D113" i="58"/>
  <c r="E113" i="58"/>
  <c r="D113" i="46"/>
  <c r="G112" i="46"/>
  <c r="E113" i="46"/>
  <c r="D117" i="32"/>
  <c r="G116" i="32"/>
  <c r="E117" i="32"/>
  <c r="E118" i="29"/>
  <c r="G117" i="29"/>
  <c r="D118" i="29"/>
  <c r="I107" i="89"/>
  <c r="H107" i="89"/>
  <c r="G117" i="30"/>
  <c r="E118" i="30"/>
  <c r="D118" i="30"/>
  <c r="G107" i="84"/>
  <c r="E108" i="84"/>
  <c r="D108" i="84"/>
  <c r="J114" i="19"/>
  <c r="J116" i="30"/>
  <c r="B114" i="45"/>
  <c r="F114" i="45"/>
  <c r="H108" i="81"/>
  <c r="I108" i="81"/>
  <c r="J110" i="65"/>
  <c r="G111" i="64"/>
  <c r="D112" i="64"/>
  <c r="E112" i="64"/>
  <c r="D118" i="70"/>
  <c r="G117" i="70"/>
  <c r="E118" i="70"/>
  <c r="D108" i="88"/>
  <c r="E108" i="88"/>
  <c r="G107" i="88"/>
  <c r="J110" i="60"/>
  <c r="J107" i="85"/>
  <c r="J111" i="46"/>
  <c r="F108" i="89"/>
  <c r="B108" i="89"/>
  <c r="B115" i="73"/>
  <c r="F115" i="73"/>
  <c r="G115" i="20"/>
  <c r="D116" i="20"/>
  <c r="E116" i="20"/>
  <c r="E113" i="53"/>
  <c r="D113" i="53"/>
  <c r="G112" i="53"/>
  <c r="D110" i="78"/>
  <c r="G109" i="78"/>
  <c r="E110" i="78"/>
  <c r="G110" i="68"/>
  <c r="D111" i="68"/>
  <c r="E111" i="68"/>
  <c r="B109" i="81"/>
  <c r="F109" i="81"/>
  <c r="J106" i="84"/>
  <c r="D112" i="61"/>
  <c r="G111" i="61"/>
  <c r="E112" i="61"/>
  <c r="D113" i="72"/>
  <c r="E113" i="72"/>
  <c r="G112" i="72"/>
  <c r="G117" i="27"/>
  <c r="D118" i="27"/>
  <c r="E118" i="27"/>
  <c r="H107" i="91"/>
  <c r="I107" i="91"/>
  <c r="J106" i="92"/>
  <c r="J108" i="78"/>
  <c r="H111" i="62"/>
  <c r="I111" i="62"/>
  <c r="D116" i="19"/>
  <c r="E116" i="19"/>
  <c r="G115" i="19"/>
  <c r="J115" i="32"/>
  <c r="J109" i="66"/>
  <c r="H114" i="73"/>
  <c r="I114" i="73"/>
  <c r="E114" i="74"/>
  <c r="D114" i="74"/>
  <c r="G113" i="74"/>
  <c r="F115" i="41"/>
  <c r="B115" i="41"/>
  <c r="I113" i="45"/>
  <c r="H113" i="45"/>
  <c r="J116" i="69"/>
  <c r="E115" i="43"/>
  <c r="D115" i="43"/>
  <c r="G114" i="43"/>
  <c r="E112" i="60"/>
  <c r="D112" i="60"/>
  <c r="G111" i="60"/>
  <c r="E115" i="39"/>
  <c r="G114" i="39"/>
  <c r="D115" i="39"/>
  <c r="B108" i="91"/>
  <c r="F108" i="91"/>
  <c r="H115" i="22"/>
  <c r="I115" i="22"/>
  <c r="E109" i="85"/>
  <c r="D109" i="85"/>
  <c r="G108" i="85"/>
  <c r="D112" i="63"/>
  <c r="E112" i="63"/>
  <c r="G111" i="63"/>
  <c r="F112" i="62"/>
  <c r="B112" i="62"/>
  <c r="E111" i="66"/>
  <c r="D111" i="66"/>
  <c r="G110" i="66"/>
  <c r="J114" i="20"/>
  <c r="D116" i="34"/>
  <c r="E116" i="34"/>
  <c r="G115" i="34"/>
  <c r="J112" i="74"/>
  <c r="E112" i="65"/>
  <c r="D112" i="65"/>
  <c r="G111" i="65"/>
  <c r="J111" i="53"/>
  <c r="J110" i="63"/>
  <c r="J115" i="31"/>
  <c r="J116" i="70"/>
  <c r="J111" i="72"/>
  <c r="J116" i="27"/>
  <c r="J113" i="39"/>
  <c r="E118" i="69"/>
  <c r="D118" i="69"/>
  <c r="G117" i="69"/>
  <c r="E117" i="31"/>
  <c r="G116" i="31"/>
  <c r="D117" i="31"/>
  <c r="J113" i="43"/>
  <c r="I114" i="41"/>
  <c r="H114" i="41"/>
  <c r="D108" i="90"/>
  <c r="E108" i="90"/>
  <c r="G107" i="90"/>
  <c r="D108" i="86"/>
  <c r="G107" i="86"/>
  <c r="E108" i="86"/>
  <c r="E118" i="23"/>
  <c r="G117" i="23"/>
  <c r="D118" i="23"/>
  <c r="J106" i="87"/>
  <c r="J107" i="82"/>
  <c r="F114" i="56"/>
  <c r="B114" i="56"/>
  <c r="J115" i="18"/>
  <c r="D113" i="59"/>
  <c r="G112" i="59"/>
  <c r="E113" i="59"/>
  <c r="I113" i="56"/>
  <c r="H113" i="56"/>
  <c r="J116" i="23"/>
  <c r="E117" i="18"/>
  <c r="G116" i="18"/>
  <c r="D117" i="18"/>
  <c r="J107" i="95"/>
  <c r="J117" i="28"/>
  <c r="J112" i="57"/>
  <c r="J116" i="71"/>
  <c r="G113" i="57"/>
  <c r="E114" i="57"/>
  <c r="D114" i="57"/>
  <c r="J115" i="17"/>
  <c r="E118" i="71"/>
  <c r="D118" i="71"/>
  <c r="G117" i="71"/>
  <c r="G107" i="96"/>
  <c r="D108" i="96"/>
  <c r="I112" i="55"/>
  <c r="H112" i="55"/>
  <c r="B110" i="75"/>
  <c r="F110" i="75"/>
  <c r="H116" i="24"/>
  <c r="I116" i="24"/>
  <c r="B115" i="42"/>
  <c r="F115" i="42"/>
  <c r="D117" i="17"/>
  <c r="G116" i="17"/>
  <c r="E117" i="17"/>
  <c r="F116" i="21"/>
  <c r="B116" i="21"/>
  <c r="H108" i="83"/>
  <c r="I108" i="83"/>
  <c r="B113" i="54"/>
  <c r="F113" i="54"/>
  <c r="I109" i="76"/>
  <c r="H109" i="76"/>
  <c r="I106" i="13"/>
  <c r="H106" i="13"/>
  <c r="J119" i="35"/>
  <c r="F110" i="77"/>
  <c r="B110" i="77"/>
  <c r="H108" i="80"/>
  <c r="I108" i="80"/>
  <c r="I114" i="42"/>
  <c r="H114" i="42"/>
  <c r="J114" i="3"/>
  <c r="J106" i="96"/>
  <c r="G108" i="95"/>
  <c r="D109" i="95"/>
  <c r="E109" i="95" s="1"/>
  <c r="I120" i="35"/>
  <c r="H120" i="35"/>
  <c r="F108" i="93"/>
  <c r="B108" i="93"/>
  <c r="H106" i="33"/>
  <c r="I106" i="33"/>
  <c r="H112" i="54"/>
  <c r="I112" i="54"/>
  <c r="B107" i="13"/>
  <c r="G114" i="44"/>
  <c r="D115" i="44"/>
  <c r="E115" i="44"/>
  <c r="B109" i="80"/>
  <c r="F109" i="80"/>
  <c r="D119" i="28"/>
  <c r="G118" i="28"/>
  <c r="E119" i="28"/>
  <c r="H107" i="93"/>
  <c r="I107" i="93"/>
  <c r="H115" i="21"/>
  <c r="I115" i="21"/>
  <c r="F117" i="24"/>
  <c r="B117" i="24"/>
  <c r="B110" i="76"/>
  <c r="F110" i="76"/>
  <c r="E107" i="13"/>
  <c r="F107" i="13" s="1"/>
  <c r="I109" i="75"/>
  <c r="H109" i="75"/>
  <c r="D116" i="3"/>
  <c r="G115" i="3"/>
  <c r="E116" i="3"/>
  <c r="G107" i="87"/>
  <c r="D108" i="87"/>
  <c r="E108" i="87"/>
  <c r="H109" i="77"/>
  <c r="I109" i="77"/>
  <c r="F113" i="55"/>
  <c r="B113" i="55"/>
  <c r="J113" i="44"/>
  <c r="J109" i="67"/>
  <c r="G110" i="67"/>
  <c r="D111" i="67"/>
  <c r="E111" i="67"/>
  <c r="E122" i="35"/>
  <c r="F122" i="35" s="1"/>
  <c r="B122" i="35"/>
  <c r="G121" i="35"/>
  <c r="F107" i="33"/>
  <c r="B107" i="33"/>
  <c r="G108" i="82"/>
  <c r="D109" i="82"/>
  <c r="E109" i="82"/>
  <c r="F109" i="83"/>
  <c r="B109" i="83"/>
  <c r="E19" i="36"/>
  <c r="H27" i="25" l="1"/>
  <c r="D28" i="25"/>
  <c r="G27" i="25"/>
  <c r="I28" i="97"/>
  <c r="D30" i="97"/>
  <c r="E30" i="97"/>
  <c r="G29" i="97"/>
  <c r="H29" i="97"/>
  <c r="D28" i="99"/>
  <c r="H27" i="99"/>
  <c r="G27" i="99"/>
  <c r="G30" i="82"/>
  <c r="I30" i="82" s="1"/>
  <c r="F27" i="98"/>
  <c r="H27" i="98" s="1"/>
  <c r="B27" i="98"/>
  <c r="J106" i="25"/>
  <c r="D108" i="25"/>
  <c r="G107" i="25"/>
  <c r="J106" i="99"/>
  <c r="G107" i="99"/>
  <c r="E108" i="99"/>
  <c r="D108" i="99"/>
  <c r="I29" i="90"/>
  <c r="I32" i="53"/>
  <c r="I26" i="93"/>
  <c r="G31" i="65"/>
  <c r="I31" i="65" s="1"/>
  <c r="I107" i="26"/>
  <c r="H107" i="26"/>
  <c r="B108" i="97"/>
  <c r="F108" i="97"/>
  <c r="H107" i="98"/>
  <c r="I107" i="98"/>
  <c r="I107" i="97"/>
  <c r="H107" i="97"/>
  <c r="B108" i="98"/>
  <c r="F108" i="98"/>
  <c r="E108" i="26"/>
  <c r="F108" i="26" s="1"/>
  <c r="F32" i="67"/>
  <c r="G32" i="67" s="1"/>
  <c r="B32" i="67"/>
  <c r="F33" i="46"/>
  <c r="H33" i="46" s="1"/>
  <c r="B33" i="46"/>
  <c r="F37" i="24"/>
  <c r="G37" i="24" s="1"/>
  <c r="B37" i="24"/>
  <c r="B28" i="94"/>
  <c r="F28" i="94"/>
  <c r="H28" i="94" s="1"/>
  <c r="F27" i="93"/>
  <c r="H27" i="93" s="1"/>
  <c r="B27" i="93"/>
  <c r="G29" i="86"/>
  <c r="I29" i="86" s="1"/>
  <c r="D30" i="86"/>
  <c r="E30" i="86"/>
  <c r="E31" i="82"/>
  <c r="D31" i="82"/>
  <c r="F30" i="80"/>
  <c r="G30" i="80" s="1"/>
  <c r="B30" i="80"/>
  <c r="F30" i="90"/>
  <c r="B30" i="90"/>
  <c r="I107" i="94"/>
  <c r="H107" i="94"/>
  <c r="D35" i="58"/>
  <c r="E35" i="58"/>
  <c r="H36" i="3"/>
  <c r="I36" i="3" s="1"/>
  <c r="G28" i="83"/>
  <c r="I28" i="83" s="1"/>
  <c r="G35" i="42"/>
  <c r="E36" i="42"/>
  <c r="D36" i="42"/>
  <c r="B32" i="66"/>
  <c r="F32" i="66"/>
  <c r="H32" i="66" s="1"/>
  <c r="I37" i="23"/>
  <c r="F29" i="84"/>
  <c r="G29" i="84" s="1"/>
  <c r="B29" i="84"/>
  <c r="B33" i="53"/>
  <c r="F33" i="53"/>
  <c r="G33" i="53" s="1"/>
  <c r="F29" i="91"/>
  <c r="G29" i="91" s="1"/>
  <c r="B29" i="91"/>
  <c r="F38" i="23"/>
  <c r="B38" i="23"/>
  <c r="D31" i="75"/>
  <c r="E31" i="75"/>
  <c r="H34" i="58"/>
  <c r="G38" i="31"/>
  <c r="I38" i="31" s="1"/>
  <c r="I29" i="76"/>
  <c r="H35" i="42"/>
  <c r="D32" i="65"/>
  <c r="E32" i="65"/>
  <c r="G34" i="55"/>
  <c r="I34" i="55" s="1"/>
  <c r="E35" i="55"/>
  <c r="D35" i="55"/>
  <c r="H30" i="75"/>
  <c r="I30" i="75" s="1"/>
  <c r="B108" i="94"/>
  <c r="E108" i="94"/>
  <c r="F108" i="94" s="1"/>
  <c r="G34" i="58"/>
  <c r="H32" i="56"/>
  <c r="I32" i="56" s="1"/>
  <c r="G29" i="85"/>
  <c r="D30" i="85"/>
  <c r="E30" i="85"/>
  <c r="I34" i="73"/>
  <c r="B36" i="22"/>
  <c r="F36" i="22"/>
  <c r="G36" i="22" s="1"/>
  <c r="F27" i="96"/>
  <c r="H27" i="96" s="1"/>
  <c r="B27" i="96"/>
  <c r="B38" i="27"/>
  <c r="F38" i="27"/>
  <c r="B29" i="81"/>
  <c r="F29" i="81"/>
  <c r="G29" i="81" s="1"/>
  <c r="D34" i="72"/>
  <c r="E34" i="72"/>
  <c r="D28" i="95"/>
  <c r="E28" i="95"/>
  <c r="E36" i="39"/>
  <c r="D36" i="39"/>
  <c r="F30" i="76"/>
  <c r="G30" i="76" s="1"/>
  <c r="B30" i="76"/>
  <c r="H29" i="85"/>
  <c r="I29" i="85" s="1"/>
  <c r="G37" i="30"/>
  <c r="I37" i="30" s="1"/>
  <c r="F35" i="44"/>
  <c r="G35" i="44" s="1"/>
  <c r="B35" i="44"/>
  <c r="F32" i="61"/>
  <c r="H32" i="61" s="1"/>
  <c r="B32" i="61"/>
  <c r="I37" i="27"/>
  <c r="G27" i="95"/>
  <c r="I27" i="95" s="1"/>
  <c r="G35" i="39"/>
  <c r="I35" i="39" s="1"/>
  <c r="G33" i="72"/>
  <c r="I33" i="72" s="1"/>
  <c r="N7" i="17"/>
  <c r="H28" i="33"/>
  <c r="D29" i="33"/>
  <c r="G28" i="33"/>
  <c r="F30" i="78"/>
  <c r="H30" i="78" s="1"/>
  <c r="B30" i="78"/>
  <c r="B32" i="63"/>
  <c r="F32" i="63"/>
  <c r="G32" i="63" s="1"/>
  <c r="H32" i="64"/>
  <c r="I32" i="64" s="1"/>
  <c r="F35" i="74"/>
  <c r="B35" i="74"/>
  <c r="B38" i="70"/>
  <c r="F38" i="70"/>
  <c r="F38" i="29"/>
  <c r="H38" i="29" s="1"/>
  <c r="B38" i="29"/>
  <c r="E35" i="45"/>
  <c r="D35" i="45"/>
  <c r="B33" i="57"/>
  <c r="F33" i="57"/>
  <c r="G33" i="57" s="1"/>
  <c r="F28" i="89"/>
  <c r="B28" i="89"/>
  <c r="D39" i="31"/>
  <c r="E39" i="31"/>
  <c r="E38" i="71"/>
  <c r="D38" i="71"/>
  <c r="G27" i="26"/>
  <c r="I27" i="26" s="1"/>
  <c r="D28" i="26"/>
  <c r="B35" i="73"/>
  <c r="F35" i="73"/>
  <c r="G35" i="73" s="1"/>
  <c r="E38" i="34"/>
  <c r="G37" i="34"/>
  <c r="H37" i="34"/>
  <c r="D38" i="34"/>
  <c r="B32" i="60"/>
  <c r="F32" i="60"/>
  <c r="H32" i="60" s="1"/>
  <c r="F36" i="21"/>
  <c r="H36" i="21" s="1"/>
  <c r="B36" i="21"/>
  <c r="O17" i="2"/>
  <c r="N89" i="17"/>
  <c r="O87" i="17"/>
  <c r="O89" i="17" s="1"/>
  <c r="E40" i="28"/>
  <c r="D40" i="28"/>
  <c r="D33" i="56"/>
  <c r="E33" i="56"/>
  <c r="E29" i="83"/>
  <c r="D29" i="83"/>
  <c r="H31" i="68"/>
  <c r="I31" i="68" s="1"/>
  <c r="D32" i="68"/>
  <c r="E32" i="68"/>
  <c r="G38" i="69"/>
  <c r="I38" i="69" s="1"/>
  <c r="E39" i="69"/>
  <c r="D39" i="69"/>
  <c r="D37" i="19"/>
  <c r="E37" i="19"/>
  <c r="G37" i="71"/>
  <c r="D33" i="64"/>
  <c r="E33" i="64"/>
  <c r="B33" i="54"/>
  <c r="F33" i="54"/>
  <c r="G33" i="54" s="1"/>
  <c r="B37" i="32"/>
  <c r="F37" i="32"/>
  <c r="G37" i="32" s="1"/>
  <c r="H37" i="32"/>
  <c r="F36" i="41"/>
  <c r="H36" i="41" s="1"/>
  <c r="B36" i="41"/>
  <c r="E30" i="88"/>
  <c r="D30" i="88"/>
  <c r="B28" i="92"/>
  <c r="F28" i="92"/>
  <c r="G28" i="92" s="1"/>
  <c r="H31" i="62"/>
  <c r="I31" i="62" s="1"/>
  <c r="B30" i="77"/>
  <c r="F30" i="77"/>
  <c r="G30" i="77" s="1"/>
  <c r="D37" i="3"/>
  <c r="E37" i="3" s="1"/>
  <c r="M89" i="17"/>
  <c r="N17" i="2"/>
  <c r="H39" i="28"/>
  <c r="I39" i="28" s="1"/>
  <c r="B30" i="79"/>
  <c r="F30" i="79"/>
  <c r="H30" i="79" s="1"/>
  <c r="F36" i="43"/>
  <c r="G36" i="43" s="1"/>
  <c r="B36" i="43"/>
  <c r="G34" i="45"/>
  <c r="I34" i="45" s="1"/>
  <c r="D38" i="30"/>
  <c r="E38" i="30"/>
  <c r="F36" i="17"/>
  <c r="G36" i="17" s="1"/>
  <c r="B36" i="17"/>
  <c r="C45" i="17"/>
  <c r="G29" i="88"/>
  <c r="I29" i="88" s="1"/>
  <c r="I27" i="92"/>
  <c r="H36" i="19"/>
  <c r="I36" i="19" s="1"/>
  <c r="H37" i="71"/>
  <c r="J108" i="81"/>
  <c r="J114" i="73"/>
  <c r="D28" i="13"/>
  <c r="E28" i="13" s="1"/>
  <c r="H27" i="13"/>
  <c r="G27" i="13"/>
  <c r="E29" i="87"/>
  <c r="D29" i="87"/>
  <c r="H39" i="35"/>
  <c r="E40" i="35"/>
  <c r="F40" i="35" s="1"/>
  <c r="G39" i="35"/>
  <c r="B40" i="35"/>
  <c r="E36" i="20"/>
  <c r="D36" i="20"/>
  <c r="I38" i="35"/>
  <c r="B37" i="18"/>
  <c r="F37" i="18"/>
  <c r="G37" i="18" s="1"/>
  <c r="H28" i="87"/>
  <c r="G35" i="20"/>
  <c r="J107" i="91"/>
  <c r="B32" i="59"/>
  <c r="F32" i="59"/>
  <c r="H32" i="59" s="1"/>
  <c r="E32" i="62"/>
  <c r="D32" i="62"/>
  <c r="G28" i="87"/>
  <c r="H35" i="20"/>
  <c r="I107" i="86"/>
  <c r="H107" i="86"/>
  <c r="B108" i="90"/>
  <c r="F108" i="90"/>
  <c r="B117" i="31"/>
  <c r="F117" i="31"/>
  <c r="B118" i="69"/>
  <c r="F118" i="69"/>
  <c r="F112" i="63"/>
  <c r="B112" i="63"/>
  <c r="J115" i="22"/>
  <c r="F115" i="39"/>
  <c r="B115" i="39"/>
  <c r="F112" i="60"/>
  <c r="B112" i="60"/>
  <c r="J111" i="62"/>
  <c r="F112" i="61"/>
  <c r="B112" i="61"/>
  <c r="I109" i="78"/>
  <c r="H109" i="78"/>
  <c r="E116" i="73"/>
  <c r="D116" i="73"/>
  <c r="G115" i="73"/>
  <c r="B118" i="70"/>
  <c r="F118" i="70"/>
  <c r="I117" i="30"/>
  <c r="H117" i="30"/>
  <c r="I117" i="29"/>
  <c r="H117" i="29"/>
  <c r="B117" i="32"/>
  <c r="F117" i="32"/>
  <c r="E117" i="22"/>
  <c r="G116" i="22"/>
  <c r="D117" i="22"/>
  <c r="H109" i="79"/>
  <c r="I109" i="79"/>
  <c r="B108" i="86"/>
  <c r="F108" i="86"/>
  <c r="H116" i="31"/>
  <c r="I116" i="31"/>
  <c r="H111" i="65"/>
  <c r="I111" i="65"/>
  <c r="H115" i="34"/>
  <c r="I115" i="34"/>
  <c r="H110" i="66"/>
  <c r="I110" i="66"/>
  <c r="D113" i="62"/>
  <c r="G112" i="62"/>
  <c r="E113" i="62"/>
  <c r="I108" i="85"/>
  <c r="H108" i="85"/>
  <c r="H114" i="39"/>
  <c r="I114" i="39"/>
  <c r="G115" i="41"/>
  <c r="E116" i="41"/>
  <c r="D116" i="41"/>
  <c r="H115" i="19"/>
  <c r="I115" i="19"/>
  <c r="B118" i="27"/>
  <c r="F118" i="27"/>
  <c r="B113" i="72"/>
  <c r="F113" i="72"/>
  <c r="B111" i="68"/>
  <c r="F111" i="68"/>
  <c r="F110" i="78"/>
  <c r="B110" i="78"/>
  <c r="F108" i="88"/>
  <c r="B108" i="88"/>
  <c r="I107" i="84"/>
  <c r="H107" i="84"/>
  <c r="F113" i="58"/>
  <c r="B113" i="58"/>
  <c r="F108" i="92"/>
  <c r="B108" i="92"/>
  <c r="I107" i="90"/>
  <c r="H107" i="90"/>
  <c r="J114" i="41"/>
  <c r="F112" i="65"/>
  <c r="B112" i="65"/>
  <c r="B111" i="66"/>
  <c r="F111" i="66"/>
  <c r="I111" i="63"/>
  <c r="H111" i="63"/>
  <c r="B109" i="85"/>
  <c r="F109" i="85"/>
  <c r="E109" i="91"/>
  <c r="G108" i="91"/>
  <c r="D109" i="91"/>
  <c r="I114" i="43"/>
  <c r="H114" i="43"/>
  <c r="H113" i="74"/>
  <c r="I113" i="74"/>
  <c r="H117" i="27"/>
  <c r="I117" i="27"/>
  <c r="E110" i="81"/>
  <c r="G109" i="81"/>
  <c r="D110" i="81"/>
  <c r="I110" i="68"/>
  <c r="H110" i="68"/>
  <c r="H112" i="53"/>
  <c r="I112" i="53"/>
  <c r="B116" i="20"/>
  <c r="F116" i="20"/>
  <c r="B112" i="64"/>
  <c r="F112" i="64"/>
  <c r="F118" i="30"/>
  <c r="B118" i="30"/>
  <c r="J107" i="89"/>
  <c r="H112" i="46"/>
  <c r="I112" i="46"/>
  <c r="I112" i="58"/>
  <c r="H112" i="58"/>
  <c r="I107" i="92"/>
  <c r="H107" i="92"/>
  <c r="J120" i="35"/>
  <c r="H117" i="69"/>
  <c r="I117" i="69"/>
  <c r="F116" i="34"/>
  <c r="B116" i="34"/>
  <c r="I111" i="60"/>
  <c r="H111" i="60"/>
  <c r="F115" i="43"/>
  <c r="B115" i="43"/>
  <c r="J113" i="45"/>
  <c r="B114" i="74"/>
  <c r="F114" i="74"/>
  <c r="B116" i="19"/>
  <c r="F116" i="19"/>
  <c r="I112" i="72"/>
  <c r="H112" i="72"/>
  <c r="H111" i="61"/>
  <c r="I111" i="61"/>
  <c r="B113" i="53"/>
  <c r="F113" i="53"/>
  <c r="I115" i="20"/>
  <c r="H115" i="20"/>
  <c r="D109" i="89"/>
  <c r="G108" i="89"/>
  <c r="E109" i="89"/>
  <c r="H107" i="88"/>
  <c r="I107" i="88"/>
  <c r="I117" i="70"/>
  <c r="H117" i="70"/>
  <c r="I111" i="64"/>
  <c r="H111" i="64"/>
  <c r="G114" i="45"/>
  <c r="D115" i="45"/>
  <c r="E115" i="45"/>
  <c r="F108" i="84"/>
  <c r="B108" i="84"/>
  <c r="B118" i="29"/>
  <c r="F118" i="29"/>
  <c r="H116" i="32"/>
  <c r="I116" i="32"/>
  <c r="B113" i="46"/>
  <c r="F113" i="46"/>
  <c r="B110" i="79"/>
  <c r="F110" i="79"/>
  <c r="F113" i="59"/>
  <c r="B113" i="59"/>
  <c r="H117" i="23"/>
  <c r="I117" i="23"/>
  <c r="H116" i="18"/>
  <c r="I116" i="18"/>
  <c r="J109" i="75"/>
  <c r="J113" i="56"/>
  <c r="J107" i="93"/>
  <c r="F117" i="18"/>
  <c r="B117" i="18"/>
  <c r="I112" i="59"/>
  <c r="H112" i="59"/>
  <c r="D115" i="56"/>
  <c r="E115" i="56"/>
  <c r="G114" i="56"/>
  <c r="F118" i="23"/>
  <c r="B118" i="23"/>
  <c r="B118" i="71"/>
  <c r="F118" i="71"/>
  <c r="F114" i="57"/>
  <c r="B114" i="57"/>
  <c r="J112" i="55"/>
  <c r="J109" i="77"/>
  <c r="I113" i="57"/>
  <c r="H113" i="57"/>
  <c r="J114" i="42"/>
  <c r="J108" i="80"/>
  <c r="J108" i="83"/>
  <c r="H117" i="71"/>
  <c r="I117" i="71"/>
  <c r="G107" i="13"/>
  <c r="D108" i="13"/>
  <c r="E108" i="13" s="1"/>
  <c r="H108" i="82"/>
  <c r="I108" i="82"/>
  <c r="G109" i="83"/>
  <c r="E110" i="83"/>
  <c r="D110" i="83"/>
  <c r="G122" i="35"/>
  <c r="E123" i="35"/>
  <c r="F123" i="35" s="1"/>
  <c r="B123" i="35"/>
  <c r="I110" i="67"/>
  <c r="H110" i="67"/>
  <c r="I107" i="87"/>
  <c r="H107" i="87"/>
  <c r="J115" i="21"/>
  <c r="H118" i="28"/>
  <c r="I118" i="28"/>
  <c r="J106" i="13"/>
  <c r="I116" i="17"/>
  <c r="H116" i="17"/>
  <c r="E116" i="42"/>
  <c r="G115" i="42"/>
  <c r="D116" i="42"/>
  <c r="D111" i="75"/>
  <c r="G110" i="75"/>
  <c r="E111" i="75"/>
  <c r="G107" i="33"/>
  <c r="D108" i="33"/>
  <c r="D111" i="76"/>
  <c r="E111" i="76"/>
  <c r="G110" i="76"/>
  <c r="E118" i="24"/>
  <c r="G117" i="24"/>
  <c r="D118" i="24"/>
  <c r="F119" i="28"/>
  <c r="B119" i="28"/>
  <c r="G109" i="80"/>
  <c r="D110" i="80"/>
  <c r="E110" i="80"/>
  <c r="D109" i="93"/>
  <c r="E109" i="93" s="1"/>
  <c r="G108" i="93"/>
  <c r="F117" i="17"/>
  <c r="B117" i="17"/>
  <c r="B108" i="96"/>
  <c r="B109" i="82"/>
  <c r="F109" i="82"/>
  <c r="H121" i="35"/>
  <c r="I121" i="35"/>
  <c r="D114" i="55"/>
  <c r="G113" i="55"/>
  <c r="E114" i="55"/>
  <c r="H115" i="3"/>
  <c r="I115" i="3"/>
  <c r="F115" i="44"/>
  <c r="J112" i="54"/>
  <c r="J106" i="33"/>
  <c r="B109" i="95"/>
  <c r="F109" i="95"/>
  <c r="G110" i="77"/>
  <c r="E111" i="77"/>
  <c r="D111" i="77"/>
  <c r="J109" i="76"/>
  <c r="E117" i="21"/>
  <c r="G116" i="21"/>
  <c r="D117" i="21"/>
  <c r="J116" i="24"/>
  <c r="E108" i="96"/>
  <c r="F108" i="96" s="1"/>
  <c r="F111" i="67"/>
  <c r="B111" i="67"/>
  <c r="F108" i="87"/>
  <c r="B108" i="87"/>
  <c r="B116" i="3"/>
  <c r="F116" i="3"/>
  <c r="H114" i="44"/>
  <c r="I114" i="44"/>
  <c r="I108" i="95"/>
  <c r="H108" i="95"/>
  <c r="E114" i="54"/>
  <c r="G113" i="54"/>
  <c r="D114" i="54"/>
  <c r="I107" i="96"/>
  <c r="H107" i="96"/>
  <c r="F19" i="36"/>
  <c r="G27" i="98" l="1"/>
  <c r="I27" i="98" s="1"/>
  <c r="E28" i="25"/>
  <c r="B28" i="25"/>
  <c r="F28" i="25"/>
  <c r="I27" i="25"/>
  <c r="I29" i="97"/>
  <c r="I27" i="99"/>
  <c r="D28" i="98"/>
  <c r="E28" i="98"/>
  <c r="E28" i="99"/>
  <c r="F28" i="99" s="1"/>
  <c r="B28" i="99"/>
  <c r="F30" i="97"/>
  <c r="H30" i="97" s="1"/>
  <c r="B30" i="97"/>
  <c r="H107" i="25"/>
  <c r="I107" i="25"/>
  <c r="B108" i="25"/>
  <c r="E108" i="25"/>
  <c r="F108" i="25" s="1"/>
  <c r="F108" i="99"/>
  <c r="B108" i="99"/>
  <c r="H107" i="99"/>
  <c r="I107" i="99"/>
  <c r="G28" i="94"/>
  <c r="I37" i="34"/>
  <c r="J107" i="26"/>
  <c r="J107" i="98"/>
  <c r="G33" i="46"/>
  <c r="I33" i="46" s="1"/>
  <c r="H37" i="24"/>
  <c r="I37" i="24" s="1"/>
  <c r="H36" i="22"/>
  <c r="I36" i="22" s="1"/>
  <c r="J107" i="97"/>
  <c r="D109" i="98"/>
  <c r="G108" i="98"/>
  <c r="E109" i="98"/>
  <c r="G108" i="97"/>
  <c r="D109" i="97"/>
  <c r="E109" i="97"/>
  <c r="D109" i="26"/>
  <c r="B109" i="26" s="1"/>
  <c r="G108" i="26"/>
  <c r="I28" i="94"/>
  <c r="H30" i="77"/>
  <c r="I30" i="77" s="1"/>
  <c r="H32" i="67"/>
  <c r="I32" i="67" s="1"/>
  <c r="D33" i="67"/>
  <c r="E33" i="67"/>
  <c r="G32" i="61"/>
  <c r="I32" i="61" s="1"/>
  <c r="E34" i="46"/>
  <c r="D34" i="46"/>
  <c r="G36" i="41"/>
  <c r="I36" i="41" s="1"/>
  <c r="E38" i="24"/>
  <c r="D38" i="24"/>
  <c r="G30" i="79"/>
  <c r="I30" i="79" s="1"/>
  <c r="G36" i="21"/>
  <c r="I34" i="58"/>
  <c r="D31" i="80"/>
  <c r="E31" i="80"/>
  <c r="F30" i="86"/>
  <c r="H30" i="86" s="1"/>
  <c r="B30" i="86"/>
  <c r="E29" i="94"/>
  <c r="D29" i="94"/>
  <c r="I35" i="20"/>
  <c r="H30" i="80"/>
  <c r="I30" i="80" s="1"/>
  <c r="F31" i="82"/>
  <c r="B31" i="82"/>
  <c r="G27" i="93"/>
  <c r="I27" i="93" s="1"/>
  <c r="E28" i="93"/>
  <c r="D28" i="93"/>
  <c r="D109" i="94"/>
  <c r="G108" i="94"/>
  <c r="G38" i="23"/>
  <c r="H38" i="23"/>
  <c r="E39" i="23"/>
  <c r="D39" i="23"/>
  <c r="I35" i="42"/>
  <c r="H30" i="90"/>
  <c r="D31" i="90"/>
  <c r="E31" i="90"/>
  <c r="F35" i="58"/>
  <c r="G35" i="58" s="1"/>
  <c r="B35" i="58"/>
  <c r="H29" i="81"/>
  <c r="I29" i="81" s="1"/>
  <c r="B31" i="75"/>
  <c r="F31" i="75"/>
  <c r="B36" i="42"/>
  <c r="F36" i="42"/>
  <c r="H36" i="42" s="1"/>
  <c r="J107" i="94"/>
  <c r="E33" i="66"/>
  <c r="D33" i="66"/>
  <c r="I27" i="13"/>
  <c r="G30" i="78"/>
  <c r="I30" i="78" s="1"/>
  <c r="H35" i="44"/>
  <c r="I35" i="44" s="1"/>
  <c r="F35" i="55"/>
  <c r="H35" i="55" s="1"/>
  <c r="B35" i="55"/>
  <c r="B32" i="65"/>
  <c r="F32" i="65"/>
  <c r="E30" i="91"/>
  <c r="D30" i="91"/>
  <c r="H33" i="53"/>
  <c r="I33" i="53" s="1"/>
  <c r="E34" i="53"/>
  <c r="D34" i="53"/>
  <c r="H29" i="84"/>
  <c r="I29" i="84" s="1"/>
  <c r="D30" i="84"/>
  <c r="E30" i="84"/>
  <c r="G32" i="66"/>
  <c r="I32" i="66" s="1"/>
  <c r="G30" i="90"/>
  <c r="H29" i="91"/>
  <c r="I29" i="91" s="1"/>
  <c r="H30" i="76"/>
  <c r="I30" i="76" s="1"/>
  <c r="G38" i="27"/>
  <c r="E39" i="27"/>
  <c r="D39" i="27"/>
  <c r="H38" i="27"/>
  <c r="G27" i="96"/>
  <c r="I27" i="96" s="1"/>
  <c r="E28" i="96"/>
  <c r="D28" i="96"/>
  <c r="E33" i="61"/>
  <c r="D33" i="61"/>
  <c r="E36" i="44"/>
  <c r="D36" i="44"/>
  <c r="B34" i="72"/>
  <c r="F34" i="72"/>
  <c r="G34" i="72" s="1"/>
  <c r="D37" i="22"/>
  <c r="E37" i="22"/>
  <c r="E31" i="76"/>
  <c r="D31" i="76"/>
  <c r="B28" i="95"/>
  <c r="F28" i="95"/>
  <c r="H28" i="95" s="1"/>
  <c r="F30" i="85"/>
  <c r="G30" i="85" s="1"/>
  <c r="B30" i="85"/>
  <c r="H35" i="73"/>
  <c r="I35" i="73" s="1"/>
  <c r="F36" i="39"/>
  <c r="G36" i="39" s="1"/>
  <c r="B36" i="39"/>
  <c r="E30" i="81"/>
  <c r="D30" i="81"/>
  <c r="G19" i="36"/>
  <c r="I37" i="71"/>
  <c r="I37" i="32"/>
  <c r="I28" i="33"/>
  <c r="E37" i="17"/>
  <c r="D37" i="17"/>
  <c r="F32" i="68"/>
  <c r="G32" i="68" s="1"/>
  <c r="B32" i="68"/>
  <c r="D39" i="70"/>
  <c r="E39" i="70"/>
  <c r="E34" i="54"/>
  <c r="D34" i="54"/>
  <c r="F37" i="19"/>
  <c r="G37" i="19" s="1"/>
  <c r="B37" i="19"/>
  <c r="F40" i="28"/>
  <c r="H40" i="28" s="1"/>
  <c r="B40" i="28"/>
  <c r="P17" i="2"/>
  <c r="D37" i="21"/>
  <c r="E37" i="21"/>
  <c r="F38" i="34"/>
  <c r="B38" i="34"/>
  <c r="G28" i="89"/>
  <c r="E29" i="89"/>
  <c r="D29" i="89"/>
  <c r="F35" i="45"/>
  <c r="G35" i="45" s="1"/>
  <c r="B35" i="45"/>
  <c r="G35" i="74"/>
  <c r="D36" i="74"/>
  <c r="E36" i="74"/>
  <c r="D33" i="63"/>
  <c r="E33" i="63"/>
  <c r="F29" i="83"/>
  <c r="G29" i="83" s="1"/>
  <c r="B29" i="83"/>
  <c r="G32" i="59"/>
  <c r="I32" i="59" s="1"/>
  <c r="I39" i="35"/>
  <c r="H36" i="17"/>
  <c r="I36" i="17" s="1"/>
  <c r="D31" i="79"/>
  <c r="E31" i="79"/>
  <c r="H33" i="54"/>
  <c r="I33" i="54" s="1"/>
  <c r="F33" i="64"/>
  <c r="B33" i="64"/>
  <c r="F39" i="69"/>
  <c r="H39" i="69" s="1"/>
  <c r="B39" i="69"/>
  <c r="I36" i="21"/>
  <c r="D36" i="73"/>
  <c r="E36" i="73"/>
  <c r="B28" i="26"/>
  <c r="E28" i="26"/>
  <c r="F28" i="26" s="1"/>
  <c r="B38" i="71"/>
  <c r="F38" i="71"/>
  <c r="H38" i="71" s="1"/>
  <c r="F39" i="31"/>
  <c r="H39" i="31" s="1"/>
  <c r="B39" i="31"/>
  <c r="D39" i="29"/>
  <c r="E39" i="29"/>
  <c r="G38" i="70"/>
  <c r="B29" i="33"/>
  <c r="D37" i="43"/>
  <c r="E37" i="43"/>
  <c r="D29" i="92"/>
  <c r="E29" i="92"/>
  <c r="B33" i="56"/>
  <c r="F33" i="56"/>
  <c r="H33" i="56" s="1"/>
  <c r="D33" i="60"/>
  <c r="E33" i="60"/>
  <c r="F38" i="30"/>
  <c r="H38" i="30" s="1"/>
  <c r="B38" i="30"/>
  <c r="H36" i="43"/>
  <c r="I36" i="43" s="1"/>
  <c r="F37" i="3"/>
  <c r="H37" i="3" s="1"/>
  <c r="B37" i="3"/>
  <c r="D31" i="77"/>
  <c r="E31" i="77"/>
  <c r="H28" i="92"/>
  <c r="I28" i="92" s="1"/>
  <c r="F30" i="88"/>
  <c r="H30" i="88" s="1"/>
  <c r="B30" i="88"/>
  <c r="D37" i="41"/>
  <c r="E37" i="41"/>
  <c r="D38" i="32"/>
  <c r="E38" i="32"/>
  <c r="G32" i="60"/>
  <c r="I32" i="60" s="1"/>
  <c r="H28" i="89"/>
  <c r="H33" i="57"/>
  <c r="I33" i="57" s="1"/>
  <c r="E34" i="57"/>
  <c r="D34" i="57"/>
  <c r="G38" i="29"/>
  <c r="I38" i="29" s="1"/>
  <c r="H38" i="70"/>
  <c r="H35" i="74"/>
  <c r="H32" i="63"/>
  <c r="I32" i="63" s="1"/>
  <c r="D31" i="78"/>
  <c r="E31" i="78"/>
  <c r="E29" i="33"/>
  <c r="F29" i="33" s="1"/>
  <c r="J112" i="46"/>
  <c r="J117" i="27"/>
  <c r="J115" i="19"/>
  <c r="J110" i="66"/>
  <c r="J113" i="74"/>
  <c r="J115" i="34"/>
  <c r="J111" i="65"/>
  <c r="J110" i="68"/>
  <c r="J111" i="63"/>
  <c r="J121" i="35"/>
  <c r="J111" i="61"/>
  <c r="J107" i="88"/>
  <c r="J116" i="31"/>
  <c r="J109" i="79"/>
  <c r="J112" i="59"/>
  <c r="J117" i="70"/>
  <c r="J117" i="69"/>
  <c r="J112" i="53"/>
  <c r="J112" i="72"/>
  <c r="J107" i="92"/>
  <c r="J107" i="84"/>
  <c r="E38" i="18"/>
  <c r="D38" i="18"/>
  <c r="F28" i="13"/>
  <c r="B28" i="13"/>
  <c r="F32" i="62"/>
  <c r="G32" i="62" s="1"/>
  <c r="B32" i="62"/>
  <c r="J107" i="96"/>
  <c r="J117" i="29"/>
  <c r="D33" i="59"/>
  <c r="E33" i="59"/>
  <c r="I28" i="87"/>
  <c r="F36" i="20"/>
  <c r="G36" i="20" s="1"/>
  <c r="B36" i="20"/>
  <c r="F29" i="87"/>
  <c r="G29" i="87" s="1"/>
  <c r="B29" i="87"/>
  <c r="H37" i="18"/>
  <c r="I37" i="18" s="1"/>
  <c r="E41" i="35"/>
  <c r="F41" i="35" s="1"/>
  <c r="H40" i="35"/>
  <c r="B41" i="35"/>
  <c r="G40" i="35"/>
  <c r="J116" i="18"/>
  <c r="B115" i="45"/>
  <c r="F115" i="45"/>
  <c r="J115" i="20"/>
  <c r="J112" i="58"/>
  <c r="E117" i="20"/>
  <c r="G116" i="20"/>
  <c r="D117" i="20"/>
  <c r="I108" i="91"/>
  <c r="H108" i="91"/>
  <c r="J107" i="90"/>
  <c r="E114" i="58"/>
  <c r="G113" i="58"/>
  <c r="D114" i="58"/>
  <c r="D109" i="88"/>
  <c r="G108" i="88"/>
  <c r="E109" i="88"/>
  <c r="J114" i="39"/>
  <c r="I116" i="22"/>
  <c r="H116" i="22"/>
  <c r="E119" i="70"/>
  <c r="G118" i="70"/>
  <c r="D119" i="70"/>
  <c r="E113" i="61"/>
  <c r="D113" i="61"/>
  <c r="G112" i="61"/>
  <c r="E116" i="39"/>
  <c r="D116" i="39"/>
  <c r="G115" i="39"/>
  <c r="E119" i="69"/>
  <c r="G118" i="69"/>
  <c r="D119" i="69"/>
  <c r="E109" i="90"/>
  <c r="D109" i="90"/>
  <c r="G108" i="90"/>
  <c r="D111" i="79"/>
  <c r="E111" i="79"/>
  <c r="G110" i="79"/>
  <c r="J116" i="32"/>
  <c r="H114" i="45"/>
  <c r="I114" i="45"/>
  <c r="H108" i="89"/>
  <c r="I108" i="89"/>
  <c r="D114" i="53"/>
  <c r="E114" i="53"/>
  <c r="G113" i="53"/>
  <c r="E115" i="74"/>
  <c r="D115" i="74"/>
  <c r="G114" i="74"/>
  <c r="E116" i="43"/>
  <c r="G115" i="43"/>
  <c r="D116" i="43"/>
  <c r="E117" i="34"/>
  <c r="G116" i="34"/>
  <c r="D117" i="34"/>
  <c r="G118" i="30"/>
  <c r="E119" i="30"/>
  <c r="D119" i="30"/>
  <c r="E113" i="65"/>
  <c r="D113" i="65"/>
  <c r="G112" i="65"/>
  <c r="E114" i="72"/>
  <c r="D114" i="72"/>
  <c r="G113" i="72"/>
  <c r="B116" i="41"/>
  <c r="F116" i="41"/>
  <c r="H112" i="62"/>
  <c r="I112" i="62"/>
  <c r="D109" i="84"/>
  <c r="G108" i="84"/>
  <c r="E109" i="84"/>
  <c r="F109" i="89"/>
  <c r="B109" i="89"/>
  <c r="G112" i="64"/>
  <c r="D113" i="64"/>
  <c r="E113" i="64"/>
  <c r="F110" i="81"/>
  <c r="B110" i="81"/>
  <c r="J114" i="43"/>
  <c r="D110" i="85"/>
  <c r="G109" i="85"/>
  <c r="E110" i="85"/>
  <c r="D112" i="66"/>
  <c r="G111" i="66"/>
  <c r="E112" i="66"/>
  <c r="G108" i="92"/>
  <c r="D109" i="92"/>
  <c r="E109" i="92"/>
  <c r="E111" i="78"/>
  <c r="D111" i="78"/>
  <c r="G110" i="78"/>
  <c r="B113" i="62"/>
  <c r="F113" i="62"/>
  <c r="G117" i="32"/>
  <c r="E118" i="32"/>
  <c r="D118" i="32"/>
  <c r="H115" i="73"/>
  <c r="I115" i="73"/>
  <c r="J109" i="78"/>
  <c r="D113" i="60"/>
  <c r="G112" i="60"/>
  <c r="E113" i="60"/>
  <c r="D118" i="31"/>
  <c r="E118" i="31"/>
  <c r="G117" i="31"/>
  <c r="E114" i="46"/>
  <c r="G113" i="46"/>
  <c r="D114" i="46"/>
  <c r="G118" i="29"/>
  <c r="E119" i="29"/>
  <c r="D119" i="29"/>
  <c r="J111" i="64"/>
  <c r="D117" i="19"/>
  <c r="E117" i="19"/>
  <c r="G116" i="19"/>
  <c r="J111" i="60"/>
  <c r="I109" i="81"/>
  <c r="H109" i="81"/>
  <c r="F109" i="91"/>
  <c r="B109" i="91"/>
  <c r="D112" i="68"/>
  <c r="E112" i="68"/>
  <c r="G111" i="68"/>
  <c r="D119" i="27"/>
  <c r="E119" i="27"/>
  <c r="G118" i="27"/>
  <c r="I115" i="41"/>
  <c r="H115" i="41"/>
  <c r="J108" i="85"/>
  <c r="D109" i="86"/>
  <c r="E109" i="86"/>
  <c r="G108" i="86"/>
  <c r="B117" i="22"/>
  <c r="F117" i="22"/>
  <c r="J117" i="30"/>
  <c r="F116" i="73"/>
  <c r="B116" i="73"/>
  <c r="E113" i="63"/>
  <c r="G112" i="63"/>
  <c r="D113" i="63"/>
  <c r="J107" i="86"/>
  <c r="J114" i="44"/>
  <c r="J117" i="71"/>
  <c r="E118" i="18"/>
  <c r="D118" i="18"/>
  <c r="G117" i="18"/>
  <c r="J117" i="23"/>
  <c r="J116" i="17"/>
  <c r="J113" i="57"/>
  <c r="E119" i="23"/>
  <c r="G118" i="23"/>
  <c r="D119" i="23"/>
  <c r="F115" i="56"/>
  <c r="B115" i="56"/>
  <c r="J108" i="95"/>
  <c r="H114" i="56"/>
  <c r="I114" i="56"/>
  <c r="E114" i="59"/>
  <c r="D114" i="59"/>
  <c r="G113" i="59"/>
  <c r="D115" i="57"/>
  <c r="E115" i="57"/>
  <c r="G114" i="57"/>
  <c r="J118" i="28"/>
  <c r="J107" i="87"/>
  <c r="E119" i="71"/>
  <c r="G118" i="71"/>
  <c r="D119" i="71"/>
  <c r="J110" i="67"/>
  <c r="J108" i="82"/>
  <c r="G108" i="96"/>
  <c r="D109" i="96"/>
  <c r="D117" i="3"/>
  <c r="G116" i="3"/>
  <c r="E117" i="3"/>
  <c r="I113" i="54"/>
  <c r="H113" i="54"/>
  <c r="G111" i="67"/>
  <c r="D112" i="67"/>
  <c r="E112" i="67"/>
  <c r="H116" i="21"/>
  <c r="I116" i="21"/>
  <c r="J115" i="3"/>
  <c r="F114" i="55"/>
  <c r="B114" i="55"/>
  <c r="D110" i="82"/>
  <c r="G109" i="82"/>
  <c r="E110" i="82"/>
  <c r="H108" i="93"/>
  <c r="I108" i="93"/>
  <c r="B110" i="80"/>
  <c r="F110" i="80"/>
  <c r="F118" i="24"/>
  <c r="B118" i="24"/>
  <c r="I107" i="33"/>
  <c r="H107" i="33"/>
  <c r="B111" i="75"/>
  <c r="F111" i="75"/>
  <c r="F110" i="83"/>
  <c r="B110" i="83"/>
  <c r="D109" i="87"/>
  <c r="G108" i="87"/>
  <c r="E109" i="87"/>
  <c r="I110" i="77"/>
  <c r="H110" i="77"/>
  <c r="I109" i="80"/>
  <c r="H109" i="80"/>
  <c r="H117" i="24"/>
  <c r="I117" i="24"/>
  <c r="B111" i="76"/>
  <c r="F111" i="76"/>
  <c r="B116" i="42"/>
  <c r="F116" i="42"/>
  <c r="H115" i="42"/>
  <c r="I115" i="42"/>
  <c r="B124" i="35"/>
  <c r="E124" i="35"/>
  <c r="F124" i="35" s="1"/>
  <c r="G123" i="35"/>
  <c r="H109" i="83"/>
  <c r="I109" i="83"/>
  <c r="F108" i="13"/>
  <c r="B108" i="13"/>
  <c r="G115" i="44"/>
  <c r="D116" i="44"/>
  <c r="E116" i="44"/>
  <c r="B109" i="93"/>
  <c r="F109" i="93"/>
  <c r="B108" i="33"/>
  <c r="F114" i="54"/>
  <c r="B114" i="54"/>
  <c r="B117" i="21"/>
  <c r="F117" i="21"/>
  <c r="F111" i="77"/>
  <c r="B111" i="77"/>
  <c r="G109" i="95"/>
  <c r="D110" i="95"/>
  <c r="E110" i="95" s="1"/>
  <c r="H113" i="55"/>
  <c r="I113" i="55"/>
  <c r="G117" i="17"/>
  <c r="D118" i="17"/>
  <c r="E118" i="17"/>
  <c r="G119" i="28"/>
  <c r="D120" i="28"/>
  <c r="E120" i="28"/>
  <c r="H110" i="76"/>
  <c r="I110" i="76"/>
  <c r="E108" i="33"/>
  <c r="F108" i="33" s="1"/>
  <c r="H110" i="75"/>
  <c r="I110" i="75"/>
  <c r="H122" i="35"/>
  <c r="I122" i="35"/>
  <c r="I107" i="13"/>
  <c r="H107" i="13"/>
  <c r="J107" i="25" l="1"/>
  <c r="G28" i="25"/>
  <c r="D29" i="25"/>
  <c r="B29" i="25" s="1"/>
  <c r="H28" i="25"/>
  <c r="G30" i="97"/>
  <c r="I30" i="97" s="1"/>
  <c r="J107" i="99"/>
  <c r="D29" i="99"/>
  <c r="E29" i="99"/>
  <c r="H28" i="99"/>
  <c r="G28" i="99"/>
  <c r="B28" i="98"/>
  <c r="F28" i="98"/>
  <c r="H28" i="98" s="1"/>
  <c r="D31" i="97"/>
  <c r="E31" i="97"/>
  <c r="G108" i="25"/>
  <c r="D109" i="25"/>
  <c r="D109" i="99"/>
  <c r="G108" i="99"/>
  <c r="E109" i="99"/>
  <c r="I30" i="90"/>
  <c r="I28" i="89"/>
  <c r="I38" i="27"/>
  <c r="E109" i="26"/>
  <c r="F109" i="26" s="1"/>
  <c r="G109" i="26" s="1"/>
  <c r="H108" i="98"/>
  <c r="I108" i="98"/>
  <c r="F109" i="97"/>
  <c r="B109" i="97"/>
  <c r="F109" i="98"/>
  <c r="B109" i="98"/>
  <c r="H108" i="26"/>
  <c r="I108" i="26"/>
  <c r="I108" i="97"/>
  <c r="H108" i="97"/>
  <c r="G30" i="88"/>
  <c r="I30" i="88" s="1"/>
  <c r="B33" i="67"/>
  <c r="F33" i="67"/>
  <c r="G33" i="67" s="1"/>
  <c r="F34" i="46"/>
  <c r="G34" i="46" s="1"/>
  <c r="B34" i="46"/>
  <c r="B38" i="24"/>
  <c r="F38" i="24"/>
  <c r="G38" i="24" s="1"/>
  <c r="H31" i="82"/>
  <c r="D32" i="82"/>
  <c r="E32" i="82"/>
  <c r="B31" i="80"/>
  <c r="F31" i="80"/>
  <c r="G31" i="80" s="1"/>
  <c r="G36" i="42"/>
  <c r="I36" i="42" s="1"/>
  <c r="G31" i="82"/>
  <c r="I38" i="23"/>
  <c r="F28" i="93"/>
  <c r="B28" i="93"/>
  <c r="F29" i="94"/>
  <c r="B29" i="94"/>
  <c r="D31" i="86"/>
  <c r="E31" i="86"/>
  <c r="G30" i="86"/>
  <c r="I30" i="86" s="1"/>
  <c r="F31" i="90"/>
  <c r="G31" i="90" s="1"/>
  <c r="B31" i="90"/>
  <c r="F30" i="84"/>
  <c r="G30" i="84" s="1"/>
  <c r="B30" i="84"/>
  <c r="E109" i="94"/>
  <c r="F109" i="94" s="1"/>
  <c r="B109" i="94"/>
  <c r="E33" i="65"/>
  <c r="D33" i="65"/>
  <c r="E32" i="75"/>
  <c r="D32" i="75"/>
  <c r="B39" i="23"/>
  <c r="F39" i="23"/>
  <c r="G39" i="23" s="1"/>
  <c r="G38" i="71"/>
  <c r="I38" i="71" s="1"/>
  <c r="B30" i="91"/>
  <c r="F30" i="91"/>
  <c r="H30" i="91" s="1"/>
  <c r="H32" i="65"/>
  <c r="G35" i="55"/>
  <c r="I35" i="55" s="1"/>
  <c r="E36" i="55"/>
  <c r="D36" i="55"/>
  <c r="F33" i="66"/>
  <c r="H33" i="66" s="1"/>
  <c r="B33" i="66"/>
  <c r="H31" i="75"/>
  <c r="H35" i="58"/>
  <c r="I35" i="58" s="1"/>
  <c r="E36" i="58"/>
  <c r="D36" i="58"/>
  <c r="H108" i="94"/>
  <c r="I108" i="94"/>
  <c r="I38" i="70"/>
  <c r="B34" i="53"/>
  <c r="F34" i="53"/>
  <c r="H34" i="53" s="1"/>
  <c r="G32" i="65"/>
  <c r="E37" i="42"/>
  <c r="D37" i="42"/>
  <c r="G31" i="75"/>
  <c r="F30" i="81"/>
  <c r="H30" i="81" s="1"/>
  <c r="B30" i="81"/>
  <c r="D37" i="39"/>
  <c r="E37" i="39"/>
  <c r="E35" i="72"/>
  <c r="D35" i="72"/>
  <c r="G38" i="30"/>
  <c r="I38" i="30" s="1"/>
  <c r="G40" i="28"/>
  <c r="I40" i="28" s="1"/>
  <c r="H30" i="85"/>
  <c r="I30" i="85" s="1"/>
  <c r="B37" i="22"/>
  <c r="F37" i="22"/>
  <c r="H37" i="22" s="1"/>
  <c r="B33" i="61"/>
  <c r="F33" i="61"/>
  <c r="H33" i="61" s="1"/>
  <c r="H29" i="87"/>
  <c r="I29" i="87" s="1"/>
  <c r="H36" i="39"/>
  <c r="I36" i="39" s="1"/>
  <c r="G28" i="95"/>
  <c r="I28" i="95" s="1"/>
  <c r="E29" i="95"/>
  <c r="D29" i="95"/>
  <c r="B31" i="76"/>
  <c r="F31" i="76"/>
  <c r="G31" i="76" s="1"/>
  <c r="H34" i="72"/>
  <c r="I34" i="72" s="1"/>
  <c r="D31" i="85"/>
  <c r="E31" i="85"/>
  <c r="B36" i="44"/>
  <c r="F36" i="44"/>
  <c r="H36" i="44" s="1"/>
  <c r="B28" i="96"/>
  <c r="F28" i="96"/>
  <c r="G28" i="96" s="1"/>
  <c r="F39" i="27"/>
  <c r="B39" i="27"/>
  <c r="D30" i="33"/>
  <c r="E30" i="33" s="1"/>
  <c r="G29" i="33"/>
  <c r="H29" i="33"/>
  <c r="F29" i="92"/>
  <c r="H29" i="92" s="1"/>
  <c r="B29" i="92"/>
  <c r="B39" i="70"/>
  <c r="F39" i="70"/>
  <c r="G39" i="70" s="1"/>
  <c r="H36" i="20"/>
  <c r="I36" i="20" s="1"/>
  <c r="H32" i="62"/>
  <c r="I32" i="62" s="1"/>
  <c r="I35" i="74"/>
  <c r="E34" i="56"/>
  <c r="D34" i="56"/>
  <c r="G28" i="26"/>
  <c r="H28" i="26"/>
  <c r="D29" i="26"/>
  <c r="E29" i="26" s="1"/>
  <c r="E34" i="64"/>
  <c r="D34" i="64"/>
  <c r="F31" i="79"/>
  <c r="H31" i="79" s="1"/>
  <c r="B31" i="79"/>
  <c r="F33" i="63"/>
  <c r="B33" i="63"/>
  <c r="B37" i="21"/>
  <c r="F37" i="21"/>
  <c r="F39" i="29"/>
  <c r="G39" i="29" s="1"/>
  <c r="B39" i="29"/>
  <c r="E40" i="31"/>
  <c r="D40" i="31"/>
  <c r="B31" i="78"/>
  <c r="F31" i="78"/>
  <c r="B31" i="77"/>
  <c r="F31" i="77"/>
  <c r="D38" i="3"/>
  <c r="E38" i="3" s="1"/>
  <c r="G33" i="56"/>
  <c r="I33" i="56" s="1"/>
  <c r="F37" i="43"/>
  <c r="H37" i="43" s="1"/>
  <c r="B37" i="43"/>
  <c r="G39" i="31"/>
  <c r="I39" i="31" s="1"/>
  <c r="D40" i="69"/>
  <c r="E40" i="69"/>
  <c r="G33" i="64"/>
  <c r="D36" i="45"/>
  <c r="E36" i="45"/>
  <c r="E38" i="19"/>
  <c r="D38" i="19"/>
  <c r="H32" i="68"/>
  <c r="I32" i="68" s="1"/>
  <c r="E33" i="68"/>
  <c r="D33" i="68"/>
  <c r="B34" i="57"/>
  <c r="F34" i="57"/>
  <c r="G34" i="57" s="1"/>
  <c r="B36" i="73"/>
  <c r="F36" i="73"/>
  <c r="B37" i="17"/>
  <c r="C46" i="17"/>
  <c r="F37" i="17"/>
  <c r="G37" i="17" s="1"/>
  <c r="B38" i="32"/>
  <c r="F38" i="32"/>
  <c r="G38" i="32" s="1"/>
  <c r="F37" i="41"/>
  <c r="H37" i="41" s="1"/>
  <c r="B37" i="41"/>
  <c r="D31" i="88"/>
  <c r="E31" i="88"/>
  <c r="G37" i="3"/>
  <c r="I37" i="3" s="1"/>
  <c r="D39" i="30"/>
  <c r="E39" i="30"/>
  <c r="B33" i="60"/>
  <c r="F33" i="60"/>
  <c r="G33" i="60" s="1"/>
  <c r="E39" i="71"/>
  <c r="D39" i="71"/>
  <c r="G39" i="69"/>
  <c r="I39" i="69" s="1"/>
  <c r="H33" i="64"/>
  <c r="H29" i="83"/>
  <c r="I29" i="83" s="1"/>
  <c r="D30" i="83"/>
  <c r="E30" i="83"/>
  <c r="B36" i="74"/>
  <c r="F36" i="74"/>
  <c r="H35" i="45"/>
  <c r="I35" i="45" s="1"/>
  <c r="B29" i="89"/>
  <c r="F29" i="89"/>
  <c r="H29" i="89" s="1"/>
  <c r="D39" i="34"/>
  <c r="H38" i="34"/>
  <c r="E39" i="34"/>
  <c r="G38" i="34"/>
  <c r="E41" i="28"/>
  <c r="D41" i="28"/>
  <c r="H37" i="19"/>
  <c r="I37" i="19" s="1"/>
  <c r="F34" i="54"/>
  <c r="H34" i="54" s="1"/>
  <c r="B34" i="54"/>
  <c r="J112" i="62"/>
  <c r="J115" i="73"/>
  <c r="F33" i="59"/>
  <c r="G33" i="59" s="1"/>
  <c r="B33" i="59"/>
  <c r="D29" i="13"/>
  <c r="F38" i="18"/>
  <c r="B38" i="18"/>
  <c r="J108" i="93"/>
  <c r="D30" i="87"/>
  <c r="E30" i="87"/>
  <c r="E37" i="20"/>
  <c r="D37" i="20"/>
  <c r="D33" i="62"/>
  <c r="E33" i="62"/>
  <c r="H28" i="13"/>
  <c r="J114" i="56"/>
  <c r="I40" i="35"/>
  <c r="G28" i="13"/>
  <c r="E42" i="35"/>
  <c r="F42" i="35" s="1"/>
  <c r="H41" i="35"/>
  <c r="B42" i="35"/>
  <c r="G41" i="35"/>
  <c r="D118" i="22"/>
  <c r="G117" i="22"/>
  <c r="E118" i="22"/>
  <c r="F109" i="86"/>
  <c r="B109" i="86"/>
  <c r="I118" i="27"/>
  <c r="H118" i="27"/>
  <c r="B118" i="32"/>
  <c r="F118" i="32"/>
  <c r="I111" i="66"/>
  <c r="H111" i="66"/>
  <c r="B110" i="85"/>
  <c r="F110" i="85"/>
  <c r="D110" i="89"/>
  <c r="G109" i="89"/>
  <c r="E110" i="89"/>
  <c r="I113" i="72"/>
  <c r="H113" i="72"/>
  <c r="B113" i="65"/>
  <c r="F113" i="65"/>
  <c r="H118" i="30"/>
  <c r="I118" i="30"/>
  <c r="F116" i="43"/>
  <c r="B116" i="43"/>
  <c r="B115" i="74"/>
  <c r="F115" i="74"/>
  <c r="F114" i="53"/>
  <c r="B114" i="53"/>
  <c r="F111" i="79"/>
  <c r="B111" i="79"/>
  <c r="B119" i="69"/>
  <c r="F119" i="69"/>
  <c r="B116" i="39"/>
  <c r="F116" i="39"/>
  <c r="H108" i="88"/>
  <c r="I108" i="88"/>
  <c r="F117" i="20"/>
  <c r="B117" i="20"/>
  <c r="F112" i="68"/>
  <c r="B112" i="68"/>
  <c r="J109" i="81"/>
  <c r="B117" i="19"/>
  <c r="F117" i="19"/>
  <c r="H118" i="29"/>
  <c r="I118" i="29"/>
  <c r="H117" i="31"/>
  <c r="I117" i="31"/>
  <c r="I112" i="60"/>
  <c r="H112" i="60"/>
  <c r="H110" i="78"/>
  <c r="I110" i="78"/>
  <c r="B109" i="92"/>
  <c r="F109" i="92"/>
  <c r="B112" i="66"/>
  <c r="F112" i="66"/>
  <c r="B113" i="64"/>
  <c r="F113" i="64"/>
  <c r="B114" i="72"/>
  <c r="F114" i="72"/>
  <c r="B117" i="34"/>
  <c r="F117" i="34"/>
  <c r="I115" i="43"/>
  <c r="H115" i="43"/>
  <c r="J108" i="89"/>
  <c r="H108" i="90"/>
  <c r="I108" i="90"/>
  <c r="H118" i="69"/>
  <c r="I118" i="69"/>
  <c r="F119" i="70"/>
  <c r="B119" i="70"/>
  <c r="J116" i="22"/>
  <c r="F109" i="88"/>
  <c r="B109" i="88"/>
  <c r="H116" i="20"/>
  <c r="I116" i="20"/>
  <c r="E116" i="45"/>
  <c r="G115" i="45"/>
  <c r="D116" i="45"/>
  <c r="F113" i="63"/>
  <c r="B113" i="63"/>
  <c r="G116" i="73"/>
  <c r="E117" i="73"/>
  <c r="D117" i="73"/>
  <c r="I108" i="86"/>
  <c r="H108" i="86"/>
  <c r="F119" i="27"/>
  <c r="B119" i="27"/>
  <c r="F114" i="46"/>
  <c r="B114" i="46"/>
  <c r="F113" i="60"/>
  <c r="B113" i="60"/>
  <c r="I117" i="32"/>
  <c r="H117" i="32"/>
  <c r="B111" i="78"/>
  <c r="F111" i="78"/>
  <c r="H108" i="92"/>
  <c r="I108" i="92"/>
  <c r="I112" i="64"/>
  <c r="H112" i="64"/>
  <c r="H108" i="84"/>
  <c r="I108" i="84"/>
  <c r="G116" i="41"/>
  <c r="E117" i="41"/>
  <c r="D117" i="41"/>
  <c r="F119" i="30"/>
  <c r="B119" i="30"/>
  <c r="H116" i="34"/>
  <c r="I116" i="34"/>
  <c r="I113" i="53"/>
  <c r="H113" i="53"/>
  <c r="H110" i="79"/>
  <c r="I110" i="79"/>
  <c r="F109" i="90"/>
  <c r="B109" i="90"/>
  <c r="H112" i="61"/>
  <c r="I112" i="61"/>
  <c r="I118" i="70"/>
  <c r="H118" i="70"/>
  <c r="F114" i="58"/>
  <c r="B114" i="58"/>
  <c r="J109" i="80"/>
  <c r="I112" i="63"/>
  <c r="H112" i="63"/>
  <c r="J115" i="41"/>
  <c r="I111" i="68"/>
  <c r="H111" i="68"/>
  <c r="E110" i="91"/>
  <c r="G109" i="91"/>
  <c r="D110" i="91"/>
  <c r="H116" i="19"/>
  <c r="I116" i="19"/>
  <c r="B119" i="29"/>
  <c r="F119" i="29"/>
  <c r="H113" i="46"/>
  <c r="I113" i="46"/>
  <c r="F118" i="31"/>
  <c r="B118" i="31"/>
  <c r="D114" i="62"/>
  <c r="E114" i="62"/>
  <c r="G113" i="62"/>
  <c r="I109" i="85"/>
  <c r="H109" i="85"/>
  <c r="G110" i="81"/>
  <c r="E111" i="81"/>
  <c r="D111" i="81"/>
  <c r="F109" i="84"/>
  <c r="B109" i="84"/>
  <c r="H112" i="65"/>
  <c r="I112" i="65"/>
  <c r="I114" i="74"/>
  <c r="H114" i="74"/>
  <c r="J114" i="45"/>
  <c r="I115" i="39"/>
  <c r="H115" i="39"/>
  <c r="B113" i="61"/>
  <c r="F113" i="61"/>
  <c r="I113" i="58"/>
  <c r="H113" i="58"/>
  <c r="J108" i="91"/>
  <c r="J117" i="24"/>
  <c r="H113" i="59"/>
  <c r="I113" i="59"/>
  <c r="F119" i="23"/>
  <c r="B119" i="23"/>
  <c r="B114" i="59"/>
  <c r="F114" i="59"/>
  <c r="G115" i="56"/>
  <c r="E116" i="56"/>
  <c r="D116" i="56"/>
  <c r="H118" i="23"/>
  <c r="I118" i="23"/>
  <c r="I117" i="18"/>
  <c r="H117" i="18"/>
  <c r="F118" i="18"/>
  <c r="B118" i="18"/>
  <c r="J107" i="13"/>
  <c r="J122" i="35"/>
  <c r="J113" i="55"/>
  <c r="J110" i="77"/>
  <c r="B119" i="71"/>
  <c r="F119" i="71"/>
  <c r="H114" i="57"/>
  <c r="I114" i="57"/>
  <c r="J116" i="21"/>
  <c r="J113" i="54"/>
  <c r="H118" i="71"/>
  <c r="I118" i="71"/>
  <c r="B115" i="57"/>
  <c r="F115" i="57"/>
  <c r="G108" i="33"/>
  <c r="D109" i="33"/>
  <c r="E109" i="33" s="1"/>
  <c r="G108" i="13"/>
  <c r="D109" i="13"/>
  <c r="F109" i="87"/>
  <c r="B109" i="87"/>
  <c r="G118" i="24"/>
  <c r="E119" i="24"/>
  <c r="D119" i="24"/>
  <c r="F110" i="82"/>
  <c r="B110" i="82"/>
  <c r="G114" i="54"/>
  <c r="D115" i="54"/>
  <c r="E115" i="54"/>
  <c r="H115" i="44"/>
  <c r="I115" i="44"/>
  <c r="F120" i="28"/>
  <c r="B120" i="28"/>
  <c r="B118" i="17"/>
  <c r="F118" i="17"/>
  <c r="B110" i="95"/>
  <c r="F110" i="95"/>
  <c r="D112" i="77"/>
  <c r="E112" i="77"/>
  <c r="G111" i="77"/>
  <c r="D118" i="21"/>
  <c r="E118" i="21"/>
  <c r="G117" i="21"/>
  <c r="H123" i="35"/>
  <c r="I123" i="35"/>
  <c r="B112" i="67"/>
  <c r="F112" i="67"/>
  <c r="H116" i="3"/>
  <c r="I116" i="3"/>
  <c r="B109" i="96"/>
  <c r="I119" i="28"/>
  <c r="H119" i="28"/>
  <c r="H117" i="17"/>
  <c r="I117" i="17"/>
  <c r="I109" i="95"/>
  <c r="H109" i="95"/>
  <c r="G109" i="93"/>
  <c r="D110" i="93"/>
  <c r="E125" i="35"/>
  <c r="F125" i="35" s="1"/>
  <c r="B125" i="35"/>
  <c r="G124" i="35"/>
  <c r="J115" i="42"/>
  <c r="J107" i="33"/>
  <c r="E115" i="55"/>
  <c r="D115" i="55"/>
  <c r="G114" i="55"/>
  <c r="H111" i="67"/>
  <c r="I111" i="67"/>
  <c r="B117" i="3"/>
  <c r="F117" i="3"/>
  <c r="I108" i="96"/>
  <c r="H108" i="96"/>
  <c r="J110" i="75"/>
  <c r="J110" i="76"/>
  <c r="B116" i="44"/>
  <c r="F116" i="44"/>
  <c r="J109" i="83"/>
  <c r="E117" i="42"/>
  <c r="D117" i="42"/>
  <c r="G116" i="42"/>
  <c r="G111" i="76"/>
  <c r="D112" i="76"/>
  <c r="E112" i="76"/>
  <c r="I108" i="87"/>
  <c r="H108" i="87"/>
  <c r="E111" i="83"/>
  <c r="D111" i="83"/>
  <c r="G110" i="83"/>
  <c r="G111" i="75"/>
  <c r="D112" i="75"/>
  <c r="E112" i="75"/>
  <c r="D111" i="80"/>
  <c r="G110" i="80"/>
  <c r="E111" i="80"/>
  <c r="H109" i="82"/>
  <c r="I109" i="82"/>
  <c r="E109" i="96"/>
  <c r="F109" i="96" s="1"/>
  <c r="E29" i="25" l="1"/>
  <c r="F29" i="25" s="1"/>
  <c r="H29" i="25" s="1"/>
  <c r="I28" i="25"/>
  <c r="G28" i="98"/>
  <c r="I28" i="98" s="1"/>
  <c r="I28" i="99"/>
  <c r="D29" i="98"/>
  <c r="E29" i="98"/>
  <c r="F31" i="97"/>
  <c r="D32" i="97" s="1"/>
  <c r="B31" i="97"/>
  <c r="F29" i="99"/>
  <c r="H29" i="99" s="1"/>
  <c r="B29" i="99"/>
  <c r="E109" i="25"/>
  <c r="F109" i="25" s="1"/>
  <c r="B109" i="25"/>
  <c r="I108" i="25"/>
  <c r="H108" i="25"/>
  <c r="I108" i="99"/>
  <c r="H108" i="99"/>
  <c r="F109" i="99"/>
  <c r="B109" i="99"/>
  <c r="D110" i="26"/>
  <c r="E110" i="26" s="1"/>
  <c r="F110" i="26" s="1"/>
  <c r="J108" i="26"/>
  <c r="J108" i="98"/>
  <c r="I31" i="82"/>
  <c r="I33" i="64"/>
  <c r="I109" i="26"/>
  <c r="H109" i="26"/>
  <c r="J108" i="97"/>
  <c r="D110" i="98"/>
  <c r="G109" i="98"/>
  <c r="E110" i="98"/>
  <c r="D110" i="97"/>
  <c r="G109" i="97"/>
  <c r="E110" i="97"/>
  <c r="G30" i="91"/>
  <c r="I30" i="91" s="1"/>
  <c r="H33" i="67"/>
  <c r="I33" i="67" s="1"/>
  <c r="D34" i="67"/>
  <c r="E34" i="67"/>
  <c r="H34" i="46"/>
  <c r="I34" i="46" s="1"/>
  <c r="D35" i="46"/>
  <c r="E35" i="46"/>
  <c r="H38" i="24"/>
  <c r="I38" i="24" s="1"/>
  <c r="E39" i="24"/>
  <c r="D39" i="24"/>
  <c r="E29" i="93"/>
  <c r="D29" i="93"/>
  <c r="G33" i="66"/>
  <c r="I33" i="66" s="1"/>
  <c r="H39" i="23"/>
  <c r="I39" i="23" s="1"/>
  <c r="H29" i="94"/>
  <c r="E30" i="94"/>
  <c r="D30" i="94"/>
  <c r="H28" i="93"/>
  <c r="G29" i="89"/>
  <c r="I29" i="89" s="1"/>
  <c r="F31" i="86"/>
  <c r="B31" i="86"/>
  <c r="G28" i="93"/>
  <c r="H31" i="80"/>
  <c r="I31" i="80" s="1"/>
  <c r="D32" i="80"/>
  <c r="E32" i="80"/>
  <c r="F32" i="82"/>
  <c r="B32" i="82"/>
  <c r="I31" i="75"/>
  <c r="J108" i="94"/>
  <c r="G29" i="94"/>
  <c r="D110" i="94"/>
  <c r="G109" i="94"/>
  <c r="I32" i="65"/>
  <c r="B32" i="75"/>
  <c r="F32" i="75"/>
  <c r="H32" i="75" s="1"/>
  <c r="D31" i="84"/>
  <c r="E31" i="84"/>
  <c r="B37" i="42"/>
  <c r="F37" i="42"/>
  <c r="G34" i="53"/>
  <c r="I34" i="53" s="1"/>
  <c r="E35" i="53"/>
  <c r="D35" i="53"/>
  <c r="B36" i="55"/>
  <c r="F36" i="55"/>
  <c r="H30" i="84"/>
  <c r="I30" i="84" s="1"/>
  <c r="B36" i="58"/>
  <c r="F36" i="58"/>
  <c r="I29" i="33"/>
  <c r="D34" i="66"/>
  <c r="E34" i="66"/>
  <c r="E31" i="91"/>
  <c r="D31" i="91"/>
  <c r="E40" i="23"/>
  <c r="D40" i="23"/>
  <c r="F33" i="65"/>
  <c r="G33" i="65" s="1"/>
  <c r="B33" i="65"/>
  <c r="H31" i="90"/>
  <c r="I31" i="90" s="1"/>
  <c r="D32" i="90"/>
  <c r="E32" i="90"/>
  <c r="H31" i="76"/>
  <c r="I31" i="76" s="1"/>
  <c r="D32" i="76"/>
  <c r="E32" i="76"/>
  <c r="G33" i="61"/>
  <c r="I33" i="61" s="1"/>
  <c r="G37" i="22"/>
  <c r="I37" i="22" s="1"/>
  <c r="H28" i="96"/>
  <c r="I28" i="96" s="1"/>
  <c r="E29" i="96"/>
  <c r="D29" i="96"/>
  <c r="G36" i="44"/>
  <c r="I36" i="44" s="1"/>
  <c r="F31" i="85"/>
  <c r="B31" i="85"/>
  <c r="G30" i="81"/>
  <c r="I30" i="81" s="1"/>
  <c r="E31" i="81"/>
  <c r="D31" i="81"/>
  <c r="F29" i="95"/>
  <c r="H29" i="95" s="1"/>
  <c r="B29" i="95"/>
  <c r="E38" i="22"/>
  <c r="D38" i="22"/>
  <c r="B37" i="39"/>
  <c r="F37" i="39"/>
  <c r="H37" i="39" s="1"/>
  <c r="H33" i="59"/>
  <c r="I33" i="59" s="1"/>
  <c r="D40" i="27"/>
  <c r="G39" i="27"/>
  <c r="E40" i="27"/>
  <c r="H39" i="27"/>
  <c r="E37" i="44"/>
  <c r="D37" i="44"/>
  <c r="E34" i="61"/>
  <c r="D34" i="61"/>
  <c r="F35" i="72"/>
  <c r="H35" i="72" s="1"/>
  <c r="B35" i="72"/>
  <c r="D37" i="74"/>
  <c r="E37" i="74"/>
  <c r="D37" i="73"/>
  <c r="G36" i="73"/>
  <c r="E37" i="73"/>
  <c r="F36" i="45"/>
  <c r="G36" i="45" s="1"/>
  <c r="B36" i="45"/>
  <c r="E32" i="78"/>
  <c r="D32" i="78"/>
  <c r="E38" i="21"/>
  <c r="D38" i="21"/>
  <c r="B39" i="71"/>
  <c r="F39" i="71"/>
  <c r="H39" i="71" s="1"/>
  <c r="D34" i="60"/>
  <c r="E34" i="60"/>
  <c r="H34" i="57"/>
  <c r="I34" i="57" s="1"/>
  <c r="D35" i="57"/>
  <c r="E35" i="57"/>
  <c r="D38" i="43"/>
  <c r="E38" i="43"/>
  <c r="B40" i="31"/>
  <c r="F40" i="31"/>
  <c r="G40" i="31" s="1"/>
  <c r="G33" i="63"/>
  <c r="D34" i="63"/>
  <c r="E34" i="63"/>
  <c r="D32" i="79"/>
  <c r="E32" i="79"/>
  <c r="B41" i="28"/>
  <c r="F41" i="28"/>
  <c r="I38" i="34"/>
  <c r="D30" i="89"/>
  <c r="E30" i="89"/>
  <c r="H36" i="74"/>
  <c r="H33" i="60"/>
  <c r="I33" i="60" s="1"/>
  <c r="F31" i="88"/>
  <c r="B31" i="88"/>
  <c r="D38" i="41"/>
  <c r="E38" i="41"/>
  <c r="G37" i="43"/>
  <c r="I37" i="43" s="1"/>
  <c r="G31" i="78"/>
  <c r="H37" i="21"/>
  <c r="B34" i="64"/>
  <c r="F34" i="64"/>
  <c r="G34" i="64" s="1"/>
  <c r="B29" i="26"/>
  <c r="F29" i="26"/>
  <c r="B34" i="56"/>
  <c r="F34" i="56"/>
  <c r="G34" i="56" s="1"/>
  <c r="D38" i="17"/>
  <c r="E38" i="17"/>
  <c r="F33" i="68"/>
  <c r="H33" i="68" s="1"/>
  <c r="B33" i="68"/>
  <c r="F40" i="69"/>
  <c r="H40" i="69" s="1"/>
  <c r="B40" i="69"/>
  <c r="H31" i="77"/>
  <c r="D32" i="77"/>
  <c r="E32" i="77"/>
  <c r="F38" i="3"/>
  <c r="G38" i="3" s="1"/>
  <c r="B38" i="3"/>
  <c r="D40" i="29"/>
  <c r="E40" i="29"/>
  <c r="H39" i="70"/>
  <c r="I39" i="70" s="1"/>
  <c r="D40" i="70"/>
  <c r="E40" i="70"/>
  <c r="G34" i="54"/>
  <c r="I34" i="54" s="1"/>
  <c r="D35" i="54"/>
  <c r="E35" i="54"/>
  <c r="F39" i="34"/>
  <c r="H39" i="34" s="1"/>
  <c r="B39" i="34"/>
  <c r="G36" i="74"/>
  <c r="F30" i="83"/>
  <c r="G30" i="83" s="1"/>
  <c r="B30" i="83"/>
  <c r="B39" i="30"/>
  <c r="F39" i="30"/>
  <c r="H39" i="30" s="1"/>
  <c r="G37" i="41"/>
  <c r="I37" i="41" s="1"/>
  <c r="H38" i="32"/>
  <c r="I38" i="32" s="1"/>
  <c r="E39" i="32"/>
  <c r="D39" i="32"/>
  <c r="H37" i="17"/>
  <c r="I37" i="17" s="1"/>
  <c r="H36" i="73"/>
  <c r="B38" i="19"/>
  <c r="F38" i="19"/>
  <c r="H38" i="19" s="1"/>
  <c r="G31" i="77"/>
  <c r="H31" i="78"/>
  <c r="H39" i="29"/>
  <c r="I39" i="29" s="1"/>
  <c r="G37" i="21"/>
  <c r="H33" i="63"/>
  <c r="G31" i="79"/>
  <c r="I31" i="79" s="1"/>
  <c r="I28" i="26"/>
  <c r="G29" i="92"/>
  <c r="I29" i="92" s="1"/>
  <c r="E30" i="92"/>
  <c r="D30" i="92"/>
  <c r="F30" i="33"/>
  <c r="B30" i="33"/>
  <c r="J112" i="61"/>
  <c r="J110" i="79"/>
  <c r="J116" i="34"/>
  <c r="J118" i="69"/>
  <c r="J117" i="32"/>
  <c r="J108" i="86"/>
  <c r="J108" i="90"/>
  <c r="J112" i="60"/>
  <c r="J108" i="87"/>
  <c r="J112" i="63"/>
  <c r="J118" i="27"/>
  <c r="J118" i="30"/>
  <c r="I41" i="35"/>
  <c r="D39" i="18"/>
  <c r="E39" i="18"/>
  <c r="B29" i="13"/>
  <c r="J113" i="58"/>
  <c r="J115" i="39"/>
  <c r="J112" i="65"/>
  <c r="J109" i="85"/>
  <c r="B43" i="35"/>
  <c r="E43" i="35"/>
  <c r="F43" i="35" s="1"/>
  <c r="G42" i="35"/>
  <c r="H42" i="35"/>
  <c r="B33" i="62"/>
  <c r="F33" i="62"/>
  <c r="G33" i="62" s="1"/>
  <c r="B30" i="87"/>
  <c r="F30" i="87"/>
  <c r="G30" i="87" s="1"/>
  <c r="G38" i="18"/>
  <c r="B37" i="20"/>
  <c r="F37" i="20"/>
  <c r="G37" i="20" s="1"/>
  <c r="H38" i="18"/>
  <c r="J113" i="59"/>
  <c r="J113" i="46"/>
  <c r="J116" i="19"/>
  <c r="J110" i="78"/>
  <c r="J117" i="31"/>
  <c r="I28" i="13"/>
  <c r="E29" i="13"/>
  <c r="F29" i="13" s="1"/>
  <c r="D34" i="59"/>
  <c r="E34" i="59"/>
  <c r="H110" i="81"/>
  <c r="I110" i="81"/>
  <c r="I116" i="41"/>
  <c r="H116" i="41"/>
  <c r="J112" i="64"/>
  <c r="D114" i="60"/>
  <c r="G113" i="60"/>
  <c r="E114" i="60"/>
  <c r="D120" i="27"/>
  <c r="E120" i="27"/>
  <c r="G119" i="27"/>
  <c r="B116" i="45"/>
  <c r="F116" i="45"/>
  <c r="J115" i="43"/>
  <c r="G116" i="39"/>
  <c r="D117" i="39"/>
  <c r="E117" i="39"/>
  <c r="D116" i="74"/>
  <c r="G115" i="74"/>
  <c r="E116" i="74"/>
  <c r="B110" i="89"/>
  <c r="F110" i="89"/>
  <c r="J111" i="66"/>
  <c r="D110" i="86"/>
  <c r="G109" i="86"/>
  <c r="E110" i="86"/>
  <c r="J114" i="74"/>
  <c r="E110" i="84"/>
  <c r="D110" i="84"/>
  <c r="G109" i="84"/>
  <c r="B114" i="62"/>
  <c r="F114" i="62"/>
  <c r="E120" i="29"/>
  <c r="D120" i="29"/>
  <c r="G119" i="29"/>
  <c r="B110" i="91"/>
  <c r="F110" i="91"/>
  <c r="J111" i="68"/>
  <c r="J118" i="70"/>
  <c r="E110" i="90"/>
  <c r="D110" i="90"/>
  <c r="G109" i="90"/>
  <c r="J113" i="53"/>
  <c r="E120" i="30"/>
  <c r="G119" i="30"/>
  <c r="D120" i="30"/>
  <c r="J108" i="84"/>
  <c r="J108" i="92"/>
  <c r="I116" i="73"/>
  <c r="H116" i="73"/>
  <c r="H115" i="45"/>
  <c r="I115" i="45"/>
  <c r="E120" i="70"/>
  <c r="D120" i="70"/>
  <c r="G119" i="70"/>
  <c r="D118" i="34"/>
  <c r="G117" i="34"/>
  <c r="E118" i="34"/>
  <c r="G113" i="64"/>
  <c r="E114" i="64"/>
  <c r="D114" i="64"/>
  <c r="E110" i="92"/>
  <c r="G109" i="92"/>
  <c r="D110" i="92"/>
  <c r="J118" i="29"/>
  <c r="G117" i="20"/>
  <c r="E118" i="20"/>
  <c r="D118" i="20"/>
  <c r="D112" i="79"/>
  <c r="E112" i="79"/>
  <c r="G111" i="79"/>
  <c r="J113" i="72"/>
  <c r="G110" i="85"/>
  <c r="E111" i="85"/>
  <c r="D111" i="85"/>
  <c r="D119" i="32"/>
  <c r="G118" i="32"/>
  <c r="E119" i="32"/>
  <c r="F111" i="81"/>
  <c r="B111" i="81"/>
  <c r="D119" i="31"/>
  <c r="E119" i="31"/>
  <c r="G118" i="31"/>
  <c r="H109" i="91"/>
  <c r="I109" i="91"/>
  <c r="F117" i="41"/>
  <c r="B117" i="41"/>
  <c r="E115" i="46"/>
  <c r="D115" i="46"/>
  <c r="G114" i="46"/>
  <c r="G109" i="88"/>
  <c r="E110" i="88"/>
  <c r="D110" i="88"/>
  <c r="J108" i="88"/>
  <c r="D120" i="69"/>
  <c r="E120" i="69"/>
  <c r="G119" i="69"/>
  <c r="G113" i="65"/>
  <c r="E114" i="65"/>
  <c r="D114" i="65"/>
  <c r="I117" i="22"/>
  <c r="H117" i="22"/>
  <c r="E114" i="61"/>
  <c r="G113" i="61"/>
  <c r="D114" i="61"/>
  <c r="H113" i="62"/>
  <c r="I113" i="62"/>
  <c r="E115" i="58"/>
  <c r="G114" i="58"/>
  <c r="D115" i="58"/>
  <c r="D112" i="78"/>
  <c r="G111" i="78"/>
  <c r="E112" i="78"/>
  <c r="B117" i="73"/>
  <c r="F117" i="73"/>
  <c r="G113" i="63"/>
  <c r="E114" i="63"/>
  <c r="D114" i="63"/>
  <c r="J116" i="20"/>
  <c r="E115" i="72"/>
  <c r="G114" i="72"/>
  <c r="D115" i="72"/>
  <c r="D113" i="66"/>
  <c r="G112" i="66"/>
  <c r="E113" i="66"/>
  <c r="D118" i="19"/>
  <c r="E118" i="19"/>
  <c r="G117" i="19"/>
  <c r="G112" i="68"/>
  <c r="D113" i="68"/>
  <c r="E113" i="68"/>
  <c r="G114" i="53"/>
  <c r="E115" i="53"/>
  <c r="D115" i="53"/>
  <c r="D117" i="43"/>
  <c r="G116" i="43"/>
  <c r="E117" i="43"/>
  <c r="I109" i="89"/>
  <c r="H109" i="89"/>
  <c r="B118" i="22"/>
  <c r="F118" i="22"/>
  <c r="J118" i="71"/>
  <c r="D115" i="59"/>
  <c r="E115" i="59"/>
  <c r="G114" i="59"/>
  <c r="G118" i="18"/>
  <c r="D119" i="18"/>
  <c r="E119" i="18"/>
  <c r="F116" i="56"/>
  <c r="B116" i="56"/>
  <c r="G119" i="23"/>
  <c r="E120" i="23"/>
  <c r="D120" i="23"/>
  <c r="J117" i="18"/>
  <c r="J109" i="95"/>
  <c r="J118" i="23"/>
  <c r="I115" i="56"/>
  <c r="H115" i="56"/>
  <c r="J115" i="44"/>
  <c r="D116" i="57"/>
  <c r="E116" i="57"/>
  <c r="G115" i="57"/>
  <c r="J108" i="96"/>
  <c r="J114" i="57"/>
  <c r="G119" i="71"/>
  <c r="D120" i="71"/>
  <c r="E120" i="71"/>
  <c r="G109" i="96"/>
  <c r="D110" i="96"/>
  <c r="E110" i="96" s="1"/>
  <c r="F112" i="76"/>
  <c r="B112" i="76"/>
  <c r="D117" i="44"/>
  <c r="G116" i="44"/>
  <c r="E117" i="44"/>
  <c r="B115" i="55"/>
  <c r="F115" i="55"/>
  <c r="B110" i="93"/>
  <c r="B112" i="77"/>
  <c r="F112" i="77"/>
  <c r="H114" i="54"/>
  <c r="I114" i="54"/>
  <c r="B119" i="24"/>
  <c r="F119" i="24"/>
  <c r="B109" i="13"/>
  <c r="B112" i="75"/>
  <c r="F112" i="75"/>
  <c r="I110" i="80"/>
  <c r="H110" i="80"/>
  <c r="H111" i="75"/>
  <c r="I111" i="75"/>
  <c r="H111" i="76"/>
  <c r="I111" i="76"/>
  <c r="D118" i="3"/>
  <c r="G117" i="3"/>
  <c r="E118" i="3"/>
  <c r="I124" i="35"/>
  <c r="H124" i="35"/>
  <c r="I109" i="93"/>
  <c r="H109" i="93"/>
  <c r="J119" i="28"/>
  <c r="B118" i="21"/>
  <c r="F118" i="21"/>
  <c r="G110" i="95"/>
  <c r="D111" i="95"/>
  <c r="E111" i="95" s="1"/>
  <c r="D121" i="28"/>
  <c r="G120" i="28"/>
  <c r="E121" i="28"/>
  <c r="H108" i="13"/>
  <c r="I108" i="13"/>
  <c r="B109" i="33"/>
  <c r="F109" i="33"/>
  <c r="J109" i="82"/>
  <c r="B111" i="80"/>
  <c r="F111" i="80"/>
  <c r="H110" i="83"/>
  <c r="I110" i="83"/>
  <c r="I116" i="42"/>
  <c r="H116" i="42"/>
  <c r="J117" i="17"/>
  <c r="J116" i="3"/>
  <c r="D113" i="67"/>
  <c r="G112" i="67"/>
  <c r="E113" i="67"/>
  <c r="J123" i="35"/>
  <c r="I111" i="77"/>
  <c r="H111" i="77"/>
  <c r="E119" i="17"/>
  <c r="D119" i="17"/>
  <c r="G118" i="17"/>
  <c r="I118" i="24"/>
  <c r="H118" i="24"/>
  <c r="G109" i="87"/>
  <c r="D110" i="87"/>
  <c r="E110" i="87"/>
  <c r="H108" i="33"/>
  <c r="I108" i="33"/>
  <c r="F111" i="83"/>
  <c r="B111" i="83"/>
  <c r="B117" i="42"/>
  <c r="F117" i="42"/>
  <c r="J111" i="67"/>
  <c r="I114" i="55"/>
  <c r="H114" i="55"/>
  <c r="B126" i="35"/>
  <c r="E126" i="35"/>
  <c r="F126" i="35" s="1"/>
  <c r="G125" i="35"/>
  <c r="E110" i="93"/>
  <c r="F110" i="93" s="1"/>
  <c r="H117" i="21"/>
  <c r="I117" i="21"/>
  <c r="B115" i="54"/>
  <c r="F115" i="54"/>
  <c r="D111" i="82"/>
  <c r="G110" i="82"/>
  <c r="E111" i="82"/>
  <c r="E109" i="13"/>
  <c r="F109" i="13" s="1"/>
  <c r="G29" i="25" l="1"/>
  <c r="I29" i="25" s="1"/>
  <c r="D30" i="25"/>
  <c r="I28" i="93"/>
  <c r="G29" i="99"/>
  <c r="I29" i="99" s="1"/>
  <c r="G31" i="97"/>
  <c r="H31" i="97"/>
  <c r="F29" i="98"/>
  <c r="G29" i="98" s="1"/>
  <c r="B29" i="98"/>
  <c r="D30" i="99"/>
  <c r="E30" i="99"/>
  <c r="E32" i="97"/>
  <c r="F32" i="97" s="1"/>
  <c r="B32" i="97"/>
  <c r="D110" i="25"/>
  <c r="G109" i="25"/>
  <c r="J108" i="25"/>
  <c r="D110" i="99"/>
  <c r="G109" i="99"/>
  <c r="E110" i="99"/>
  <c r="J108" i="99"/>
  <c r="G40" i="69"/>
  <c r="I40" i="69" s="1"/>
  <c r="B110" i="26"/>
  <c r="I29" i="94"/>
  <c r="G39" i="30"/>
  <c r="I39" i="30" s="1"/>
  <c r="J109" i="26"/>
  <c r="H109" i="98"/>
  <c r="I109" i="98"/>
  <c r="I109" i="97"/>
  <c r="H109" i="97"/>
  <c r="F110" i="98"/>
  <c r="B110" i="98"/>
  <c r="F110" i="97"/>
  <c r="B110" i="97"/>
  <c r="G110" i="26"/>
  <c r="D111" i="26"/>
  <c r="H30" i="83"/>
  <c r="I30" i="83" s="1"/>
  <c r="G39" i="71"/>
  <c r="I39" i="71" s="1"/>
  <c r="B34" i="67"/>
  <c r="F34" i="67"/>
  <c r="H34" i="67" s="1"/>
  <c r="B35" i="46"/>
  <c r="F35" i="46"/>
  <c r="G35" i="46" s="1"/>
  <c r="F39" i="24"/>
  <c r="G39" i="24" s="1"/>
  <c r="B39" i="24"/>
  <c r="H32" i="82"/>
  <c r="D33" i="82"/>
  <c r="E33" i="82"/>
  <c r="B30" i="94"/>
  <c r="F30" i="94"/>
  <c r="H30" i="94" s="1"/>
  <c r="H34" i="64"/>
  <c r="I34" i="64" s="1"/>
  <c r="G32" i="82"/>
  <c r="F32" i="80"/>
  <c r="G32" i="80" s="1"/>
  <c r="B32" i="80"/>
  <c r="G31" i="86"/>
  <c r="E32" i="86"/>
  <c r="D32" i="86"/>
  <c r="H31" i="86"/>
  <c r="F29" i="93"/>
  <c r="H29" i="93" s="1"/>
  <c r="B29" i="93"/>
  <c r="G37" i="39"/>
  <c r="I37" i="39" s="1"/>
  <c r="H36" i="55"/>
  <c r="E37" i="55"/>
  <c r="D37" i="55"/>
  <c r="H33" i="65"/>
  <c r="I33" i="65" s="1"/>
  <c r="F40" i="23"/>
  <c r="B40" i="23"/>
  <c r="G37" i="42"/>
  <c r="D38" i="42"/>
  <c r="E38" i="42"/>
  <c r="B31" i="84"/>
  <c r="F31" i="84"/>
  <c r="G31" i="84" s="1"/>
  <c r="G32" i="75"/>
  <c r="I32" i="75" s="1"/>
  <c r="H36" i="58"/>
  <c r="G36" i="58"/>
  <c r="E37" i="58"/>
  <c r="D37" i="58"/>
  <c r="I33" i="63"/>
  <c r="F34" i="66"/>
  <c r="G34" i="66" s="1"/>
  <c r="B34" i="66"/>
  <c r="B35" i="53"/>
  <c r="F35" i="53"/>
  <c r="H37" i="42"/>
  <c r="I109" i="94"/>
  <c r="H109" i="94"/>
  <c r="D34" i="65"/>
  <c r="E34" i="65"/>
  <c r="G38" i="19"/>
  <c r="I38" i="19" s="1"/>
  <c r="B32" i="90"/>
  <c r="F32" i="90"/>
  <c r="G32" i="90" s="1"/>
  <c r="F31" i="91"/>
  <c r="B31" i="91"/>
  <c r="G36" i="55"/>
  <c r="E33" i="75"/>
  <c r="D33" i="75"/>
  <c r="E110" i="94"/>
  <c r="F110" i="94" s="1"/>
  <c r="B110" i="94"/>
  <c r="B40" i="27"/>
  <c r="F40" i="27"/>
  <c r="G40" i="27" s="1"/>
  <c r="B38" i="22"/>
  <c r="F38" i="22"/>
  <c r="G38" i="22" s="1"/>
  <c r="H31" i="85"/>
  <c r="E32" i="85"/>
  <c r="D32" i="85"/>
  <c r="B32" i="76"/>
  <c r="F32" i="76"/>
  <c r="D36" i="72"/>
  <c r="E36" i="72"/>
  <c r="F34" i="61"/>
  <c r="H34" i="61" s="1"/>
  <c r="B34" i="61"/>
  <c r="I39" i="27"/>
  <c r="D30" i="95"/>
  <c r="E30" i="95"/>
  <c r="H34" i="56"/>
  <c r="I34" i="56" s="1"/>
  <c r="G35" i="72"/>
  <c r="I35" i="72" s="1"/>
  <c r="D38" i="39"/>
  <c r="E38" i="39"/>
  <c r="G29" i="95"/>
  <c r="I29" i="95" s="1"/>
  <c r="B31" i="81"/>
  <c r="F31" i="81"/>
  <c r="H31" i="81" s="1"/>
  <c r="G31" i="85"/>
  <c r="B29" i="96"/>
  <c r="F29" i="96"/>
  <c r="G29" i="96" s="1"/>
  <c r="F37" i="44"/>
  <c r="G37" i="44" s="1"/>
  <c r="B37" i="44"/>
  <c r="I36" i="73"/>
  <c r="H41" i="28"/>
  <c r="E42" i="28"/>
  <c r="D42" i="28"/>
  <c r="B30" i="92"/>
  <c r="F30" i="92"/>
  <c r="H30" i="92" s="1"/>
  <c r="H38" i="3"/>
  <c r="I38" i="3" s="1"/>
  <c r="G31" i="88"/>
  <c r="E32" i="88"/>
  <c r="D32" i="88"/>
  <c r="H40" i="31"/>
  <c r="I40" i="31" s="1"/>
  <c r="D41" i="31"/>
  <c r="E41" i="31"/>
  <c r="F32" i="78"/>
  <c r="G32" i="78" s="1"/>
  <c r="B32" i="78"/>
  <c r="I38" i="18"/>
  <c r="H30" i="87"/>
  <c r="I30" i="87" s="1"/>
  <c r="H33" i="62"/>
  <c r="I33" i="62" s="1"/>
  <c r="E40" i="30"/>
  <c r="D40" i="30"/>
  <c r="B40" i="29"/>
  <c r="F40" i="29"/>
  <c r="H40" i="29" s="1"/>
  <c r="F38" i="17"/>
  <c r="H38" i="17" s="1"/>
  <c r="B38" i="17"/>
  <c r="C47" i="17"/>
  <c r="F38" i="41"/>
  <c r="H38" i="41" s="1"/>
  <c r="B38" i="41"/>
  <c r="B34" i="63"/>
  <c r="F34" i="63"/>
  <c r="G34" i="63" s="1"/>
  <c r="F35" i="57"/>
  <c r="B35" i="57"/>
  <c r="E40" i="71"/>
  <c r="D40" i="71"/>
  <c r="B37" i="73"/>
  <c r="F37" i="73"/>
  <c r="B37" i="74"/>
  <c r="F37" i="74"/>
  <c r="H37" i="74" s="1"/>
  <c r="F39" i="32"/>
  <c r="G39" i="32" s="1"/>
  <c r="B39" i="32"/>
  <c r="D39" i="3"/>
  <c r="E39" i="3" s="1"/>
  <c r="I31" i="77"/>
  <c r="G33" i="68"/>
  <c r="I33" i="68" s="1"/>
  <c r="E34" i="68"/>
  <c r="D34" i="68"/>
  <c r="F32" i="79"/>
  <c r="G32" i="79" s="1"/>
  <c r="B32" i="79"/>
  <c r="F38" i="43"/>
  <c r="B38" i="43"/>
  <c r="H36" i="45"/>
  <c r="I36" i="45" s="1"/>
  <c r="E37" i="45"/>
  <c r="D37" i="45"/>
  <c r="B35" i="54"/>
  <c r="F35" i="54"/>
  <c r="F30" i="89"/>
  <c r="B30" i="89"/>
  <c r="F34" i="60"/>
  <c r="G34" i="60" s="1"/>
  <c r="B34" i="60"/>
  <c r="I42" i="35"/>
  <c r="D31" i="33"/>
  <c r="E31" i="33" s="1"/>
  <c r="H30" i="33"/>
  <c r="G30" i="33"/>
  <c r="I31" i="78"/>
  <c r="D39" i="19"/>
  <c r="E39" i="19"/>
  <c r="E31" i="83"/>
  <c r="D31" i="83"/>
  <c r="E40" i="34"/>
  <c r="D40" i="34"/>
  <c r="G39" i="34"/>
  <c r="I39" i="34" s="1"/>
  <c r="F40" i="70"/>
  <c r="H40" i="70" s="1"/>
  <c r="B40" i="70"/>
  <c r="B32" i="77"/>
  <c r="F32" i="77"/>
  <c r="G32" i="77" s="1"/>
  <c r="D41" i="69"/>
  <c r="E41" i="69"/>
  <c r="D35" i="56"/>
  <c r="E35" i="56"/>
  <c r="G29" i="26"/>
  <c r="H29" i="26"/>
  <c r="D30" i="26"/>
  <c r="D35" i="64"/>
  <c r="E35" i="64"/>
  <c r="I37" i="21"/>
  <c r="H31" i="88"/>
  <c r="I36" i="74"/>
  <c r="G41" i="28"/>
  <c r="B38" i="21"/>
  <c r="F38" i="21"/>
  <c r="J117" i="22"/>
  <c r="J109" i="91"/>
  <c r="J116" i="73"/>
  <c r="D30" i="13"/>
  <c r="E30" i="13" s="1"/>
  <c r="H29" i="13"/>
  <c r="G29" i="13"/>
  <c r="D31" i="87"/>
  <c r="E31" i="87"/>
  <c r="E34" i="62"/>
  <c r="D34" i="62"/>
  <c r="J111" i="75"/>
  <c r="J113" i="62"/>
  <c r="H37" i="20"/>
  <c r="I37" i="20" s="1"/>
  <c r="F39" i="18"/>
  <c r="B39" i="18"/>
  <c r="J110" i="81"/>
  <c r="B34" i="59"/>
  <c r="F34" i="59"/>
  <c r="G34" i="59" s="1"/>
  <c r="D38" i="20"/>
  <c r="E38" i="20"/>
  <c r="G43" i="35"/>
  <c r="E44" i="35"/>
  <c r="F44" i="35" s="1"/>
  <c r="H43" i="35"/>
  <c r="B44" i="35"/>
  <c r="G118" i="22"/>
  <c r="D119" i="22"/>
  <c r="E119" i="22"/>
  <c r="I112" i="68"/>
  <c r="H112" i="68"/>
  <c r="I114" i="72"/>
  <c r="H114" i="72"/>
  <c r="H114" i="58"/>
  <c r="I114" i="58"/>
  <c r="F120" i="69"/>
  <c r="B120" i="69"/>
  <c r="I109" i="88"/>
  <c r="H109" i="88"/>
  <c r="H118" i="31"/>
  <c r="I118" i="31"/>
  <c r="D112" i="81"/>
  <c r="G111" i="81"/>
  <c r="E112" i="81"/>
  <c r="F111" i="85"/>
  <c r="B111" i="85"/>
  <c r="H111" i="79"/>
  <c r="I111" i="79"/>
  <c r="I109" i="92"/>
  <c r="H109" i="92"/>
  <c r="H113" i="64"/>
  <c r="I113" i="64"/>
  <c r="H119" i="70"/>
  <c r="I119" i="70"/>
  <c r="H119" i="29"/>
  <c r="I119" i="29"/>
  <c r="B117" i="39"/>
  <c r="F117" i="39"/>
  <c r="J114" i="54"/>
  <c r="I116" i="43"/>
  <c r="H116" i="43"/>
  <c r="I114" i="53"/>
  <c r="H114" i="53"/>
  <c r="H117" i="19"/>
  <c r="I117" i="19"/>
  <c r="I112" i="66"/>
  <c r="H112" i="66"/>
  <c r="I113" i="63"/>
  <c r="H113" i="63"/>
  <c r="H111" i="78"/>
  <c r="I111" i="78"/>
  <c r="I113" i="65"/>
  <c r="H113" i="65"/>
  <c r="H114" i="46"/>
  <c r="I114" i="46"/>
  <c r="G117" i="41"/>
  <c r="E118" i="41"/>
  <c r="D118" i="41"/>
  <c r="H117" i="20"/>
  <c r="I117" i="20"/>
  <c r="F120" i="70"/>
  <c r="B120" i="70"/>
  <c r="B120" i="30"/>
  <c r="F120" i="30"/>
  <c r="H109" i="90"/>
  <c r="I109" i="90"/>
  <c r="B120" i="29"/>
  <c r="F120" i="29"/>
  <c r="I109" i="84"/>
  <c r="H109" i="84"/>
  <c r="I115" i="74"/>
  <c r="H115" i="74"/>
  <c r="I116" i="39"/>
  <c r="H116" i="39"/>
  <c r="H119" i="27"/>
  <c r="I119" i="27"/>
  <c r="I113" i="60"/>
  <c r="H113" i="60"/>
  <c r="J116" i="41"/>
  <c r="B117" i="43"/>
  <c r="F117" i="43"/>
  <c r="F113" i="66"/>
  <c r="B113" i="66"/>
  <c r="E118" i="73"/>
  <c r="D118" i="73"/>
  <c r="G117" i="73"/>
  <c r="F112" i="78"/>
  <c r="B112" i="78"/>
  <c r="B114" i="61"/>
  <c r="F114" i="61"/>
  <c r="I119" i="69"/>
  <c r="H119" i="69"/>
  <c r="B110" i="88"/>
  <c r="F110" i="88"/>
  <c r="B115" i="46"/>
  <c r="F115" i="46"/>
  <c r="F119" i="31"/>
  <c r="B119" i="31"/>
  <c r="H118" i="32"/>
  <c r="I118" i="32"/>
  <c r="I110" i="85"/>
  <c r="H110" i="85"/>
  <c r="B112" i="79"/>
  <c r="F112" i="79"/>
  <c r="B114" i="64"/>
  <c r="F114" i="64"/>
  <c r="I117" i="34"/>
  <c r="H117" i="34"/>
  <c r="I119" i="30"/>
  <c r="H119" i="30"/>
  <c r="F110" i="90"/>
  <c r="B110" i="90"/>
  <c r="G110" i="91"/>
  <c r="E111" i="91"/>
  <c r="D111" i="91"/>
  <c r="B110" i="84"/>
  <c r="F110" i="84"/>
  <c r="I109" i="86"/>
  <c r="H109" i="86"/>
  <c r="D111" i="89"/>
  <c r="G110" i="89"/>
  <c r="E111" i="89"/>
  <c r="F116" i="74"/>
  <c r="B116" i="74"/>
  <c r="F114" i="60"/>
  <c r="B114" i="60"/>
  <c r="J109" i="89"/>
  <c r="B115" i="53"/>
  <c r="F115" i="53"/>
  <c r="F113" i="68"/>
  <c r="B113" i="68"/>
  <c r="F118" i="19"/>
  <c r="B118" i="19"/>
  <c r="F115" i="72"/>
  <c r="B115" i="72"/>
  <c r="F114" i="63"/>
  <c r="B114" i="63"/>
  <c r="F115" i="58"/>
  <c r="B115" i="58"/>
  <c r="H113" i="61"/>
  <c r="I113" i="61"/>
  <c r="B114" i="65"/>
  <c r="F114" i="65"/>
  <c r="B119" i="32"/>
  <c r="F119" i="32"/>
  <c r="B118" i="20"/>
  <c r="F118" i="20"/>
  <c r="B110" i="92"/>
  <c r="F110" i="92"/>
  <c r="B118" i="34"/>
  <c r="F118" i="34"/>
  <c r="J115" i="45"/>
  <c r="D115" i="62"/>
  <c r="G114" i="62"/>
  <c r="E115" i="62"/>
  <c r="B110" i="86"/>
  <c r="F110" i="86"/>
  <c r="E117" i="45"/>
  <c r="G116" i="45"/>
  <c r="D117" i="45"/>
  <c r="B120" i="27"/>
  <c r="F120" i="27"/>
  <c r="J110" i="83"/>
  <c r="J115" i="56"/>
  <c r="H119" i="23"/>
  <c r="I119" i="23"/>
  <c r="F119" i="18"/>
  <c r="B119" i="18"/>
  <c r="H114" i="59"/>
  <c r="I114" i="59"/>
  <c r="I118" i="18"/>
  <c r="H118" i="18"/>
  <c r="J117" i="21"/>
  <c r="B120" i="23"/>
  <c r="F120" i="23"/>
  <c r="D117" i="56"/>
  <c r="E117" i="56"/>
  <c r="G116" i="56"/>
  <c r="F115" i="59"/>
  <c r="B115" i="59"/>
  <c r="B120" i="71"/>
  <c r="F120" i="71"/>
  <c r="I115" i="57"/>
  <c r="H115" i="57"/>
  <c r="J111" i="76"/>
  <c r="I119" i="71"/>
  <c r="H119" i="71"/>
  <c r="B116" i="57"/>
  <c r="F116" i="57"/>
  <c r="J111" i="77"/>
  <c r="J116" i="42"/>
  <c r="G109" i="13"/>
  <c r="D110" i="13"/>
  <c r="G110" i="93"/>
  <c r="D111" i="93"/>
  <c r="E111" i="93" s="1"/>
  <c r="I110" i="82"/>
  <c r="H110" i="82"/>
  <c r="E116" i="54"/>
  <c r="G115" i="54"/>
  <c r="D116" i="54"/>
  <c r="B127" i="35"/>
  <c r="G126" i="35"/>
  <c r="E127" i="35"/>
  <c r="F127" i="35" s="1"/>
  <c r="F110" i="87"/>
  <c r="B110" i="87"/>
  <c r="F113" i="67"/>
  <c r="B113" i="67"/>
  <c r="I110" i="95"/>
  <c r="H110" i="95"/>
  <c r="J109" i="93"/>
  <c r="J124" i="35"/>
  <c r="H117" i="3"/>
  <c r="I117" i="3"/>
  <c r="E113" i="77"/>
  <c r="D113" i="77"/>
  <c r="G112" i="77"/>
  <c r="D113" i="76"/>
  <c r="G112" i="76"/>
  <c r="E113" i="76"/>
  <c r="J114" i="55"/>
  <c r="J108" i="33"/>
  <c r="I109" i="87"/>
  <c r="H109" i="87"/>
  <c r="D110" i="33"/>
  <c r="E110" i="33" s="1"/>
  <c r="G109" i="33"/>
  <c r="I120" i="28"/>
  <c r="H120" i="28"/>
  <c r="B118" i="3"/>
  <c r="F118" i="3"/>
  <c r="J110" i="80"/>
  <c r="E113" i="75"/>
  <c r="D113" i="75"/>
  <c r="G112" i="75"/>
  <c r="H116" i="44"/>
  <c r="I116" i="44"/>
  <c r="E112" i="83"/>
  <c r="D112" i="83"/>
  <c r="G111" i="83"/>
  <c r="I118" i="17"/>
  <c r="H118" i="17"/>
  <c r="G111" i="80"/>
  <c r="E112" i="80"/>
  <c r="D112" i="80"/>
  <c r="F121" i="28"/>
  <c r="B121" i="28"/>
  <c r="E119" i="21"/>
  <c r="G118" i="21"/>
  <c r="D119" i="21"/>
  <c r="G119" i="24"/>
  <c r="E120" i="24"/>
  <c r="D120" i="24"/>
  <c r="B117" i="44"/>
  <c r="F117" i="44"/>
  <c r="F110" i="96"/>
  <c r="B110" i="96"/>
  <c r="B111" i="82"/>
  <c r="F111" i="82"/>
  <c r="I125" i="35"/>
  <c r="H125" i="35"/>
  <c r="E118" i="42"/>
  <c r="G117" i="42"/>
  <c r="D118" i="42"/>
  <c r="J118" i="24"/>
  <c r="F119" i="17"/>
  <c r="B119" i="17"/>
  <c r="H112" i="67"/>
  <c r="I112" i="67"/>
  <c r="J108" i="13"/>
  <c r="B111" i="95"/>
  <c r="F111" i="95"/>
  <c r="D116" i="55"/>
  <c r="G115" i="55"/>
  <c r="E116" i="55"/>
  <c r="I109" i="96"/>
  <c r="H109" i="96"/>
  <c r="B30" i="25" l="1"/>
  <c r="E30" i="25"/>
  <c r="F30" i="25" s="1"/>
  <c r="I31" i="97"/>
  <c r="D33" i="97"/>
  <c r="H32" i="97"/>
  <c r="G32" i="97"/>
  <c r="I31" i="88"/>
  <c r="F30" i="99"/>
  <c r="G30" i="99" s="1"/>
  <c r="B30" i="99"/>
  <c r="D30" i="98"/>
  <c r="E30" i="98"/>
  <c r="H29" i="98"/>
  <c r="I29" i="98" s="1"/>
  <c r="H109" i="25"/>
  <c r="I109" i="25"/>
  <c r="E110" i="25"/>
  <c r="F110" i="25" s="1"/>
  <c r="B110" i="25"/>
  <c r="H109" i="99"/>
  <c r="I109" i="99"/>
  <c r="F110" i="99"/>
  <c r="B110" i="99"/>
  <c r="G29" i="93"/>
  <c r="I29" i="93" s="1"/>
  <c r="G34" i="61"/>
  <c r="I34" i="61" s="1"/>
  <c r="I36" i="58"/>
  <c r="D111" i="97"/>
  <c r="G110" i="97"/>
  <c r="E111" i="97"/>
  <c r="J109" i="97"/>
  <c r="E111" i="26"/>
  <c r="F111" i="26" s="1"/>
  <c r="B111" i="26"/>
  <c r="J109" i="98"/>
  <c r="H110" i="26"/>
  <c r="I110" i="26"/>
  <c r="D111" i="98"/>
  <c r="G110" i="98"/>
  <c r="E111" i="98"/>
  <c r="I32" i="82"/>
  <c r="I31" i="86"/>
  <c r="G34" i="67"/>
  <c r="I34" i="67" s="1"/>
  <c r="D35" i="67"/>
  <c r="E35" i="67"/>
  <c r="I36" i="55"/>
  <c r="H35" i="46"/>
  <c r="I35" i="46" s="1"/>
  <c r="D36" i="46"/>
  <c r="E36" i="46"/>
  <c r="I37" i="42"/>
  <c r="H39" i="24"/>
  <c r="I39" i="24" s="1"/>
  <c r="D40" i="24"/>
  <c r="E40" i="24"/>
  <c r="I31" i="85"/>
  <c r="B32" i="86"/>
  <c r="F32" i="86"/>
  <c r="H32" i="80"/>
  <c r="I32" i="80" s="1"/>
  <c r="E33" i="80"/>
  <c r="D33" i="80"/>
  <c r="F33" i="82"/>
  <c r="H33" i="82" s="1"/>
  <c r="B33" i="82"/>
  <c r="E30" i="93"/>
  <c r="D30" i="93"/>
  <c r="G30" i="94"/>
  <c r="I30" i="94" s="1"/>
  <c r="D31" i="94"/>
  <c r="E31" i="94"/>
  <c r="D111" i="94"/>
  <c r="G110" i="94"/>
  <c r="F37" i="58"/>
  <c r="B37" i="58"/>
  <c r="G40" i="23"/>
  <c r="D41" i="23"/>
  <c r="E41" i="23"/>
  <c r="H32" i="90"/>
  <c r="I32" i="90" s="1"/>
  <c r="E33" i="90"/>
  <c r="D33" i="90"/>
  <c r="F34" i="65"/>
  <c r="H34" i="65" s="1"/>
  <c r="B34" i="65"/>
  <c r="B38" i="42"/>
  <c r="F38" i="42"/>
  <c r="H38" i="42" s="1"/>
  <c r="H40" i="23"/>
  <c r="E36" i="53"/>
  <c r="D36" i="53"/>
  <c r="H32" i="78"/>
  <c r="I32" i="78" s="1"/>
  <c r="F33" i="75"/>
  <c r="B33" i="75"/>
  <c r="H35" i="53"/>
  <c r="H31" i="84"/>
  <c r="I31" i="84" s="1"/>
  <c r="D32" i="84"/>
  <c r="E32" i="84"/>
  <c r="D32" i="91"/>
  <c r="H31" i="91"/>
  <c r="G31" i="91"/>
  <c r="E32" i="91"/>
  <c r="J109" i="94"/>
  <c r="G35" i="53"/>
  <c r="H34" i="66"/>
  <c r="I34" i="66" s="1"/>
  <c r="E35" i="66"/>
  <c r="D35" i="66"/>
  <c r="B37" i="55"/>
  <c r="F37" i="55"/>
  <c r="G37" i="55" s="1"/>
  <c r="B36" i="72"/>
  <c r="F36" i="72"/>
  <c r="G32" i="76"/>
  <c r="E33" i="76"/>
  <c r="D33" i="76"/>
  <c r="G38" i="41"/>
  <c r="I38" i="41" s="1"/>
  <c r="E38" i="44"/>
  <c r="D38" i="44"/>
  <c r="F30" i="95"/>
  <c r="B30" i="95"/>
  <c r="D35" i="61"/>
  <c r="E35" i="61"/>
  <c r="H37" i="44"/>
  <c r="I37" i="44" s="1"/>
  <c r="B32" i="85"/>
  <c r="F32" i="85"/>
  <c r="H32" i="85" s="1"/>
  <c r="H38" i="22"/>
  <c r="I38" i="22" s="1"/>
  <c r="D39" i="22"/>
  <c r="E39" i="22"/>
  <c r="H29" i="96"/>
  <c r="I29" i="96" s="1"/>
  <c r="D30" i="96"/>
  <c r="E30" i="96"/>
  <c r="G31" i="81"/>
  <c r="I31" i="81" s="1"/>
  <c r="E32" i="81"/>
  <c r="D32" i="81"/>
  <c r="F38" i="39"/>
  <c r="G38" i="39" s="1"/>
  <c r="B38" i="39"/>
  <c r="H32" i="76"/>
  <c r="I32" i="76" s="1"/>
  <c r="D41" i="27"/>
  <c r="H40" i="27"/>
  <c r="I40" i="27" s="1"/>
  <c r="E41" i="27"/>
  <c r="B30" i="26"/>
  <c r="E30" i="26"/>
  <c r="F30" i="26" s="1"/>
  <c r="E33" i="77"/>
  <c r="D33" i="77"/>
  <c r="I30" i="33"/>
  <c r="E35" i="60"/>
  <c r="D35" i="60"/>
  <c r="E31" i="89"/>
  <c r="D31" i="89"/>
  <c r="E33" i="79"/>
  <c r="D33" i="79"/>
  <c r="B40" i="71"/>
  <c r="F40" i="71"/>
  <c r="H40" i="71" s="1"/>
  <c r="E39" i="17"/>
  <c r="D39" i="17"/>
  <c r="F41" i="31"/>
  <c r="G41" i="31" s="1"/>
  <c r="B41" i="31"/>
  <c r="E31" i="92"/>
  <c r="D31" i="92"/>
  <c r="D39" i="21"/>
  <c r="E39" i="21"/>
  <c r="D41" i="70"/>
  <c r="E41" i="70"/>
  <c r="D36" i="54"/>
  <c r="E36" i="54"/>
  <c r="B42" i="28"/>
  <c r="F42" i="28"/>
  <c r="G42" i="28" s="1"/>
  <c r="F40" i="34"/>
  <c r="B40" i="34"/>
  <c r="D39" i="43"/>
  <c r="E39" i="43"/>
  <c r="E36" i="57"/>
  <c r="D36" i="57"/>
  <c r="G40" i="29"/>
  <c r="I40" i="29" s="1"/>
  <c r="D41" i="29"/>
  <c r="E41" i="29"/>
  <c r="H34" i="59"/>
  <c r="I34" i="59" s="1"/>
  <c r="G38" i="21"/>
  <c r="I29" i="26"/>
  <c r="H32" i="77"/>
  <c r="I32" i="77" s="1"/>
  <c r="B39" i="19"/>
  <c r="F39" i="19"/>
  <c r="H34" i="60"/>
  <c r="I34" i="60" s="1"/>
  <c r="H30" i="89"/>
  <c r="G35" i="54"/>
  <c r="H38" i="43"/>
  <c r="H32" i="79"/>
  <c r="I32" i="79" s="1"/>
  <c r="F34" i="68"/>
  <c r="B34" i="68"/>
  <c r="E40" i="32"/>
  <c r="D40" i="32"/>
  <c r="G35" i="57"/>
  <c r="H34" i="63"/>
  <c r="I34" i="63" s="1"/>
  <c r="E35" i="63"/>
  <c r="D35" i="63"/>
  <c r="G38" i="17"/>
  <c r="I38" i="17" s="1"/>
  <c r="B40" i="30"/>
  <c r="F40" i="30"/>
  <c r="I41" i="28"/>
  <c r="F35" i="64"/>
  <c r="B35" i="64"/>
  <c r="E38" i="74"/>
  <c r="D38" i="74"/>
  <c r="H37" i="73"/>
  <c r="E38" i="73"/>
  <c r="G37" i="73"/>
  <c r="D38" i="73"/>
  <c r="B35" i="56"/>
  <c r="F35" i="56"/>
  <c r="H35" i="56" s="1"/>
  <c r="H38" i="21"/>
  <c r="B41" i="69"/>
  <c r="F41" i="69"/>
  <c r="G40" i="70"/>
  <c r="I40" i="70" s="1"/>
  <c r="F31" i="83"/>
  <c r="B31" i="83"/>
  <c r="F31" i="33"/>
  <c r="D32" i="33" s="1"/>
  <c r="E32" i="33" s="1"/>
  <c r="B31" i="33"/>
  <c r="G30" i="89"/>
  <c r="H35" i="54"/>
  <c r="F37" i="45"/>
  <c r="H37" i="45" s="1"/>
  <c r="B37" i="45"/>
  <c r="G38" i="43"/>
  <c r="F39" i="3"/>
  <c r="H39" i="3" s="1"/>
  <c r="B39" i="3"/>
  <c r="H39" i="32"/>
  <c r="I39" i="32" s="1"/>
  <c r="G37" i="74"/>
  <c r="I37" i="74" s="1"/>
  <c r="H35" i="57"/>
  <c r="E39" i="41"/>
  <c r="D39" i="41"/>
  <c r="D33" i="78"/>
  <c r="E33" i="78"/>
  <c r="F32" i="88"/>
  <c r="B32" i="88"/>
  <c r="G30" i="92"/>
  <c r="I30" i="92" s="1"/>
  <c r="J114" i="72"/>
  <c r="J117" i="3"/>
  <c r="J119" i="71"/>
  <c r="E40" i="18"/>
  <c r="D40" i="18"/>
  <c r="J116" i="44"/>
  <c r="J115" i="57"/>
  <c r="J114" i="59"/>
  <c r="J119" i="23"/>
  <c r="J109" i="90"/>
  <c r="J112" i="66"/>
  <c r="J114" i="53"/>
  <c r="J119" i="70"/>
  <c r="J109" i="88"/>
  <c r="J112" i="68"/>
  <c r="I43" i="35"/>
  <c r="J113" i="61"/>
  <c r="J117" i="19"/>
  <c r="J118" i="31"/>
  <c r="G44" i="35"/>
  <c r="B45" i="35"/>
  <c r="H44" i="35"/>
  <c r="E45" i="35"/>
  <c r="F45" i="35" s="1"/>
  <c r="E35" i="59"/>
  <c r="D35" i="59"/>
  <c r="G39" i="18"/>
  <c r="F31" i="87"/>
  <c r="H31" i="87" s="1"/>
  <c r="B31" i="87"/>
  <c r="I29" i="13"/>
  <c r="J118" i="32"/>
  <c r="J119" i="27"/>
  <c r="J117" i="20"/>
  <c r="J119" i="29"/>
  <c r="J113" i="64"/>
  <c r="J111" i="79"/>
  <c r="F38" i="20"/>
  <c r="H38" i="20" s="1"/>
  <c r="B38" i="20"/>
  <c r="H39" i="18"/>
  <c r="F34" i="62"/>
  <c r="H34" i="62" s="1"/>
  <c r="B34" i="62"/>
  <c r="B30" i="13"/>
  <c r="F30" i="13"/>
  <c r="G120" i="27"/>
  <c r="D121" i="27"/>
  <c r="E121" i="27"/>
  <c r="H114" i="62"/>
  <c r="I114" i="62"/>
  <c r="E115" i="63"/>
  <c r="G114" i="63"/>
  <c r="D115" i="63"/>
  <c r="E119" i="19"/>
  <c r="G118" i="19"/>
  <c r="D119" i="19"/>
  <c r="B111" i="89"/>
  <c r="F111" i="89"/>
  <c r="E113" i="79"/>
  <c r="G112" i="79"/>
  <c r="D113" i="79"/>
  <c r="D116" i="46"/>
  <c r="G115" i="46"/>
  <c r="E116" i="46"/>
  <c r="I117" i="73"/>
  <c r="H117" i="73"/>
  <c r="E114" i="66"/>
  <c r="D114" i="66"/>
  <c r="G113" i="66"/>
  <c r="F118" i="41"/>
  <c r="B118" i="41"/>
  <c r="E118" i="39"/>
  <c r="G117" i="39"/>
  <c r="D118" i="39"/>
  <c r="B112" i="81"/>
  <c r="F112" i="81"/>
  <c r="J109" i="87"/>
  <c r="D111" i="86"/>
  <c r="E111" i="86"/>
  <c r="G110" i="86"/>
  <c r="B115" i="62"/>
  <c r="F115" i="62"/>
  <c r="D111" i="92"/>
  <c r="E111" i="92"/>
  <c r="G110" i="92"/>
  <c r="G119" i="32"/>
  <c r="D120" i="32"/>
  <c r="E120" i="32"/>
  <c r="E117" i="74"/>
  <c r="G116" i="74"/>
  <c r="D117" i="74"/>
  <c r="B111" i="91"/>
  <c r="F111" i="91"/>
  <c r="D111" i="90"/>
  <c r="E111" i="90"/>
  <c r="G110" i="90"/>
  <c r="J117" i="34"/>
  <c r="J119" i="69"/>
  <c r="F118" i="73"/>
  <c r="B118" i="73"/>
  <c r="E118" i="43"/>
  <c r="D118" i="43"/>
  <c r="G117" i="43"/>
  <c r="J113" i="60"/>
  <c r="J116" i="39"/>
  <c r="J109" i="84"/>
  <c r="G120" i="70"/>
  <c r="E121" i="70"/>
  <c r="D121" i="70"/>
  <c r="J109" i="92"/>
  <c r="D112" i="85"/>
  <c r="G111" i="85"/>
  <c r="E112" i="85"/>
  <c r="F117" i="45"/>
  <c r="B117" i="45"/>
  <c r="E116" i="58"/>
  <c r="G115" i="58"/>
  <c r="D116" i="58"/>
  <c r="G115" i="72"/>
  <c r="E116" i="72"/>
  <c r="D116" i="72"/>
  <c r="E114" i="68"/>
  <c r="D114" i="68"/>
  <c r="G113" i="68"/>
  <c r="J109" i="86"/>
  <c r="D115" i="64"/>
  <c r="E115" i="64"/>
  <c r="G114" i="64"/>
  <c r="G110" i="88"/>
  <c r="D111" i="88"/>
  <c r="E111" i="88"/>
  <c r="G114" i="61"/>
  <c r="D115" i="61"/>
  <c r="E115" i="61"/>
  <c r="G120" i="29"/>
  <c r="E121" i="29"/>
  <c r="D121" i="29"/>
  <c r="D121" i="30"/>
  <c r="E121" i="30"/>
  <c r="G120" i="30"/>
  <c r="I117" i="41"/>
  <c r="H117" i="41"/>
  <c r="J113" i="65"/>
  <c r="J113" i="63"/>
  <c r="J116" i="43"/>
  <c r="D121" i="69"/>
  <c r="G120" i="69"/>
  <c r="E121" i="69"/>
  <c r="F119" i="22"/>
  <c r="B119" i="22"/>
  <c r="J110" i="95"/>
  <c r="H116" i="45"/>
  <c r="I116" i="45"/>
  <c r="G118" i="34"/>
  <c r="E119" i="34"/>
  <c r="D119" i="34"/>
  <c r="D119" i="20"/>
  <c r="E119" i="20"/>
  <c r="G118" i="20"/>
  <c r="G114" i="65"/>
  <c r="E115" i="65"/>
  <c r="D115" i="65"/>
  <c r="D116" i="53"/>
  <c r="E116" i="53"/>
  <c r="G115" i="53"/>
  <c r="D115" i="60"/>
  <c r="E115" i="60"/>
  <c r="G114" i="60"/>
  <c r="H110" i="89"/>
  <c r="I110" i="89"/>
  <c r="G110" i="84"/>
  <c r="D111" i="84"/>
  <c r="E111" i="84"/>
  <c r="I110" i="91"/>
  <c r="H110" i="91"/>
  <c r="J119" i="30"/>
  <c r="J110" i="85"/>
  <c r="G119" i="31"/>
  <c r="E120" i="31"/>
  <c r="D120" i="31"/>
  <c r="D113" i="78"/>
  <c r="G112" i="78"/>
  <c r="E113" i="78"/>
  <c r="J115" i="74"/>
  <c r="J114" i="46"/>
  <c r="J111" i="78"/>
  <c r="H111" i="81"/>
  <c r="I111" i="81"/>
  <c r="J114" i="58"/>
  <c r="I118" i="22"/>
  <c r="H118" i="22"/>
  <c r="G119" i="18"/>
  <c r="D120" i="18"/>
  <c r="E120" i="18"/>
  <c r="F117" i="56"/>
  <c r="B117" i="56"/>
  <c r="G115" i="59"/>
  <c r="E116" i="59"/>
  <c r="D116" i="59"/>
  <c r="D121" i="23"/>
  <c r="G120" i="23"/>
  <c r="E121" i="23"/>
  <c r="J118" i="18"/>
  <c r="I116" i="56"/>
  <c r="H116" i="56"/>
  <c r="J110" i="82"/>
  <c r="G120" i="71"/>
  <c r="D121" i="71"/>
  <c r="E121" i="71"/>
  <c r="J109" i="96"/>
  <c r="G116" i="57"/>
  <c r="D117" i="57"/>
  <c r="E117" i="57"/>
  <c r="F112" i="83"/>
  <c r="B112" i="83"/>
  <c r="H112" i="75"/>
  <c r="I112" i="75"/>
  <c r="F113" i="77"/>
  <c r="B113" i="77"/>
  <c r="D111" i="87"/>
  <c r="G110" i="87"/>
  <c r="E111" i="87"/>
  <c r="B128" i="35"/>
  <c r="E128" i="35"/>
  <c r="F128" i="35" s="1"/>
  <c r="G127" i="35"/>
  <c r="B116" i="54"/>
  <c r="F116" i="54"/>
  <c r="B110" i="13"/>
  <c r="F116" i="55"/>
  <c r="B116" i="55"/>
  <c r="G111" i="95"/>
  <c r="D112" i="95"/>
  <c r="E112" i="95" s="1"/>
  <c r="B118" i="42"/>
  <c r="F118" i="42"/>
  <c r="D120" i="17"/>
  <c r="E120" i="17"/>
  <c r="G119" i="17"/>
  <c r="H117" i="42"/>
  <c r="I117" i="42"/>
  <c r="J125" i="35"/>
  <c r="D111" i="96"/>
  <c r="E111" i="96" s="1"/>
  <c r="G110" i="96"/>
  <c r="F112" i="80"/>
  <c r="B112" i="80"/>
  <c r="J118" i="17"/>
  <c r="B113" i="75"/>
  <c r="F113" i="75"/>
  <c r="D119" i="3"/>
  <c r="G118" i="3"/>
  <c r="E119" i="3"/>
  <c r="B110" i="33"/>
  <c r="F110" i="33"/>
  <c r="I112" i="76"/>
  <c r="H112" i="76"/>
  <c r="G113" i="67"/>
  <c r="D114" i="67"/>
  <c r="E114" i="67"/>
  <c r="H126" i="35"/>
  <c r="I126" i="35"/>
  <c r="H115" i="54"/>
  <c r="I115" i="54"/>
  <c r="I109" i="13"/>
  <c r="H109" i="13"/>
  <c r="H119" i="24"/>
  <c r="I119" i="24"/>
  <c r="J112" i="67"/>
  <c r="D118" i="44"/>
  <c r="G117" i="44"/>
  <c r="E118" i="44"/>
  <c r="B120" i="24"/>
  <c r="F120" i="24"/>
  <c r="B119" i="21"/>
  <c r="F119" i="21"/>
  <c r="G121" i="28"/>
  <c r="D122" i="28"/>
  <c r="E122" i="28"/>
  <c r="J120" i="28"/>
  <c r="B113" i="76"/>
  <c r="F113" i="76"/>
  <c r="B111" i="93"/>
  <c r="F111" i="93"/>
  <c r="E110" i="13"/>
  <c r="F110" i="13" s="1"/>
  <c r="I115" i="55"/>
  <c r="H115" i="55"/>
  <c r="D112" i="82"/>
  <c r="G111" i="82"/>
  <c r="E112" i="82"/>
  <c r="H118" i="21"/>
  <c r="I118" i="21"/>
  <c r="I111" i="80"/>
  <c r="H111" i="80"/>
  <c r="H111" i="83"/>
  <c r="I111" i="83"/>
  <c r="I109" i="33"/>
  <c r="H109" i="33"/>
  <c r="I112" i="77"/>
  <c r="H112" i="77"/>
  <c r="I110" i="93"/>
  <c r="H110" i="93"/>
  <c r="I35" i="57" l="1"/>
  <c r="H30" i="25"/>
  <c r="D31" i="25"/>
  <c r="G30" i="25"/>
  <c r="B32" i="33"/>
  <c r="J109" i="99"/>
  <c r="H30" i="99"/>
  <c r="I30" i="99" s="1"/>
  <c r="F32" i="33"/>
  <c r="H32" i="33" s="1"/>
  <c r="I40" i="23"/>
  <c r="I32" i="97"/>
  <c r="F30" i="98"/>
  <c r="G30" i="98" s="1"/>
  <c r="B30" i="98"/>
  <c r="D31" i="99"/>
  <c r="E31" i="99"/>
  <c r="E33" i="97"/>
  <c r="F33" i="97" s="1"/>
  <c r="B33" i="97"/>
  <c r="G110" i="25"/>
  <c r="D111" i="25"/>
  <c r="J109" i="25"/>
  <c r="G110" i="99"/>
  <c r="E111" i="99"/>
  <c r="D111" i="99"/>
  <c r="G34" i="65"/>
  <c r="I34" i="65" s="1"/>
  <c r="I31" i="91"/>
  <c r="H110" i="98"/>
  <c r="I110" i="98"/>
  <c r="F111" i="98"/>
  <c r="B111" i="98"/>
  <c r="H110" i="97"/>
  <c r="I110" i="97"/>
  <c r="J110" i="26"/>
  <c r="G111" i="26"/>
  <c r="D112" i="26"/>
  <c r="F111" i="97"/>
  <c r="B111" i="97"/>
  <c r="B35" i="67"/>
  <c r="F35" i="67"/>
  <c r="H35" i="67" s="1"/>
  <c r="B36" i="46"/>
  <c r="F36" i="46"/>
  <c r="G36" i="46" s="1"/>
  <c r="F40" i="24"/>
  <c r="H40" i="24" s="1"/>
  <c r="B40" i="24"/>
  <c r="G39" i="3"/>
  <c r="I39" i="3" s="1"/>
  <c r="G33" i="82"/>
  <c r="I33" i="82" s="1"/>
  <c r="E34" i="82"/>
  <c r="D34" i="82"/>
  <c r="B31" i="94"/>
  <c r="F31" i="94"/>
  <c r="H31" i="94" s="1"/>
  <c r="E33" i="86"/>
  <c r="G32" i="86"/>
  <c r="H32" i="86"/>
  <c r="D33" i="86"/>
  <c r="B33" i="80"/>
  <c r="F33" i="80"/>
  <c r="G33" i="80" s="1"/>
  <c r="B30" i="93"/>
  <c r="F30" i="93"/>
  <c r="H30" i="93" s="1"/>
  <c r="D34" i="75"/>
  <c r="E34" i="75"/>
  <c r="H38" i="39"/>
  <c r="I38" i="39" s="1"/>
  <c r="F35" i="66"/>
  <c r="H35" i="66" s="1"/>
  <c r="B35" i="66"/>
  <c r="B32" i="91"/>
  <c r="F32" i="91"/>
  <c r="I35" i="53"/>
  <c r="H33" i="75"/>
  <c r="G38" i="42"/>
  <c r="I38" i="42" s="1"/>
  <c r="E39" i="42"/>
  <c r="D39" i="42"/>
  <c r="F41" i="23"/>
  <c r="B41" i="23"/>
  <c r="D38" i="58"/>
  <c r="E38" i="58"/>
  <c r="H37" i="55"/>
  <c r="I37" i="55" s="1"/>
  <c r="E38" i="55"/>
  <c r="D38" i="55"/>
  <c r="I110" i="94"/>
  <c r="H110" i="94"/>
  <c r="F33" i="90"/>
  <c r="H33" i="90" s="1"/>
  <c r="B33" i="90"/>
  <c r="I39" i="18"/>
  <c r="B32" i="84"/>
  <c r="F32" i="84"/>
  <c r="H32" i="84" s="1"/>
  <c r="G33" i="75"/>
  <c r="B36" i="53"/>
  <c r="F36" i="53"/>
  <c r="H36" i="53" s="1"/>
  <c r="E35" i="65"/>
  <c r="D35" i="65"/>
  <c r="G37" i="58"/>
  <c r="H37" i="58"/>
  <c r="E111" i="94"/>
  <c r="F111" i="94" s="1"/>
  <c r="B111" i="94"/>
  <c r="F39" i="22"/>
  <c r="H39" i="22" s="1"/>
  <c r="B39" i="22"/>
  <c r="H30" i="95"/>
  <c r="D31" i="95"/>
  <c r="E31" i="95"/>
  <c r="D37" i="72"/>
  <c r="E37" i="72"/>
  <c r="F35" i="61"/>
  <c r="G35" i="61" s="1"/>
  <c r="B35" i="61"/>
  <c r="G31" i="33"/>
  <c r="N5" i="33" s="1"/>
  <c r="H41" i="31"/>
  <c r="I41" i="31" s="1"/>
  <c r="E39" i="39"/>
  <c r="D39" i="39"/>
  <c r="G30" i="95"/>
  <c r="H36" i="72"/>
  <c r="H31" i="33"/>
  <c r="N6" i="33" s="1"/>
  <c r="F41" i="27"/>
  <c r="G41" i="27" s="1"/>
  <c r="B41" i="27"/>
  <c r="B32" i="81"/>
  <c r="F32" i="81"/>
  <c r="F30" i="96"/>
  <c r="H30" i="96" s="1"/>
  <c r="B30" i="96"/>
  <c r="G32" i="85"/>
  <c r="I32" i="85" s="1"/>
  <c r="E33" i="85"/>
  <c r="D33" i="85"/>
  <c r="F38" i="44"/>
  <c r="G38" i="44" s="1"/>
  <c r="B38" i="44"/>
  <c r="F33" i="76"/>
  <c r="H33" i="76" s="1"/>
  <c r="B33" i="76"/>
  <c r="G36" i="72"/>
  <c r="I44" i="35"/>
  <c r="H32" i="88"/>
  <c r="D33" i="88"/>
  <c r="E33" i="88"/>
  <c r="H40" i="30"/>
  <c r="E41" i="30"/>
  <c r="D41" i="30"/>
  <c r="B39" i="43"/>
  <c r="F39" i="43"/>
  <c r="C48" i="17"/>
  <c r="B39" i="17"/>
  <c r="F39" i="17"/>
  <c r="H39" i="17" s="1"/>
  <c r="G32" i="88"/>
  <c r="B38" i="73"/>
  <c r="F38" i="73"/>
  <c r="H38" i="73" s="1"/>
  <c r="F38" i="74"/>
  <c r="H38" i="74" s="1"/>
  <c r="B38" i="74"/>
  <c r="D36" i="64"/>
  <c r="E36" i="64"/>
  <c r="E35" i="68"/>
  <c r="D35" i="68"/>
  <c r="I30" i="89"/>
  <c r="I38" i="21"/>
  <c r="B36" i="57"/>
  <c r="F36" i="57"/>
  <c r="H36" i="57" s="1"/>
  <c r="D31" i="26"/>
  <c r="G30" i="26"/>
  <c r="B39" i="41"/>
  <c r="F39" i="41"/>
  <c r="H39" i="41" s="1"/>
  <c r="E38" i="45"/>
  <c r="D38" i="45"/>
  <c r="D32" i="83"/>
  <c r="E32" i="83"/>
  <c r="D42" i="69"/>
  <c r="E42" i="69"/>
  <c r="B35" i="63"/>
  <c r="F35" i="63"/>
  <c r="H35" i="63" s="1"/>
  <c r="B33" i="79"/>
  <c r="F33" i="79"/>
  <c r="G33" i="79" s="1"/>
  <c r="G38" i="20"/>
  <c r="I38" i="20" s="1"/>
  <c r="G37" i="45"/>
  <c r="I37" i="45" s="1"/>
  <c r="H31" i="83"/>
  <c r="H41" i="69"/>
  <c r="I37" i="73"/>
  <c r="G35" i="64"/>
  <c r="H34" i="68"/>
  <c r="H30" i="26"/>
  <c r="I30" i="26" s="1"/>
  <c r="F41" i="29"/>
  <c r="H41" i="29" s="1"/>
  <c r="B41" i="29"/>
  <c r="G40" i="34"/>
  <c r="E41" i="34"/>
  <c r="D41" i="34"/>
  <c r="E43" i="28"/>
  <c r="D43" i="28"/>
  <c r="F36" i="54"/>
  <c r="H36" i="54" s="1"/>
  <c r="B36" i="54"/>
  <c r="F39" i="21"/>
  <c r="H39" i="21" s="1"/>
  <c r="B39" i="21"/>
  <c r="F31" i="92"/>
  <c r="H31" i="92" s="1"/>
  <c r="B31" i="92"/>
  <c r="G40" i="71"/>
  <c r="I40" i="71" s="1"/>
  <c r="E41" i="71"/>
  <c r="D41" i="71"/>
  <c r="B35" i="60"/>
  <c r="F35" i="60"/>
  <c r="G35" i="60" s="1"/>
  <c r="B40" i="32"/>
  <c r="F40" i="32"/>
  <c r="G40" i="32" s="1"/>
  <c r="G39" i="19"/>
  <c r="D40" i="19"/>
  <c r="E40" i="19"/>
  <c r="B41" i="70"/>
  <c r="F41" i="70"/>
  <c r="H41" i="70" s="1"/>
  <c r="F31" i="89"/>
  <c r="G31" i="89" s="1"/>
  <c r="B31" i="89"/>
  <c r="G34" i="62"/>
  <c r="I34" i="62" s="1"/>
  <c r="F33" i="78"/>
  <c r="B33" i="78"/>
  <c r="E40" i="3"/>
  <c r="D40" i="3"/>
  <c r="I35" i="54"/>
  <c r="G31" i="83"/>
  <c r="G41" i="69"/>
  <c r="G35" i="56"/>
  <c r="I35" i="56" s="1"/>
  <c r="D36" i="56"/>
  <c r="E36" i="56"/>
  <c r="H35" i="64"/>
  <c r="G40" i="30"/>
  <c r="G34" i="68"/>
  <c r="I38" i="43"/>
  <c r="H39" i="19"/>
  <c r="H40" i="34"/>
  <c r="H42" i="28"/>
  <c r="I42" i="28" s="1"/>
  <c r="D42" i="31"/>
  <c r="E42" i="31"/>
  <c r="B33" i="77"/>
  <c r="F33" i="77"/>
  <c r="G33" i="77" s="1"/>
  <c r="D31" i="13"/>
  <c r="E31" i="13" s="1"/>
  <c r="F40" i="18"/>
  <c r="B40" i="18"/>
  <c r="D39" i="20"/>
  <c r="E39" i="20"/>
  <c r="H30" i="13"/>
  <c r="D32" i="87"/>
  <c r="E32" i="87"/>
  <c r="B35" i="59"/>
  <c r="F35" i="59"/>
  <c r="H35" i="59" s="1"/>
  <c r="J118" i="22"/>
  <c r="J110" i="91"/>
  <c r="J110" i="89"/>
  <c r="G30" i="13"/>
  <c r="E35" i="62"/>
  <c r="D35" i="62"/>
  <c r="G31" i="87"/>
  <c r="I31" i="87" s="1"/>
  <c r="B46" i="35"/>
  <c r="G45" i="35"/>
  <c r="H45" i="35"/>
  <c r="E46" i="35"/>
  <c r="F46" i="35" s="1"/>
  <c r="I110" i="84"/>
  <c r="H110" i="84"/>
  <c r="F116" i="53"/>
  <c r="B116" i="53"/>
  <c r="I118" i="20"/>
  <c r="H118" i="20"/>
  <c r="H120" i="69"/>
  <c r="I120" i="69"/>
  <c r="H120" i="29"/>
  <c r="I120" i="29"/>
  <c r="F114" i="68"/>
  <c r="B114" i="68"/>
  <c r="I115" i="72"/>
  <c r="H115" i="72"/>
  <c r="B112" i="85"/>
  <c r="F112" i="85"/>
  <c r="H120" i="70"/>
  <c r="I120" i="70"/>
  <c r="I117" i="43"/>
  <c r="H117" i="43"/>
  <c r="G118" i="73"/>
  <c r="E119" i="73"/>
  <c r="D119" i="73"/>
  <c r="B117" i="74"/>
  <c r="F117" i="74"/>
  <c r="F120" i="32"/>
  <c r="B120" i="32"/>
  <c r="B111" i="92"/>
  <c r="F111" i="92"/>
  <c r="B113" i="79"/>
  <c r="F113" i="79"/>
  <c r="F115" i="63"/>
  <c r="B115" i="63"/>
  <c r="I112" i="78"/>
  <c r="H112" i="78"/>
  <c r="H119" i="31"/>
  <c r="I119" i="31"/>
  <c r="F115" i="60"/>
  <c r="B115" i="60"/>
  <c r="F115" i="65"/>
  <c r="B115" i="65"/>
  <c r="I118" i="34"/>
  <c r="H118" i="34"/>
  <c r="B121" i="69"/>
  <c r="F121" i="69"/>
  <c r="F121" i="30"/>
  <c r="B121" i="30"/>
  <c r="F111" i="88"/>
  <c r="B111" i="88"/>
  <c r="F115" i="64"/>
  <c r="B115" i="64"/>
  <c r="F116" i="58"/>
  <c r="B116" i="58"/>
  <c r="D118" i="45"/>
  <c r="G117" i="45"/>
  <c r="E118" i="45"/>
  <c r="F118" i="43"/>
  <c r="B118" i="43"/>
  <c r="F111" i="90"/>
  <c r="B111" i="90"/>
  <c r="I116" i="74"/>
  <c r="H116" i="74"/>
  <c r="H119" i="32"/>
  <c r="I119" i="32"/>
  <c r="D116" i="62"/>
  <c r="E116" i="62"/>
  <c r="G115" i="62"/>
  <c r="F111" i="86"/>
  <c r="B111" i="86"/>
  <c r="F118" i="39"/>
  <c r="B118" i="39"/>
  <c r="E119" i="41"/>
  <c r="G118" i="41"/>
  <c r="D119" i="41"/>
  <c r="H112" i="79"/>
  <c r="I112" i="79"/>
  <c r="B119" i="19"/>
  <c r="F119" i="19"/>
  <c r="H114" i="63"/>
  <c r="I114" i="63"/>
  <c r="B113" i="78"/>
  <c r="F113" i="78"/>
  <c r="H115" i="53"/>
  <c r="I115" i="53"/>
  <c r="F119" i="20"/>
  <c r="B119" i="20"/>
  <c r="J116" i="45"/>
  <c r="E120" i="22"/>
  <c r="G119" i="22"/>
  <c r="D120" i="22"/>
  <c r="J117" i="41"/>
  <c r="F121" i="29"/>
  <c r="B121" i="29"/>
  <c r="B115" i="61"/>
  <c r="F115" i="61"/>
  <c r="I110" i="88"/>
  <c r="H110" i="88"/>
  <c r="F116" i="72"/>
  <c r="B116" i="72"/>
  <c r="I115" i="58"/>
  <c r="H115" i="58"/>
  <c r="F121" i="70"/>
  <c r="B121" i="70"/>
  <c r="D112" i="91"/>
  <c r="G111" i="91"/>
  <c r="E112" i="91"/>
  <c r="I110" i="92"/>
  <c r="H110" i="92"/>
  <c r="I117" i="39"/>
  <c r="H117" i="39"/>
  <c r="I113" i="66"/>
  <c r="H113" i="66"/>
  <c r="J117" i="73"/>
  <c r="I115" i="46"/>
  <c r="H115" i="46"/>
  <c r="I118" i="19"/>
  <c r="H118" i="19"/>
  <c r="B121" i="27"/>
  <c r="F121" i="27"/>
  <c r="J115" i="54"/>
  <c r="J126" i="35"/>
  <c r="J111" i="81"/>
  <c r="B120" i="31"/>
  <c r="F120" i="31"/>
  <c r="B111" i="84"/>
  <c r="F111" i="84"/>
  <c r="H114" i="60"/>
  <c r="I114" i="60"/>
  <c r="H114" i="65"/>
  <c r="I114" i="65"/>
  <c r="B119" i="34"/>
  <c r="F119" i="34"/>
  <c r="I120" i="30"/>
  <c r="H120" i="30"/>
  <c r="I114" i="61"/>
  <c r="H114" i="61"/>
  <c r="H114" i="64"/>
  <c r="I114" i="64"/>
  <c r="I113" i="68"/>
  <c r="H113" i="68"/>
  <c r="H111" i="85"/>
  <c r="I111" i="85"/>
  <c r="I110" i="90"/>
  <c r="H110" i="90"/>
  <c r="I110" i="86"/>
  <c r="H110" i="86"/>
  <c r="D113" i="81"/>
  <c r="E113" i="81"/>
  <c r="G112" i="81"/>
  <c r="F114" i="66"/>
  <c r="B114" i="66"/>
  <c r="B116" i="46"/>
  <c r="F116" i="46"/>
  <c r="D112" i="89"/>
  <c r="G111" i="89"/>
  <c r="E112" i="89"/>
  <c r="J114" i="62"/>
  <c r="I120" i="27"/>
  <c r="H120" i="27"/>
  <c r="B121" i="23"/>
  <c r="F121" i="23"/>
  <c r="B116" i="59"/>
  <c r="F116" i="59"/>
  <c r="J116" i="56"/>
  <c r="B120" i="18"/>
  <c r="F120" i="18"/>
  <c r="I120" i="23"/>
  <c r="H120" i="23"/>
  <c r="I115" i="59"/>
  <c r="H115" i="59"/>
  <c r="D118" i="56"/>
  <c r="E118" i="56"/>
  <c r="G117" i="56"/>
  <c r="H119" i="18"/>
  <c r="I119" i="18"/>
  <c r="J111" i="83"/>
  <c r="J117" i="42"/>
  <c r="B117" i="57"/>
  <c r="F117" i="57"/>
  <c r="H116" i="57"/>
  <c r="I116" i="57"/>
  <c r="B121" i="71"/>
  <c r="F121" i="71"/>
  <c r="J109" i="33"/>
  <c r="J111" i="80"/>
  <c r="J119" i="24"/>
  <c r="H120" i="71"/>
  <c r="I120" i="71"/>
  <c r="G110" i="13"/>
  <c r="D111" i="13"/>
  <c r="E111" i="13" s="1"/>
  <c r="F112" i="82"/>
  <c r="B112" i="82"/>
  <c r="J110" i="93"/>
  <c r="J112" i="77"/>
  <c r="J118" i="21"/>
  <c r="J115" i="55"/>
  <c r="I121" i="28"/>
  <c r="H121" i="28"/>
  <c r="I117" i="44"/>
  <c r="H117" i="44"/>
  <c r="I118" i="3"/>
  <c r="H118" i="3"/>
  <c r="D113" i="80"/>
  <c r="G112" i="80"/>
  <c r="E113" i="80"/>
  <c r="D119" i="42"/>
  <c r="G118" i="42"/>
  <c r="E119" i="42"/>
  <c r="H111" i="95"/>
  <c r="I111" i="95"/>
  <c r="H111" i="82"/>
  <c r="I111" i="82"/>
  <c r="E114" i="76"/>
  <c r="D114" i="76"/>
  <c r="G113" i="76"/>
  <c r="D120" i="21"/>
  <c r="E120" i="21"/>
  <c r="G119" i="21"/>
  <c r="F118" i="44"/>
  <c r="B118" i="44"/>
  <c r="B114" i="67"/>
  <c r="F114" i="67"/>
  <c r="B119" i="3"/>
  <c r="F119" i="3"/>
  <c r="F111" i="96"/>
  <c r="B111" i="96"/>
  <c r="I119" i="17"/>
  <c r="H119" i="17"/>
  <c r="G116" i="54"/>
  <c r="E117" i="54"/>
  <c r="D117" i="54"/>
  <c r="I127" i="35"/>
  <c r="H127" i="35"/>
  <c r="H110" i="87"/>
  <c r="I110" i="87"/>
  <c r="G113" i="77"/>
  <c r="D114" i="77"/>
  <c r="E114" i="77"/>
  <c r="J112" i="75"/>
  <c r="G112" i="83"/>
  <c r="D113" i="83"/>
  <c r="E113" i="83"/>
  <c r="D112" i="93"/>
  <c r="E112" i="93" s="1"/>
  <c r="G111" i="93"/>
  <c r="E121" i="24"/>
  <c r="D121" i="24"/>
  <c r="G120" i="24"/>
  <c r="J109" i="13"/>
  <c r="H113" i="67"/>
  <c r="I113" i="67"/>
  <c r="G113" i="75"/>
  <c r="D114" i="75"/>
  <c r="E114" i="75"/>
  <c r="G116" i="55"/>
  <c r="E117" i="55"/>
  <c r="D117" i="55"/>
  <c r="G128" i="35"/>
  <c r="B129" i="35"/>
  <c r="E129" i="35"/>
  <c r="F129" i="35" s="1"/>
  <c r="F111" i="87"/>
  <c r="B111" i="87"/>
  <c r="B122" i="28"/>
  <c r="F122" i="28"/>
  <c r="J112" i="76"/>
  <c r="G110" i="33"/>
  <c r="D111" i="33"/>
  <c r="E111" i="33" s="1"/>
  <c r="I110" i="96"/>
  <c r="H110" i="96"/>
  <c r="F120" i="17"/>
  <c r="B120" i="17"/>
  <c r="F112" i="95"/>
  <c r="B112" i="95"/>
  <c r="E35" i="36"/>
  <c r="D33" i="33" l="1"/>
  <c r="E33" i="33" s="1"/>
  <c r="F33" i="33" s="1"/>
  <c r="N7" i="33"/>
  <c r="E31" i="25"/>
  <c r="F31" i="25" s="1"/>
  <c r="B31" i="25"/>
  <c r="I30" i="25"/>
  <c r="G32" i="33"/>
  <c r="I32" i="33" s="1"/>
  <c r="G31" i="94"/>
  <c r="I31" i="94" s="1"/>
  <c r="D34" i="97"/>
  <c r="H33" i="97"/>
  <c r="G33" i="97"/>
  <c r="F31" i="99"/>
  <c r="D32" i="99" s="1"/>
  <c r="B31" i="99"/>
  <c r="D31" i="98"/>
  <c r="E31" i="98"/>
  <c r="H30" i="98"/>
  <c r="I30" i="98" s="1"/>
  <c r="E111" i="25"/>
  <c r="F111" i="25" s="1"/>
  <c r="B111" i="25"/>
  <c r="I110" i="25"/>
  <c r="H110" i="25"/>
  <c r="F111" i="99"/>
  <c r="B111" i="99"/>
  <c r="H110" i="99"/>
  <c r="I110" i="99"/>
  <c r="J110" i="97"/>
  <c r="J110" i="98"/>
  <c r="I30" i="95"/>
  <c r="G30" i="96"/>
  <c r="I30" i="96" s="1"/>
  <c r="G36" i="54"/>
  <c r="I36" i="54" s="1"/>
  <c r="G39" i="41"/>
  <c r="I39" i="41" s="1"/>
  <c r="E112" i="26"/>
  <c r="F112" i="26" s="1"/>
  <c r="B112" i="26"/>
  <c r="D112" i="98"/>
  <c r="G111" i="98"/>
  <c r="E112" i="98"/>
  <c r="D112" i="97"/>
  <c r="G111" i="97"/>
  <c r="E112" i="97"/>
  <c r="H111" i="26"/>
  <c r="I111" i="26"/>
  <c r="G30" i="93"/>
  <c r="I30" i="93" s="1"/>
  <c r="G33" i="90"/>
  <c r="I33" i="90" s="1"/>
  <c r="G35" i="67"/>
  <c r="I35" i="67" s="1"/>
  <c r="D36" i="67"/>
  <c r="E36" i="67"/>
  <c r="G35" i="66"/>
  <c r="I35" i="66" s="1"/>
  <c r="H36" i="46"/>
  <c r="I36" i="46" s="1"/>
  <c r="E37" i="46"/>
  <c r="D37" i="46"/>
  <c r="G40" i="24"/>
  <c r="I40" i="24" s="1"/>
  <c r="E41" i="24"/>
  <c r="D41" i="24"/>
  <c r="B33" i="86"/>
  <c r="F33" i="86"/>
  <c r="F34" i="82"/>
  <c r="B34" i="82"/>
  <c r="H33" i="77"/>
  <c r="I33" i="77" s="1"/>
  <c r="I31" i="33"/>
  <c r="H35" i="61"/>
  <c r="I35" i="61" s="1"/>
  <c r="H33" i="80"/>
  <c r="I33" i="80" s="1"/>
  <c r="D34" i="80"/>
  <c r="E34" i="80"/>
  <c r="I32" i="86"/>
  <c r="H38" i="44"/>
  <c r="I38" i="44" s="1"/>
  <c r="E31" i="93"/>
  <c r="D31" i="93"/>
  <c r="E32" i="94"/>
  <c r="D32" i="94"/>
  <c r="D112" i="94"/>
  <c r="G111" i="94"/>
  <c r="B35" i="65"/>
  <c r="F35" i="65"/>
  <c r="D42" i="23"/>
  <c r="E42" i="23"/>
  <c r="H41" i="23"/>
  <c r="G32" i="91"/>
  <c r="D33" i="91"/>
  <c r="E33" i="91"/>
  <c r="G32" i="84"/>
  <c r="I32" i="84" s="1"/>
  <c r="E33" i="84"/>
  <c r="D33" i="84"/>
  <c r="J110" i="94"/>
  <c r="G41" i="23"/>
  <c r="B38" i="55"/>
  <c r="F38" i="55"/>
  <c r="G38" i="55" s="1"/>
  <c r="B38" i="58"/>
  <c r="F38" i="58"/>
  <c r="I33" i="75"/>
  <c r="H32" i="91"/>
  <c r="D36" i="66"/>
  <c r="E36" i="66"/>
  <c r="H35" i="60"/>
  <c r="I35" i="60" s="1"/>
  <c r="I39" i="19"/>
  <c r="I37" i="58"/>
  <c r="G36" i="53"/>
  <c r="I36" i="53" s="1"/>
  <c r="D37" i="53"/>
  <c r="E37" i="53"/>
  <c r="E34" i="90"/>
  <c r="D34" i="90"/>
  <c r="F39" i="42"/>
  <c r="G39" i="42" s="1"/>
  <c r="B39" i="42"/>
  <c r="F34" i="75"/>
  <c r="G34" i="75" s="1"/>
  <c r="B34" i="75"/>
  <c r="B33" i="85"/>
  <c r="F33" i="85"/>
  <c r="G33" i="85" s="1"/>
  <c r="H32" i="81"/>
  <c r="D33" i="81"/>
  <c r="E33" i="81"/>
  <c r="F37" i="72"/>
  <c r="G37" i="72" s="1"/>
  <c r="B37" i="72"/>
  <c r="H40" i="32"/>
  <c r="I40" i="32" s="1"/>
  <c r="D31" i="96"/>
  <c r="E31" i="96"/>
  <c r="H41" i="27"/>
  <c r="I41" i="27" s="1"/>
  <c r="D42" i="27"/>
  <c r="E42" i="27"/>
  <c r="D36" i="61"/>
  <c r="E36" i="61"/>
  <c r="F31" i="95"/>
  <c r="H31" i="95" s="1"/>
  <c r="B31" i="95"/>
  <c r="G39" i="22"/>
  <c r="I39" i="22" s="1"/>
  <c r="E40" i="22"/>
  <c r="D40" i="22"/>
  <c r="G33" i="76"/>
  <c r="I33" i="76" s="1"/>
  <c r="E34" i="76"/>
  <c r="D34" i="76"/>
  <c r="D39" i="44"/>
  <c r="E39" i="44"/>
  <c r="G32" i="81"/>
  <c r="I36" i="72"/>
  <c r="F39" i="39"/>
  <c r="H39" i="39" s="1"/>
  <c r="B39" i="39"/>
  <c r="I45" i="35"/>
  <c r="I40" i="34"/>
  <c r="B42" i="69"/>
  <c r="F42" i="69"/>
  <c r="G42" i="69" s="1"/>
  <c r="D40" i="43"/>
  <c r="E40" i="43"/>
  <c r="I40" i="30"/>
  <c r="D36" i="60"/>
  <c r="E36" i="60"/>
  <c r="G39" i="21"/>
  <c r="I39" i="21" s="1"/>
  <c r="E40" i="21"/>
  <c r="D40" i="21"/>
  <c r="D37" i="54"/>
  <c r="E37" i="54"/>
  <c r="G41" i="29"/>
  <c r="I41" i="29" s="1"/>
  <c r="D42" i="29"/>
  <c r="E42" i="29"/>
  <c r="I41" i="69"/>
  <c r="H33" i="79"/>
  <c r="I33" i="79" s="1"/>
  <c r="E34" i="79"/>
  <c r="D34" i="79"/>
  <c r="E36" i="63"/>
  <c r="D36" i="63"/>
  <c r="F36" i="64"/>
  <c r="H36" i="64" s="1"/>
  <c r="B36" i="64"/>
  <c r="D39" i="74"/>
  <c r="E39" i="74"/>
  <c r="E40" i="17"/>
  <c r="D40" i="17"/>
  <c r="D34" i="78"/>
  <c r="E34" i="78"/>
  <c r="E31" i="26"/>
  <c r="F31" i="26" s="1"/>
  <c r="D32" i="26" s="1"/>
  <c r="B32" i="26" s="1"/>
  <c r="B31" i="26"/>
  <c r="F42" i="31"/>
  <c r="H42" i="31" s="1"/>
  <c r="B42" i="31"/>
  <c r="I35" i="64"/>
  <c r="B36" i="56"/>
  <c r="F36" i="56"/>
  <c r="G36" i="56" s="1"/>
  <c r="H33" i="78"/>
  <c r="H31" i="89"/>
  <c r="I31" i="89" s="1"/>
  <c r="E32" i="89"/>
  <c r="D32" i="89"/>
  <c r="F40" i="19"/>
  <c r="G40" i="19" s="1"/>
  <c r="B40" i="19"/>
  <c r="D41" i="32"/>
  <c r="E41" i="32"/>
  <c r="D32" i="92"/>
  <c r="E32" i="92"/>
  <c r="B43" i="28"/>
  <c r="F43" i="28"/>
  <c r="G43" i="28" s="1"/>
  <c r="I31" i="83"/>
  <c r="B32" i="83"/>
  <c r="F32" i="83"/>
  <c r="H32" i="83" s="1"/>
  <c r="B35" i="68"/>
  <c r="F35" i="68"/>
  <c r="H35" i="68" s="1"/>
  <c r="D39" i="73"/>
  <c r="G38" i="73"/>
  <c r="I38" i="73" s="1"/>
  <c r="E39" i="73"/>
  <c r="G39" i="43"/>
  <c r="F41" i="30"/>
  <c r="B41" i="30"/>
  <c r="B33" i="88"/>
  <c r="F33" i="88"/>
  <c r="H33" i="88" s="1"/>
  <c r="F40" i="3"/>
  <c r="B40" i="3"/>
  <c r="E42" i="70"/>
  <c r="D42" i="70"/>
  <c r="B41" i="34"/>
  <c r="F41" i="34"/>
  <c r="G41" i="34" s="1"/>
  <c r="D37" i="57"/>
  <c r="E37" i="57"/>
  <c r="E34" i="77"/>
  <c r="D34" i="77"/>
  <c r="G33" i="78"/>
  <c r="G41" i="70"/>
  <c r="I41" i="70" s="1"/>
  <c r="F41" i="71"/>
  <c r="B41" i="71"/>
  <c r="G31" i="92"/>
  <c r="I31" i="92" s="1"/>
  <c r="I34" i="68"/>
  <c r="G35" i="63"/>
  <c r="I35" i="63" s="1"/>
  <c r="B38" i="45"/>
  <c r="F38" i="45"/>
  <c r="H38" i="45" s="1"/>
  <c r="E40" i="41"/>
  <c r="D40" i="41"/>
  <c r="G36" i="57"/>
  <c r="I36" i="57" s="1"/>
  <c r="G38" i="74"/>
  <c r="I38" i="74" s="1"/>
  <c r="G39" i="17"/>
  <c r="I39" i="17" s="1"/>
  <c r="H39" i="43"/>
  <c r="I32" i="88"/>
  <c r="J114" i="60"/>
  <c r="J115" i="46"/>
  <c r="J119" i="31"/>
  <c r="J118" i="34"/>
  <c r="J115" i="53"/>
  <c r="J114" i="63"/>
  <c r="J112" i="78"/>
  <c r="J110" i="96"/>
  <c r="J111" i="85"/>
  <c r="J114" i="64"/>
  <c r="J114" i="65"/>
  <c r="J120" i="70"/>
  <c r="J120" i="29"/>
  <c r="F32" i="87"/>
  <c r="B32" i="87"/>
  <c r="I30" i="13"/>
  <c r="E41" i="18"/>
  <c r="D41" i="18"/>
  <c r="E47" i="35"/>
  <c r="F47" i="35" s="1"/>
  <c r="G46" i="35"/>
  <c r="B47" i="35"/>
  <c r="H46" i="35"/>
  <c r="F39" i="20"/>
  <c r="B39" i="20"/>
  <c r="G40" i="18"/>
  <c r="J112" i="79"/>
  <c r="J119" i="32"/>
  <c r="J120" i="69"/>
  <c r="D36" i="59"/>
  <c r="E36" i="59"/>
  <c r="B31" i="13"/>
  <c r="F31" i="13"/>
  <c r="H31" i="13" s="1"/>
  <c r="J111" i="95"/>
  <c r="J119" i="18"/>
  <c r="B35" i="62"/>
  <c r="F35" i="62"/>
  <c r="G35" i="62" s="1"/>
  <c r="G35" i="59"/>
  <c r="I35" i="59" s="1"/>
  <c r="H40" i="18"/>
  <c r="H111" i="89"/>
  <c r="I111" i="89"/>
  <c r="E115" i="66"/>
  <c r="G114" i="66"/>
  <c r="D115" i="66"/>
  <c r="G111" i="84"/>
  <c r="D112" i="84"/>
  <c r="E112" i="84"/>
  <c r="G121" i="70"/>
  <c r="D122" i="70"/>
  <c r="E122" i="70"/>
  <c r="D117" i="72"/>
  <c r="E117" i="72"/>
  <c r="G116" i="72"/>
  <c r="F120" i="22"/>
  <c r="B120" i="22"/>
  <c r="G113" i="78"/>
  <c r="E114" i="78"/>
  <c r="D114" i="78"/>
  <c r="D120" i="19"/>
  <c r="G119" i="19"/>
  <c r="E120" i="19"/>
  <c r="B119" i="41"/>
  <c r="F119" i="41"/>
  <c r="G118" i="39"/>
  <c r="E119" i="39"/>
  <c r="D119" i="39"/>
  <c r="B118" i="45"/>
  <c r="F118" i="45"/>
  <c r="E116" i="64"/>
  <c r="D116" i="64"/>
  <c r="G115" i="64"/>
  <c r="G121" i="30"/>
  <c r="E122" i="30"/>
  <c r="D122" i="30"/>
  <c r="D116" i="60"/>
  <c r="E116" i="60"/>
  <c r="G115" i="60"/>
  <c r="G112" i="85"/>
  <c r="D113" i="85"/>
  <c r="E113" i="85"/>
  <c r="J115" i="59"/>
  <c r="J120" i="27"/>
  <c r="B112" i="89"/>
  <c r="F112" i="89"/>
  <c r="H112" i="81"/>
  <c r="I112" i="81"/>
  <c r="J110" i="86"/>
  <c r="J120" i="30"/>
  <c r="J117" i="39"/>
  <c r="H111" i="91"/>
  <c r="I111" i="91"/>
  <c r="I119" i="22"/>
  <c r="H119" i="22"/>
  <c r="D120" i="20"/>
  <c r="G119" i="20"/>
  <c r="E120" i="20"/>
  <c r="I118" i="41"/>
  <c r="H118" i="41"/>
  <c r="B116" i="62"/>
  <c r="F116" i="62"/>
  <c r="J116" i="74"/>
  <c r="E119" i="43"/>
  <c r="G118" i="43"/>
  <c r="D119" i="43"/>
  <c r="G121" i="69"/>
  <c r="E122" i="69"/>
  <c r="D122" i="69"/>
  <c r="B119" i="73"/>
  <c r="F119" i="73"/>
  <c r="J117" i="43"/>
  <c r="D115" i="68"/>
  <c r="G114" i="68"/>
  <c r="E115" i="68"/>
  <c r="E117" i="53"/>
  <c r="D117" i="53"/>
  <c r="G116" i="53"/>
  <c r="J118" i="3"/>
  <c r="G116" i="46"/>
  <c r="D117" i="46"/>
  <c r="E117" i="46"/>
  <c r="G119" i="34"/>
  <c r="E120" i="34"/>
  <c r="D120" i="34"/>
  <c r="D121" i="31"/>
  <c r="E121" i="31"/>
  <c r="G120" i="31"/>
  <c r="J118" i="19"/>
  <c r="B112" i="91"/>
  <c r="F112" i="91"/>
  <c r="J115" i="58"/>
  <c r="J110" i="88"/>
  <c r="E122" i="29"/>
  <c r="G121" i="29"/>
  <c r="D122" i="29"/>
  <c r="D112" i="86"/>
  <c r="G111" i="86"/>
  <c r="E112" i="86"/>
  <c r="G116" i="58"/>
  <c r="D117" i="58"/>
  <c r="E117" i="58"/>
  <c r="E112" i="88"/>
  <c r="G111" i="88"/>
  <c r="D112" i="88"/>
  <c r="E116" i="65"/>
  <c r="D116" i="65"/>
  <c r="G115" i="65"/>
  <c r="E116" i="63"/>
  <c r="G115" i="63"/>
  <c r="D116" i="63"/>
  <c r="G120" i="32"/>
  <c r="E121" i="32"/>
  <c r="D121" i="32"/>
  <c r="J120" i="23"/>
  <c r="B113" i="81"/>
  <c r="F113" i="81"/>
  <c r="J110" i="90"/>
  <c r="J113" i="68"/>
  <c r="J114" i="61"/>
  <c r="D122" i="27"/>
  <c r="G121" i="27"/>
  <c r="E122" i="27"/>
  <c r="J113" i="66"/>
  <c r="J110" i="92"/>
  <c r="D116" i="61"/>
  <c r="E116" i="61"/>
  <c r="G115" i="61"/>
  <c r="I115" i="62"/>
  <c r="H115" i="62"/>
  <c r="D112" i="90"/>
  <c r="G111" i="90"/>
  <c r="E112" i="90"/>
  <c r="H117" i="45"/>
  <c r="I117" i="45"/>
  <c r="E114" i="79"/>
  <c r="D114" i="79"/>
  <c r="G113" i="79"/>
  <c r="E112" i="92"/>
  <c r="D112" i="92"/>
  <c r="G111" i="92"/>
  <c r="E118" i="74"/>
  <c r="D118" i="74"/>
  <c r="G117" i="74"/>
  <c r="I118" i="73"/>
  <c r="H118" i="73"/>
  <c r="J115" i="72"/>
  <c r="J118" i="20"/>
  <c r="J110" i="84"/>
  <c r="J117" i="44"/>
  <c r="F118" i="56"/>
  <c r="B118" i="56"/>
  <c r="G120" i="18"/>
  <c r="D121" i="18"/>
  <c r="E121" i="18"/>
  <c r="E117" i="59"/>
  <c r="G116" i="59"/>
  <c r="D117" i="59"/>
  <c r="I117" i="56"/>
  <c r="H117" i="56"/>
  <c r="G121" i="23"/>
  <c r="D122" i="23"/>
  <c r="E122" i="23"/>
  <c r="J121" i="28"/>
  <c r="E122" i="71"/>
  <c r="G121" i="71"/>
  <c r="D122" i="71"/>
  <c r="J116" i="57"/>
  <c r="J120" i="71"/>
  <c r="G117" i="57"/>
  <c r="E118" i="57"/>
  <c r="D118" i="57"/>
  <c r="D113" i="95"/>
  <c r="G112" i="95"/>
  <c r="D112" i="87"/>
  <c r="G111" i="87"/>
  <c r="E112" i="87"/>
  <c r="F117" i="55"/>
  <c r="B117" i="55"/>
  <c r="H113" i="75"/>
  <c r="I113" i="75"/>
  <c r="F113" i="83"/>
  <c r="B113" i="83"/>
  <c r="J127" i="35"/>
  <c r="D120" i="3"/>
  <c r="G119" i="3"/>
  <c r="E120" i="3"/>
  <c r="D119" i="44"/>
  <c r="G118" i="44"/>
  <c r="E119" i="44"/>
  <c r="B120" i="21"/>
  <c r="F120" i="21"/>
  <c r="I112" i="80"/>
  <c r="H112" i="80"/>
  <c r="F111" i="33"/>
  <c r="B111" i="33"/>
  <c r="B130" i="35"/>
  <c r="E130" i="35"/>
  <c r="F130" i="35" s="1"/>
  <c r="G129" i="35"/>
  <c r="J113" i="67"/>
  <c r="I111" i="93"/>
  <c r="H111" i="93"/>
  <c r="I112" i="83"/>
  <c r="H112" i="83"/>
  <c r="B114" i="77"/>
  <c r="F114" i="77"/>
  <c r="J110" i="87"/>
  <c r="F117" i="54"/>
  <c r="B117" i="54"/>
  <c r="G111" i="96"/>
  <c r="D112" i="96"/>
  <c r="E112" i="96" s="1"/>
  <c r="G114" i="67"/>
  <c r="D115" i="67"/>
  <c r="E115" i="67"/>
  <c r="H118" i="42"/>
  <c r="I118" i="42"/>
  <c r="B113" i="80"/>
  <c r="F113" i="80"/>
  <c r="E121" i="17"/>
  <c r="D121" i="17"/>
  <c r="G120" i="17"/>
  <c r="H110" i="33"/>
  <c r="I110" i="33"/>
  <c r="D123" i="28"/>
  <c r="G122" i="28"/>
  <c r="E123" i="28"/>
  <c r="I116" i="55"/>
  <c r="H116" i="55"/>
  <c r="I120" i="24"/>
  <c r="H120" i="24"/>
  <c r="H113" i="77"/>
  <c r="I113" i="77"/>
  <c r="H119" i="21"/>
  <c r="I119" i="21"/>
  <c r="H113" i="76"/>
  <c r="I113" i="76"/>
  <c r="F119" i="42"/>
  <c r="B119" i="42"/>
  <c r="F111" i="13"/>
  <c r="B111" i="13"/>
  <c r="I128" i="35"/>
  <c r="H128" i="35"/>
  <c r="F114" i="75"/>
  <c r="B114" i="75"/>
  <c r="B121" i="24"/>
  <c r="F121" i="24"/>
  <c r="F112" i="93"/>
  <c r="B112" i="93"/>
  <c r="I116" i="54"/>
  <c r="H116" i="54"/>
  <c r="J119" i="17"/>
  <c r="F114" i="76"/>
  <c r="B114" i="76"/>
  <c r="J111" i="82"/>
  <c r="D113" i="82"/>
  <c r="G112" i="82"/>
  <c r="E113" i="82"/>
  <c r="I110" i="13"/>
  <c r="H110" i="13"/>
  <c r="F35" i="36"/>
  <c r="B33" i="33" l="1"/>
  <c r="G35" i="36"/>
  <c r="G31" i="25"/>
  <c r="D32" i="25"/>
  <c r="H31" i="25"/>
  <c r="E32" i="99"/>
  <c r="F32" i="99" s="1"/>
  <c r="G32" i="99" s="1"/>
  <c r="B32" i="99"/>
  <c r="H31" i="99"/>
  <c r="F31" i="98"/>
  <c r="B31" i="98"/>
  <c r="G31" i="99"/>
  <c r="I33" i="97"/>
  <c r="E34" i="97"/>
  <c r="F34" i="97" s="1"/>
  <c r="D35" i="97" s="1"/>
  <c r="B34" i="97"/>
  <c r="J110" i="25"/>
  <c r="G111" i="25"/>
  <c r="D112" i="25"/>
  <c r="J110" i="99"/>
  <c r="E112" i="99"/>
  <c r="D112" i="99"/>
  <c r="G111" i="99"/>
  <c r="H36" i="56"/>
  <c r="I36" i="56" s="1"/>
  <c r="I39" i="43"/>
  <c r="H111" i="98"/>
  <c r="I111" i="98"/>
  <c r="H111" i="97"/>
  <c r="I111" i="97"/>
  <c r="F112" i="98"/>
  <c r="B112" i="98"/>
  <c r="J111" i="26"/>
  <c r="B112" i="97"/>
  <c r="F112" i="97"/>
  <c r="D113" i="26"/>
  <c r="G112" i="26"/>
  <c r="H34" i="75"/>
  <c r="I34" i="75" s="1"/>
  <c r="B36" i="67"/>
  <c r="F36" i="67"/>
  <c r="G36" i="67" s="1"/>
  <c r="H35" i="62"/>
  <c r="I35" i="62" s="1"/>
  <c r="F37" i="46"/>
  <c r="G37" i="46" s="1"/>
  <c r="B37" i="46"/>
  <c r="B41" i="24"/>
  <c r="F41" i="24"/>
  <c r="G41" i="24" s="1"/>
  <c r="G34" i="82"/>
  <c r="D35" i="82"/>
  <c r="E35" i="82"/>
  <c r="F32" i="94"/>
  <c r="G32" i="94" s="1"/>
  <c r="B32" i="94"/>
  <c r="B34" i="80"/>
  <c r="F34" i="80"/>
  <c r="H34" i="80" s="1"/>
  <c r="G33" i="86"/>
  <c r="H33" i="86"/>
  <c r="D34" i="86"/>
  <c r="E34" i="86"/>
  <c r="H34" i="82"/>
  <c r="B31" i="93"/>
  <c r="F31" i="93"/>
  <c r="F36" i="66"/>
  <c r="G36" i="66" s="1"/>
  <c r="B36" i="66"/>
  <c r="F33" i="84"/>
  <c r="G33" i="84" s="1"/>
  <c r="B33" i="84"/>
  <c r="E36" i="65"/>
  <c r="D36" i="65"/>
  <c r="H39" i="42"/>
  <c r="I39" i="42" s="1"/>
  <c r="D40" i="42"/>
  <c r="E40" i="42"/>
  <c r="F37" i="53"/>
  <c r="G37" i="53" s="1"/>
  <c r="B37" i="53"/>
  <c r="I32" i="91"/>
  <c r="B42" i="23"/>
  <c r="F42" i="23"/>
  <c r="H42" i="23" s="1"/>
  <c r="E35" i="75"/>
  <c r="D35" i="75"/>
  <c r="F34" i="90"/>
  <c r="G34" i="90" s="1"/>
  <c r="B34" i="90"/>
  <c r="H38" i="55"/>
  <c r="I38" i="55" s="1"/>
  <c r="D39" i="55"/>
  <c r="E39" i="55"/>
  <c r="I41" i="23"/>
  <c r="G35" i="65"/>
  <c r="I111" i="94"/>
  <c r="H111" i="94"/>
  <c r="B33" i="91"/>
  <c r="F33" i="91"/>
  <c r="H38" i="58"/>
  <c r="E39" i="58"/>
  <c r="G38" i="58"/>
  <c r="D39" i="58"/>
  <c r="H35" i="65"/>
  <c r="E112" i="94"/>
  <c r="F112" i="94" s="1"/>
  <c r="B112" i="94"/>
  <c r="B34" i="76"/>
  <c r="F34" i="76"/>
  <c r="H34" i="76" s="1"/>
  <c r="F40" i="22"/>
  <c r="G40" i="22" s="1"/>
  <c r="B40" i="22"/>
  <c r="B33" i="81"/>
  <c r="F33" i="81"/>
  <c r="G33" i="81" s="1"/>
  <c r="I40" i="18"/>
  <c r="G31" i="95"/>
  <c r="I31" i="95" s="1"/>
  <c r="D32" i="95"/>
  <c r="E32" i="95"/>
  <c r="B31" i="96"/>
  <c r="F31" i="96"/>
  <c r="H31" i="96" s="1"/>
  <c r="D38" i="72"/>
  <c r="E38" i="72"/>
  <c r="I32" i="81"/>
  <c r="G39" i="39"/>
  <c r="I39" i="39" s="1"/>
  <c r="E40" i="39"/>
  <c r="D40" i="39"/>
  <c r="B42" i="27"/>
  <c r="F42" i="27"/>
  <c r="B39" i="44"/>
  <c r="F39" i="44"/>
  <c r="G39" i="44" s="1"/>
  <c r="F36" i="61"/>
  <c r="G36" i="61" s="1"/>
  <c r="B36" i="61"/>
  <c r="H37" i="72"/>
  <c r="I37" i="72" s="1"/>
  <c r="H33" i="85"/>
  <c r="I33" i="85" s="1"/>
  <c r="E34" i="85"/>
  <c r="D34" i="85"/>
  <c r="B37" i="57"/>
  <c r="F37" i="57"/>
  <c r="H37" i="57" s="1"/>
  <c r="H40" i="3"/>
  <c r="D41" i="3"/>
  <c r="E41" i="3" s="1"/>
  <c r="B34" i="79"/>
  <c r="F34" i="79"/>
  <c r="G34" i="79" s="1"/>
  <c r="E42" i="71"/>
  <c r="D42" i="71"/>
  <c r="D42" i="30"/>
  <c r="E42" i="30"/>
  <c r="G35" i="68"/>
  <c r="I35" i="68" s="1"/>
  <c r="D36" i="68"/>
  <c r="E36" i="68"/>
  <c r="G32" i="83"/>
  <c r="I32" i="83" s="1"/>
  <c r="E33" i="83"/>
  <c r="D33" i="83"/>
  <c r="E44" i="28"/>
  <c r="D44" i="28"/>
  <c r="B32" i="92"/>
  <c r="F32" i="92"/>
  <c r="G32" i="92" s="1"/>
  <c r="G42" i="31"/>
  <c r="I42" i="31" s="1"/>
  <c r="F34" i="78"/>
  <c r="G34" i="78" s="1"/>
  <c r="B34" i="78"/>
  <c r="F39" i="74"/>
  <c r="G39" i="74" s="1"/>
  <c r="B39" i="74"/>
  <c r="F42" i="29"/>
  <c r="G42" i="29" s="1"/>
  <c r="B42" i="29"/>
  <c r="B40" i="21"/>
  <c r="F40" i="21"/>
  <c r="F36" i="60"/>
  <c r="H36" i="60" s="1"/>
  <c r="B36" i="60"/>
  <c r="F40" i="43"/>
  <c r="G40" i="43" s="1"/>
  <c r="B40" i="43"/>
  <c r="B37" i="54"/>
  <c r="F37" i="54"/>
  <c r="H37" i="54" s="1"/>
  <c r="E32" i="26"/>
  <c r="F32" i="26" s="1"/>
  <c r="G32" i="26" s="1"/>
  <c r="H41" i="71"/>
  <c r="E42" i="34"/>
  <c r="D42" i="34"/>
  <c r="G40" i="3"/>
  <c r="E34" i="88"/>
  <c r="D34" i="88"/>
  <c r="G41" i="30"/>
  <c r="B39" i="73"/>
  <c r="F39" i="73"/>
  <c r="H40" i="19"/>
  <c r="I40" i="19" s="1"/>
  <c r="E41" i="19"/>
  <c r="D41" i="19"/>
  <c r="C49" i="17"/>
  <c r="B40" i="17"/>
  <c r="F40" i="17"/>
  <c r="F36" i="63"/>
  <c r="G36" i="63" s="1"/>
  <c r="B36" i="63"/>
  <c r="G31" i="26"/>
  <c r="B40" i="41"/>
  <c r="F40" i="41"/>
  <c r="G40" i="41" s="1"/>
  <c r="F34" i="77"/>
  <c r="B34" i="77"/>
  <c r="B42" i="70"/>
  <c r="F42" i="70"/>
  <c r="G42" i="70" s="1"/>
  <c r="E43" i="31"/>
  <c r="D43" i="31"/>
  <c r="G36" i="64"/>
  <c r="I36" i="64" s="1"/>
  <c r="E37" i="64"/>
  <c r="D37" i="64"/>
  <c r="G31" i="13"/>
  <c r="I31" i="13" s="1"/>
  <c r="I46" i="35"/>
  <c r="G38" i="45"/>
  <c r="I38" i="45" s="1"/>
  <c r="E39" i="45"/>
  <c r="D39" i="45"/>
  <c r="G41" i="71"/>
  <c r="H41" i="34"/>
  <c r="I41" i="34" s="1"/>
  <c r="G33" i="88"/>
  <c r="I33" i="88" s="1"/>
  <c r="H41" i="30"/>
  <c r="H43" i="28"/>
  <c r="I43" i="28" s="1"/>
  <c r="F41" i="32"/>
  <c r="G41" i="32" s="1"/>
  <c r="B41" i="32"/>
  <c r="B32" i="89"/>
  <c r="F32" i="89"/>
  <c r="H32" i="89" s="1"/>
  <c r="I33" i="78"/>
  <c r="D37" i="56"/>
  <c r="E37" i="56"/>
  <c r="H31" i="26"/>
  <c r="H42" i="69"/>
  <c r="I42" i="69" s="1"/>
  <c r="D43" i="69"/>
  <c r="E43" i="69"/>
  <c r="J111" i="89"/>
  <c r="J117" i="56"/>
  <c r="J117" i="45"/>
  <c r="D34" i="33"/>
  <c r="H33" i="33"/>
  <c r="G33" i="33"/>
  <c r="E40" i="20"/>
  <c r="D40" i="20"/>
  <c r="H47" i="35"/>
  <c r="G47" i="35"/>
  <c r="E48" i="35"/>
  <c r="F48" i="35" s="1"/>
  <c r="B48" i="35"/>
  <c r="D33" i="87"/>
  <c r="E33" i="87"/>
  <c r="J116" i="54"/>
  <c r="J110" i="33"/>
  <c r="J112" i="81"/>
  <c r="E36" i="62"/>
  <c r="D36" i="62"/>
  <c r="D32" i="13"/>
  <c r="G39" i="20"/>
  <c r="F41" i="18"/>
  <c r="H41" i="18" s="1"/>
  <c r="B41" i="18"/>
  <c r="H32" i="87"/>
  <c r="B36" i="59"/>
  <c r="F36" i="59"/>
  <c r="H39" i="20"/>
  <c r="G32" i="87"/>
  <c r="H113" i="79"/>
  <c r="I113" i="79"/>
  <c r="F116" i="61"/>
  <c r="B116" i="61"/>
  <c r="H121" i="27"/>
  <c r="I121" i="27"/>
  <c r="B121" i="32"/>
  <c r="F121" i="32"/>
  <c r="F116" i="63"/>
  <c r="B116" i="63"/>
  <c r="B116" i="65"/>
  <c r="F116" i="65"/>
  <c r="H121" i="29"/>
  <c r="I121" i="29"/>
  <c r="E113" i="91"/>
  <c r="D113" i="91"/>
  <c r="G112" i="91"/>
  <c r="I119" i="34"/>
  <c r="H119" i="34"/>
  <c r="G119" i="73"/>
  <c r="D120" i="73"/>
  <c r="E120" i="73"/>
  <c r="I121" i="69"/>
  <c r="H121" i="69"/>
  <c r="J118" i="41"/>
  <c r="I115" i="60"/>
  <c r="H115" i="60"/>
  <c r="I116" i="72"/>
  <c r="H116" i="72"/>
  <c r="B122" i="70"/>
  <c r="F122" i="70"/>
  <c r="H111" i="84"/>
  <c r="I111" i="84"/>
  <c r="J118" i="73"/>
  <c r="I111" i="92"/>
  <c r="H111" i="92"/>
  <c r="F114" i="79"/>
  <c r="B114" i="79"/>
  <c r="J115" i="62"/>
  <c r="B122" i="27"/>
  <c r="F122" i="27"/>
  <c r="D114" i="81"/>
  <c r="E114" i="81"/>
  <c r="G113" i="81"/>
  <c r="H115" i="63"/>
  <c r="I115" i="63"/>
  <c r="I111" i="86"/>
  <c r="H111" i="86"/>
  <c r="F121" i="31"/>
  <c r="B121" i="31"/>
  <c r="H116" i="53"/>
  <c r="I116" i="53"/>
  <c r="I114" i="68"/>
  <c r="H114" i="68"/>
  <c r="B119" i="43"/>
  <c r="F119" i="43"/>
  <c r="G116" i="62"/>
  <c r="D117" i="62"/>
  <c r="E117" i="62"/>
  <c r="J119" i="22"/>
  <c r="E113" i="89"/>
  <c r="D113" i="89"/>
  <c r="G112" i="89"/>
  <c r="H121" i="30"/>
  <c r="I121" i="30"/>
  <c r="G118" i="45"/>
  <c r="D119" i="45"/>
  <c r="E119" i="45"/>
  <c r="H118" i="39"/>
  <c r="I118" i="39"/>
  <c r="H119" i="19"/>
  <c r="I119" i="19"/>
  <c r="I113" i="78"/>
  <c r="H113" i="78"/>
  <c r="H121" i="70"/>
  <c r="I121" i="70"/>
  <c r="B115" i="66"/>
  <c r="F115" i="66"/>
  <c r="I117" i="74"/>
  <c r="H117" i="74"/>
  <c r="F112" i="92"/>
  <c r="B112" i="92"/>
  <c r="I111" i="90"/>
  <c r="H111" i="90"/>
  <c r="I115" i="61"/>
  <c r="H115" i="61"/>
  <c r="I120" i="32"/>
  <c r="H120" i="32"/>
  <c r="B112" i="88"/>
  <c r="F112" i="88"/>
  <c r="B117" i="58"/>
  <c r="F117" i="58"/>
  <c r="B112" i="86"/>
  <c r="F112" i="86"/>
  <c r="B120" i="34"/>
  <c r="F120" i="34"/>
  <c r="F117" i="46"/>
  <c r="B117" i="46"/>
  <c r="B117" i="53"/>
  <c r="F117" i="53"/>
  <c r="F115" i="68"/>
  <c r="B115" i="68"/>
  <c r="F122" i="69"/>
  <c r="B122" i="69"/>
  <c r="H118" i="43"/>
  <c r="I118" i="43"/>
  <c r="I119" i="20"/>
  <c r="H119" i="20"/>
  <c r="J111" i="91"/>
  <c r="B113" i="85"/>
  <c r="F113" i="85"/>
  <c r="B116" i="60"/>
  <c r="F116" i="60"/>
  <c r="H115" i="64"/>
  <c r="I115" i="64"/>
  <c r="G119" i="41"/>
  <c r="D120" i="41"/>
  <c r="E120" i="41"/>
  <c r="B120" i="19"/>
  <c r="F120" i="19"/>
  <c r="B117" i="72"/>
  <c r="F117" i="72"/>
  <c r="H114" i="66"/>
  <c r="I114" i="66"/>
  <c r="J112" i="80"/>
  <c r="F118" i="74"/>
  <c r="B118" i="74"/>
  <c r="F112" i="90"/>
  <c r="B112" i="90"/>
  <c r="I115" i="65"/>
  <c r="H115" i="65"/>
  <c r="I111" i="88"/>
  <c r="H111" i="88"/>
  <c r="I116" i="58"/>
  <c r="H116" i="58"/>
  <c r="B122" i="29"/>
  <c r="F122" i="29"/>
  <c r="H120" i="31"/>
  <c r="I120" i="31"/>
  <c r="H116" i="46"/>
  <c r="I116" i="46"/>
  <c r="F120" i="20"/>
  <c r="B120" i="20"/>
  <c r="H112" i="85"/>
  <c r="I112" i="85"/>
  <c r="F122" i="30"/>
  <c r="B122" i="30"/>
  <c r="B116" i="64"/>
  <c r="F116" i="64"/>
  <c r="F119" i="39"/>
  <c r="B119" i="39"/>
  <c r="F114" i="78"/>
  <c r="B114" i="78"/>
  <c r="D121" i="22"/>
  <c r="E121" i="22"/>
  <c r="G120" i="22"/>
  <c r="F112" i="84"/>
  <c r="B112" i="84"/>
  <c r="J111" i="93"/>
  <c r="F117" i="59"/>
  <c r="B117" i="59"/>
  <c r="B121" i="18"/>
  <c r="F121" i="18"/>
  <c r="G118" i="56"/>
  <c r="D119" i="56"/>
  <c r="E119" i="56"/>
  <c r="H116" i="59"/>
  <c r="I116" i="59"/>
  <c r="H120" i="18"/>
  <c r="I120" i="18"/>
  <c r="J113" i="77"/>
  <c r="J118" i="42"/>
  <c r="F122" i="23"/>
  <c r="B122" i="23"/>
  <c r="H121" i="23"/>
  <c r="I121" i="23"/>
  <c r="I117" i="57"/>
  <c r="H117" i="57"/>
  <c r="B122" i="71"/>
  <c r="F122" i="71"/>
  <c r="H121" i="71"/>
  <c r="I121" i="71"/>
  <c r="J120" i="24"/>
  <c r="F118" i="57"/>
  <c r="B118" i="57"/>
  <c r="D115" i="76"/>
  <c r="G114" i="76"/>
  <c r="E115" i="76"/>
  <c r="F123" i="28"/>
  <c r="B123" i="28"/>
  <c r="B121" i="17"/>
  <c r="F121" i="17"/>
  <c r="I111" i="96"/>
  <c r="H111" i="96"/>
  <c r="E115" i="77"/>
  <c r="G114" i="77"/>
  <c r="D115" i="77"/>
  <c r="E121" i="21"/>
  <c r="G120" i="21"/>
  <c r="D121" i="21"/>
  <c r="F119" i="44"/>
  <c r="B119" i="44"/>
  <c r="D118" i="55"/>
  <c r="E118" i="55"/>
  <c r="G117" i="55"/>
  <c r="B113" i="95"/>
  <c r="J110" i="13"/>
  <c r="I112" i="82"/>
  <c r="H112" i="82"/>
  <c r="J128" i="35"/>
  <c r="E114" i="80"/>
  <c r="G113" i="80"/>
  <c r="D114" i="80"/>
  <c r="B115" i="67"/>
  <c r="F115" i="67"/>
  <c r="J112" i="83"/>
  <c r="E113" i="95"/>
  <c r="F113" i="95" s="1"/>
  <c r="F113" i="82"/>
  <c r="B113" i="82"/>
  <c r="D113" i="93"/>
  <c r="E113" i="93" s="1"/>
  <c r="G112" i="93"/>
  <c r="D122" i="24"/>
  <c r="G121" i="24"/>
  <c r="E122" i="24"/>
  <c r="J113" i="76"/>
  <c r="J119" i="21"/>
  <c r="J116" i="55"/>
  <c r="H114" i="67"/>
  <c r="I114" i="67"/>
  <c r="D118" i="54"/>
  <c r="G117" i="54"/>
  <c r="E118" i="54"/>
  <c r="I129" i="35"/>
  <c r="H129" i="35"/>
  <c r="H119" i="3"/>
  <c r="I119" i="3"/>
  <c r="D114" i="83"/>
  <c r="G113" i="83"/>
  <c r="E114" i="83"/>
  <c r="J113" i="75"/>
  <c r="H111" i="87"/>
  <c r="I111" i="87"/>
  <c r="G114" i="75"/>
  <c r="D115" i="75"/>
  <c r="E115" i="75"/>
  <c r="G111" i="13"/>
  <c r="D112" i="13"/>
  <c r="D120" i="42"/>
  <c r="G119" i="42"/>
  <c r="E120" i="42"/>
  <c r="I122" i="28"/>
  <c r="H122" i="28"/>
  <c r="I120" i="17"/>
  <c r="H120" i="17"/>
  <c r="F112" i="96"/>
  <c r="B112" i="96"/>
  <c r="G130" i="35"/>
  <c r="E131" i="35"/>
  <c r="F131" i="35" s="1"/>
  <c r="B131" i="35"/>
  <c r="D112" i="33"/>
  <c r="E112" i="33" s="1"/>
  <c r="G111" i="33"/>
  <c r="H118" i="44"/>
  <c r="I118" i="44"/>
  <c r="F120" i="3"/>
  <c r="B120" i="3"/>
  <c r="B112" i="87"/>
  <c r="F112" i="87"/>
  <c r="H112" i="95"/>
  <c r="I112" i="95"/>
  <c r="I31" i="25" l="1"/>
  <c r="B32" i="25"/>
  <c r="E32" i="25"/>
  <c r="F32" i="25" s="1"/>
  <c r="I35" i="65"/>
  <c r="H32" i="26"/>
  <c r="I40" i="3"/>
  <c r="H36" i="66"/>
  <c r="I36" i="66" s="1"/>
  <c r="G34" i="97"/>
  <c r="D32" i="98"/>
  <c r="E32" i="98"/>
  <c r="E35" i="97"/>
  <c r="F35" i="97" s="1"/>
  <c r="D36" i="97" s="1"/>
  <c r="B35" i="97"/>
  <c r="H31" i="98"/>
  <c r="I31" i="99"/>
  <c r="D33" i="99"/>
  <c r="E33" i="99"/>
  <c r="H34" i="97"/>
  <c r="G31" i="98"/>
  <c r="H32" i="99"/>
  <c r="I32" i="99" s="1"/>
  <c r="H111" i="25"/>
  <c r="I111" i="25"/>
  <c r="E112" i="25"/>
  <c r="F112" i="25" s="1"/>
  <c r="B112" i="25"/>
  <c r="I31" i="26"/>
  <c r="I111" i="99"/>
  <c r="H111" i="99"/>
  <c r="F112" i="99"/>
  <c r="B112" i="99"/>
  <c r="H34" i="90"/>
  <c r="I34" i="90" s="1"/>
  <c r="J111" i="97"/>
  <c r="G34" i="80"/>
  <c r="I34" i="80" s="1"/>
  <c r="J111" i="98"/>
  <c r="I112" i="26"/>
  <c r="H112" i="26"/>
  <c r="D113" i="97"/>
  <c r="E113" i="97" s="1"/>
  <c r="G112" i="97"/>
  <c r="E113" i="26"/>
  <c r="F113" i="26" s="1"/>
  <c r="B113" i="26"/>
  <c r="G112" i="98"/>
  <c r="D113" i="98"/>
  <c r="E113" i="98"/>
  <c r="I34" i="82"/>
  <c r="H34" i="78"/>
  <c r="I34" i="78" s="1"/>
  <c r="H36" i="67"/>
  <c r="I36" i="67" s="1"/>
  <c r="E37" i="67"/>
  <c r="D37" i="67"/>
  <c r="H37" i="46"/>
  <c r="I37" i="46" s="1"/>
  <c r="D38" i="46"/>
  <c r="E38" i="46"/>
  <c r="H41" i="24"/>
  <c r="I41" i="24" s="1"/>
  <c r="D42" i="24"/>
  <c r="E42" i="24"/>
  <c r="G32" i="89"/>
  <c r="I32" i="89" s="1"/>
  <c r="E32" i="93"/>
  <c r="D32" i="93"/>
  <c r="H31" i="93"/>
  <c r="F34" i="86"/>
  <c r="B34" i="86"/>
  <c r="D33" i="94"/>
  <c r="E33" i="94"/>
  <c r="F35" i="82"/>
  <c r="H35" i="82" s="1"/>
  <c r="B35" i="82"/>
  <c r="H42" i="29"/>
  <c r="I42" i="29" s="1"/>
  <c r="G34" i="76"/>
  <c r="I34" i="76" s="1"/>
  <c r="G31" i="93"/>
  <c r="I33" i="86"/>
  <c r="E35" i="80"/>
  <c r="D35" i="80"/>
  <c r="H32" i="94"/>
  <c r="I32" i="94" s="1"/>
  <c r="H36" i="63"/>
  <c r="I36" i="63" s="1"/>
  <c r="D113" i="94"/>
  <c r="G112" i="94"/>
  <c r="G33" i="91"/>
  <c r="D34" i="91"/>
  <c r="E34" i="91"/>
  <c r="J111" i="94"/>
  <c r="B39" i="55"/>
  <c r="F39" i="55"/>
  <c r="G39" i="55" s="1"/>
  <c r="G42" i="23"/>
  <c r="I42" i="23" s="1"/>
  <c r="D43" i="23"/>
  <c r="E43" i="23"/>
  <c r="F40" i="42"/>
  <c r="G40" i="42" s="1"/>
  <c r="B40" i="42"/>
  <c r="F39" i="58"/>
  <c r="B39" i="58"/>
  <c r="H33" i="91"/>
  <c r="E35" i="90"/>
  <c r="D35" i="90"/>
  <c r="H40" i="41"/>
  <c r="I40" i="41" s="1"/>
  <c r="H40" i="22"/>
  <c r="I40" i="22" s="1"/>
  <c r="I38" i="58"/>
  <c r="B35" i="75"/>
  <c r="F35" i="75"/>
  <c r="H37" i="53"/>
  <c r="I37" i="53" s="1"/>
  <c r="E38" i="53"/>
  <c r="D38" i="53"/>
  <c r="B36" i="65"/>
  <c r="F36" i="65"/>
  <c r="H33" i="84"/>
  <c r="I33" i="84" s="1"/>
  <c r="D34" i="84"/>
  <c r="E34" i="84"/>
  <c r="E37" i="66"/>
  <c r="D37" i="66"/>
  <c r="B34" i="85"/>
  <c r="F34" i="85"/>
  <c r="H36" i="61"/>
  <c r="I36" i="61" s="1"/>
  <c r="D37" i="61"/>
  <c r="E37" i="61"/>
  <c r="H39" i="44"/>
  <c r="I39" i="44" s="1"/>
  <c r="G42" i="27"/>
  <c r="E43" i="27"/>
  <c r="H42" i="27"/>
  <c r="D43" i="27"/>
  <c r="B40" i="39"/>
  <c r="F40" i="39"/>
  <c r="G40" i="39" s="1"/>
  <c r="F32" i="95"/>
  <c r="H32" i="95" s="1"/>
  <c r="B32" i="95"/>
  <c r="H41" i="32"/>
  <c r="I41" i="32" s="1"/>
  <c r="G31" i="96"/>
  <c r="I31" i="96" s="1"/>
  <c r="H33" i="81"/>
  <c r="I33" i="81" s="1"/>
  <c r="E34" i="81"/>
  <c r="D34" i="81"/>
  <c r="E35" i="76"/>
  <c r="D35" i="76"/>
  <c r="E40" i="44"/>
  <c r="D40" i="44"/>
  <c r="B38" i="72"/>
  <c r="F38" i="72"/>
  <c r="H38" i="72" s="1"/>
  <c r="D41" i="22"/>
  <c r="E41" i="22"/>
  <c r="E32" i="96"/>
  <c r="D32" i="96"/>
  <c r="I39" i="20"/>
  <c r="H40" i="17"/>
  <c r="D41" i="17"/>
  <c r="E41" i="17"/>
  <c r="E41" i="21"/>
  <c r="D41" i="21"/>
  <c r="F43" i="31"/>
  <c r="H43" i="31" s="1"/>
  <c r="B43" i="31"/>
  <c r="E35" i="77"/>
  <c r="D35" i="77"/>
  <c r="B41" i="19"/>
  <c r="F41" i="19"/>
  <c r="H41" i="19" s="1"/>
  <c r="B42" i="34"/>
  <c r="F42" i="34"/>
  <c r="I41" i="71"/>
  <c r="E38" i="54"/>
  <c r="D38" i="54"/>
  <c r="H40" i="21"/>
  <c r="H32" i="92"/>
  <c r="I32" i="92" s="1"/>
  <c r="E33" i="92"/>
  <c r="D33" i="92"/>
  <c r="B33" i="83"/>
  <c r="F33" i="83"/>
  <c r="G33" i="83" s="1"/>
  <c r="B42" i="30"/>
  <c r="F42" i="30"/>
  <c r="H42" i="30" s="1"/>
  <c r="F42" i="71"/>
  <c r="B42" i="71"/>
  <c r="D33" i="26"/>
  <c r="E33" i="26" s="1"/>
  <c r="E33" i="89"/>
  <c r="D33" i="89"/>
  <c r="I41" i="30"/>
  <c r="B37" i="64"/>
  <c r="F37" i="64"/>
  <c r="G37" i="64" s="1"/>
  <c r="G34" i="77"/>
  <c r="D41" i="41"/>
  <c r="E41" i="41"/>
  <c r="F34" i="88"/>
  <c r="B34" i="88"/>
  <c r="D43" i="29"/>
  <c r="E43" i="29"/>
  <c r="H39" i="74"/>
  <c r="I39" i="74" s="1"/>
  <c r="E40" i="74"/>
  <c r="D40" i="74"/>
  <c r="D35" i="78"/>
  <c r="E35" i="78"/>
  <c r="F36" i="68"/>
  <c r="B36" i="68"/>
  <c r="B39" i="45"/>
  <c r="F39" i="45"/>
  <c r="D43" i="70"/>
  <c r="E43" i="70"/>
  <c r="E35" i="79"/>
  <c r="D35" i="79"/>
  <c r="B43" i="69"/>
  <c r="F43" i="69"/>
  <c r="B37" i="56"/>
  <c r="F37" i="56"/>
  <c r="G37" i="56" s="1"/>
  <c r="E42" i="32"/>
  <c r="D42" i="32"/>
  <c r="H42" i="70"/>
  <c r="I42" i="70" s="1"/>
  <c r="H34" i="77"/>
  <c r="D37" i="63"/>
  <c r="E37" i="63"/>
  <c r="G40" i="17"/>
  <c r="H39" i="73"/>
  <c r="G39" i="73"/>
  <c r="D40" i="73"/>
  <c r="E40" i="73"/>
  <c r="G37" i="54"/>
  <c r="I37" i="54" s="1"/>
  <c r="H40" i="43"/>
  <c r="I40" i="43" s="1"/>
  <c r="E41" i="43"/>
  <c r="D41" i="43"/>
  <c r="G36" i="60"/>
  <c r="I36" i="60" s="1"/>
  <c r="E37" i="60"/>
  <c r="D37" i="60"/>
  <c r="G40" i="21"/>
  <c r="B44" i="28"/>
  <c r="F44" i="28"/>
  <c r="H34" i="79"/>
  <c r="I34" i="79" s="1"/>
  <c r="B41" i="3"/>
  <c r="F41" i="3"/>
  <c r="G41" i="3" s="1"/>
  <c r="G37" i="57"/>
  <c r="I37" i="57" s="1"/>
  <c r="D38" i="57"/>
  <c r="E38" i="57"/>
  <c r="J121" i="23"/>
  <c r="J121" i="30"/>
  <c r="J120" i="32"/>
  <c r="J111" i="90"/>
  <c r="J129" i="35"/>
  <c r="J119" i="20"/>
  <c r="J117" i="74"/>
  <c r="J118" i="43"/>
  <c r="J118" i="39"/>
  <c r="J115" i="63"/>
  <c r="J121" i="29"/>
  <c r="J121" i="27"/>
  <c r="J113" i="79"/>
  <c r="J121" i="69"/>
  <c r="E37" i="59"/>
  <c r="D37" i="59"/>
  <c r="E42" i="18"/>
  <c r="D42" i="18"/>
  <c r="B32" i="13"/>
  <c r="E49" i="35"/>
  <c r="F49" i="35" s="1"/>
  <c r="B49" i="35"/>
  <c r="H48" i="35"/>
  <c r="G48" i="35"/>
  <c r="F36" i="62"/>
  <c r="B36" i="62"/>
  <c r="B40" i="20"/>
  <c r="F40" i="20"/>
  <c r="G40" i="20" s="1"/>
  <c r="I33" i="33"/>
  <c r="J111" i="88"/>
  <c r="J116" i="53"/>
  <c r="J116" i="72"/>
  <c r="G36" i="59"/>
  <c r="I32" i="87"/>
  <c r="G41" i="18"/>
  <c r="I41" i="18" s="1"/>
  <c r="I47" i="35"/>
  <c r="B34" i="33"/>
  <c r="J120" i="31"/>
  <c r="J115" i="64"/>
  <c r="H36" i="59"/>
  <c r="E32" i="13"/>
  <c r="F32" i="13" s="1"/>
  <c r="B33" i="87"/>
  <c r="F33" i="87"/>
  <c r="G33" i="87" s="1"/>
  <c r="E34" i="33"/>
  <c r="F34" i="33" s="1"/>
  <c r="J112" i="82"/>
  <c r="G113" i="85"/>
  <c r="E114" i="85"/>
  <c r="D114" i="85"/>
  <c r="D123" i="69"/>
  <c r="G122" i="69"/>
  <c r="E123" i="69"/>
  <c r="E116" i="66"/>
  <c r="D116" i="66"/>
  <c r="G115" i="66"/>
  <c r="I118" i="45"/>
  <c r="H118" i="45"/>
  <c r="F113" i="89"/>
  <c r="B113" i="89"/>
  <c r="F117" i="62"/>
  <c r="B117" i="62"/>
  <c r="B114" i="81"/>
  <c r="F114" i="81"/>
  <c r="I119" i="73"/>
  <c r="H119" i="73"/>
  <c r="F113" i="91"/>
  <c r="B113" i="91"/>
  <c r="D117" i="65"/>
  <c r="G116" i="65"/>
  <c r="E117" i="65"/>
  <c r="G121" i="32"/>
  <c r="E122" i="32"/>
  <c r="D122" i="32"/>
  <c r="B121" i="22"/>
  <c r="F121" i="22"/>
  <c r="G119" i="39"/>
  <c r="D120" i="39"/>
  <c r="E120" i="39"/>
  <c r="G122" i="30"/>
  <c r="E123" i="30"/>
  <c r="D123" i="30"/>
  <c r="E121" i="20"/>
  <c r="D121" i="20"/>
  <c r="G120" i="20"/>
  <c r="J116" i="58"/>
  <c r="J115" i="65"/>
  <c r="D119" i="74"/>
  <c r="G118" i="74"/>
  <c r="E119" i="74"/>
  <c r="E118" i="72"/>
  <c r="D118" i="72"/>
  <c r="G117" i="72"/>
  <c r="D113" i="86"/>
  <c r="E113" i="86"/>
  <c r="G112" i="86"/>
  <c r="D113" i="88"/>
  <c r="G112" i="88"/>
  <c r="E113" i="88"/>
  <c r="J113" i="78"/>
  <c r="H116" i="62"/>
  <c r="I116" i="62"/>
  <c r="J114" i="68"/>
  <c r="G121" i="31"/>
  <c r="E122" i="31"/>
  <c r="D122" i="31"/>
  <c r="E123" i="27"/>
  <c r="D123" i="27"/>
  <c r="G122" i="27"/>
  <c r="E115" i="79"/>
  <c r="D115" i="79"/>
  <c r="G114" i="79"/>
  <c r="E123" i="70"/>
  <c r="G122" i="70"/>
  <c r="D123" i="70"/>
  <c r="G116" i="61"/>
  <c r="D117" i="61"/>
  <c r="E117" i="61"/>
  <c r="E113" i="84"/>
  <c r="D113" i="84"/>
  <c r="G112" i="84"/>
  <c r="D117" i="64"/>
  <c r="G116" i="64"/>
  <c r="E117" i="64"/>
  <c r="J112" i="85"/>
  <c r="J116" i="46"/>
  <c r="E123" i="29"/>
  <c r="G122" i="29"/>
  <c r="D123" i="29"/>
  <c r="B120" i="41"/>
  <c r="F120" i="41"/>
  <c r="G116" i="60"/>
  <c r="D117" i="60"/>
  <c r="E117" i="60"/>
  <c r="G115" i="68"/>
  <c r="E116" i="68"/>
  <c r="D116" i="68"/>
  <c r="G117" i="46"/>
  <c r="E118" i="46"/>
  <c r="D118" i="46"/>
  <c r="J115" i="61"/>
  <c r="D113" i="92"/>
  <c r="E113" i="92"/>
  <c r="G112" i="92"/>
  <c r="J121" i="70"/>
  <c r="J119" i="19"/>
  <c r="D120" i="43"/>
  <c r="E120" i="43"/>
  <c r="G119" i="43"/>
  <c r="H113" i="81"/>
  <c r="I113" i="81"/>
  <c r="J115" i="60"/>
  <c r="J119" i="34"/>
  <c r="I120" i="22"/>
  <c r="H120" i="22"/>
  <c r="D115" i="78"/>
  <c r="E115" i="78"/>
  <c r="G114" i="78"/>
  <c r="D113" i="90"/>
  <c r="G112" i="90"/>
  <c r="E113" i="90"/>
  <c r="J114" i="66"/>
  <c r="G120" i="19"/>
  <c r="D121" i="19"/>
  <c r="E121" i="19"/>
  <c r="I119" i="41"/>
  <c r="H119" i="41"/>
  <c r="E118" i="53"/>
  <c r="G117" i="53"/>
  <c r="D118" i="53"/>
  <c r="G120" i="34"/>
  <c r="D121" i="34"/>
  <c r="E121" i="34"/>
  <c r="E118" i="58"/>
  <c r="D118" i="58"/>
  <c r="G117" i="58"/>
  <c r="B119" i="45"/>
  <c r="F119" i="45"/>
  <c r="H112" i="89"/>
  <c r="I112" i="89"/>
  <c r="J111" i="86"/>
  <c r="J111" i="92"/>
  <c r="J111" i="84"/>
  <c r="B120" i="73"/>
  <c r="F120" i="73"/>
  <c r="I112" i="91"/>
  <c r="H112" i="91"/>
  <c r="G116" i="63"/>
  <c r="E117" i="63"/>
  <c r="D117" i="63"/>
  <c r="J112" i="95"/>
  <c r="J116" i="59"/>
  <c r="I118" i="56"/>
  <c r="H118" i="56"/>
  <c r="D118" i="59"/>
  <c r="E118" i="59"/>
  <c r="G117" i="59"/>
  <c r="G122" i="23"/>
  <c r="E123" i="23"/>
  <c r="D123" i="23"/>
  <c r="D122" i="18"/>
  <c r="G121" i="18"/>
  <c r="E122" i="18"/>
  <c r="J114" i="67"/>
  <c r="J120" i="18"/>
  <c r="F119" i="56"/>
  <c r="B119" i="56"/>
  <c r="G118" i="57"/>
  <c r="E119" i="57"/>
  <c r="D119" i="57"/>
  <c r="J121" i="71"/>
  <c r="G122" i="71"/>
  <c r="E123" i="71"/>
  <c r="D123" i="71"/>
  <c r="J117" i="57"/>
  <c r="G113" i="95"/>
  <c r="D114" i="95"/>
  <c r="E114" i="95" s="1"/>
  <c r="J118" i="44"/>
  <c r="H130" i="35"/>
  <c r="I130" i="35"/>
  <c r="G112" i="96"/>
  <c r="D113" i="96"/>
  <c r="E113" i="96" s="1"/>
  <c r="J120" i="17"/>
  <c r="B120" i="42"/>
  <c r="F120" i="42"/>
  <c r="B115" i="75"/>
  <c r="F115" i="75"/>
  <c r="H113" i="83"/>
  <c r="I113" i="83"/>
  <c r="H121" i="24"/>
  <c r="I121" i="24"/>
  <c r="F113" i="93"/>
  <c r="B113" i="93"/>
  <c r="B114" i="80"/>
  <c r="F114" i="80"/>
  <c r="F118" i="55"/>
  <c r="B118" i="55"/>
  <c r="G119" i="44"/>
  <c r="D120" i="44"/>
  <c r="E120" i="44"/>
  <c r="I114" i="76"/>
  <c r="H114" i="76"/>
  <c r="B112" i="13"/>
  <c r="H114" i="75"/>
  <c r="I114" i="75"/>
  <c r="F114" i="83"/>
  <c r="B114" i="83"/>
  <c r="H117" i="54"/>
  <c r="I117" i="54"/>
  <c r="F122" i="24"/>
  <c r="B122" i="24"/>
  <c r="H113" i="80"/>
  <c r="I113" i="80"/>
  <c r="B121" i="21"/>
  <c r="F121" i="21"/>
  <c r="G121" i="17"/>
  <c r="E122" i="17"/>
  <c r="D122" i="17"/>
  <c r="D124" i="28"/>
  <c r="G123" i="28"/>
  <c r="E124" i="28"/>
  <c r="B115" i="76"/>
  <c r="F115" i="76"/>
  <c r="I111" i="33"/>
  <c r="N88" i="33" s="1"/>
  <c r="H111" i="33"/>
  <c r="M88" i="33" s="1"/>
  <c r="M89" i="33" s="1"/>
  <c r="D113" i="87"/>
  <c r="G112" i="87"/>
  <c r="E113" i="87"/>
  <c r="F112" i="33"/>
  <c r="B112" i="33"/>
  <c r="J122" i="28"/>
  <c r="E112" i="13"/>
  <c r="F112" i="13" s="1"/>
  <c r="J111" i="87"/>
  <c r="J119" i="3"/>
  <c r="B118" i="54"/>
  <c r="F118" i="54"/>
  <c r="I112" i="93"/>
  <c r="H112" i="93"/>
  <c r="H117" i="55"/>
  <c r="I117" i="55"/>
  <c r="I120" i="21"/>
  <c r="H120" i="21"/>
  <c r="F115" i="77"/>
  <c r="B115" i="77"/>
  <c r="J111" i="96"/>
  <c r="D121" i="3"/>
  <c r="G120" i="3"/>
  <c r="E121" i="3"/>
  <c r="B132" i="35"/>
  <c r="E132" i="35"/>
  <c r="F132" i="35" s="1"/>
  <c r="G131" i="35"/>
  <c r="H119" i="42"/>
  <c r="I119" i="42"/>
  <c r="H111" i="13"/>
  <c r="I111" i="13"/>
  <c r="G113" i="82"/>
  <c r="D114" i="82"/>
  <c r="E114" i="82"/>
  <c r="G115" i="67"/>
  <c r="D116" i="67"/>
  <c r="E116" i="67"/>
  <c r="I114" i="77"/>
  <c r="H114" i="77"/>
  <c r="O88" i="33" l="1"/>
  <c r="O89" i="33" s="1"/>
  <c r="N89" i="33"/>
  <c r="I32" i="26"/>
  <c r="G32" i="25"/>
  <c r="N5" i="25" s="1"/>
  <c r="H32" i="25"/>
  <c r="N6" i="25" s="1"/>
  <c r="D33" i="25"/>
  <c r="B33" i="26"/>
  <c r="F33" i="26"/>
  <c r="G33" i="26" s="1"/>
  <c r="N5" i="26" s="1"/>
  <c r="G42" i="30"/>
  <c r="I42" i="30" s="1"/>
  <c r="I34" i="97"/>
  <c r="I31" i="98"/>
  <c r="J111" i="99"/>
  <c r="H35" i="97"/>
  <c r="F33" i="99"/>
  <c r="D34" i="99" s="1"/>
  <c r="B33" i="99"/>
  <c r="G35" i="97"/>
  <c r="E36" i="97"/>
  <c r="F36" i="97" s="1"/>
  <c r="D37" i="97" s="1"/>
  <c r="B36" i="97"/>
  <c r="B32" i="98"/>
  <c r="F32" i="98"/>
  <c r="H32" i="98" s="1"/>
  <c r="G112" i="25"/>
  <c r="D113" i="25"/>
  <c r="J111" i="25"/>
  <c r="D113" i="99"/>
  <c r="G112" i="99"/>
  <c r="E113" i="99"/>
  <c r="J112" i="26"/>
  <c r="F113" i="98"/>
  <c r="B113" i="98"/>
  <c r="H112" i="97"/>
  <c r="I112" i="97"/>
  <c r="H112" i="98"/>
  <c r="I112" i="98"/>
  <c r="B113" i="97"/>
  <c r="F113" i="97"/>
  <c r="D114" i="26"/>
  <c r="G113" i="26"/>
  <c r="H33" i="83"/>
  <c r="I33" i="83" s="1"/>
  <c r="I34" i="77"/>
  <c r="F37" i="67"/>
  <c r="H37" i="67" s="1"/>
  <c r="B37" i="67"/>
  <c r="B38" i="46"/>
  <c r="F38" i="46"/>
  <c r="H38" i="46" s="1"/>
  <c r="B42" i="24"/>
  <c r="F42" i="24"/>
  <c r="H42" i="24" s="1"/>
  <c r="F35" i="80"/>
  <c r="B35" i="80"/>
  <c r="F32" i="93"/>
  <c r="H32" i="93" s="1"/>
  <c r="B32" i="93"/>
  <c r="H37" i="56"/>
  <c r="I37" i="56" s="1"/>
  <c r="D36" i="82"/>
  <c r="E36" i="82"/>
  <c r="H34" i="86"/>
  <c r="D35" i="86"/>
  <c r="G34" i="86"/>
  <c r="E35" i="86"/>
  <c r="G35" i="82"/>
  <c r="I35" i="82" s="1"/>
  <c r="I31" i="93"/>
  <c r="G38" i="72"/>
  <c r="I38" i="72" s="1"/>
  <c r="F33" i="94"/>
  <c r="H33" i="94" s="1"/>
  <c r="B33" i="94"/>
  <c r="B34" i="84"/>
  <c r="F34" i="84"/>
  <c r="H34" i="84" s="1"/>
  <c r="H35" i="75"/>
  <c r="E36" i="75"/>
  <c r="D36" i="75"/>
  <c r="H39" i="58"/>
  <c r="D40" i="58"/>
  <c r="E40" i="58"/>
  <c r="I112" i="94"/>
  <c r="H112" i="94"/>
  <c r="F35" i="90"/>
  <c r="G35" i="90" s="1"/>
  <c r="B35" i="90"/>
  <c r="F37" i="66"/>
  <c r="H37" i="66" s="1"/>
  <c r="B37" i="66"/>
  <c r="B38" i="53"/>
  <c r="F38" i="53"/>
  <c r="I33" i="91"/>
  <c r="D41" i="42"/>
  <c r="E41" i="42"/>
  <c r="E113" i="94"/>
  <c r="F113" i="94" s="1"/>
  <c r="B113" i="94"/>
  <c r="H36" i="65"/>
  <c r="E37" i="65"/>
  <c r="D37" i="65"/>
  <c r="F43" i="23"/>
  <c r="B43" i="23"/>
  <c r="I42" i="27"/>
  <c r="G36" i="65"/>
  <c r="G35" i="75"/>
  <c r="G39" i="58"/>
  <c r="H40" i="42"/>
  <c r="I40" i="42" s="1"/>
  <c r="H39" i="55"/>
  <c r="I39" i="55" s="1"/>
  <c r="D40" i="55"/>
  <c r="E40" i="55"/>
  <c r="F34" i="91"/>
  <c r="B34" i="91"/>
  <c r="I39" i="73"/>
  <c r="H37" i="64"/>
  <c r="I37" i="64" s="1"/>
  <c r="G41" i="19"/>
  <c r="I41" i="19" s="1"/>
  <c r="B43" i="27"/>
  <c r="F43" i="27"/>
  <c r="D35" i="85"/>
  <c r="E35" i="85"/>
  <c r="H40" i="20"/>
  <c r="I40" i="20" s="1"/>
  <c r="F32" i="96"/>
  <c r="B32" i="96"/>
  <c r="F34" i="81"/>
  <c r="H34" i="81" s="1"/>
  <c r="B34" i="81"/>
  <c r="D39" i="72"/>
  <c r="E39" i="72"/>
  <c r="H40" i="39"/>
  <c r="I40" i="39" s="1"/>
  <c r="D41" i="39"/>
  <c r="E41" i="39"/>
  <c r="F37" i="61"/>
  <c r="H37" i="61" s="1"/>
  <c r="B37" i="61"/>
  <c r="H34" i="85"/>
  <c r="F41" i="22"/>
  <c r="H41" i="22" s="1"/>
  <c r="B41" i="22"/>
  <c r="F40" i="44"/>
  <c r="H40" i="44" s="1"/>
  <c r="B40" i="44"/>
  <c r="B35" i="76"/>
  <c r="F35" i="76"/>
  <c r="G35" i="76" s="1"/>
  <c r="G32" i="95"/>
  <c r="I32" i="95" s="1"/>
  <c r="D33" i="95"/>
  <c r="E33" i="95"/>
  <c r="G34" i="85"/>
  <c r="I36" i="59"/>
  <c r="H44" i="28"/>
  <c r="E45" i="28"/>
  <c r="D45" i="28"/>
  <c r="F37" i="63"/>
  <c r="G37" i="63" s="1"/>
  <c r="B37" i="63"/>
  <c r="F42" i="32"/>
  <c r="H42" i="32" s="1"/>
  <c r="B42" i="32"/>
  <c r="D44" i="69"/>
  <c r="E44" i="69"/>
  <c r="E40" i="45"/>
  <c r="D40" i="45"/>
  <c r="H34" i="88"/>
  <c r="E35" i="88"/>
  <c r="D35" i="88"/>
  <c r="B38" i="54"/>
  <c r="F38" i="54"/>
  <c r="G38" i="54" s="1"/>
  <c r="F41" i="21"/>
  <c r="G41" i="21" s="1"/>
  <c r="B41" i="21"/>
  <c r="F41" i="17"/>
  <c r="G41" i="17" s="1"/>
  <c r="B41" i="17"/>
  <c r="C50" i="17"/>
  <c r="F38" i="57"/>
  <c r="G38" i="57" s="1"/>
  <c r="B38" i="57"/>
  <c r="D42" i="3"/>
  <c r="E42" i="3" s="1"/>
  <c r="E37" i="68"/>
  <c r="D37" i="68"/>
  <c r="B35" i="78"/>
  <c r="F35" i="78"/>
  <c r="G35" i="78" s="1"/>
  <c r="B33" i="89"/>
  <c r="F33" i="89"/>
  <c r="H33" i="89" s="1"/>
  <c r="D43" i="71"/>
  <c r="E43" i="71"/>
  <c r="I40" i="21"/>
  <c r="B35" i="77"/>
  <c r="F35" i="77"/>
  <c r="G35" i="77" s="1"/>
  <c r="I40" i="17"/>
  <c r="H33" i="87"/>
  <c r="I33" i="87" s="1"/>
  <c r="F41" i="43"/>
  <c r="H41" i="43" s="1"/>
  <c r="B41" i="43"/>
  <c r="H43" i="69"/>
  <c r="B35" i="79"/>
  <c r="F35" i="79"/>
  <c r="G39" i="45"/>
  <c r="G36" i="68"/>
  <c r="B40" i="74"/>
  <c r="F40" i="74"/>
  <c r="G40" i="74" s="1"/>
  <c r="F43" i="29"/>
  <c r="H43" i="29" s="1"/>
  <c r="B43" i="29"/>
  <c r="G34" i="88"/>
  <c r="B41" i="41"/>
  <c r="F41" i="41"/>
  <c r="G41" i="41" s="1"/>
  <c r="E38" i="64"/>
  <c r="D38" i="64"/>
  <c r="H42" i="71"/>
  <c r="F33" i="92"/>
  <c r="B33" i="92"/>
  <c r="E42" i="19"/>
  <c r="D42" i="19"/>
  <c r="E44" i="31"/>
  <c r="D44" i="31"/>
  <c r="I48" i="35"/>
  <c r="H41" i="3"/>
  <c r="I41" i="3" s="1"/>
  <c r="G44" i="28"/>
  <c r="F37" i="60"/>
  <c r="B37" i="60"/>
  <c r="B40" i="73"/>
  <c r="F40" i="73"/>
  <c r="G40" i="73" s="1"/>
  <c r="D38" i="56"/>
  <c r="E38" i="56"/>
  <c r="G43" i="69"/>
  <c r="F43" i="70"/>
  <c r="B43" i="70"/>
  <c r="H39" i="45"/>
  <c r="H36" i="68"/>
  <c r="G42" i="71"/>
  <c r="E43" i="30"/>
  <c r="D43" i="30"/>
  <c r="E34" i="83"/>
  <c r="D34" i="83"/>
  <c r="G42" i="34"/>
  <c r="D43" i="34"/>
  <c r="H42" i="34"/>
  <c r="E43" i="34"/>
  <c r="G43" i="31"/>
  <c r="I43" i="31" s="1"/>
  <c r="D35" i="33"/>
  <c r="H34" i="33"/>
  <c r="G34" i="33"/>
  <c r="D33" i="13"/>
  <c r="H32" i="13"/>
  <c r="G32" i="13"/>
  <c r="E37" i="62"/>
  <c r="D37" i="62"/>
  <c r="B37" i="59"/>
  <c r="F37" i="59"/>
  <c r="H37" i="59" s="1"/>
  <c r="H36" i="62"/>
  <c r="G36" i="62"/>
  <c r="G49" i="35"/>
  <c r="H49" i="35"/>
  <c r="E50" i="35"/>
  <c r="F50" i="35" s="1"/>
  <c r="B50" i="35"/>
  <c r="F42" i="18"/>
  <c r="H42" i="18" s="1"/>
  <c r="B42" i="18"/>
  <c r="J112" i="91"/>
  <c r="J119" i="41"/>
  <c r="J120" i="22"/>
  <c r="J116" i="62"/>
  <c r="D34" i="87"/>
  <c r="E34" i="87"/>
  <c r="E41" i="20"/>
  <c r="D41" i="20"/>
  <c r="J114" i="76"/>
  <c r="H116" i="63"/>
  <c r="I116" i="63"/>
  <c r="J112" i="89"/>
  <c r="I117" i="58"/>
  <c r="H117" i="58"/>
  <c r="B121" i="34"/>
  <c r="F121" i="34"/>
  <c r="F121" i="19"/>
  <c r="B121" i="19"/>
  <c r="I112" i="90"/>
  <c r="H112" i="90"/>
  <c r="B115" i="78"/>
  <c r="F115" i="78"/>
  <c r="H112" i="92"/>
  <c r="I112" i="92"/>
  <c r="B118" i="46"/>
  <c r="F118" i="46"/>
  <c r="I116" i="60"/>
  <c r="H116" i="60"/>
  <c r="H122" i="29"/>
  <c r="I122" i="29"/>
  <c r="F113" i="84"/>
  <c r="B113" i="84"/>
  <c r="I116" i="61"/>
  <c r="H116" i="61"/>
  <c r="I114" i="79"/>
  <c r="H114" i="79"/>
  <c r="B123" i="27"/>
  <c r="F123" i="27"/>
  <c r="H121" i="31"/>
  <c r="I121" i="31"/>
  <c r="H112" i="86"/>
  <c r="I112" i="86"/>
  <c r="F118" i="72"/>
  <c r="B118" i="72"/>
  <c r="B119" i="74"/>
  <c r="F119" i="74"/>
  <c r="F121" i="20"/>
  <c r="B121" i="20"/>
  <c r="H122" i="30"/>
  <c r="I122" i="30"/>
  <c r="E122" i="22"/>
  <c r="G121" i="22"/>
  <c r="D122" i="22"/>
  <c r="H121" i="32"/>
  <c r="I121" i="32"/>
  <c r="G114" i="81"/>
  <c r="D115" i="81"/>
  <c r="E115" i="81"/>
  <c r="H115" i="66"/>
  <c r="I115" i="66"/>
  <c r="I122" i="69"/>
  <c r="H122" i="69"/>
  <c r="H113" i="85"/>
  <c r="I113" i="85"/>
  <c r="B118" i="58"/>
  <c r="F118" i="58"/>
  <c r="I120" i="34"/>
  <c r="H120" i="34"/>
  <c r="I120" i="19"/>
  <c r="H120" i="19"/>
  <c r="B113" i="90"/>
  <c r="F113" i="90"/>
  <c r="J113" i="81"/>
  <c r="F120" i="43"/>
  <c r="B120" i="43"/>
  <c r="H115" i="68"/>
  <c r="I115" i="68"/>
  <c r="E121" i="41"/>
  <c r="G120" i="41"/>
  <c r="D121" i="41"/>
  <c r="I116" i="64"/>
  <c r="H116" i="64"/>
  <c r="B123" i="70"/>
  <c r="F123" i="70"/>
  <c r="F115" i="79"/>
  <c r="B115" i="79"/>
  <c r="G113" i="91"/>
  <c r="E114" i="91"/>
  <c r="D114" i="91"/>
  <c r="G113" i="89"/>
  <c r="D114" i="89"/>
  <c r="E114" i="89"/>
  <c r="F116" i="66"/>
  <c r="B116" i="66"/>
  <c r="F123" i="69"/>
  <c r="B123" i="69"/>
  <c r="F117" i="63"/>
  <c r="B117" i="63"/>
  <c r="G119" i="45"/>
  <c r="D120" i="45"/>
  <c r="E120" i="45"/>
  <c r="B118" i="53"/>
  <c r="F118" i="53"/>
  <c r="I114" i="78"/>
  <c r="H114" i="78"/>
  <c r="F113" i="92"/>
  <c r="B113" i="92"/>
  <c r="I117" i="46"/>
  <c r="H117" i="46"/>
  <c r="F117" i="64"/>
  <c r="B117" i="64"/>
  <c r="H122" i="70"/>
  <c r="I122" i="70"/>
  <c r="F122" i="31"/>
  <c r="B122" i="31"/>
  <c r="H112" i="88"/>
  <c r="I112" i="88"/>
  <c r="B113" i="86"/>
  <c r="F113" i="86"/>
  <c r="F123" i="30"/>
  <c r="B123" i="30"/>
  <c r="F120" i="39"/>
  <c r="B120" i="39"/>
  <c r="F122" i="32"/>
  <c r="B122" i="32"/>
  <c r="I116" i="65"/>
  <c r="H116" i="65"/>
  <c r="F114" i="85"/>
  <c r="B114" i="85"/>
  <c r="E121" i="73"/>
  <c r="G120" i="73"/>
  <c r="D121" i="73"/>
  <c r="H117" i="53"/>
  <c r="I117" i="53"/>
  <c r="I119" i="43"/>
  <c r="H119" i="43"/>
  <c r="F116" i="68"/>
  <c r="B116" i="68"/>
  <c r="F117" i="60"/>
  <c r="B117" i="60"/>
  <c r="B123" i="29"/>
  <c r="F123" i="29"/>
  <c r="H112" i="84"/>
  <c r="I112" i="84"/>
  <c r="B117" i="61"/>
  <c r="F117" i="61"/>
  <c r="H122" i="27"/>
  <c r="I122" i="27"/>
  <c r="B113" i="88"/>
  <c r="F113" i="88"/>
  <c r="H117" i="72"/>
  <c r="I117" i="72"/>
  <c r="H118" i="74"/>
  <c r="I118" i="74"/>
  <c r="H120" i="20"/>
  <c r="I120" i="20"/>
  <c r="H119" i="39"/>
  <c r="I119" i="39"/>
  <c r="B117" i="65"/>
  <c r="F117" i="65"/>
  <c r="J119" i="73"/>
  <c r="D118" i="62"/>
  <c r="G117" i="62"/>
  <c r="E118" i="62"/>
  <c r="J118" i="45"/>
  <c r="J130" i="35"/>
  <c r="F123" i="23"/>
  <c r="B123" i="23"/>
  <c r="H117" i="59"/>
  <c r="I117" i="59"/>
  <c r="J118" i="56"/>
  <c r="I121" i="18"/>
  <c r="H121" i="18"/>
  <c r="J121" i="24"/>
  <c r="J113" i="83"/>
  <c r="D120" i="56"/>
  <c r="G119" i="56"/>
  <c r="E120" i="56"/>
  <c r="F122" i="18"/>
  <c r="B122" i="18"/>
  <c r="H122" i="23"/>
  <c r="I122" i="23"/>
  <c r="B118" i="59"/>
  <c r="F118" i="59"/>
  <c r="H122" i="71"/>
  <c r="I122" i="71"/>
  <c r="J120" i="21"/>
  <c r="F119" i="57"/>
  <c r="B119" i="57"/>
  <c r="J112" i="93"/>
  <c r="J119" i="42"/>
  <c r="J117" i="55"/>
  <c r="B123" i="71"/>
  <c r="F123" i="71"/>
  <c r="I118" i="57"/>
  <c r="H118" i="57"/>
  <c r="D113" i="13"/>
  <c r="E113" i="13" s="1"/>
  <c r="G112" i="13"/>
  <c r="F114" i="82"/>
  <c r="B114" i="82"/>
  <c r="E133" i="35"/>
  <c r="F133" i="35" s="1"/>
  <c r="G132" i="35"/>
  <c r="B133" i="35"/>
  <c r="G112" i="33"/>
  <c r="D113" i="33"/>
  <c r="E113" i="33" s="1"/>
  <c r="G121" i="21"/>
  <c r="D122" i="21"/>
  <c r="E122" i="21"/>
  <c r="B120" i="44"/>
  <c r="F120" i="44"/>
  <c r="D116" i="75"/>
  <c r="E116" i="75"/>
  <c r="G115" i="75"/>
  <c r="F113" i="96"/>
  <c r="B113" i="96"/>
  <c r="H113" i="82"/>
  <c r="I113" i="82"/>
  <c r="I120" i="3"/>
  <c r="H120" i="3"/>
  <c r="H123" i="28"/>
  <c r="I123" i="28"/>
  <c r="F122" i="17"/>
  <c r="B122" i="17"/>
  <c r="G122" i="24"/>
  <c r="D123" i="24"/>
  <c r="E123" i="24"/>
  <c r="H119" i="44"/>
  <c r="I119" i="44"/>
  <c r="G113" i="93"/>
  <c r="D114" i="93"/>
  <c r="E114" i="93" s="1"/>
  <c r="H112" i="96"/>
  <c r="I112" i="96"/>
  <c r="F116" i="67"/>
  <c r="B116" i="67"/>
  <c r="B121" i="3"/>
  <c r="F121" i="3"/>
  <c r="I112" i="87"/>
  <c r="H112" i="87"/>
  <c r="J111" i="33"/>
  <c r="F124" i="28"/>
  <c r="B124" i="28"/>
  <c r="J117" i="54"/>
  <c r="D115" i="83"/>
  <c r="E115" i="83"/>
  <c r="G114" i="83"/>
  <c r="E115" i="80"/>
  <c r="D115" i="80"/>
  <c r="G114" i="80"/>
  <c r="D121" i="42"/>
  <c r="G120" i="42"/>
  <c r="E121" i="42"/>
  <c r="B114" i="95"/>
  <c r="F114" i="95"/>
  <c r="J114" i="77"/>
  <c r="I115" i="67"/>
  <c r="H115" i="67"/>
  <c r="J111" i="13"/>
  <c r="H131" i="35"/>
  <c r="I131" i="35"/>
  <c r="D116" i="77"/>
  <c r="E116" i="77"/>
  <c r="G115" i="77"/>
  <c r="G118" i="54"/>
  <c r="E119" i="54"/>
  <c r="D119" i="54"/>
  <c r="F113" i="87"/>
  <c r="B113" i="87"/>
  <c r="G115" i="76"/>
  <c r="E116" i="76"/>
  <c r="D116" i="76"/>
  <c r="H121" i="17"/>
  <c r="I121" i="17"/>
  <c r="J113" i="80"/>
  <c r="J114" i="75"/>
  <c r="D119" i="55"/>
  <c r="G118" i="55"/>
  <c r="E119" i="55"/>
  <c r="H113" i="95"/>
  <c r="I113" i="95"/>
  <c r="E27" i="36"/>
  <c r="E28" i="36"/>
  <c r="D34" i="26" l="1"/>
  <c r="N7" i="25"/>
  <c r="E96" i="36"/>
  <c r="M19" i="1"/>
  <c r="I32" i="25"/>
  <c r="H33" i="26"/>
  <c r="B33" i="25"/>
  <c r="E33" i="25"/>
  <c r="F33" i="25" s="1"/>
  <c r="I96" i="36"/>
  <c r="G32" i="98"/>
  <c r="I32" i="98" s="1"/>
  <c r="G33" i="99"/>
  <c r="H36" i="97"/>
  <c r="G36" i="97"/>
  <c r="E34" i="99"/>
  <c r="F34" i="99" s="1"/>
  <c r="D35" i="99" s="1"/>
  <c r="B34" i="99"/>
  <c r="E37" i="97"/>
  <c r="F37" i="97" s="1"/>
  <c r="B37" i="97"/>
  <c r="D33" i="98"/>
  <c r="E33" i="98"/>
  <c r="H33" i="99"/>
  <c r="I35" i="97"/>
  <c r="E113" i="25"/>
  <c r="F113" i="25" s="1"/>
  <c r="B113" i="25"/>
  <c r="I112" i="25"/>
  <c r="N88" i="25" s="1"/>
  <c r="H112" i="25"/>
  <c r="M88" i="25" s="1"/>
  <c r="I112" i="99"/>
  <c r="H112" i="99"/>
  <c r="B113" i="99"/>
  <c r="F113" i="99"/>
  <c r="J112" i="97"/>
  <c r="I34" i="86"/>
  <c r="J112" i="98"/>
  <c r="E114" i="26"/>
  <c r="F114" i="26" s="1"/>
  <c r="B114" i="26"/>
  <c r="G113" i="97"/>
  <c r="D114" i="97"/>
  <c r="E114" i="97"/>
  <c r="I113" i="26"/>
  <c r="N88" i="26" s="1"/>
  <c r="H113" i="26"/>
  <c r="M88" i="26" s="1"/>
  <c r="M89" i="26" s="1"/>
  <c r="D114" i="98"/>
  <c r="G113" i="98"/>
  <c r="E114" i="98"/>
  <c r="H35" i="90"/>
  <c r="I35" i="90" s="1"/>
  <c r="G33" i="94"/>
  <c r="I33" i="94" s="1"/>
  <c r="G34" i="84"/>
  <c r="I34" i="84" s="1"/>
  <c r="G37" i="67"/>
  <c r="I37" i="67" s="1"/>
  <c r="E38" i="67"/>
  <c r="D38" i="67"/>
  <c r="G37" i="66"/>
  <c r="I37" i="66" s="1"/>
  <c r="G38" i="46"/>
  <c r="I38" i="46" s="1"/>
  <c r="E39" i="46"/>
  <c r="D39" i="46"/>
  <c r="I39" i="45"/>
  <c r="G42" i="24"/>
  <c r="I42" i="24" s="1"/>
  <c r="E43" i="24"/>
  <c r="D43" i="24"/>
  <c r="G41" i="22"/>
  <c r="I41" i="22" s="1"/>
  <c r="I36" i="65"/>
  <c r="H41" i="17"/>
  <c r="I41" i="17" s="1"/>
  <c r="I39" i="58"/>
  <c r="B36" i="82"/>
  <c r="F36" i="82"/>
  <c r="D36" i="80"/>
  <c r="E36" i="80"/>
  <c r="B35" i="86"/>
  <c r="F35" i="86"/>
  <c r="G32" i="93"/>
  <c r="I32" i="93" s="1"/>
  <c r="D33" i="93"/>
  <c r="E33" i="93"/>
  <c r="H35" i="80"/>
  <c r="G42" i="18"/>
  <c r="I42" i="18" s="1"/>
  <c r="G41" i="43"/>
  <c r="I41" i="43" s="1"/>
  <c r="D34" i="94"/>
  <c r="E34" i="94"/>
  <c r="G35" i="80"/>
  <c r="G113" i="94"/>
  <c r="D114" i="94"/>
  <c r="B114" i="94" s="1"/>
  <c r="H41" i="21"/>
  <c r="I41" i="21" s="1"/>
  <c r="H38" i="53"/>
  <c r="E39" i="53"/>
  <c r="D39" i="53"/>
  <c r="J112" i="94"/>
  <c r="F36" i="75"/>
  <c r="G36" i="75" s="1"/>
  <c r="B36" i="75"/>
  <c r="D35" i="91"/>
  <c r="H34" i="91"/>
  <c r="E35" i="91"/>
  <c r="G34" i="91"/>
  <c r="B40" i="55"/>
  <c r="F40" i="55"/>
  <c r="G40" i="55" s="1"/>
  <c r="G43" i="23"/>
  <c r="D44" i="23"/>
  <c r="E44" i="23"/>
  <c r="H43" i="23"/>
  <c r="D38" i="66"/>
  <c r="E38" i="66"/>
  <c r="E35" i="84"/>
  <c r="D35" i="84"/>
  <c r="G37" i="59"/>
  <c r="I37" i="59" s="1"/>
  <c r="B37" i="65"/>
  <c r="F37" i="65"/>
  <c r="F41" i="42"/>
  <c r="B41" i="42"/>
  <c r="G38" i="53"/>
  <c r="D36" i="90"/>
  <c r="E36" i="90"/>
  <c r="F40" i="58"/>
  <c r="B40" i="58"/>
  <c r="I35" i="75"/>
  <c r="B39" i="72"/>
  <c r="F39" i="72"/>
  <c r="G39" i="72" s="1"/>
  <c r="H32" i="96"/>
  <c r="D33" i="96"/>
  <c r="E33" i="96"/>
  <c r="B35" i="85"/>
  <c r="F35" i="85"/>
  <c r="G35" i="85" s="1"/>
  <c r="G43" i="29"/>
  <c r="I43" i="29" s="1"/>
  <c r="G37" i="61"/>
  <c r="I37" i="61" s="1"/>
  <c r="B41" i="39"/>
  <c r="F41" i="39"/>
  <c r="G41" i="39" s="1"/>
  <c r="G43" i="27"/>
  <c r="D44" i="27"/>
  <c r="E44" i="27"/>
  <c r="H43" i="27"/>
  <c r="H35" i="76"/>
  <c r="I35" i="76" s="1"/>
  <c r="D36" i="76"/>
  <c r="E36" i="76"/>
  <c r="G40" i="44"/>
  <c r="I40" i="44" s="1"/>
  <c r="D41" i="44"/>
  <c r="E41" i="44"/>
  <c r="D42" i="22"/>
  <c r="E42" i="22"/>
  <c r="G34" i="81"/>
  <c r="I34" i="81" s="1"/>
  <c r="E35" i="81"/>
  <c r="D35" i="81"/>
  <c r="F33" i="95"/>
  <c r="H33" i="95" s="1"/>
  <c r="B33" i="95"/>
  <c r="I34" i="85"/>
  <c r="D38" i="61"/>
  <c r="E38" i="61"/>
  <c r="G32" i="96"/>
  <c r="I44" i="28"/>
  <c r="I36" i="68"/>
  <c r="B43" i="34"/>
  <c r="F43" i="34"/>
  <c r="H43" i="34" s="1"/>
  <c r="F43" i="30"/>
  <c r="H43" i="30" s="1"/>
  <c r="B43" i="30"/>
  <c r="B38" i="56"/>
  <c r="F38" i="56"/>
  <c r="H38" i="56" s="1"/>
  <c r="F42" i="19"/>
  <c r="G42" i="19" s="1"/>
  <c r="B42" i="19"/>
  <c r="I42" i="71"/>
  <c r="H41" i="41"/>
  <c r="I41" i="41" s="1"/>
  <c r="E42" i="41"/>
  <c r="D42" i="41"/>
  <c r="H40" i="74"/>
  <c r="I40" i="74" s="1"/>
  <c r="I43" i="69"/>
  <c r="G33" i="89"/>
  <c r="I33" i="89" s="1"/>
  <c r="D34" i="89"/>
  <c r="E34" i="89"/>
  <c r="F42" i="3"/>
  <c r="H42" i="3" s="1"/>
  <c r="B42" i="3"/>
  <c r="D39" i="57"/>
  <c r="E39" i="57"/>
  <c r="H38" i="54"/>
  <c r="I38" i="54" s="1"/>
  <c r="D39" i="54"/>
  <c r="E39" i="54"/>
  <c r="B44" i="69"/>
  <c r="F44" i="69"/>
  <c r="G44" i="69" s="1"/>
  <c r="D43" i="32"/>
  <c r="E43" i="32"/>
  <c r="G43" i="70"/>
  <c r="D44" i="70"/>
  <c r="E44" i="70"/>
  <c r="E38" i="60"/>
  <c r="D38" i="60"/>
  <c r="H33" i="92"/>
  <c r="E34" i="92"/>
  <c r="D34" i="92"/>
  <c r="B38" i="64"/>
  <c r="F38" i="64"/>
  <c r="H35" i="79"/>
  <c r="D36" i="79"/>
  <c r="E36" i="79"/>
  <c r="E36" i="77"/>
  <c r="D36" i="77"/>
  <c r="D36" i="78"/>
  <c r="E36" i="78"/>
  <c r="I34" i="88"/>
  <c r="B45" i="28"/>
  <c r="F45" i="28"/>
  <c r="G45" i="28" s="1"/>
  <c r="F34" i="83"/>
  <c r="G34" i="83" s="1"/>
  <c r="B34" i="83"/>
  <c r="H40" i="73"/>
  <c r="I40" i="73" s="1"/>
  <c r="D41" i="73"/>
  <c r="E41" i="73"/>
  <c r="G37" i="60"/>
  <c r="F44" i="31"/>
  <c r="G44" i="31" s="1"/>
  <c r="B44" i="31"/>
  <c r="D44" i="29"/>
  <c r="E44" i="29"/>
  <c r="G35" i="79"/>
  <c r="E42" i="43"/>
  <c r="D42" i="43"/>
  <c r="H35" i="77"/>
  <c r="I35" i="77" s="1"/>
  <c r="B43" i="71"/>
  <c r="F43" i="71"/>
  <c r="G43" i="71" s="1"/>
  <c r="H38" i="57"/>
  <c r="I38" i="57" s="1"/>
  <c r="E42" i="17"/>
  <c r="D42" i="17"/>
  <c r="D42" i="21"/>
  <c r="E42" i="21"/>
  <c r="F40" i="45"/>
  <c r="H40" i="45" s="1"/>
  <c r="B40" i="45"/>
  <c r="G42" i="32"/>
  <c r="I42" i="32" s="1"/>
  <c r="E38" i="63"/>
  <c r="D38" i="63"/>
  <c r="I42" i="34"/>
  <c r="H43" i="70"/>
  <c r="H37" i="60"/>
  <c r="G33" i="92"/>
  <c r="D41" i="74"/>
  <c r="E41" i="74"/>
  <c r="H35" i="78"/>
  <c r="I35" i="78" s="1"/>
  <c r="F37" i="68"/>
  <c r="G37" i="68" s="1"/>
  <c r="B37" i="68"/>
  <c r="F35" i="88"/>
  <c r="B35" i="88"/>
  <c r="H37" i="63"/>
  <c r="I37" i="63" s="1"/>
  <c r="J117" i="46"/>
  <c r="J113" i="85"/>
  <c r="J116" i="64"/>
  <c r="J114" i="78"/>
  <c r="J120" i="19"/>
  <c r="J122" i="69"/>
  <c r="J116" i="63"/>
  <c r="J116" i="61"/>
  <c r="J117" i="58"/>
  <c r="J117" i="59"/>
  <c r="J114" i="79"/>
  <c r="J116" i="60"/>
  <c r="J112" i="90"/>
  <c r="B51" i="35"/>
  <c r="E51" i="35"/>
  <c r="F51" i="35" s="1"/>
  <c r="H50" i="35"/>
  <c r="G50" i="35"/>
  <c r="I32" i="13"/>
  <c r="I34" i="33"/>
  <c r="F34" i="87"/>
  <c r="G34" i="87" s="1"/>
  <c r="B34" i="87"/>
  <c r="B34" i="26"/>
  <c r="E43" i="18"/>
  <c r="D43" i="18"/>
  <c r="I49" i="35"/>
  <c r="I36" i="62"/>
  <c r="D38" i="59"/>
  <c r="E38" i="59"/>
  <c r="B33" i="13"/>
  <c r="B35" i="33"/>
  <c r="F37" i="62"/>
  <c r="H37" i="62" s="1"/>
  <c r="B37" i="62"/>
  <c r="J120" i="20"/>
  <c r="J117" i="72"/>
  <c r="J122" i="27"/>
  <c r="J112" i="84"/>
  <c r="F41" i="20"/>
  <c r="B41" i="20"/>
  <c r="E34" i="26"/>
  <c r="F34" i="26" s="1"/>
  <c r="E33" i="13"/>
  <c r="F33" i="13" s="1"/>
  <c r="E35" i="33"/>
  <c r="F35" i="33" s="1"/>
  <c r="I117" i="62"/>
  <c r="H117" i="62"/>
  <c r="G117" i="60"/>
  <c r="E118" i="60"/>
  <c r="D118" i="60"/>
  <c r="J119" i="43"/>
  <c r="I120" i="73"/>
  <c r="H120" i="73"/>
  <c r="J116" i="65"/>
  <c r="D121" i="39"/>
  <c r="G120" i="39"/>
  <c r="E121" i="39"/>
  <c r="G122" i="31"/>
  <c r="E123" i="31"/>
  <c r="D123" i="31"/>
  <c r="D118" i="64"/>
  <c r="G117" i="64"/>
  <c r="E118" i="64"/>
  <c r="D114" i="92"/>
  <c r="E114" i="92"/>
  <c r="G113" i="92"/>
  <c r="I113" i="89"/>
  <c r="H113" i="89"/>
  <c r="D121" i="43"/>
  <c r="E121" i="43"/>
  <c r="G120" i="43"/>
  <c r="G118" i="58"/>
  <c r="D119" i="58"/>
  <c r="E119" i="58"/>
  <c r="J121" i="32"/>
  <c r="D122" i="20"/>
  <c r="E122" i="20"/>
  <c r="G121" i="20"/>
  <c r="D119" i="72"/>
  <c r="G118" i="72"/>
  <c r="E119" i="72"/>
  <c r="G113" i="84"/>
  <c r="E114" i="84"/>
  <c r="D114" i="84"/>
  <c r="B118" i="62"/>
  <c r="F118" i="62"/>
  <c r="J119" i="39"/>
  <c r="J118" i="74"/>
  <c r="G113" i="88"/>
  <c r="D114" i="88"/>
  <c r="E114" i="88"/>
  <c r="E118" i="61"/>
  <c r="G117" i="61"/>
  <c r="D118" i="61"/>
  <c r="G123" i="29"/>
  <c r="E124" i="29"/>
  <c r="D124" i="29"/>
  <c r="J117" i="53"/>
  <c r="J112" i="88"/>
  <c r="J122" i="70"/>
  <c r="G117" i="63"/>
  <c r="E118" i="63"/>
  <c r="D118" i="63"/>
  <c r="E117" i="66"/>
  <c r="G116" i="66"/>
  <c r="D117" i="66"/>
  <c r="F114" i="91"/>
  <c r="B114" i="91"/>
  <c r="G115" i="79"/>
  <c r="D116" i="79"/>
  <c r="E116" i="79"/>
  <c r="J115" i="68"/>
  <c r="J122" i="30"/>
  <c r="D120" i="74"/>
  <c r="E120" i="74"/>
  <c r="G119" i="74"/>
  <c r="J112" i="86"/>
  <c r="E124" i="27"/>
  <c r="D124" i="27"/>
  <c r="G123" i="27"/>
  <c r="J122" i="29"/>
  <c r="E119" i="46"/>
  <c r="D119" i="46"/>
  <c r="G118" i="46"/>
  <c r="G115" i="78"/>
  <c r="E116" i="78"/>
  <c r="D116" i="78"/>
  <c r="G116" i="68"/>
  <c r="E117" i="68"/>
  <c r="D117" i="68"/>
  <c r="E115" i="85"/>
  <c r="G114" i="85"/>
  <c r="D115" i="85"/>
  <c r="E123" i="32"/>
  <c r="D123" i="32"/>
  <c r="G122" i="32"/>
  <c r="G123" i="30"/>
  <c r="D124" i="30"/>
  <c r="E124" i="30"/>
  <c r="B120" i="45"/>
  <c r="F120" i="45"/>
  <c r="D124" i="70"/>
  <c r="E124" i="70"/>
  <c r="G123" i="70"/>
  <c r="B121" i="41"/>
  <c r="F121" i="41"/>
  <c r="G113" i="90"/>
  <c r="D114" i="90"/>
  <c r="E114" i="90"/>
  <c r="F115" i="81"/>
  <c r="B115" i="81"/>
  <c r="F122" i="22"/>
  <c r="B122" i="22"/>
  <c r="D122" i="19"/>
  <c r="G121" i="19"/>
  <c r="E122" i="19"/>
  <c r="J121" i="18"/>
  <c r="E118" i="65"/>
  <c r="D118" i="65"/>
  <c r="G117" i="65"/>
  <c r="B121" i="73"/>
  <c r="F121" i="73"/>
  <c r="D114" i="86"/>
  <c r="G113" i="86"/>
  <c r="E114" i="86"/>
  <c r="D119" i="53"/>
  <c r="E119" i="53"/>
  <c r="G118" i="53"/>
  <c r="H119" i="45"/>
  <c r="I119" i="45"/>
  <c r="G123" i="69"/>
  <c r="E124" i="69"/>
  <c r="D124" i="69"/>
  <c r="B114" i="89"/>
  <c r="F114" i="89"/>
  <c r="I113" i="91"/>
  <c r="H113" i="91"/>
  <c r="H120" i="41"/>
  <c r="I120" i="41"/>
  <c r="J120" i="34"/>
  <c r="J115" i="66"/>
  <c r="I114" i="81"/>
  <c r="H114" i="81"/>
  <c r="H121" i="22"/>
  <c r="I121" i="22"/>
  <c r="J121" i="31"/>
  <c r="J112" i="92"/>
  <c r="G121" i="34"/>
  <c r="E122" i="34"/>
  <c r="D122" i="34"/>
  <c r="J120" i="3"/>
  <c r="J122" i="71"/>
  <c r="D119" i="59"/>
  <c r="G118" i="59"/>
  <c r="E119" i="59"/>
  <c r="J122" i="23"/>
  <c r="H119" i="56"/>
  <c r="I119" i="56"/>
  <c r="D124" i="23"/>
  <c r="E124" i="23"/>
  <c r="G123" i="23"/>
  <c r="G122" i="18"/>
  <c r="D123" i="18"/>
  <c r="E123" i="18"/>
  <c r="F120" i="56"/>
  <c r="B120" i="56"/>
  <c r="E124" i="71"/>
  <c r="G123" i="71"/>
  <c r="D124" i="71"/>
  <c r="G119" i="57"/>
  <c r="E120" i="57"/>
  <c r="D120" i="57"/>
  <c r="J115" i="67"/>
  <c r="J118" i="57"/>
  <c r="J131" i="35"/>
  <c r="J113" i="95"/>
  <c r="H118" i="55"/>
  <c r="I118" i="55"/>
  <c r="I115" i="76"/>
  <c r="H115" i="76"/>
  <c r="I115" i="77"/>
  <c r="H115" i="77"/>
  <c r="H120" i="42"/>
  <c r="I120" i="42"/>
  <c r="I114" i="83"/>
  <c r="H114" i="83"/>
  <c r="H113" i="93"/>
  <c r="I113" i="93"/>
  <c r="J119" i="44"/>
  <c r="G113" i="96"/>
  <c r="D114" i="96"/>
  <c r="E114" i="96" s="1"/>
  <c r="B113" i="33"/>
  <c r="F113" i="33"/>
  <c r="B119" i="55"/>
  <c r="F119" i="55"/>
  <c r="J121" i="17"/>
  <c r="D114" i="87"/>
  <c r="G113" i="87"/>
  <c r="E114" i="87"/>
  <c r="H118" i="54"/>
  <c r="I118" i="54"/>
  <c r="G114" i="95"/>
  <c r="D115" i="95"/>
  <c r="E115" i="95" s="1"/>
  <c r="F121" i="42"/>
  <c r="B121" i="42"/>
  <c r="H114" i="80"/>
  <c r="I114" i="80"/>
  <c r="D122" i="3"/>
  <c r="G121" i="3"/>
  <c r="E122" i="3"/>
  <c r="G116" i="67"/>
  <c r="D117" i="67"/>
  <c r="E117" i="67"/>
  <c r="D123" i="17"/>
  <c r="G122" i="17"/>
  <c r="E123" i="17"/>
  <c r="H115" i="75"/>
  <c r="I115" i="75"/>
  <c r="B122" i="21"/>
  <c r="F122" i="21"/>
  <c r="H112" i="33"/>
  <c r="I112" i="33"/>
  <c r="I132" i="35"/>
  <c r="H132" i="35"/>
  <c r="D115" i="82"/>
  <c r="G114" i="82"/>
  <c r="E115" i="82"/>
  <c r="I112" i="13"/>
  <c r="H112" i="13"/>
  <c r="F116" i="76"/>
  <c r="B116" i="76"/>
  <c r="B116" i="77"/>
  <c r="F116" i="77"/>
  <c r="F115" i="80"/>
  <c r="B115" i="80"/>
  <c r="B115" i="83"/>
  <c r="F115" i="83"/>
  <c r="J112" i="87"/>
  <c r="J112" i="96"/>
  <c r="F123" i="24"/>
  <c r="B123" i="24"/>
  <c r="J123" i="28"/>
  <c r="J113" i="82"/>
  <c r="G120" i="44"/>
  <c r="D121" i="44"/>
  <c r="E121" i="44"/>
  <c r="I121" i="21"/>
  <c r="H121" i="21"/>
  <c r="E134" i="35"/>
  <c r="F134" i="35" s="1"/>
  <c r="B134" i="35"/>
  <c r="G133" i="35"/>
  <c r="F119" i="54"/>
  <c r="B119" i="54"/>
  <c r="D125" i="28"/>
  <c r="G124" i="28"/>
  <c r="E125" i="28"/>
  <c r="B114" i="93"/>
  <c r="F114" i="93"/>
  <c r="I122" i="24"/>
  <c r="H122" i="24"/>
  <c r="B116" i="75"/>
  <c r="F116" i="75"/>
  <c r="F113" i="13"/>
  <c r="B113" i="13"/>
  <c r="F27" i="36"/>
  <c r="G27" i="36" l="1"/>
  <c r="R132" i="1"/>
  <c r="M20" i="1"/>
  <c r="I33" i="26"/>
  <c r="N6" i="26"/>
  <c r="N89" i="26"/>
  <c r="O88" i="26"/>
  <c r="O89" i="26" s="1"/>
  <c r="N18" i="2"/>
  <c r="M89" i="25"/>
  <c r="N89" i="25"/>
  <c r="O18" i="2"/>
  <c r="O88" i="25"/>
  <c r="O89" i="25" s="1"/>
  <c r="G33" i="25"/>
  <c r="D34" i="25"/>
  <c r="H33" i="25"/>
  <c r="I33" i="99"/>
  <c r="J112" i="25"/>
  <c r="D38" i="97"/>
  <c r="H37" i="97"/>
  <c r="G37" i="97"/>
  <c r="E35" i="99"/>
  <c r="F35" i="99" s="1"/>
  <c r="B35" i="99"/>
  <c r="H34" i="99"/>
  <c r="G34" i="99"/>
  <c r="F33" i="98"/>
  <c r="B33" i="98"/>
  <c r="I36" i="97"/>
  <c r="G113" i="25"/>
  <c r="D114" i="25"/>
  <c r="D114" i="99"/>
  <c r="G113" i="99"/>
  <c r="E114" i="99"/>
  <c r="J112" i="99"/>
  <c r="I43" i="70"/>
  <c r="I37" i="60"/>
  <c r="I43" i="23"/>
  <c r="B114" i="98"/>
  <c r="F114" i="98"/>
  <c r="I113" i="97"/>
  <c r="H113" i="97"/>
  <c r="J113" i="26"/>
  <c r="F114" i="97"/>
  <c r="B114" i="97"/>
  <c r="H113" i="98"/>
  <c r="I113" i="98"/>
  <c r="D115" i="26"/>
  <c r="G114" i="26"/>
  <c r="F38" i="67"/>
  <c r="H38" i="67" s="1"/>
  <c r="B38" i="67"/>
  <c r="B39" i="46"/>
  <c r="F39" i="46"/>
  <c r="H39" i="46" s="1"/>
  <c r="H44" i="31"/>
  <c r="I44" i="31" s="1"/>
  <c r="B43" i="24"/>
  <c r="F43" i="24"/>
  <c r="G42" i="3"/>
  <c r="I42" i="3" s="1"/>
  <c r="I35" i="80"/>
  <c r="H39" i="72"/>
  <c r="I39" i="72" s="1"/>
  <c r="I34" i="91"/>
  <c r="H36" i="82"/>
  <c r="E37" i="82"/>
  <c r="D37" i="82"/>
  <c r="G35" i="86"/>
  <c r="H35" i="86"/>
  <c r="E36" i="86"/>
  <c r="D36" i="86"/>
  <c r="F34" i="94"/>
  <c r="G34" i="94" s="1"/>
  <c r="B34" i="94"/>
  <c r="B36" i="80"/>
  <c r="F36" i="80"/>
  <c r="H36" i="80" s="1"/>
  <c r="B33" i="93"/>
  <c r="F33" i="93"/>
  <c r="H33" i="93" s="1"/>
  <c r="G36" i="82"/>
  <c r="I33" i="92"/>
  <c r="H44" i="69"/>
  <c r="I44" i="69" s="1"/>
  <c r="G33" i="95"/>
  <c r="I33" i="95" s="1"/>
  <c r="B36" i="90"/>
  <c r="F36" i="90"/>
  <c r="G36" i="90" s="1"/>
  <c r="G41" i="42"/>
  <c r="D42" i="42"/>
  <c r="E42" i="42"/>
  <c r="H40" i="55"/>
  <c r="I40" i="55" s="1"/>
  <c r="E41" i="55"/>
  <c r="D41" i="55"/>
  <c r="B39" i="53"/>
  <c r="F39" i="53"/>
  <c r="G39" i="53" s="1"/>
  <c r="E114" i="94"/>
  <c r="F114" i="94" s="1"/>
  <c r="E38" i="65"/>
  <c r="D38" i="65"/>
  <c r="G38" i="56"/>
  <c r="I38" i="56" s="1"/>
  <c r="G37" i="65"/>
  <c r="B44" i="23"/>
  <c r="F44" i="23"/>
  <c r="H44" i="23" s="1"/>
  <c r="B35" i="91"/>
  <c r="F35" i="91"/>
  <c r="B35" i="84"/>
  <c r="F35" i="84"/>
  <c r="G40" i="58"/>
  <c r="D41" i="58"/>
  <c r="E41" i="58"/>
  <c r="H40" i="58"/>
  <c r="H41" i="42"/>
  <c r="H37" i="65"/>
  <c r="I37" i="65" s="1"/>
  <c r="B38" i="66"/>
  <c r="F38" i="66"/>
  <c r="H38" i="66" s="1"/>
  <c r="H36" i="75"/>
  <c r="I36" i="75" s="1"/>
  <c r="E37" i="75"/>
  <c r="D37" i="75"/>
  <c r="I38" i="53"/>
  <c r="I113" i="94"/>
  <c r="H113" i="94"/>
  <c r="B35" i="81"/>
  <c r="F35" i="81"/>
  <c r="H35" i="81" s="1"/>
  <c r="F41" i="44"/>
  <c r="H41" i="44" s="1"/>
  <c r="B41" i="44"/>
  <c r="H43" i="71"/>
  <c r="I43" i="71" s="1"/>
  <c r="G43" i="34"/>
  <c r="I43" i="34" s="1"/>
  <c r="F38" i="61"/>
  <c r="G38" i="61" s="1"/>
  <c r="B38" i="61"/>
  <c r="I43" i="27"/>
  <c r="H41" i="39"/>
  <c r="I41" i="39" s="1"/>
  <c r="E42" i="39"/>
  <c r="D42" i="39"/>
  <c r="G37" i="62"/>
  <c r="I37" i="62" s="1"/>
  <c r="E34" i="95"/>
  <c r="D34" i="95"/>
  <c r="F42" i="22"/>
  <c r="H42" i="22" s="1"/>
  <c r="B42" i="22"/>
  <c r="H35" i="85"/>
  <c r="I35" i="85" s="1"/>
  <c r="D36" i="85"/>
  <c r="E36" i="85"/>
  <c r="F33" i="96"/>
  <c r="G33" i="96" s="1"/>
  <c r="B33" i="96"/>
  <c r="B36" i="76"/>
  <c r="F36" i="76"/>
  <c r="G36" i="76" s="1"/>
  <c r="B44" i="27"/>
  <c r="F44" i="27"/>
  <c r="I32" i="96"/>
  <c r="D40" i="72"/>
  <c r="E40" i="72"/>
  <c r="I50" i="35"/>
  <c r="E36" i="88"/>
  <c r="D36" i="88"/>
  <c r="F41" i="74"/>
  <c r="H41" i="74" s="1"/>
  <c r="B41" i="74"/>
  <c r="C51" i="17"/>
  <c r="B42" i="17"/>
  <c r="F42" i="17"/>
  <c r="H42" i="17" s="1"/>
  <c r="B42" i="43"/>
  <c r="F42" i="43"/>
  <c r="G42" i="43" s="1"/>
  <c r="B44" i="29"/>
  <c r="F44" i="29"/>
  <c r="H44" i="29" s="1"/>
  <c r="D45" i="31"/>
  <c r="E45" i="31"/>
  <c r="D39" i="64"/>
  <c r="E39" i="64"/>
  <c r="B34" i="92"/>
  <c r="F34" i="92"/>
  <c r="H34" i="92" s="1"/>
  <c r="D39" i="56"/>
  <c r="E39" i="56"/>
  <c r="H34" i="87"/>
  <c r="I34" i="87" s="1"/>
  <c r="E38" i="68"/>
  <c r="D38" i="68"/>
  <c r="G40" i="45"/>
  <c r="I40" i="45" s="1"/>
  <c r="H45" i="28"/>
  <c r="I45" i="28" s="1"/>
  <c r="E46" i="28"/>
  <c r="D46" i="28"/>
  <c r="G38" i="64"/>
  <c r="B44" i="70"/>
  <c r="F44" i="70"/>
  <c r="H44" i="70" s="1"/>
  <c r="D45" i="69"/>
  <c r="E45" i="69"/>
  <c r="D43" i="19"/>
  <c r="E43" i="19"/>
  <c r="G35" i="88"/>
  <c r="B38" i="63"/>
  <c r="F38" i="63"/>
  <c r="H38" i="63" s="1"/>
  <c r="E44" i="71"/>
  <c r="D44" i="71"/>
  <c r="B36" i="78"/>
  <c r="F36" i="78"/>
  <c r="H36" i="78" s="1"/>
  <c r="F36" i="79"/>
  <c r="H36" i="79" s="1"/>
  <c r="B36" i="79"/>
  <c r="B34" i="89"/>
  <c r="F34" i="89"/>
  <c r="G34" i="89" s="1"/>
  <c r="F42" i="41"/>
  <c r="B42" i="41"/>
  <c r="D44" i="34"/>
  <c r="E44" i="34"/>
  <c r="H35" i="88"/>
  <c r="H37" i="68"/>
  <c r="I37" i="68" s="1"/>
  <c r="E41" i="45"/>
  <c r="D41" i="45"/>
  <c r="F42" i="21"/>
  <c r="G42" i="21" s="1"/>
  <c r="B42" i="21"/>
  <c r="B41" i="73"/>
  <c r="F41" i="73"/>
  <c r="H41" i="73" s="1"/>
  <c r="H34" i="83"/>
  <c r="I34" i="83" s="1"/>
  <c r="D35" i="83"/>
  <c r="E35" i="83"/>
  <c r="B36" i="77"/>
  <c r="F36" i="77"/>
  <c r="H36" i="77" s="1"/>
  <c r="I35" i="79"/>
  <c r="H38" i="64"/>
  <c r="I38" i="64" s="1"/>
  <c r="B38" i="60"/>
  <c r="F38" i="60"/>
  <c r="G38" i="60" s="1"/>
  <c r="F43" i="32"/>
  <c r="H43" i="32" s="1"/>
  <c r="B43" i="32"/>
  <c r="B39" i="54"/>
  <c r="F39" i="54"/>
  <c r="G39" i="54" s="1"/>
  <c r="B39" i="57"/>
  <c r="F39" i="57"/>
  <c r="H39" i="57" s="1"/>
  <c r="D43" i="3"/>
  <c r="E43" i="3" s="1"/>
  <c r="H42" i="19"/>
  <c r="I42" i="19" s="1"/>
  <c r="G43" i="30"/>
  <c r="I43" i="30" s="1"/>
  <c r="D44" i="30"/>
  <c r="E44" i="30"/>
  <c r="J119" i="56"/>
  <c r="J119" i="45"/>
  <c r="J112" i="33"/>
  <c r="J113" i="91"/>
  <c r="J120" i="73"/>
  <c r="D35" i="26"/>
  <c r="E35" i="26" s="1"/>
  <c r="H34" i="26"/>
  <c r="G34" i="26"/>
  <c r="D34" i="13"/>
  <c r="E34" i="13" s="1"/>
  <c r="G33" i="13"/>
  <c r="H33" i="13"/>
  <c r="D36" i="33"/>
  <c r="E36" i="33" s="1"/>
  <c r="G35" i="33"/>
  <c r="H35" i="33"/>
  <c r="E42" i="20"/>
  <c r="D42" i="20"/>
  <c r="E52" i="35"/>
  <c r="F52" i="35" s="1"/>
  <c r="G51" i="35"/>
  <c r="H51" i="35"/>
  <c r="B52" i="35"/>
  <c r="G41" i="20"/>
  <c r="E38" i="62"/>
  <c r="D38" i="62"/>
  <c r="J120" i="41"/>
  <c r="H41" i="20"/>
  <c r="B38" i="59"/>
  <c r="F38" i="59"/>
  <c r="H38" i="59" s="1"/>
  <c r="B43" i="18"/>
  <c r="F43" i="18"/>
  <c r="H43" i="18" s="1"/>
  <c r="D35" i="87"/>
  <c r="E35" i="87"/>
  <c r="J121" i="22"/>
  <c r="B124" i="69"/>
  <c r="F124" i="69"/>
  <c r="H117" i="65"/>
  <c r="I117" i="65"/>
  <c r="G122" i="22"/>
  <c r="D123" i="22"/>
  <c r="E123" i="22"/>
  <c r="F114" i="90"/>
  <c r="B114" i="90"/>
  <c r="I123" i="70"/>
  <c r="H123" i="70"/>
  <c r="H122" i="32"/>
  <c r="I122" i="32"/>
  <c r="H114" i="85"/>
  <c r="I114" i="85"/>
  <c r="H116" i="68"/>
  <c r="I116" i="68"/>
  <c r="I118" i="46"/>
  <c r="H118" i="46"/>
  <c r="I123" i="27"/>
  <c r="H123" i="27"/>
  <c r="H119" i="74"/>
  <c r="I119" i="74"/>
  <c r="B114" i="84"/>
  <c r="F114" i="84"/>
  <c r="H118" i="72"/>
  <c r="I118" i="72"/>
  <c r="F122" i="20"/>
  <c r="B122" i="20"/>
  <c r="I118" i="58"/>
  <c r="H118" i="58"/>
  <c r="B114" i="92"/>
  <c r="F114" i="92"/>
  <c r="F123" i="31"/>
  <c r="B123" i="31"/>
  <c r="H120" i="39"/>
  <c r="I120" i="39"/>
  <c r="I117" i="60"/>
  <c r="H117" i="60"/>
  <c r="H121" i="34"/>
  <c r="I121" i="34"/>
  <c r="H118" i="53"/>
  <c r="I118" i="53"/>
  <c r="I113" i="86"/>
  <c r="H113" i="86"/>
  <c r="F118" i="65"/>
  <c r="B118" i="65"/>
  <c r="H121" i="19"/>
  <c r="I121" i="19"/>
  <c r="I113" i="90"/>
  <c r="H113" i="90"/>
  <c r="F123" i="32"/>
  <c r="B123" i="32"/>
  <c r="F116" i="78"/>
  <c r="B116" i="78"/>
  <c r="B119" i="46"/>
  <c r="F119" i="46"/>
  <c r="B124" i="27"/>
  <c r="F124" i="27"/>
  <c r="E115" i="91"/>
  <c r="G114" i="91"/>
  <c r="D115" i="91"/>
  <c r="B118" i="63"/>
  <c r="F118" i="63"/>
  <c r="H123" i="29"/>
  <c r="I123" i="29"/>
  <c r="F119" i="72"/>
  <c r="B119" i="72"/>
  <c r="H120" i="43"/>
  <c r="I120" i="43"/>
  <c r="J113" i="89"/>
  <c r="B121" i="39"/>
  <c r="F121" i="39"/>
  <c r="D115" i="89"/>
  <c r="G114" i="89"/>
  <c r="E115" i="89"/>
  <c r="I123" i="69"/>
  <c r="H123" i="69"/>
  <c r="F114" i="86"/>
  <c r="B114" i="86"/>
  <c r="E122" i="73"/>
  <c r="G121" i="73"/>
  <c r="D122" i="73"/>
  <c r="B122" i="19"/>
  <c r="F122" i="19"/>
  <c r="E116" i="81"/>
  <c r="G115" i="81"/>
  <c r="D116" i="81"/>
  <c r="E122" i="41"/>
  <c r="D122" i="41"/>
  <c r="G121" i="41"/>
  <c r="F124" i="70"/>
  <c r="B124" i="70"/>
  <c r="F124" i="30"/>
  <c r="B124" i="30"/>
  <c r="F117" i="68"/>
  <c r="B117" i="68"/>
  <c r="F120" i="74"/>
  <c r="B120" i="74"/>
  <c r="F116" i="79"/>
  <c r="B116" i="79"/>
  <c r="B117" i="66"/>
  <c r="F117" i="66"/>
  <c r="B118" i="61"/>
  <c r="F118" i="61"/>
  <c r="F114" i="88"/>
  <c r="B114" i="88"/>
  <c r="D119" i="62"/>
  <c r="E119" i="62"/>
  <c r="G118" i="62"/>
  <c r="H113" i="84"/>
  <c r="I113" i="84"/>
  <c r="I121" i="20"/>
  <c r="H121" i="20"/>
  <c r="I113" i="92"/>
  <c r="H113" i="92"/>
  <c r="I117" i="64"/>
  <c r="H117" i="64"/>
  <c r="H122" i="31"/>
  <c r="I122" i="31"/>
  <c r="F118" i="60"/>
  <c r="B118" i="60"/>
  <c r="J117" i="62"/>
  <c r="J132" i="35"/>
  <c r="F122" i="34"/>
  <c r="B122" i="34"/>
  <c r="J114" i="81"/>
  <c r="B119" i="53"/>
  <c r="F119" i="53"/>
  <c r="G120" i="45"/>
  <c r="E121" i="45"/>
  <c r="D121" i="45"/>
  <c r="I123" i="30"/>
  <c r="H123" i="30"/>
  <c r="F115" i="85"/>
  <c r="B115" i="85"/>
  <c r="H115" i="78"/>
  <c r="I115" i="78"/>
  <c r="H115" i="79"/>
  <c r="I115" i="79"/>
  <c r="I116" i="66"/>
  <c r="H116" i="66"/>
  <c r="I117" i="63"/>
  <c r="H117" i="63"/>
  <c r="B124" i="29"/>
  <c r="F124" i="29"/>
  <c r="H117" i="61"/>
  <c r="I117" i="61"/>
  <c r="I113" i="88"/>
  <c r="H113" i="88"/>
  <c r="B119" i="58"/>
  <c r="F119" i="58"/>
  <c r="F121" i="43"/>
  <c r="B121" i="43"/>
  <c r="B118" i="64"/>
  <c r="F118" i="64"/>
  <c r="J114" i="80"/>
  <c r="B123" i="18"/>
  <c r="F123" i="18"/>
  <c r="B124" i="23"/>
  <c r="F124" i="23"/>
  <c r="I118" i="59"/>
  <c r="H118" i="59"/>
  <c r="J114" i="83"/>
  <c r="J115" i="77"/>
  <c r="H122" i="18"/>
  <c r="I122" i="18"/>
  <c r="B119" i="59"/>
  <c r="F119" i="59"/>
  <c r="D121" i="56"/>
  <c r="E121" i="56"/>
  <c r="G120" i="56"/>
  <c r="I123" i="23"/>
  <c r="H123" i="23"/>
  <c r="J118" i="55"/>
  <c r="H119" i="57"/>
  <c r="I119" i="57"/>
  <c r="B124" i="71"/>
  <c r="F124" i="71"/>
  <c r="J115" i="76"/>
  <c r="F120" i="57"/>
  <c r="B120" i="57"/>
  <c r="H123" i="71"/>
  <c r="I123" i="71"/>
  <c r="G114" i="93"/>
  <c r="D115" i="93"/>
  <c r="F125" i="28"/>
  <c r="B125" i="28"/>
  <c r="B135" i="35"/>
  <c r="G134" i="35"/>
  <c r="E135" i="35"/>
  <c r="F135" i="35" s="1"/>
  <c r="H114" i="82"/>
  <c r="I114" i="82"/>
  <c r="B117" i="67"/>
  <c r="F117" i="67"/>
  <c r="H121" i="3"/>
  <c r="I121" i="3"/>
  <c r="I113" i="96"/>
  <c r="H113" i="96"/>
  <c r="G113" i="13"/>
  <c r="D114" i="13"/>
  <c r="J122" i="24"/>
  <c r="J121" i="21"/>
  <c r="G123" i="24"/>
  <c r="E124" i="24"/>
  <c r="D124" i="24"/>
  <c r="E116" i="83"/>
  <c r="G115" i="83"/>
  <c r="D116" i="83"/>
  <c r="F115" i="82"/>
  <c r="B115" i="82"/>
  <c r="I116" i="67"/>
  <c r="H116" i="67"/>
  <c r="B122" i="3"/>
  <c r="F122" i="3"/>
  <c r="B115" i="95"/>
  <c r="F115" i="95"/>
  <c r="J120" i="42"/>
  <c r="G116" i="75"/>
  <c r="E117" i="75"/>
  <c r="D117" i="75"/>
  <c r="H133" i="35"/>
  <c r="I133" i="35"/>
  <c r="B121" i="44"/>
  <c r="F121" i="44"/>
  <c r="G115" i="80"/>
  <c r="E116" i="80"/>
  <c r="D116" i="80"/>
  <c r="G116" i="77"/>
  <c r="E117" i="77"/>
  <c r="D117" i="77"/>
  <c r="J112" i="13"/>
  <c r="J115" i="75"/>
  <c r="H122" i="17"/>
  <c r="I122" i="17"/>
  <c r="H114" i="95"/>
  <c r="I114" i="95"/>
  <c r="H113" i="87"/>
  <c r="I113" i="87"/>
  <c r="G119" i="55"/>
  <c r="D120" i="55"/>
  <c r="E120" i="55"/>
  <c r="J113" i="93"/>
  <c r="I124" i="28"/>
  <c r="H124" i="28"/>
  <c r="E120" i="54"/>
  <c r="D120" i="54"/>
  <c r="G119" i="54"/>
  <c r="H120" i="44"/>
  <c r="I120" i="44"/>
  <c r="D117" i="76"/>
  <c r="G116" i="76"/>
  <c r="E117" i="76"/>
  <c r="G122" i="21"/>
  <c r="E123" i="21"/>
  <c r="D123" i="21"/>
  <c r="B123" i="17"/>
  <c r="F123" i="17"/>
  <c r="D122" i="42"/>
  <c r="E122" i="42"/>
  <c r="G121" i="42"/>
  <c r="J118" i="54"/>
  <c r="B114" i="87"/>
  <c r="F114" i="87"/>
  <c r="G113" i="33"/>
  <c r="D114" i="33"/>
  <c r="E114" i="33" s="1"/>
  <c r="F114" i="96"/>
  <c r="B114" i="96"/>
  <c r="N7" i="26" l="1"/>
  <c r="N19" i="1"/>
  <c r="N19" i="2"/>
  <c r="O19" i="2"/>
  <c r="P18" i="2"/>
  <c r="P19" i="2" s="1"/>
  <c r="P20" i="2" s="1"/>
  <c r="I36" i="82"/>
  <c r="I33" i="25"/>
  <c r="B34" i="25"/>
  <c r="E34" i="25"/>
  <c r="F34" i="25" s="1"/>
  <c r="I41" i="20"/>
  <c r="I34" i="99"/>
  <c r="D36" i="99"/>
  <c r="E36" i="99"/>
  <c r="H35" i="99"/>
  <c r="G35" i="99"/>
  <c r="D34" i="98"/>
  <c r="E34" i="98"/>
  <c r="H33" i="98"/>
  <c r="I37" i="97"/>
  <c r="G33" i="98"/>
  <c r="E38" i="97"/>
  <c r="F38" i="97" s="1"/>
  <c r="D39" i="97" s="1"/>
  <c r="B38" i="97"/>
  <c r="E114" i="25"/>
  <c r="F114" i="25" s="1"/>
  <c r="B114" i="25"/>
  <c r="H113" i="25"/>
  <c r="I113" i="25"/>
  <c r="H113" i="99"/>
  <c r="I113" i="99"/>
  <c r="F114" i="99"/>
  <c r="B114" i="99"/>
  <c r="G33" i="93"/>
  <c r="I33" i="93" s="1"/>
  <c r="I35" i="88"/>
  <c r="G39" i="57"/>
  <c r="I39" i="57" s="1"/>
  <c r="I41" i="42"/>
  <c r="I114" i="26"/>
  <c r="H114" i="26"/>
  <c r="J113" i="97"/>
  <c r="B115" i="26"/>
  <c r="E115" i="26"/>
  <c r="F115" i="26" s="1"/>
  <c r="G114" i="97"/>
  <c r="D115" i="97"/>
  <c r="E115" i="97"/>
  <c r="D115" i="98"/>
  <c r="G114" i="98"/>
  <c r="E115" i="98"/>
  <c r="J113" i="98"/>
  <c r="H33" i="96"/>
  <c r="I33" i="96" s="1"/>
  <c r="I35" i="86"/>
  <c r="G36" i="80"/>
  <c r="I36" i="80" s="1"/>
  <c r="G38" i="67"/>
  <c r="I38" i="67" s="1"/>
  <c r="E39" i="67"/>
  <c r="D39" i="67"/>
  <c r="G38" i="66"/>
  <c r="I38" i="66" s="1"/>
  <c r="H38" i="60"/>
  <c r="I38" i="60" s="1"/>
  <c r="G39" i="46"/>
  <c r="I39" i="46" s="1"/>
  <c r="E40" i="46"/>
  <c r="D40" i="46"/>
  <c r="D44" i="24"/>
  <c r="E44" i="24"/>
  <c r="H43" i="24"/>
  <c r="G43" i="24"/>
  <c r="G42" i="17"/>
  <c r="I42" i="17" s="1"/>
  <c r="G42" i="22"/>
  <c r="I42" i="22" s="1"/>
  <c r="G36" i="79"/>
  <c r="I36" i="79" s="1"/>
  <c r="H38" i="61"/>
  <c r="I38" i="61" s="1"/>
  <c r="J113" i="94"/>
  <c r="D34" i="93"/>
  <c r="E34" i="93"/>
  <c r="E37" i="80"/>
  <c r="D37" i="80"/>
  <c r="H34" i="94"/>
  <c r="I34" i="94" s="1"/>
  <c r="D35" i="94"/>
  <c r="E35" i="94"/>
  <c r="F36" i="86"/>
  <c r="B36" i="86"/>
  <c r="F37" i="82"/>
  <c r="G37" i="82" s="1"/>
  <c r="B37" i="82"/>
  <c r="H34" i="89"/>
  <c r="I34" i="89" s="1"/>
  <c r="G44" i="70"/>
  <c r="I44" i="70" s="1"/>
  <c r="G41" i="44"/>
  <c r="I41" i="44" s="1"/>
  <c r="D39" i="66"/>
  <c r="E39" i="66"/>
  <c r="I40" i="58"/>
  <c r="G114" i="94"/>
  <c r="D115" i="94"/>
  <c r="D37" i="90"/>
  <c r="E37" i="90"/>
  <c r="H35" i="84"/>
  <c r="E36" i="84"/>
  <c r="D36" i="84"/>
  <c r="H42" i="21"/>
  <c r="I42" i="21" s="1"/>
  <c r="G44" i="23"/>
  <c r="I44" i="23" s="1"/>
  <c r="D45" i="23"/>
  <c r="E45" i="23"/>
  <c r="B41" i="55"/>
  <c r="F41" i="55"/>
  <c r="G41" i="55" s="1"/>
  <c r="F42" i="42"/>
  <c r="G42" i="42" s="1"/>
  <c r="B42" i="42"/>
  <c r="F37" i="75"/>
  <c r="G37" i="75" s="1"/>
  <c r="B37" i="75"/>
  <c r="E36" i="91"/>
  <c r="H35" i="91"/>
  <c r="D36" i="91"/>
  <c r="G35" i="91"/>
  <c r="I51" i="35"/>
  <c r="G44" i="29"/>
  <c r="I44" i="29" s="1"/>
  <c r="B41" i="58"/>
  <c r="F41" i="58"/>
  <c r="G35" i="84"/>
  <c r="B38" i="65"/>
  <c r="F38" i="65"/>
  <c r="H39" i="53"/>
  <c r="I39" i="53" s="1"/>
  <c r="D40" i="53"/>
  <c r="E40" i="53"/>
  <c r="H36" i="90"/>
  <c r="I36" i="90" s="1"/>
  <c r="B34" i="95"/>
  <c r="F34" i="95"/>
  <c r="G34" i="95" s="1"/>
  <c r="G43" i="32"/>
  <c r="I43" i="32" s="1"/>
  <c r="D37" i="76"/>
  <c r="E37" i="76"/>
  <c r="B36" i="85"/>
  <c r="F36" i="85"/>
  <c r="G36" i="85" s="1"/>
  <c r="G41" i="73"/>
  <c r="I41" i="73" s="1"/>
  <c r="G34" i="92"/>
  <c r="I34" i="92" s="1"/>
  <c r="E39" i="61"/>
  <c r="D39" i="61"/>
  <c r="E42" i="44"/>
  <c r="D42" i="44"/>
  <c r="B40" i="72"/>
  <c r="F40" i="72"/>
  <c r="G40" i="72" s="1"/>
  <c r="E45" i="27"/>
  <c r="G44" i="27"/>
  <c r="H44" i="27"/>
  <c r="D45" i="27"/>
  <c r="H36" i="76"/>
  <c r="I36" i="76" s="1"/>
  <c r="D34" i="96"/>
  <c r="E34" i="96"/>
  <c r="E43" i="22"/>
  <c r="D43" i="22"/>
  <c r="B42" i="39"/>
  <c r="F42" i="39"/>
  <c r="H42" i="39" s="1"/>
  <c r="G35" i="81"/>
  <c r="I35" i="81" s="1"/>
  <c r="D36" i="81"/>
  <c r="E36" i="81"/>
  <c r="I33" i="13"/>
  <c r="G38" i="59"/>
  <c r="I38" i="59" s="1"/>
  <c r="E39" i="60"/>
  <c r="D39" i="60"/>
  <c r="D42" i="73"/>
  <c r="E42" i="73"/>
  <c r="D43" i="41"/>
  <c r="E43" i="41"/>
  <c r="B44" i="71"/>
  <c r="F44" i="71"/>
  <c r="G44" i="71" s="1"/>
  <c r="D39" i="63"/>
  <c r="E39" i="63"/>
  <c r="B45" i="69"/>
  <c r="F45" i="69"/>
  <c r="H45" i="69" s="1"/>
  <c r="F46" i="28"/>
  <c r="H46" i="28" s="1"/>
  <c r="B46" i="28"/>
  <c r="E45" i="29"/>
  <c r="D45" i="29"/>
  <c r="E42" i="74"/>
  <c r="D42" i="74"/>
  <c r="B44" i="30"/>
  <c r="F44" i="30"/>
  <c r="G44" i="30" s="1"/>
  <c r="B43" i="3"/>
  <c r="F43" i="3"/>
  <c r="G43" i="3" s="1"/>
  <c r="E40" i="57"/>
  <c r="D40" i="57"/>
  <c r="H39" i="54"/>
  <c r="I39" i="54" s="1"/>
  <c r="G36" i="77"/>
  <c r="I36" i="77" s="1"/>
  <c r="D43" i="21"/>
  <c r="E43" i="21"/>
  <c r="H42" i="41"/>
  <c r="B45" i="31"/>
  <c r="F45" i="31"/>
  <c r="G41" i="74"/>
  <c r="I41" i="74" s="1"/>
  <c r="E44" i="32"/>
  <c r="D44" i="32"/>
  <c r="B35" i="83"/>
  <c r="F35" i="83"/>
  <c r="G35" i="83" s="1"/>
  <c r="B41" i="45"/>
  <c r="F41" i="45"/>
  <c r="H41" i="45" s="1"/>
  <c r="G42" i="41"/>
  <c r="E35" i="89"/>
  <c r="D35" i="89"/>
  <c r="E37" i="79"/>
  <c r="D37" i="79"/>
  <c r="G36" i="78"/>
  <c r="I36" i="78" s="1"/>
  <c r="E37" i="78"/>
  <c r="D37" i="78"/>
  <c r="G38" i="63"/>
  <c r="I38" i="63" s="1"/>
  <c r="E45" i="70"/>
  <c r="D45" i="70"/>
  <c r="H42" i="43"/>
  <c r="I42" i="43" s="1"/>
  <c r="E43" i="43"/>
  <c r="D43" i="43"/>
  <c r="B36" i="88"/>
  <c r="F36" i="88"/>
  <c r="G36" i="88" s="1"/>
  <c r="I35" i="33"/>
  <c r="E40" i="54"/>
  <c r="D40" i="54"/>
  <c r="D37" i="77"/>
  <c r="E37" i="77"/>
  <c r="B44" i="34"/>
  <c r="F44" i="34"/>
  <c r="F43" i="19"/>
  <c r="B43" i="19"/>
  <c r="F38" i="68"/>
  <c r="H38" i="68" s="1"/>
  <c r="B38" i="68"/>
  <c r="F39" i="56"/>
  <c r="B39" i="56"/>
  <c r="D35" i="92"/>
  <c r="E35" i="92"/>
  <c r="F39" i="64"/>
  <c r="H39" i="64" s="1"/>
  <c r="B39" i="64"/>
  <c r="D43" i="17"/>
  <c r="E43" i="17"/>
  <c r="J121" i="19"/>
  <c r="J121" i="34"/>
  <c r="J118" i="59"/>
  <c r="J118" i="58"/>
  <c r="J122" i="31"/>
  <c r="J113" i="84"/>
  <c r="J116" i="68"/>
  <c r="J122" i="32"/>
  <c r="J118" i="46"/>
  <c r="J123" i="70"/>
  <c r="J124" i="28"/>
  <c r="J115" i="78"/>
  <c r="J123" i="23"/>
  <c r="J116" i="67"/>
  <c r="J120" i="39"/>
  <c r="B38" i="62"/>
  <c r="F38" i="62"/>
  <c r="B42" i="20"/>
  <c r="F42" i="20"/>
  <c r="G42" i="20" s="1"/>
  <c r="J117" i="63"/>
  <c r="J118" i="53"/>
  <c r="I34" i="26"/>
  <c r="D44" i="18"/>
  <c r="E44" i="18"/>
  <c r="D39" i="59"/>
  <c r="E39" i="59"/>
  <c r="G52" i="35"/>
  <c r="B53" i="35"/>
  <c r="E53" i="35"/>
  <c r="F53" i="35" s="1"/>
  <c r="H52" i="35"/>
  <c r="J117" i="64"/>
  <c r="J121" i="20"/>
  <c r="J123" i="69"/>
  <c r="B35" i="87"/>
  <c r="F35" i="87"/>
  <c r="G35" i="87" s="1"/>
  <c r="G43" i="18"/>
  <c r="I43" i="18" s="1"/>
  <c r="B36" i="33"/>
  <c r="F36" i="33"/>
  <c r="G36" i="33" s="1"/>
  <c r="B34" i="13"/>
  <c r="F34" i="13"/>
  <c r="H34" i="13" s="1"/>
  <c r="B35" i="26"/>
  <c r="F35" i="26"/>
  <c r="G35" i="26" s="1"/>
  <c r="J120" i="44"/>
  <c r="D116" i="85"/>
  <c r="G115" i="85"/>
  <c r="E116" i="85"/>
  <c r="E120" i="53"/>
  <c r="D120" i="53"/>
  <c r="G119" i="53"/>
  <c r="D123" i="34"/>
  <c r="E123" i="34"/>
  <c r="G122" i="34"/>
  <c r="D119" i="60"/>
  <c r="E119" i="60"/>
  <c r="G118" i="60"/>
  <c r="E119" i="61"/>
  <c r="G118" i="61"/>
  <c r="D119" i="61"/>
  <c r="G122" i="19"/>
  <c r="D123" i="19"/>
  <c r="E123" i="19"/>
  <c r="G121" i="39"/>
  <c r="D122" i="39"/>
  <c r="E122" i="39"/>
  <c r="H114" i="91"/>
  <c r="I114" i="91"/>
  <c r="G119" i="46"/>
  <c r="E120" i="46"/>
  <c r="D120" i="46"/>
  <c r="J118" i="72"/>
  <c r="J119" i="74"/>
  <c r="J114" i="85"/>
  <c r="D125" i="29"/>
  <c r="G124" i="29"/>
  <c r="E125" i="29"/>
  <c r="I120" i="45"/>
  <c r="H120" i="45"/>
  <c r="F119" i="62"/>
  <c r="B119" i="62"/>
  <c r="E117" i="79"/>
  <c r="D117" i="79"/>
  <c r="G116" i="79"/>
  <c r="G117" i="68"/>
  <c r="E118" i="68"/>
  <c r="D118" i="68"/>
  <c r="G124" i="70"/>
  <c r="E125" i="70"/>
  <c r="D125" i="70"/>
  <c r="B116" i="81"/>
  <c r="F116" i="81"/>
  <c r="E119" i="63"/>
  <c r="G118" i="63"/>
  <c r="D119" i="63"/>
  <c r="G123" i="32"/>
  <c r="D124" i="32"/>
  <c r="E124" i="32"/>
  <c r="J117" i="60"/>
  <c r="E124" i="31"/>
  <c r="D124" i="31"/>
  <c r="G123" i="31"/>
  <c r="B123" i="22"/>
  <c r="F123" i="22"/>
  <c r="D125" i="69"/>
  <c r="G124" i="69"/>
  <c r="E125" i="69"/>
  <c r="E122" i="43"/>
  <c r="D122" i="43"/>
  <c r="G121" i="43"/>
  <c r="J113" i="88"/>
  <c r="J116" i="66"/>
  <c r="J123" i="30"/>
  <c r="J113" i="92"/>
  <c r="E118" i="66"/>
  <c r="D118" i="66"/>
  <c r="G117" i="66"/>
  <c r="I121" i="41"/>
  <c r="H121" i="41"/>
  <c r="I115" i="81"/>
  <c r="H115" i="81"/>
  <c r="B122" i="73"/>
  <c r="F122" i="73"/>
  <c r="D115" i="86"/>
  <c r="G114" i="86"/>
  <c r="E115" i="86"/>
  <c r="H114" i="89"/>
  <c r="I114" i="89"/>
  <c r="D120" i="72"/>
  <c r="E120" i="72"/>
  <c r="G119" i="72"/>
  <c r="E125" i="27"/>
  <c r="G124" i="27"/>
  <c r="D125" i="27"/>
  <c r="D115" i="92"/>
  <c r="E115" i="92"/>
  <c r="G114" i="92"/>
  <c r="D115" i="84"/>
  <c r="G114" i="84"/>
  <c r="E115" i="84"/>
  <c r="H122" i="22"/>
  <c r="I122" i="22"/>
  <c r="E119" i="64"/>
  <c r="G118" i="64"/>
  <c r="D119" i="64"/>
  <c r="D120" i="58"/>
  <c r="E120" i="58"/>
  <c r="G119" i="58"/>
  <c r="J117" i="61"/>
  <c r="J115" i="79"/>
  <c r="F121" i="45"/>
  <c r="B121" i="45"/>
  <c r="H118" i="62"/>
  <c r="I118" i="62"/>
  <c r="D115" i="88"/>
  <c r="G114" i="88"/>
  <c r="E115" i="88"/>
  <c r="D121" i="74"/>
  <c r="G120" i="74"/>
  <c r="E121" i="74"/>
  <c r="D125" i="30"/>
  <c r="G124" i="30"/>
  <c r="E125" i="30"/>
  <c r="B122" i="41"/>
  <c r="F122" i="41"/>
  <c r="I121" i="73"/>
  <c r="H121" i="73"/>
  <c r="F115" i="89"/>
  <c r="B115" i="89"/>
  <c r="J120" i="43"/>
  <c r="J123" i="29"/>
  <c r="B115" i="91"/>
  <c r="F115" i="91"/>
  <c r="E117" i="78"/>
  <c r="D117" i="78"/>
  <c r="G116" i="78"/>
  <c r="J113" i="90"/>
  <c r="G118" i="65"/>
  <c r="D119" i="65"/>
  <c r="E119" i="65"/>
  <c r="J113" i="86"/>
  <c r="D123" i="20"/>
  <c r="G122" i="20"/>
  <c r="E123" i="20"/>
  <c r="J123" i="27"/>
  <c r="E115" i="90"/>
  <c r="G114" i="90"/>
  <c r="D115" i="90"/>
  <c r="J117" i="65"/>
  <c r="J113" i="87"/>
  <c r="J122" i="17"/>
  <c r="J133" i="35"/>
  <c r="F121" i="56"/>
  <c r="B121" i="56"/>
  <c r="J122" i="18"/>
  <c r="D124" i="18"/>
  <c r="E124" i="18"/>
  <c r="G123" i="18"/>
  <c r="J114" i="95"/>
  <c r="J119" i="57"/>
  <c r="H120" i="56"/>
  <c r="I120" i="56"/>
  <c r="D120" i="59"/>
  <c r="G119" i="59"/>
  <c r="E120" i="59"/>
  <c r="D125" i="23"/>
  <c r="E125" i="23"/>
  <c r="G124" i="23"/>
  <c r="J113" i="96"/>
  <c r="G124" i="71"/>
  <c r="D125" i="71"/>
  <c r="E125" i="71"/>
  <c r="G120" i="57"/>
  <c r="D121" i="57"/>
  <c r="E121" i="57"/>
  <c r="J121" i="3"/>
  <c r="J114" i="82"/>
  <c r="J123" i="71"/>
  <c r="H122" i="21"/>
  <c r="I122" i="21"/>
  <c r="I119" i="54"/>
  <c r="H119" i="54"/>
  <c r="F120" i="55"/>
  <c r="B120" i="55"/>
  <c r="F116" i="80"/>
  <c r="B116" i="80"/>
  <c r="D122" i="44"/>
  <c r="G121" i="44"/>
  <c r="E122" i="44"/>
  <c r="F117" i="75"/>
  <c r="B117" i="75"/>
  <c r="D116" i="95"/>
  <c r="E116" i="95" s="1"/>
  <c r="G115" i="95"/>
  <c r="B124" i="24"/>
  <c r="F124" i="24"/>
  <c r="B114" i="13"/>
  <c r="B115" i="93"/>
  <c r="D115" i="87"/>
  <c r="G114" i="87"/>
  <c r="E115" i="87"/>
  <c r="H121" i="42"/>
  <c r="I121" i="42"/>
  <c r="E124" i="17"/>
  <c r="G123" i="17"/>
  <c r="D124" i="17"/>
  <c r="B120" i="54"/>
  <c r="F120" i="54"/>
  <c r="H119" i="55"/>
  <c r="I119" i="55"/>
  <c r="F117" i="77"/>
  <c r="B117" i="77"/>
  <c r="F116" i="83"/>
  <c r="B116" i="83"/>
  <c r="I113" i="13"/>
  <c r="H113" i="13"/>
  <c r="I114" i="93"/>
  <c r="H114" i="93"/>
  <c r="B114" i="33"/>
  <c r="F114" i="33"/>
  <c r="F123" i="21"/>
  <c r="B123" i="21"/>
  <c r="I116" i="76"/>
  <c r="H116" i="76"/>
  <c r="H115" i="80"/>
  <c r="I115" i="80"/>
  <c r="I116" i="75"/>
  <c r="H116" i="75"/>
  <c r="D123" i="3"/>
  <c r="G122" i="3"/>
  <c r="E123" i="3"/>
  <c r="G115" i="82"/>
  <c r="D116" i="82"/>
  <c r="E116" i="82"/>
  <c r="I115" i="83"/>
  <c r="H115" i="83"/>
  <c r="I123" i="24"/>
  <c r="H123" i="24"/>
  <c r="G117" i="67"/>
  <c r="D118" i="67"/>
  <c r="E118" i="67"/>
  <c r="G135" i="35"/>
  <c r="B136" i="35"/>
  <c r="E136" i="35"/>
  <c r="F136" i="35" s="1"/>
  <c r="D126" i="28"/>
  <c r="G125" i="28"/>
  <c r="E126" i="28"/>
  <c r="D115" i="96"/>
  <c r="E115" i="96" s="1"/>
  <c r="G114" i="96"/>
  <c r="I113" i="33"/>
  <c r="H113" i="33"/>
  <c r="B122" i="42"/>
  <c r="F122" i="42"/>
  <c r="F117" i="76"/>
  <c r="B117" i="76"/>
  <c r="I116" i="77"/>
  <c r="H116" i="77"/>
  <c r="E114" i="13"/>
  <c r="F114" i="13" s="1"/>
  <c r="H134" i="35"/>
  <c r="I134" i="35"/>
  <c r="E115" i="93"/>
  <c r="F115" i="93" s="1"/>
  <c r="F28" i="36"/>
  <c r="F96" i="36" l="1"/>
  <c r="G28" i="36"/>
  <c r="G96" i="36" s="1"/>
  <c r="R133" i="1"/>
  <c r="N20" i="1"/>
  <c r="O19" i="1"/>
  <c r="N20" i="2"/>
  <c r="I97" i="36"/>
  <c r="H34" i="25"/>
  <c r="G34" i="25"/>
  <c r="D35" i="25"/>
  <c r="J113" i="25"/>
  <c r="I33" i="98"/>
  <c r="J113" i="99"/>
  <c r="H34" i="95"/>
  <c r="I34" i="95" s="1"/>
  <c r="E39" i="97"/>
  <c r="F39" i="97" s="1"/>
  <c r="D40" i="97" s="1"/>
  <c r="B39" i="97"/>
  <c r="I35" i="99"/>
  <c r="H38" i="97"/>
  <c r="G38" i="97"/>
  <c r="F34" i="98"/>
  <c r="G34" i="98" s="1"/>
  <c r="B34" i="98"/>
  <c r="F36" i="99"/>
  <c r="G36" i="99" s="1"/>
  <c r="B36" i="99"/>
  <c r="D115" i="25"/>
  <c r="G114" i="25"/>
  <c r="E115" i="99"/>
  <c r="D115" i="99"/>
  <c r="G114" i="99"/>
  <c r="I35" i="84"/>
  <c r="I43" i="24"/>
  <c r="J114" i="26"/>
  <c r="B115" i="97"/>
  <c r="F115" i="97"/>
  <c r="H114" i="98"/>
  <c r="I114" i="98"/>
  <c r="I114" i="97"/>
  <c r="H114" i="97"/>
  <c r="F115" i="98"/>
  <c r="B115" i="98"/>
  <c r="G115" i="26"/>
  <c r="D116" i="26"/>
  <c r="F39" i="67"/>
  <c r="G39" i="67" s="1"/>
  <c r="B39" i="67"/>
  <c r="B40" i="46"/>
  <c r="F40" i="46"/>
  <c r="G40" i="46" s="1"/>
  <c r="F44" i="24"/>
  <c r="H44" i="24" s="1"/>
  <c r="B44" i="24"/>
  <c r="I35" i="91"/>
  <c r="E38" i="82"/>
  <c r="D38" i="82"/>
  <c r="F35" i="94"/>
  <c r="G35" i="94" s="1"/>
  <c r="B35" i="94"/>
  <c r="H35" i="26"/>
  <c r="I35" i="26" s="1"/>
  <c r="F34" i="93"/>
  <c r="H34" i="93" s="1"/>
  <c r="B34" i="93"/>
  <c r="H36" i="88"/>
  <c r="I36" i="88" s="1"/>
  <c r="H37" i="82"/>
  <c r="I37" i="82" s="1"/>
  <c r="H36" i="86"/>
  <c r="D37" i="86"/>
  <c r="G36" i="86"/>
  <c r="E37" i="86"/>
  <c r="B37" i="80"/>
  <c r="F37" i="80"/>
  <c r="G37" i="80" s="1"/>
  <c r="F40" i="53"/>
  <c r="G40" i="53" s="1"/>
  <c r="B40" i="53"/>
  <c r="D39" i="65"/>
  <c r="E39" i="65"/>
  <c r="F36" i="84"/>
  <c r="H36" i="84" s="1"/>
  <c r="B36" i="84"/>
  <c r="D42" i="55"/>
  <c r="E42" i="55"/>
  <c r="F45" i="23"/>
  <c r="H45" i="23" s="1"/>
  <c r="B45" i="23"/>
  <c r="E115" i="94"/>
  <c r="F115" i="94" s="1"/>
  <c r="B115" i="94"/>
  <c r="B39" i="66"/>
  <c r="F39" i="66"/>
  <c r="H39" i="66" s="1"/>
  <c r="B36" i="91"/>
  <c r="F36" i="91"/>
  <c r="G36" i="91" s="1"/>
  <c r="H38" i="65"/>
  <c r="E38" i="75"/>
  <c r="D38" i="75"/>
  <c r="E43" i="42"/>
  <c r="D43" i="42"/>
  <c r="H114" i="94"/>
  <c r="I114" i="94"/>
  <c r="B37" i="90"/>
  <c r="F37" i="90"/>
  <c r="G38" i="65"/>
  <c r="G41" i="58"/>
  <c r="H41" i="58"/>
  <c r="E42" i="58"/>
  <c r="D42" i="58"/>
  <c r="H37" i="75"/>
  <c r="I37" i="75" s="1"/>
  <c r="H42" i="42"/>
  <c r="I42" i="42" s="1"/>
  <c r="H41" i="55"/>
  <c r="I41" i="55" s="1"/>
  <c r="H35" i="87"/>
  <c r="I35" i="87" s="1"/>
  <c r="F34" i="96"/>
  <c r="B34" i="96"/>
  <c r="I44" i="27"/>
  <c r="F37" i="76"/>
  <c r="H37" i="76" s="1"/>
  <c r="B37" i="76"/>
  <c r="F43" i="22"/>
  <c r="B43" i="22"/>
  <c r="B39" i="61"/>
  <c r="F39" i="61"/>
  <c r="G39" i="61" s="1"/>
  <c r="H36" i="85"/>
  <c r="I36" i="85" s="1"/>
  <c r="E37" i="85"/>
  <c r="D37" i="85"/>
  <c r="H35" i="83"/>
  <c r="I35" i="83" s="1"/>
  <c r="G46" i="28"/>
  <c r="I46" i="28" s="1"/>
  <c r="B36" i="81"/>
  <c r="F36" i="81"/>
  <c r="G36" i="81" s="1"/>
  <c r="H40" i="72"/>
  <c r="I40" i="72" s="1"/>
  <c r="D41" i="72"/>
  <c r="E41" i="72"/>
  <c r="G42" i="39"/>
  <c r="I42" i="39" s="1"/>
  <c r="E43" i="39"/>
  <c r="D43" i="39"/>
  <c r="F45" i="27"/>
  <c r="B45" i="27"/>
  <c r="F42" i="44"/>
  <c r="H42" i="44" s="1"/>
  <c r="B42" i="44"/>
  <c r="E35" i="95"/>
  <c r="D35" i="95"/>
  <c r="H39" i="56"/>
  <c r="E40" i="56"/>
  <c r="D40" i="56"/>
  <c r="F37" i="78"/>
  <c r="G37" i="78" s="1"/>
  <c r="B37" i="78"/>
  <c r="D46" i="31"/>
  <c r="E46" i="31"/>
  <c r="B43" i="21"/>
  <c r="F43" i="21"/>
  <c r="H43" i="21" s="1"/>
  <c r="G34" i="13"/>
  <c r="I34" i="13" s="1"/>
  <c r="B35" i="92"/>
  <c r="F35" i="92"/>
  <c r="H35" i="92" s="1"/>
  <c r="E44" i="19"/>
  <c r="D44" i="19"/>
  <c r="F43" i="43"/>
  <c r="H43" i="43" s="1"/>
  <c r="B43" i="43"/>
  <c r="B35" i="89"/>
  <c r="F35" i="89"/>
  <c r="G35" i="89" s="1"/>
  <c r="G41" i="45"/>
  <c r="I41" i="45" s="1"/>
  <c r="E42" i="45"/>
  <c r="D42" i="45"/>
  <c r="D36" i="83"/>
  <c r="E36" i="83"/>
  <c r="H45" i="31"/>
  <c r="E46" i="69"/>
  <c r="D46" i="69"/>
  <c r="D45" i="71"/>
  <c r="E45" i="71"/>
  <c r="B43" i="41"/>
  <c r="F43" i="41"/>
  <c r="H44" i="34"/>
  <c r="D45" i="34"/>
  <c r="E45" i="34"/>
  <c r="F42" i="74"/>
  <c r="H42" i="74" s="1"/>
  <c r="B42" i="74"/>
  <c r="H42" i="20"/>
  <c r="I42" i="20" s="1"/>
  <c r="F43" i="17"/>
  <c r="B43" i="17"/>
  <c r="C52" i="17"/>
  <c r="G43" i="19"/>
  <c r="G44" i="34"/>
  <c r="E37" i="88"/>
  <c r="D37" i="88"/>
  <c r="G45" i="31"/>
  <c r="I42" i="41"/>
  <c r="D44" i="3"/>
  <c r="E44" i="3" s="1"/>
  <c r="H44" i="30"/>
  <c r="I44" i="30" s="1"/>
  <c r="E45" i="30"/>
  <c r="D45" i="30"/>
  <c r="B45" i="29"/>
  <c r="F45" i="29"/>
  <c r="F39" i="63"/>
  <c r="H39" i="63" s="1"/>
  <c r="B39" i="63"/>
  <c r="F40" i="54"/>
  <c r="H40" i="54" s="1"/>
  <c r="B40" i="54"/>
  <c r="F45" i="70"/>
  <c r="H45" i="70" s="1"/>
  <c r="B45" i="70"/>
  <c r="B39" i="60"/>
  <c r="F39" i="60"/>
  <c r="H39" i="60" s="1"/>
  <c r="G39" i="64"/>
  <c r="I39" i="64" s="1"/>
  <c r="E40" i="64"/>
  <c r="D40" i="64"/>
  <c r="G39" i="56"/>
  <c r="G38" i="68"/>
  <c r="I38" i="68" s="1"/>
  <c r="D39" i="68"/>
  <c r="E39" i="68"/>
  <c r="H43" i="19"/>
  <c r="B37" i="77"/>
  <c r="F37" i="77"/>
  <c r="H37" i="77" s="1"/>
  <c r="B37" i="79"/>
  <c r="F37" i="79"/>
  <c r="G37" i="79" s="1"/>
  <c r="F44" i="32"/>
  <c r="B44" i="32"/>
  <c r="B40" i="57"/>
  <c r="F40" i="57"/>
  <c r="H40" i="57" s="1"/>
  <c r="H43" i="3"/>
  <c r="I43" i="3" s="1"/>
  <c r="E47" i="28"/>
  <c r="D47" i="28"/>
  <c r="G45" i="69"/>
  <c r="I45" i="69" s="1"/>
  <c r="H44" i="71"/>
  <c r="I44" i="71" s="1"/>
  <c r="B42" i="73"/>
  <c r="F42" i="73"/>
  <c r="H42" i="73" s="1"/>
  <c r="J121" i="73"/>
  <c r="J114" i="91"/>
  <c r="J120" i="45"/>
  <c r="J114" i="89"/>
  <c r="J121" i="41"/>
  <c r="E36" i="87"/>
  <c r="D36" i="87"/>
  <c r="I52" i="35"/>
  <c r="F39" i="59"/>
  <c r="B39" i="59"/>
  <c r="D39" i="62"/>
  <c r="E39" i="62"/>
  <c r="H36" i="33"/>
  <c r="I36" i="33" s="1"/>
  <c r="B54" i="35"/>
  <c r="H53" i="35"/>
  <c r="G53" i="35"/>
  <c r="E54" i="35"/>
  <c r="F54" i="35" s="1"/>
  <c r="J120" i="56"/>
  <c r="D36" i="26"/>
  <c r="E36" i="26" s="1"/>
  <c r="D35" i="13"/>
  <c r="B44" i="18"/>
  <c r="F44" i="18"/>
  <c r="H44" i="18" s="1"/>
  <c r="E43" i="20"/>
  <c r="D43" i="20"/>
  <c r="G38" i="62"/>
  <c r="D37" i="33"/>
  <c r="E37" i="33" s="1"/>
  <c r="H38" i="62"/>
  <c r="E116" i="91"/>
  <c r="D116" i="91"/>
  <c r="G115" i="91"/>
  <c r="G122" i="41"/>
  <c r="D123" i="41"/>
  <c r="E123" i="41"/>
  <c r="B125" i="30"/>
  <c r="F125" i="30"/>
  <c r="F119" i="64"/>
  <c r="B119" i="64"/>
  <c r="J122" i="22"/>
  <c r="B115" i="84"/>
  <c r="F115" i="84"/>
  <c r="B125" i="27"/>
  <c r="F125" i="27"/>
  <c r="H121" i="43"/>
  <c r="I121" i="43"/>
  <c r="I124" i="69"/>
  <c r="H124" i="69"/>
  <c r="H123" i="31"/>
  <c r="I123" i="31"/>
  <c r="H118" i="63"/>
  <c r="I118" i="63"/>
  <c r="B125" i="70"/>
  <c r="F125" i="70"/>
  <c r="I121" i="39"/>
  <c r="H121" i="39"/>
  <c r="B119" i="61"/>
  <c r="F119" i="61"/>
  <c r="B123" i="34"/>
  <c r="F123" i="34"/>
  <c r="B115" i="90"/>
  <c r="F115" i="90"/>
  <c r="I116" i="78"/>
  <c r="H116" i="78"/>
  <c r="D116" i="89"/>
  <c r="G115" i="89"/>
  <c r="E116" i="89"/>
  <c r="I114" i="88"/>
  <c r="H114" i="88"/>
  <c r="I119" i="58"/>
  <c r="H119" i="58"/>
  <c r="I118" i="64"/>
  <c r="H118" i="64"/>
  <c r="H114" i="92"/>
  <c r="I114" i="92"/>
  <c r="H124" i="27"/>
  <c r="I124" i="27"/>
  <c r="B120" i="72"/>
  <c r="F120" i="72"/>
  <c r="I114" i="86"/>
  <c r="H114" i="86"/>
  <c r="H117" i="66"/>
  <c r="I117" i="66"/>
  <c r="B122" i="43"/>
  <c r="F122" i="43"/>
  <c r="F125" i="69"/>
  <c r="B125" i="69"/>
  <c r="F124" i="31"/>
  <c r="B124" i="31"/>
  <c r="B124" i="32"/>
  <c r="F124" i="32"/>
  <c r="I117" i="68"/>
  <c r="H117" i="68"/>
  <c r="B120" i="46"/>
  <c r="F120" i="46"/>
  <c r="I118" i="61"/>
  <c r="H118" i="61"/>
  <c r="F119" i="60"/>
  <c r="B119" i="60"/>
  <c r="I119" i="53"/>
  <c r="H119" i="53"/>
  <c r="H115" i="85"/>
  <c r="I115" i="85"/>
  <c r="H114" i="90"/>
  <c r="I114" i="90"/>
  <c r="I122" i="20"/>
  <c r="H122" i="20"/>
  <c r="F119" i="65"/>
  <c r="B119" i="65"/>
  <c r="F117" i="78"/>
  <c r="B117" i="78"/>
  <c r="H120" i="74"/>
  <c r="I120" i="74"/>
  <c r="F115" i="88"/>
  <c r="B115" i="88"/>
  <c r="E122" i="45"/>
  <c r="G121" i="45"/>
  <c r="D122" i="45"/>
  <c r="B115" i="86"/>
  <c r="F115" i="86"/>
  <c r="J115" i="81"/>
  <c r="F118" i="66"/>
  <c r="B118" i="66"/>
  <c r="E124" i="22"/>
  <c r="D124" i="22"/>
  <c r="G123" i="22"/>
  <c r="H123" i="32"/>
  <c r="I123" i="32"/>
  <c r="E117" i="81"/>
  <c r="D117" i="81"/>
  <c r="G116" i="81"/>
  <c r="H124" i="70"/>
  <c r="I124" i="70"/>
  <c r="I116" i="79"/>
  <c r="H116" i="79"/>
  <c r="G119" i="62"/>
  <c r="D120" i="62"/>
  <c r="E120" i="62"/>
  <c r="I124" i="29"/>
  <c r="H124" i="29"/>
  <c r="B123" i="19"/>
  <c r="F123" i="19"/>
  <c r="I122" i="34"/>
  <c r="H122" i="34"/>
  <c r="B120" i="53"/>
  <c r="F120" i="53"/>
  <c r="B116" i="85"/>
  <c r="F116" i="85"/>
  <c r="J116" i="75"/>
  <c r="F123" i="20"/>
  <c r="B123" i="20"/>
  <c r="H118" i="65"/>
  <c r="I118" i="65"/>
  <c r="I124" i="30"/>
  <c r="H124" i="30"/>
  <c r="B121" i="74"/>
  <c r="F121" i="74"/>
  <c r="J118" i="62"/>
  <c r="F120" i="58"/>
  <c r="B120" i="58"/>
  <c r="I114" i="84"/>
  <c r="H114" i="84"/>
  <c r="B115" i="92"/>
  <c r="F115" i="92"/>
  <c r="H119" i="72"/>
  <c r="I119" i="72"/>
  <c r="D123" i="73"/>
  <c r="G122" i="73"/>
  <c r="E123" i="73"/>
  <c r="B119" i="63"/>
  <c r="F119" i="63"/>
  <c r="B118" i="68"/>
  <c r="F118" i="68"/>
  <c r="B117" i="79"/>
  <c r="F117" i="79"/>
  <c r="B125" i="29"/>
  <c r="F125" i="29"/>
  <c r="I119" i="46"/>
  <c r="H119" i="46"/>
  <c r="F122" i="39"/>
  <c r="B122" i="39"/>
  <c r="I122" i="19"/>
  <c r="H122" i="19"/>
  <c r="H118" i="60"/>
  <c r="I118" i="60"/>
  <c r="J113" i="13"/>
  <c r="F125" i="23"/>
  <c r="B125" i="23"/>
  <c r="B120" i="59"/>
  <c r="F120" i="59"/>
  <c r="E122" i="56"/>
  <c r="D122" i="56"/>
  <c r="G121" i="56"/>
  <c r="I123" i="18"/>
  <c r="H123" i="18"/>
  <c r="H124" i="23"/>
  <c r="I124" i="23"/>
  <c r="I119" i="59"/>
  <c r="H119" i="59"/>
  <c r="F124" i="18"/>
  <c r="B124" i="18"/>
  <c r="H124" i="71"/>
  <c r="I124" i="71"/>
  <c r="J115" i="80"/>
  <c r="J121" i="42"/>
  <c r="F121" i="57"/>
  <c r="B121" i="57"/>
  <c r="J113" i="33"/>
  <c r="H120" i="57"/>
  <c r="I120" i="57"/>
  <c r="B125" i="71"/>
  <c r="F125" i="71"/>
  <c r="G115" i="93"/>
  <c r="D116" i="93"/>
  <c r="G114" i="13"/>
  <c r="D115" i="13"/>
  <c r="E115" i="13" s="1"/>
  <c r="J134" i="35"/>
  <c r="B115" i="96"/>
  <c r="F115" i="96"/>
  <c r="H125" i="28"/>
  <c r="I125" i="28"/>
  <c r="I135" i="35"/>
  <c r="H135" i="35"/>
  <c r="H115" i="82"/>
  <c r="I115" i="82"/>
  <c r="H122" i="3"/>
  <c r="I122" i="3"/>
  <c r="D115" i="33"/>
  <c r="E115" i="33" s="1"/>
  <c r="G114" i="33"/>
  <c r="G116" i="83"/>
  <c r="E117" i="83"/>
  <c r="D117" i="83"/>
  <c r="D118" i="77"/>
  <c r="E118" i="77"/>
  <c r="G117" i="77"/>
  <c r="E121" i="55"/>
  <c r="D121" i="55"/>
  <c r="G120" i="55"/>
  <c r="B126" i="28"/>
  <c r="F126" i="28"/>
  <c r="B118" i="67"/>
  <c r="F118" i="67"/>
  <c r="J115" i="83"/>
  <c r="F123" i="3"/>
  <c r="B123" i="3"/>
  <c r="D124" i="21"/>
  <c r="G123" i="21"/>
  <c r="E124" i="21"/>
  <c r="J119" i="55"/>
  <c r="H115" i="95"/>
  <c r="I115" i="95"/>
  <c r="G116" i="80"/>
  <c r="D117" i="80"/>
  <c r="E117" i="80"/>
  <c r="J119" i="54"/>
  <c r="D123" i="42"/>
  <c r="E123" i="42"/>
  <c r="G122" i="42"/>
  <c r="H114" i="96"/>
  <c r="I114" i="96"/>
  <c r="E137" i="35"/>
  <c r="F137" i="35" s="1"/>
  <c r="B137" i="35"/>
  <c r="G136" i="35"/>
  <c r="I117" i="67"/>
  <c r="H117" i="67"/>
  <c r="G120" i="54"/>
  <c r="E121" i="54"/>
  <c r="D121" i="54"/>
  <c r="B124" i="17"/>
  <c r="F124" i="17"/>
  <c r="I114" i="87"/>
  <c r="H114" i="87"/>
  <c r="E125" i="24"/>
  <c r="D125" i="24"/>
  <c r="G124" i="24"/>
  <c r="E118" i="75"/>
  <c r="D118" i="75"/>
  <c r="G117" i="75"/>
  <c r="I121" i="44"/>
  <c r="H121" i="44"/>
  <c r="J116" i="77"/>
  <c r="G117" i="76"/>
  <c r="D118" i="76"/>
  <c r="E118" i="76"/>
  <c r="J123" i="24"/>
  <c r="B116" i="82"/>
  <c r="F116" i="82"/>
  <c r="J116" i="76"/>
  <c r="J114" i="93"/>
  <c r="I123" i="17"/>
  <c r="H123" i="17"/>
  <c r="B115" i="87"/>
  <c r="F115" i="87"/>
  <c r="B116" i="95"/>
  <c r="F116" i="95"/>
  <c r="B122" i="44"/>
  <c r="F122" i="44"/>
  <c r="J122" i="21"/>
  <c r="R134" i="1" l="1"/>
  <c r="O20" i="1"/>
  <c r="B35" i="25"/>
  <c r="E35" i="25"/>
  <c r="F35" i="25" s="1"/>
  <c r="I34" i="25"/>
  <c r="I43" i="19"/>
  <c r="H36" i="99"/>
  <c r="I36" i="99" s="1"/>
  <c r="H34" i="98"/>
  <c r="I34" i="98" s="1"/>
  <c r="G39" i="97"/>
  <c r="I38" i="97"/>
  <c r="E40" i="97"/>
  <c r="F40" i="97" s="1"/>
  <c r="D41" i="97" s="1"/>
  <c r="B40" i="97"/>
  <c r="D37" i="99"/>
  <c r="E37" i="99"/>
  <c r="D35" i="98"/>
  <c r="E35" i="98"/>
  <c r="H39" i="97"/>
  <c r="I114" i="25"/>
  <c r="H114" i="25"/>
  <c r="E115" i="25"/>
  <c r="F115" i="25" s="1"/>
  <c r="B115" i="25"/>
  <c r="H114" i="99"/>
  <c r="I114" i="99"/>
  <c r="F115" i="99"/>
  <c r="B115" i="99"/>
  <c r="I38" i="65"/>
  <c r="J114" i="97"/>
  <c r="J114" i="98"/>
  <c r="D116" i="98"/>
  <c r="G115" i="98"/>
  <c r="E116" i="98"/>
  <c r="B116" i="26"/>
  <c r="E116" i="26"/>
  <c r="F116" i="26" s="1"/>
  <c r="D116" i="97"/>
  <c r="E116" i="97" s="1"/>
  <c r="G115" i="97"/>
  <c r="H115" i="26"/>
  <c r="I115" i="26"/>
  <c r="G35" i="92"/>
  <c r="I35" i="92" s="1"/>
  <c r="G37" i="76"/>
  <c r="I37" i="76" s="1"/>
  <c r="G42" i="74"/>
  <c r="I42" i="74" s="1"/>
  <c r="H39" i="67"/>
  <c r="I39" i="67" s="1"/>
  <c r="E40" i="67"/>
  <c r="D40" i="67"/>
  <c r="I41" i="58"/>
  <c r="H40" i="46"/>
  <c r="I40" i="46" s="1"/>
  <c r="E41" i="46"/>
  <c r="D41" i="46"/>
  <c r="G44" i="24"/>
  <c r="I44" i="24" s="1"/>
  <c r="D45" i="24"/>
  <c r="E45" i="24"/>
  <c r="G44" i="18"/>
  <c r="I44" i="18" s="1"/>
  <c r="J114" i="94"/>
  <c r="D36" i="94"/>
  <c r="E36" i="94"/>
  <c r="H37" i="80"/>
  <c r="I37" i="80" s="1"/>
  <c r="E38" i="80"/>
  <c r="D38" i="80"/>
  <c r="F37" i="86"/>
  <c r="G37" i="86" s="1"/>
  <c r="B37" i="86"/>
  <c r="B38" i="82"/>
  <c r="F38" i="82"/>
  <c r="G40" i="57"/>
  <c r="I40" i="57" s="1"/>
  <c r="I36" i="86"/>
  <c r="H35" i="94"/>
  <c r="I35" i="94" s="1"/>
  <c r="G34" i="93"/>
  <c r="I34" i="93" s="1"/>
  <c r="E35" i="93"/>
  <c r="D35" i="93"/>
  <c r="F38" i="75"/>
  <c r="H38" i="75" s="1"/>
  <c r="B38" i="75"/>
  <c r="D116" i="94"/>
  <c r="B116" i="94" s="1"/>
  <c r="G115" i="94"/>
  <c r="G45" i="23"/>
  <c r="I45" i="23" s="1"/>
  <c r="D46" i="23"/>
  <c r="E46" i="23" s="1"/>
  <c r="D38" i="90"/>
  <c r="E38" i="90"/>
  <c r="E116" i="94"/>
  <c r="H37" i="90"/>
  <c r="F43" i="42"/>
  <c r="H43" i="42" s="1"/>
  <c r="B43" i="42"/>
  <c r="G39" i="66"/>
  <c r="I39" i="66" s="1"/>
  <c r="D40" i="66"/>
  <c r="E40" i="66"/>
  <c r="B42" i="55"/>
  <c r="F42" i="55"/>
  <c r="H42" i="55" s="1"/>
  <c r="E37" i="84"/>
  <c r="D37" i="84"/>
  <c r="F39" i="65"/>
  <c r="H39" i="65" s="1"/>
  <c r="B39" i="65"/>
  <c r="B42" i="58"/>
  <c r="F42" i="58"/>
  <c r="G37" i="90"/>
  <c r="H36" i="91"/>
  <c r="I36" i="91" s="1"/>
  <c r="D37" i="91"/>
  <c r="E37" i="91"/>
  <c r="G36" i="84"/>
  <c r="I36" i="84" s="1"/>
  <c r="H40" i="53"/>
  <c r="I40" i="53" s="1"/>
  <c r="D41" i="53"/>
  <c r="E41" i="53"/>
  <c r="D43" i="44"/>
  <c r="E43" i="44"/>
  <c r="E44" i="22"/>
  <c r="D44" i="22"/>
  <c r="E35" i="96"/>
  <c r="D35" i="96"/>
  <c r="I38" i="62"/>
  <c r="G45" i="70"/>
  <c r="I45" i="70" s="1"/>
  <c r="G40" i="54"/>
  <c r="I40" i="54" s="1"/>
  <c r="H35" i="89"/>
  <c r="I35" i="89" s="1"/>
  <c r="G42" i="44"/>
  <c r="I42" i="44" s="1"/>
  <c r="G34" i="96"/>
  <c r="H45" i="27"/>
  <c r="D46" i="27"/>
  <c r="E46" i="27"/>
  <c r="G45" i="27"/>
  <c r="H36" i="81"/>
  <c r="I36" i="81" s="1"/>
  <c r="D37" i="81"/>
  <c r="E37" i="81"/>
  <c r="H39" i="61"/>
  <c r="I39" i="61" s="1"/>
  <c r="D40" i="61"/>
  <c r="E40" i="61"/>
  <c r="H43" i="22"/>
  <c r="F35" i="95"/>
  <c r="B35" i="95"/>
  <c r="B43" i="39"/>
  <c r="F43" i="39"/>
  <c r="G43" i="39" s="1"/>
  <c r="B41" i="72"/>
  <c r="F41" i="72"/>
  <c r="G41" i="72" s="1"/>
  <c r="B37" i="85"/>
  <c r="F37" i="85"/>
  <c r="G43" i="22"/>
  <c r="E38" i="76"/>
  <c r="D38" i="76"/>
  <c r="H34" i="96"/>
  <c r="G42" i="73"/>
  <c r="I42" i="73" s="1"/>
  <c r="G39" i="60"/>
  <c r="I39" i="60" s="1"/>
  <c r="H45" i="29"/>
  <c r="D46" i="29"/>
  <c r="E46" i="29"/>
  <c r="H43" i="17"/>
  <c r="E44" i="17"/>
  <c r="D44" i="17"/>
  <c r="E44" i="41"/>
  <c r="D44" i="41"/>
  <c r="B45" i="71"/>
  <c r="F45" i="71"/>
  <c r="B42" i="45"/>
  <c r="F42" i="45"/>
  <c r="H42" i="45" s="1"/>
  <c r="I39" i="56"/>
  <c r="E41" i="57"/>
  <c r="D41" i="57"/>
  <c r="H44" i="32"/>
  <c r="E45" i="32"/>
  <c r="D45" i="32"/>
  <c r="D38" i="79"/>
  <c r="E38" i="79"/>
  <c r="F40" i="64"/>
  <c r="G40" i="64" s="1"/>
  <c r="B40" i="64"/>
  <c r="F37" i="88"/>
  <c r="H37" i="88" s="1"/>
  <c r="B37" i="88"/>
  <c r="G43" i="17"/>
  <c r="F46" i="69"/>
  <c r="B46" i="69"/>
  <c r="I45" i="31"/>
  <c r="F46" i="31"/>
  <c r="H46" i="31" s="1"/>
  <c r="B46" i="31"/>
  <c r="D43" i="73"/>
  <c r="E43" i="73"/>
  <c r="F39" i="68"/>
  <c r="H39" i="68" s="1"/>
  <c r="B39" i="68"/>
  <c r="E40" i="60"/>
  <c r="D40" i="60"/>
  <c r="G39" i="63"/>
  <c r="I39" i="63" s="1"/>
  <c r="E40" i="63"/>
  <c r="D40" i="63"/>
  <c r="B45" i="30"/>
  <c r="F45" i="30"/>
  <c r="G45" i="30" s="1"/>
  <c r="B44" i="3"/>
  <c r="F44" i="3"/>
  <c r="G44" i="3" s="1"/>
  <c r="D43" i="74"/>
  <c r="E43" i="74"/>
  <c r="F45" i="34"/>
  <c r="H45" i="34" s="1"/>
  <c r="B45" i="34"/>
  <c r="H43" i="41"/>
  <c r="G43" i="43"/>
  <c r="I43" i="43" s="1"/>
  <c r="E44" i="43"/>
  <c r="D44" i="43"/>
  <c r="D36" i="92"/>
  <c r="E36" i="92"/>
  <c r="G43" i="21"/>
  <c r="I43" i="21" s="1"/>
  <c r="E44" i="21"/>
  <c r="D44" i="21"/>
  <c r="D38" i="78"/>
  <c r="E38" i="78"/>
  <c r="B40" i="56"/>
  <c r="F40" i="56"/>
  <c r="H40" i="56" s="1"/>
  <c r="B47" i="28"/>
  <c r="F47" i="28"/>
  <c r="H47" i="28" s="1"/>
  <c r="G44" i="32"/>
  <c r="H37" i="79"/>
  <c r="I37" i="79" s="1"/>
  <c r="G37" i="77"/>
  <c r="I37" i="77" s="1"/>
  <c r="D38" i="77"/>
  <c r="E38" i="77"/>
  <c r="D46" i="70"/>
  <c r="E46" i="70"/>
  <c r="D41" i="54"/>
  <c r="E41" i="54"/>
  <c r="G45" i="29"/>
  <c r="I44" i="34"/>
  <c r="G43" i="41"/>
  <c r="B36" i="83"/>
  <c r="F36" i="83"/>
  <c r="G36" i="83" s="1"/>
  <c r="E36" i="89"/>
  <c r="D36" i="89"/>
  <c r="B44" i="19"/>
  <c r="F44" i="19"/>
  <c r="G44" i="19" s="1"/>
  <c r="H37" i="78"/>
  <c r="I37" i="78" s="1"/>
  <c r="J115" i="85"/>
  <c r="J114" i="92"/>
  <c r="J114" i="96"/>
  <c r="J117" i="66"/>
  <c r="J114" i="84"/>
  <c r="J125" i="28"/>
  <c r="B35" i="13"/>
  <c r="E40" i="59"/>
  <c r="D40" i="59"/>
  <c r="J119" i="59"/>
  <c r="J123" i="18"/>
  <c r="J122" i="34"/>
  <c r="J124" i="29"/>
  <c r="J116" i="78"/>
  <c r="J121" i="39"/>
  <c r="J124" i="69"/>
  <c r="F37" i="33"/>
  <c r="B37" i="33"/>
  <c r="E45" i="18"/>
  <c r="D45" i="18"/>
  <c r="I53" i="35"/>
  <c r="H39" i="59"/>
  <c r="J122" i="19"/>
  <c r="J119" i="46"/>
  <c r="J116" i="79"/>
  <c r="B43" i="20"/>
  <c r="F43" i="20"/>
  <c r="B36" i="26"/>
  <c r="F36" i="26"/>
  <c r="H36" i="26" s="1"/>
  <c r="B39" i="62"/>
  <c r="F39" i="62"/>
  <c r="J118" i="65"/>
  <c r="J124" i="70"/>
  <c r="J120" i="74"/>
  <c r="J114" i="90"/>
  <c r="J124" i="27"/>
  <c r="E35" i="13"/>
  <c r="F35" i="13" s="1"/>
  <c r="H54" i="35"/>
  <c r="B55" i="35"/>
  <c r="G54" i="35"/>
  <c r="E55" i="35"/>
  <c r="F55" i="35" s="1"/>
  <c r="G39" i="59"/>
  <c r="B36" i="87"/>
  <c r="F36" i="87"/>
  <c r="G36" i="87" s="1"/>
  <c r="D123" i="39"/>
  <c r="G122" i="39"/>
  <c r="E123" i="39"/>
  <c r="D118" i="79"/>
  <c r="E118" i="79"/>
  <c r="G117" i="79"/>
  <c r="E120" i="63"/>
  <c r="D120" i="63"/>
  <c r="G119" i="63"/>
  <c r="B123" i="73"/>
  <c r="F123" i="73"/>
  <c r="E121" i="58"/>
  <c r="G120" i="58"/>
  <c r="D121" i="58"/>
  <c r="I116" i="81"/>
  <c r="H116" i="81"/>
  <c r="D121" i="46"/>
  <c r="E121" i="46"/>
  <c r="G120" i="46"/>
  <c r="D125" i="32"/>
  <c r="E125" i="32"/>
  <c r="G124" i="32"/>
  <c r="G120" i="72"/>
  <c r="E121" i="72"/>
  <c r="D121" i="72"/>
  <c r="G125" i="30"/>
  <c r="E126" i="30"/>
  <c r="D126" i="30"/>
  <c r="I122" i="41"/>
  <c r="H122" i="41"/>
  <c r="J119" i="72"/>
  <c r="J124" i="30"/>
  <c r="E124" i="20"/>
  <c r="D124" i="20"/>
  <c r="G123" i="20"/>
  <c r="E121" i="53"/>
  <c r="D121" i="53"/>
  <c r="G120" i="53"/>
  <c r="E124" i="19"/>
  <c r="G123" i="19"/>
  <c r="D124" i="19"/>
  <c r="F117" i="81"/>
  <c r="B117" i="81"/>
  <c r="H123" i="22"/>
  <c r="I123" i="22"/>
  <c r="E119" i="66"/>
  <c r="D119" i="66"/>
  <c r="G118" i="66"/>
  <c r="B122" i="45"/>
  <c r="F122" i="45"/>
  <c r="G115" i="88"/>
  <c r="E116" i="88"/>
  <c r="D116" i="88"/>
  <c r="D118" i="78"/>
  <c r="G117" i="78"/>
  <c r="E118" i="78"/>
  <c r="J122" i="20"/>
  <c r="E120" i="60"/>
  <c r="G119" i="60"/>
  <c r="D120" i="60"/>
  <c r="G125" i="69"/>
  <c r="E126" i="69"/>
  <c r="D126" i="69"/>
  <c r="J119" i="58"/>
  <c r="I115" i="89"/>
  <c r="H115" i="89"/>
  <c r="D116" i="90"/>
  <c r="G115" i="90"/>
  <c r="E116" i="90"/>
  <c r="E120" i="61"/>
  <c r="D120" i="61"/>
  <c r="G119" i="61"/>
  <c r="J118" i="63"/>
  <c r="D126" i="27"/>
  <c r="E126" i="27"/>
  <c r="G125" i="27"/>
  <c r="H115" i="91"/>
  <c r="I115" i="91"/>
  <c r="D126" i="29"/>
  <c r="E126" i="29"/>
  <c r="G125" i="29"/>
  <c r="G118" i="68"/>
  <c r="E119" i="68"/>
  <c r="D119" i="68"/>
  <c r="E122" i="74"/>
  <c r="D122" i="74"/>
  <c r="G121" i="74"/>
  <c r="B120" i="62"/>
  <c r="F120" i="62"/>
  <c r="B124" i="22"/>
  <c r="F124" i="22"/>
  <c r="I121" i="45"/>
  <c r="H121" i="45"/>
  <c r="D123" i="43"/>
  <c r="G122" i="43"/>
  <c r="E123" i="43"/>
  <c r="F116" i="89"/>
  <c r="B116" i="89"/>
  <c r="B116" i="91"/>
  <c r="F116" i="91"/>
  <c r="J118" i="60"/>
  <c r="H122" i="73"/>
  <c r="I122" i="73"/>
  <c r="G115" i="92"/>
  <c r="E116" i="92"/>
  <c r="D116" i="92"/>
  <c r="D117" i="85"/>
  <c r="E117" i="85"/>
  <c r="G116" i="85"/>
  <c r="H119" i="62"/>
  <c r="I119" i="62"/>
  <c r="J123" i="32"/>
  <c r="E116" i="86"/>
  <c r="D116" i="86"/>
  <c r="G115" i="86"/>
  <c r="D120" i="65"/>
  <c r="E120" i="65"/>
  <c r="G119" i="65"/>
  <c r="J119" i="53"/>
  <c r="J118" i="61"/>
  <c r="J117" i="68"/>
  <c r="D125" i="31"/>
  <c r="G124" i="31"/>
  <c r="E125" i="31"/>
  <c r="J114" i="86"/>
  <c r="J118" i="64"/>
  <c r="J114" i="88"/>
  <c r="D124" i="34"/>
  <c r="E124" i="34"/>
  <c r="G123" i="34"/>
  <c r="G125" i="70"/>
  <c r="D126" i="70"/>
  <c r="E126" i="70"/>
  <c r="J123" i="31"/>
  <c r="J121" i="43"/>
  <c r="D116" i="84"/>
  <c r="G115" i="84"/>
  <c r="E116" i="84"/>
  <c r="D120" i="64"/>
  <c r="G119" i="64"/>
  <c r="E120" i="64"/>
  <c r="F123" i="41"/>
  <c r="B123" i="41"/>
  <c r="J135" i="35"/>
  <c r="D125" i="18"/>
  <c r="G124" i="18"/>
  <c r="E125" i="18"/>
  <c r="E126" i="23"/>
  <c r="G125" i="23"/>
  <c r="D126" i="23"/>
  <c r="J122" i="3"/>
  <c r="J124" i="23"/>
  <c r="I121" i="56"/>
  <c r="H121" i="56"/>
  <c r="D121" i="59"/>
  <c r="E121" i="59"/>
  <c r="G120" i="59"/>
  <c r="B122" i="56"/>
  <c r="F122" i="56"/>
  <c r="E126" i="71"/>
  <c r="G125" i="71"/>
  <c r="D126" i="71"/>
  <c r="E122" i="57"/>
  <c r="G121" i="57"/>
  <c r="D122" i="57"/>
  <c r="J123" i="17"/>
  <c r="J121" i="44"/>
  <c r="J114" i="87"/>
  <c r="J117" i="67"/>
  <c r="J120" i="57"/>
  <c r="J124" i="71"/>
  <c r="B118" i="75"/>
  <c r="F118" i="75"/>
  <c r="B123" i="42"/>
  <c r="F123" i="42"/>
  <c r="H116" i="80"/>
  <c r="I116" i="80"/>
  <c r="B118" i="77"/>
  <c r="F118" i="77"/>
  <c r="I114" i="33"/>
  <c r="H114" i="33"/>
  <c r="D116" i="87"/>
  <c r="G115" i="87"/>
  <c r="E116" i="87"/>
  <c r="I124" i="24"/>
  <c r="H124" i="24"/>
  <c r="B121" i="54"/>
  <c r="F121" i="54"/>
  <c r="I136" i="35"/>
  <c r="H136" i="35"/>
  <c r="J115" i="95"/>
  <c r="G123" i="3"/>
  <c r="D124" i="3"/>
  <c r="E124" i="3"/>
  <c r="F117" i="83"/>
  <c r="B117" i="83"/>
  <c r="G115" i="96"/>
  <c r="D116" i="96"/>
  <c r="E116" i="96" s="1"/>
  <c r="B116" i="93"/>
  <c r="G122" i="44"/>
  <c r="D123" i="44"/>
  <c r="E123" i="44"/>
  <c r="B118" i="76"/>
  <c r="F118" i="76"/>
  <c r="B125" i="24"/>
  <c r="F125" i="24"/>
  <c r="H122" i="42"/>
  <c r="I122" i="42"/>
  <c r="H123" i="21"/>
  <c r="I123" i="21"/>
  <c r="D119" i="67"/>
  <c r="G118" i="67"/>
  <c r="E119" i="67"/>
  <c r="G126" i="28"/>
  <c r="D127" i="28"/>
  <c r="E127" i="28"/>
  <c r="H120" i="55"/>
  <c r="I120" i="55"/>
  <c r="I117" i="77"/>
  <c r="H117" i="77"/>
  <c r="F115" i="33"/>
  <c r="B115" i="33"/>
  <c r="J115" i="82"/>
  <c r="B115" i="13"/>
  <c r="F115" i="13"/>
  <c r="I115" i="93"/>
  <c r="H115" i="93"/>
  <c r="D117" i="95"/>
  <c r="E117" i="95" s="1"/>
  <c r="G116" i="95"/>
  <c r="D117" i="82"/>
  <c r="G116" i="82"/>
  <c r="E117" i="82"/>
  <c r="I117" i="76"/>
  <c r="H117" i="76"/>
  <c r="H117" i="75"/>
  <c r="I117" i="75"/>
  <c r="D125" i="17"/>
  <c r="G124" i="17"/>
  <c r="E125" i="17"/>
  <c r="H120" i="54"/>
  <c r="I120" i="54"/>
  <c r="B138" i="35"/>
  <c r="E138" i="35"/>
  <c r="F138" i="35" s="1"/>
  <c r="G137" i="35"/>
  <c r="F117" i="80"/>
  <c r="B117" i="80"/>
  <c r="B124" i="21"/>
  <c r="F124" i="21"/>
  <c r="F121" i="55"/>
  <c r="B121" i="55"/>
  <c r="I116" i="83"/>
  <c r="H116" i="83"/>
  <c r="I114" i="13"/>
  <c r="H114" i="13"/>
  <c r="E116" i="93"/>
  <c r="F116" i="93" s="1"/>
  <c r="D36" i="25" l="1"/>
  <c r="B36" i="25" s="1"/>
  <c r="G35" i="25"/>
  <c r="H35" i="25"/>
  <c r="I35" i="25" s="1"/>
  <c r="J114" i="99"/>
  <c r="I34" i="96"/>
  <c r="I39" i="97"/>
  <c r="G38" i="75"/>
  <c r="I38" i="75" s="1"/>
  <c r="I54" i="35"/>
  <c r="F37" i="99"/>
  <c r="D38" i="99" s="1"/>
  <c r="B37" i="99"/>
  <c r="E41" i="97"/>
  <c r="F41" i="97" s="1"/>
  <c r="D42" i="97" s="1"/>
  <c r="B41" i="97"/>
  <c r="H40" i="97"/>
  <c r="F35" i="98"/>
  <c r="H35" i="98" s="1"/>
  <c r="B35" i="98"/>
  <c r="G40" i="97"/>
  <c r="G115" i="25"/>
  <c r="D116" i="25"/>
  <c r="J115" i="26"/>
  <c r="J114" i="25"/>
  <c r="D116" i="99"/>
  <c r="G115" i="99"/>
  <c r="E116" i="99"/>
  <c r="I43" i="17"/>
  <c r="H115" i="97"/>
  <c r="I115" i="97"/>
  <c r="F116" i="94"/>
  <c r="B116" i="97"/>
  <c r="F116" i="97"/>
  <c r="H115" i="98"/>
  <c r="I115" i="98"/>
  <c r="G116" i="26"/>
  <c r="D117" i="26"/>
  <c r="F116" i="98"/>
  <c r="B116" i="98"/>
  <c r="B40" i="67"/>
  <c r="F40" i="67"/>
  <c r="G40" i="67" s="1"/>
  <c r="H40" i="64"/>
  <c r="I40" i="64" s="1"/>
  <c r="B41" i="46"/>
  <c r="F41" i="46"/>
  <c r="H41" i="46" s="1"/>
  <c r="F45" i="24"/>
  <c r="H45" i="24" s="1"/>
  <c r="B45" i="24"/>
  <c r="H44" i="19"/>
  <c r="I44" i="19" s="1"/>
  <c r="B38" i="80"/>
  <c r="F38" i="80"/>
  <c r="G38" i="80" s="1"/>
  <c r="F36" i="94"/>
  <c r="H36" i="94" s="1"/>
  <c r="B36" i="94"/>
  <c r="G39" i="65"/>
  <c r="I39" i="65" s="1"/>
  <c r="G38" i="82"/>
  <c r="E39" i="82"/>
  <c r="D39" i="82"/>
  <c r="G36" i="26"/>
  <c r="I36" i="26" s="1"/>
  <c r="G46" i="31"/>
  <c r="I46" i="31" s="1"/>
  <c r="H38" i="82"/>
  <c r="B35" i="93"/>
  <c r="F35" i="93"/>
  <c r="H35" i="93" s="1"/>
  <c r="E38" i="86"/>
  <c r="H37" i="86"/>
  <c r="I37" i="86" s="1"/>
  <c r="D38" i="86"/>
  <c r="G42" i="58"/>
  <c r="D43" i="58"/>
  <c r="H42" i="58"/>
  <c r="E43" i="58"/>
  <c r="B40" i="66"/>
  <c r="F40" i="66"/>
  <c r="H40" i="66" s="1"/>
  <c r="B41" i="53"/>
  <c r="F41" i="53"/>
  <c r="H41" i="53" s="1"/>
  <c r="B37" i="91"/>
  <c r="F37" i="91"/>
  <c r="D40" i="65"/>
  <c r="E40" i="65"/>
  <c r="G42" i="55"/>
  <c r="I42" i="55" s="1"/>
  <c r="D43" i="55"/>
  <c r="E43" i="55"/>
  <c r="E44" i="42"/>
  <c r="D44" i="42"/>
  <c r="I44" i="32"/>
  <c r="H43" i="39"/>
  <c r="I43" i="39" s="1"/>
  <c r="B37" i="84"/>
  <c r="F37" i="84"/>
  <c r="I37" i="90"/>
  <c r="B38" i="90"/>
  <c r="F38" i="90"/>
  <c r="I115" i="94"/>
  <c r="H115" i="94"/>
  <c r="H41" i="72"/>
  <c r="I41" i="72" s="1"/>
  <c r="I45" i="27"/>
  <c r="G43" i="42"/>
  <c r="I43" i="42" s="1"/>
  <c r="F46" i="23"/>
  <c r="B46" i="23"/>
  <c r="E39" i="75"/>
  <c r="D39" i="75"/>
  <c r="G37" i="85"/>
  <c r="D38" i="85"/>
  <c r="E38" i="85"/>
  <c r="H35" i="95"/>
  <c r="D36" i="95"/>
  <c r="E36" i="95"/>
  <c r="B37" i="81"/>
  <c r="F37" i="81"/>
  <c r="F44" i="22"/>
  <c r="G44" i="22" s="1"/>
  <c r="B44" i="22"/>
  <c r="G47" i="28"/>
  <c r="I47" i="28" s="1"/>
  <c r="G37" i="88"/>
  <c r="I37" i="88" s="1"/>
  <c r="I43" i="22"/>
  <c r="F40" i="61"/>
  <c r="H40" i="61" s="1"/>
  <c r="B40" i="61"/>
  <c r="F38" i="76"/>
  <c r="G38" i="76" s="1"/>
  <c r="B38" i="76"/>
  <c r="D42" i="72"/>
  <c r="E42" i="72"/>
  <c r="E44" i="39"/>
  <c r="D44" i="39"/>
  <c r="B46" i="27"/>
  <c r="F46" i="27"/>
  <c r="H37" i="85"/>
  <c r="G35" i="95"/>
  <c r="B35" i="96"/>
  <c r="F35" i="96"/>
  <c r="H35" i="96" s="1"/>
  <c r="B43" i="44"/>
  <c r="F43" i="44"/>
  <c r="I45" i="29"/>
  <c r="H36" i="83"/>
  <c r="I36" i="83" s="1"/>
  <c r="D37" i="83"/>
  <c r="E37" i="83"/>
  <c r="B46" i="70"/>
  <c r="F46" i="70"/>
  <c r="H46" i="70" s="1"/>
  <c r="B43" i="74"/>
  <c r="F43" i="74"/>
  <c r="G43" i="74" s="1"/>
  <c r="B40" i="60"/>
  <c r="F40" i="60"/>
  <c r="G40" i="60" s="1"/>
  <c r="H46" i="69"/>
  <c r="D47" i="69"/>
  <c r="E47" i="69"/>
  <c r="B45" i="32"/>
  <c r="F45" i="32"/>
  <c r="G45" i="32" s="1"/>
  <c r="G45" i="71"/>
  <c r="D46" i="71"/>
  <c r="E46" i="71"/>
  <c r="F44" i="17"/>
  <c r="H44" i="17" s="1"/>
  <c r="C53" i="17"/>
  <c r="B44" i="17"/>
  <c r="B46" i="29"/>
  <c r="F46" i="29"/>
  <c r="H46" i="29" s="1"/>
  <c r="F36" i="89"/>
  <c r="H36" i="89" s="1"/>
  <c r="B36" i="89"/>
  <c r="D46" i="34"/>
  <c r="E46" i="34" s="1"/>
  <c r="H45" i="30"/>
  <c r="I45" i="30" s="1"/>
  <c r="E46" i="30"/>
  <c r="D46" i="30"/>
  <c r="E40" i="68"/>
  <c r="D40" i="68"/>
  <c r="D47" i="31"/>
  <c r="E47" i="31"/>
  <c r="E38" i="88"/>
  <c r="D38" i="88"/>
  <c r="E41" i="64"/>
  <c r="D41" i="64"/>
  <c r="D45" i="19"/>
  <c r="E45" i="19"/>
  <c r="I43" i="41"/>
  <c r="B41" i="54"/>
  <c r="F41" i="54"/>
  <c r="H41" i="54" s="1"/>
  <c r="D48" i="28"/>
  <c r="E48" i="28" s="1"/>
  <c r="F38" i="78"/>
  <c r="G38" i="78" s="1"/>
  <c r="B38" i="78"/>
  <c r="G45" i="34"/>
  <c r="I45" i="34" s="1"/>
  <c r="H44" i="3"/>
  <c r="I44" i="3" s="1"/>
  <c r="D45" i="3"/>
  <c r="E45" i="3" s="1"/>
  <c r="G39" i="68"/>
  <c r="I39" i="68" s="1"/>
  <c r="G46" i="69"/>
  <c r="D43" i="45"/>
  <c r="E43" i="45"/>
  <c r="F44" i="41"/>
  <c r="B44" i="41"/>
  <c r="F38" i="77"/>
  <c r="B38" i="77"/>
  <c r="G40" i="56"/>
  <c r="I40" i="56" s="1"/>
  <c r="D41" i="56"/>
  <c r="E41" i="56"/>
  <c r="F44" i="21"/>
  <c r="B44" i="21"/>
  <c r="B36" i="92"/>
  <c r="F36" i="92"/>
  <c r="B44" i="43"/>
  <c r="F44" i="43"/>
  <c r="B40" i="63"/>
  <c r="F40" i="63"/>
  <c r="G40" i="63" s="1"/>
  <c r="B43" i="73"/>
  <c r="F43" i="73"/>
  <c r="G43" i="73" s="1"/>
  <c r="B38" i="79"/>
  <c r="F38" i="79"/>
  <c r="H38" i="79" s="1"/>
  <c r="F41" i="57"/>
  <c r="H41" i="57" s="1"/>
  <c r="B41" i="57"/>
  <c r="G42" i="45"/>
  <c r="I42" i="45" s="1"/>
  <c r="H45" i="71"/>
  <c r="J123" i="22"/>
  <c r="J115" i="89"/>
  <c r="J122" i="41"/>
  <c r="D36" i="13"/>
  <c r="H35" i="13"/>
  <c r="G35" i="13"/>
  <c r="D40" i="62"/>
  <c r="E40" i="62"/>
  <c r="E44" i="20"/>
  <c r="D44" i="20"/>
  <c r="I39" i="59"/>
  <c r="D38" i="33"/>
  <c r="E38" i="33" s="1"/>
  <c r="B40" i="59"/>
  <c r="F40" i="59"/>
  <c r="H40" i="59" s="1"/>
  <c r="D37" i="87"/>
  <c r="E37" i="87"/>
  <c r="H43" i="20"/>
  <c r="G55" i="35"/>
  <c r="H55" i="35"/>
  <c r="B56" i="35"/>
  <c r="E56" i="35"/>
  <c r="F56" i="35" s="1"/>
  <c r="G39" i="62"/>
  <c r="D37" i="26"/>
  <c r="E37" i="26" s="1"/>
  <c r="H37" i="33"/>
  <c r="J119" i="62"/>
  <c r="J122" i="73"/>
  <c r="H36" i="87"/>
  <c r="I36" i="87" s="1"/>
  <c r="H39" i="62"/>
  <c r="G43" i="20"/>
  <c r="B45" i="18"/>
  <c r="F45" i="18"/>
  <c r="G45" i="18" s="1"/>
  <c r="G37" i="33"/>
  <c r="H115" i="84"/>
  <c r="I115" i="84"/>
  <c r="H116" i="85"/>
  <c r="I116" i="85"/>
  <c r="E117" i="89"/>
  <c r="D117" i="89"/>
  <c r="G116" i="89"/>
  <c r="E121" i="62"/>
  <c r="G120" i="62"/>
  <c r="D121" i="62"/>
  <c r="I125" i="29"/>
  <c r="H125" i="29"/>
  <c r="I125" i="69"/>
  <c r="H125" i="69"/>
  <c r="B116" i="88"/>
  <c r="F116" i="88"/>
  <c r="B124" i="19"/>
  <c r="F124" i="19"/>
  <c r="F121" i="53"/>
  <c r="B121" i="53"/>
  <c r="B121" i="72"/>
  <c r="F121" i="72"/>
  <c r="B121" i="46"/>
  <c r="F121" i="46"/>
  <c r="I120" i="58"/>
  <c r="H120" i="58"/>
  <c r="I119" i="63"/>
  <c r="H119" i="63"/>
  <c r="B123" i="39"/>
  <c r="F123" i="39"/>
  <c r="H119" i="64"/>
  <c r="I119" i="64"/>
  <c r="B116" i="84"/>
  <c r="F116" i="84"/>
  <c r="F126" i="70"/>
  <c r="B126" i="70"/>
  <c r="F124" i="34"/>
  <c r="B124" i="34"/>
  <c r="F120" i="65"/>
  <c r="B120" i="65"/>
  <c r="H115" i="92"/>
  <c r="I115" i="92"/>
  <c r="G116" i="91"/>
  <c r="E117" i="91"/>
  <c r="D117" i="91"/>
  <c r="J121" i="45"/>
  <c r="F119" i="68"/>
  <c r="B119" i="68"/>
  <c r="I125" i="27"/>
  <c r="H125" i="27"/>
  <c r="I119" i="61"/>
  <c r="H119" i="61"/>
  <c r="H115" i="90"/>
  <c r="I115" i="90"/>
  <c r="F120" i="60"/>
  <c r="B120" i="60"/>
  <c r="I118" i="66"/>
  <c r="H118" i="66"/>
  <c r="I123" i="19"/>
  <c r="H123" i="19"/>
  <c r="F126" i="30"/>
  <c r="B126" i="30"/>
  <c r="B125" i="32"/>
  <c r="F125" i="32"/>
  <c r="B120" i="63"/>
  <c r="F120" i="63"/>
  <c r="B118" i="79"/>
  <c r="F118" i="79"/>
  <c r="B120" i="64"/>
  <c r="F120" i="64"/>
  <c r="I125" i="70"/>
  <c r="H125" i="70"/>
  <c r="I124" i="31"/>
  <c r="H124" i="31"/>
  <c r="H115" i="86"/>
  <c r="I115" i="86"/>
  <c r="F117" i="85"/>
  <c r="B117" i="85"/>
  <c r="H122" i="43"/>
  <c r="I122" i="43"/>
  <c r="D125" i="22"/>
  <c r="G124" i="22"/>
  <c r="E125" i="22"/>
  <c r="I121" i="74"/>
  <c r="H121" i="74"/>
  <c r="B126" i="29"/>
  <c r="F126" i="29"/>
  <c r="B120" i="61"/>
  <c r="F120" i="61"/>
  <c r="B116" i="90"/>
  <c r="F116" i="90"/>
  <c r="B126" i="69"/>
  <c r="F126" i="69"/>
  <c r="I119" i="60"/>
  <c r="H119" i="60"/>
  <c r="I117" i="78"/>
  <c r="H117" i="78"/>
  <c r="I115" i="88"/>
  <c r="H115" i="88"/>
  <c r="B119" i="66"/>
  <c r="F119" i="66"/>
  <c r="H123" i="20"/>
  <c r="I123" i="20"/>
  <c r="I120" i="72"/>
  <c r="H120" i="72"/>
  <c r="I120" i="46"/>
  <c r="H120" i="46"/>
  <c r="J116" i="81"/>
  <c r="E124" i="73"/>
  <c r="G123" i="73"/>
  <c r="D124" i="73"/>
  <c r="J121" i="56"/>
  <c r="G123" i="41"/>
  <c r="E124" i="41"/>
  <c r="D124" i="41"/>
  <c r="H123" i="34"/>
  <c r="I123" i="34"/>
  <c r="B125" i="31"/>
  <c r="F125" i="31"/>
  <c r="H119" i="65"/>
  <c r="I119" i="65"/>
  <c r="B116" i="86"/>
  <c r="F116" i="86"/>
  <c r="F116" i="92"/>
  <c r="B116" i="92"/>
  <c r="F123" i="43"/>
  <c r="B123" i="43"/>
  <c r="F122" i="74"/>
  <c r="B122" i="74"/>
  <c r="I118" i="68"/>
  <c r="H118" i="68"/>
  <c r="J115" i="91"/>
  <c r="B126" i="27"/>
  <c r="F126" i="27"/>
  <c r="B118" i="78"/>
  <c r="F118" i="78"/>
  <c r="G122" i="45"/>
  <c r="D123" i="45"/>
  <c r="E123" i="45"/>
  <c r="D118" i="81"/>
  <c r="G117" i="81"/>
  <c r="E118" i="81"/>
  <c r="I120" i="53"/>
  <c r="H120" i="53"/>
  <c r="F124" i="20"/>
  <c r="B124" i="20"/>
  <c r="I125" i="30"/>
  <c r="H125" i="30"/>
  <c r="I124" i="32"/>
  <c r="H124" i="32"/>
  <c r="B121" i="58"/>
  <c r="F121" i="58"/>
  <c r="I117" i="79"/>
  <c r="H117" i="79"/>
  <c r="H122" i="39"/>
  <c r="I122" i="39"/>
  <c r="J123" i="21"/>
  <c r="F121" i="59"/>
  <c r="B121" i="59"/>
  <c r="J136" i="35"/>
  <c r="B126" i="23"/>
  <c r="F126" i="23"/>
  <c r="I124" i="18"/>
  <c r="H124" i="18"/>
  <c r="G122" i="56"/>
  <c r="E123" i="56"/>
  <c r="D123" i="56"/>
  <c r="H120" i="59"/>
  <c r="I120" i="59"/>
  <c r="I125" i="23"/>
  <c r="H125" i="23"/>
  <c r="F125" i="18"/>
  <c r="B125" i="18"/>
  <c r="J114" i="13"/>
  <c r="J115" i="93"/>
  <c r="F122" i="57"/>
  <c r="B122" i="57"/>
  <c r="H121" i="57"/>
  <c r="I121" i="57"/>
  <c r="B126" i="71"/>
  <c r="F126" i="71"/>
  <c r="J120" i="54"/>
  <c r="J117" i="75"/>
  <c r="J124" i="24"/>
  <c r="I125" i="71"/>
  <c r="H125" i="71"/>
  <c r="J116" i="80"/>
  <c r="G116" i="93"/>
  <c r="D117" i="93"/>
  <c r="E117" i="93" s="1"/>
  <c r="E125" i="21"/>
  <c r="G124" i="21"/>
  <c r="D125" i="21"/>
  <c r="I124" i="17"/>
  <c r="H124" i="17"/>
  <c r="B117" i="82"/>
  <c r="F117" i="82"/>
  <c r="G115" i="13"/>
  <c r="D116" i="13"/>
  <c r="E116" i="13" s="1"/>
  <c r="I126" i="28"/>
  <c r="H126" i="28"/>
  <c r="F124" i="3"/>
  <c r="B124" i="3"/>
  <c r="E122" i="55"/>
  <c r="D122" i="55"/>
  <c r="G121" i="55"/>
  <c r="J116" i="83"/>
  <c r="G117" i="80"/>
  <c r="E118" i="80"/>
  <c r="D118" i="80"/>
  <c r="B125" i="17"/>
  <c r="F125" i="17"/>
  <c r="J117" i="76"/>
  <c r="B117" i="95"/>
  <c r="F117" i="95"/>
  <c r="J117" i="77"/>
  <c r="G117" i="83"/>
  <c r="D118" i="83"/>
  <c r="E118" i="83"/>
  <c r="I123" i="3"/>
  <c r="H123" i="3"/>
  <c r="E122" i="54"/>
  <c r="D122" i="54"/>
  <c r="G121" i="54"/>
  <c r="I115" i="87"/>
  <c r="H115" i="87"/>
  <c r="J114" i="33"/>
  <c r="E119" i="75"/>
  <c r="D119" i="75"/>
  <c r="G118" i="75"/>
  <c r="I137" i="35"/>
  <c r="H137" i="35"/>
  <c r="J120" i="55"/>
  <c r="I118" i="67"/>
  <c r="H118" i="67"/>
  <c r="B123" i="44"/>
  <c r="F123" i="44"/>
  <c r="F116" i="96"/>
  <c r="B116" i="96"/>
  <c r="B116" i="87"/>
  <c r="F116" i="87"/>
  <c r="D119" i="77"/>
  <c r="G118" i="77"/>
  <c r="E119" i="77"/>
  <c r="B139" i="35"/>
  <c r="G138" i="35"/>
  <c r="E139" i="35"/>
  <c r="F139" i="35" s="1"/>
  <c r="H116" i="82"/>
  <c r="I116" i="82"/>
  <c r="H116" i="95"/>
  <c r="I116" i="95"/>
  <c r="G115" i="33"/>
  <c r="D116" i="33"/>
  <c r="E116" i="33" s="1"/>
  <c r="F127" i="28"/>
  <c r="B127" i="28"/>
  <c r="B119" i="67"/>
  <c r="F119" i="67"/>
  <c r="J122" i="42"/>
  <c r="E126" i="24"/>
  <c r="D126" i="24"/>
  <c r="G125" i="24"/>
  <c r="D119" i="76"/>
  <c r="E119" i="76"/>
  <c r="G118" i="76"/>
  <c r="I122" i="44"/>
  <c r="H122" i="44"/>
  <c r="I115" i="96"/>
  <c r="H115" i="96"/>
  <c r="E124" i="42"/>
  <c r="D124" i="42"/>
  <c r="G123" i="42"/>
  <c r="E36" i="25" l="1"/>
  <c r="F36" i="25" s="1"/>
  <c r="G36" i="25" s="1"/>
  <c r="J115" i="98"/>
  <c r="G36" i="94"/>
  <c r="I36" i="94" s="1"/>
  <c r="I38" i="82"/>
  <c r="G37" i="99"/>
  <c r="D36" i="98"/>
  <c r="E36" i="98"/>
  <c r="I40" i="97"/>
  <c r="E42" i="97"/>
  <c r="F42" i="97" s="1"/>
  <c r="B42" i="97"/>
  <c r="G35" i="98"/>
  <c r="I35" i="98" s="1"/>
  <c r="H41" i="97"/>
  <c r="E38" i="99"/>
  <c r="F38" i="99" s="1"/>
  <c r="B38" i="99"/>
  <c r="G41" i="97"/>
  <c r="H37" i="99"/>
  <c r="E116" i="25"/>
  <c r="F116" i="25" s="1"/>
  <c r="B116" i="25"/>
  <c r="I115" i="25"/>
  <c r="H115" i="25"/>
  <c r="H115" i="99"/>
  <c r="I115" i="99"/>
  <c r="B116" i="99"/>
  <c r="F116" i="99"/>
  <c r="I37" i="85"/>
  <c r="G41" i="57"/>
  <c r="I41" i="57" s="1"/>
  <c r="J115" i="97"/>
  <c r="D117" i="94"/>
  <c r="G116" i="94"/>
  <c r="D117" i="98"/>
  <c r="G116" i="98"/>
  <c r="E117" i="98"/>
  <c r="H116" i="26"/>
  <c r="I116" i="26"/>
  <c r="E117" i="26"/>
  <c r="F117" i="26" s="1"/>
  <c r="B117" i="26"/>
  <c r="D117" i="97"/>
  <c r="E117" i="97" s="1"/>
  <c r="G116" i="97"/>
  <c r="G38" i="79"/>
  <c r="I38" i="79" s="1"/>
  <c r="H40" i="67"/>
  <c r="I40" i="67" s="1"/>
  <c r="E41" i="67"/>
  <c r="D41" i="67"/>
  <c r="D42" i="46"/>
  <c r="E42" i="46"/>
  <c r="G41" i="46"/>
  <c r="I41" i="46" s="1"/>
  <c r="G45" i="24"/>
  <c r="I45" i="24" s="1"/>
  <c r="E46" i="24"/>
  <c r="D46" i="24"/>
  <c r="B39" i="82"/>
  <c r="F39" i="82"/>
  <c r="G39" i="82" s="1"/>
  <c r="H43" i="74"/>
  <c r="I43" i="74" s="1"/>
  <c r="J115" i="94"/>
  <c r="F38" i="86"/>
  <c r="B38" i="86"/>
  <c r="D36" i="93"/>
  <c r="E36" i="93"/>
  <c r="H38" i="80"/>
  <c r="I38" i="80" s="1"/>
  <c r="E39" i="80"/>
  <c r="D39" i="80"/>
  <c r="G40" i="66"/>
  <c r="I40" i="66" s="1"/>
  <c r="I42" i="58"/>
  <c r="G35" i="93"/>
  <c r="I35" i="93" s="1"/>
  <c r="D37" i="94"/>
  <c r="E37" i="94"/>
  <c r="F39" i="75"/>
  <c r="H39" i="75" s="1"/>
  <c r="B39" i="75"/>
  <c r="H38" i="90"/>
  <c r="E39" i="90"/>
  <c r="D39" i="90"/>
  <c r="G37" i="84"/>
  <c r="E38" i="84"/>
  <c r="D38" i="84"/>
  <c r="B43" i="55"/>
  <c r="F43" i="55"/>
  <c r="G43" i="55" s="1"/>
  <c r="G37" i="91"/>
  <c r="H37" i="91"/>
  <c r="D38" i="91"/>
  <c r="E38" i="91"/>
  <c r="F44" i="42"/>
  <c r="H44" i="42" s="1"/>
  <c r="B44" i="42"/>
  <c r="H44" i="22"/>
  <c r="I44" i="22" s="1"/>
  <c r="F43" i="58"/>
  <c r="B43" i="58"/>
  <c r="H46" i="23"/>
  <c r="G46" i="23"/>
  <c r="D47" i="23"/>
  <c r="E47" i="23" s="1"/>
  <c r="G38" i="90"/>
  <c r="H37" i="84"/>
  <c r="B40" i="65"/>
  <c r="F40" i="65"/>
  <c r="G41" i="53"/>
  <c r="I41" i="53" s="1"/>
  <c r="D42" i="53"/>
  <c r="E42" i="53"/>
  <c r="D41" i="66"/>
  <c r="E41" i="66"/>
  <c r="E44" i="44"/>
  <c r="D44" i="44"/>
  <c r="H46" i="27"/>
  <c r="D47" i="27"/>
  <c r="E47" i="27"/>
  <c r="G46" i="27"/>
  <c r="B42" i="72"/>
  <c r="F42" i="72"/>
  <c r="G42" i="72" s="1"/>
  <c r="G37" i="81"/>
  <c r="E38" i="81"/>
  <c r="D38" i="81"/>
  <c r="I35" i="95"/>
  <c r="B38" i="85"/>
  <c r="F38" i="85"/>
  <c r="G38" i="85" s="1"/>
  <c r="D36" i="96"/>
  <c r="E36" i="96"/>
  <c r="F44" i="39"/>
  <c r="H44" i="39" s="1"/>
  <c r="B44" i="39"/>
  <c r="E41" i="61"/>
  <c r="D41" i="61"/>
  <c r="H40" i="60"/>
  <c r="I40" i="60" s="1"/>
  <c r="G46" i="70"/>
  <c r="I46" i="70" s="1"/>
  <c r="G43" i="44"/>
  <c r="G40" i="61"/>
  <c r="I40" i="61" s="1"/>
  <c r="E45" i="22"/>
  <c r="D45" i="22"/>
  <c r="H43" i="44"/>
  <c r="G35" i="96"/>
  <c r="I35" i="96" s="1"/>
  <c r="H38" i="76"/>
  <c r="I38" i="76" s="1"/>
  <c r="D39" i="76"/>
  <c r="E39" i="76"/>
  <c r="H37" i="81"/>
  <c r="B36" i="95"/>
  <c r="F36" i="95"/>
  <c r="H36" i="95" s="1"/>
  <c r="D45" i="43"/>
  <c r="E45" i="43" s="1"/>
  <c r="F46" i="34"/>
  <c r="G46" i="34" s="1"/>
  <c r="B46" i="34"/>
  <c r="B41" i="56"/>
  <c r="F41" i="56"/>
  <c r="H41" i="56" s="1"/>
  <c r="D45" i="21"/>
  <c r="E45" i="21"/>
  <c r="E39" i="77"/>
  <c r="D39" i="77"/>
  <c r="H44" i="41"/>
  <c r="D45" i="41"/>
  <c r="E45" i="41" s="1"/>
  <c r="F45" i="19"/>
  <c r="G45" i="19" s="1"/>
  <c r="B45" i="19"/>
  <c r="F41" i="64"/>
  <c r="G41" i="64" s="1"/>
  <c r="B41" i="64"/>
  <c r="D46" i="32"/>
  <c r="E46" i="32" s="1"/>
  <c r="I39" i="62"/>
  <c r="G40" i="59"/>
  <c r="I40" i="59" s="1"/>
  <c r="I45" i="71"/>
  <c r="G44" i="43"/>
  <c r="H44" i="21"/>
  <c r="H38" i="77"/>
  <c r="E39" i="78"/>
  <c r="D39" i="78"/>
  <c r="B48" i="28"/>
  <c r="F48" i="28"/>
  <c r="G48" i="28" s="1"/>
  <c r="B47" i="31"/>
  <c r="F47" i="31"/>
  <c r="G47" i="31" s="1"/>
  <c r="F40" i="68"/>
  <c r="B40" i="68"/>
  <c r="E37" i="89"/>
  <c r="D37" i="89"/>
  <c r="D47" i="70"/>
  <c r="E47" i="70" s="1"/>
  <c r="B37" i="83"/>
  <c r="F37" i="83"/>
  <c r="G37" i="83" s="1"/>
  <c r="E37" i="92"/>
  <c r="D37" i="92"/>
  <c r="F46" i="30"/>
  <c r="G46" i="30" s="1"/>
  <c r="B46" i="30"/>
  <c r="D41" i="63"/>
  <c r="E41" i="63"/>
  <c r="H36" i="92"/>
  <c r="B45" i="3"/>
  <c r="F45" i="3"/>
  <c r="G45" i="3" s="1"/>
  <c r="E42" i="54"/>
  <c r="D42" i="54"/>
  <c r="D45" i="17"/>
  <c r="E45" i="17" s="1"/>
  <c r="E42" i="57"/>
  <c r="D42" i="57"/>
  <c r="E39" i="79"/>
  <c r="D39" i="79"/>
  <c r="H43" i="73"/>
  <c r="I43" i="73" s="1"/>
  <c r="D44" i="73"/>
  <c r="E44" i="73"/>
  <c r="H40" i="63"/>
  <c r="I40" i="63" s="1"/>
  <c r="H44" i="43"/>
  <c r="G36" i="92"/>
  <c r="G44" i="21"/>
  <c r="G38" i="77"/>
  <c r="G44" i="41"/>
  <c r="B43" i="45"/>
  <c r="F43" i="45"/>
  <c r="I46" i="69"/>
  <c r="H38" i="78"/>
  <c r="I38" i="78" s="1"/>
  <c r="G41" i="54"/>
  <c r="I41" i="54" s="1"/>
  <c r="B38" i="88"/>
  <c r="F38" i="88"/>
  <c r="H38" i="88" s="1"/>
  <c r="G36" i="89"/>
  <c r="I36" i="89" s="1"/>
  <c r="G46" i="29"/>
  <c r="I46" i="29" s="1"/>
  <c r="D47" i="29"/>
  <c r="E47" i="29" s="1"/>
  <c r="G44" i="17"/>
  <c r="I44" i="17" s="1"/>
  <c r="B46" i="71"/>
  <c r="F46" i="71"/>
  <c r="H46" i="71" s="1"/>
  <c r="H45" i="32"/>
  <c r="I45" i="32" s="1"/>
  <c r="B47" i="69"/>
  <c r="F47" i="69"/>
  <c r="D41" i="60"/>
  <c r="E41" i="60"/>
  <c r="E44" i="74"/>
  <c r="D44" i="74"/>
  <c r="J115" i="92"/>
  <c r="J119" i="63"/>
  <c r="J123" i="19"/>
  <c r="J125" i="30"/>
  <c r="J120" i="53"/>
  <c r="J120" i="46"/>
  <c r="J115" i="88"/>
  <c r="J119" i="60"/>
  <c r="J124" i="31"/>
  <c r="J119" i="61"/>
  <c r="H45" i="18"/>
  <c r="I45" i="18" s="1"/>
  <c r="I37" i="33"/>
  <c r="F37" i="87"/>
  <c r="H37" i="87" s="1"/>
  <c r="B37" i="87"/>
  <c r="J115" i="90"/>
  <c r="J115" i="84"/>
  <c r="B57" i="35"/>
  <c r="G56" i="35"/>
  <c r="H56" i="35"/>
  <c r="E57" i="35"/>
  <c r="F57" i="35" s="1"/>
  <c r="D41" i="59"/>
  <c r="E41" i="59"/>
  <c r="F38" i="33"/>
  <c r="G38" i="33" s="1"/>
  <c r="B38" i="33"/>
  <c r="I35" i="13"/>
  <c r="D46" i="18"/>
  <c r="E46" i="18" s="1"/>
  <c r="F37" i="26"/>
  <c r="B37" i="26"/>
  <c r="I43" i="20"/>
  <c r="B40" i="62"/>
  <c r="F40" i="62"/>
  <c r="H40" i="62" s="1"/>
  <c r="B36" i="13"/>
  <c r="J115" i="96"/>
  <c r="J121" i="57"/>
  <c r="J122" i="43"/>
  <c r="J115" i="86"/>
  <c r="J116" i="85"/>
  <c r="I55" i="35"/>
  <c r="F44" i="20"/>
  <c r="B44" i="20"/>
  <c r="E36" i="13"/>
  <c r="F36" i="13" s="1"/>
  <c r="J122" i="39"/>
  <c r="G121" i="58"/>
  <c r="D122" i="58"/>
  <c r="E122" i="58"/>
  <c r="B118" i="81"/>
  <c r="F118" i="81"/>
  <c r="E119" i="78"/>
  <c r="G118" i="78"/>
  <c r="D119" i="78"/>
  <c r="D123" i="74"/>
  <c r="G122" i="74"/>
  <c r="E123" i="74"/>
  <c r="D117" i="92"/>
  <c r="E117" i="92"/>
  <c r="G116" i="92"/>
  <c r="I123" i="73"/>
  <c r="H123" i="73"/>
  <c r="H124" i="22"/>
  <c r="I124" i="22"/>
  <c r="D121" i="64"/>
  <c r="G120" i="64"/>
  <c r="E121" i="64"/>
  <c r="G118" i="79"/>
  <c r="E119" i="79"/>
  <c r="D119" i="79"/>
  <c r="G125" i="32"/>
  <c r="D126" i="32"/>
  <c r="E126" i="32"/>
  <c r="J119" i="64"/>
  <c r="G121" i="46"/>
  <c r="E122" i="46"/>
  <c r="D122" i="46"/>
  <c r="D117" i="88"/>
  <c r="G116" i="88"/>
  <c r="E117" i="88"/>
  <c r="D117" i="86"/>
  <c r="E117" i="86"/>
  <c r="G116" i="86"/>
  <c r="D126" i="31"/>
  <c r="E126" i="31"/>
  <c r="G125" i="31"/>
  <c r="F124" i="41"/>
  <c r="B124" i="41"/>
  <c r="E120" i="66"/>
  <c r="D120" i="66"/>
  <c r="G119" i="66"/>
  <c r="G126" i="69"/>
  <c r="E127" i="69"/>
  <c r="D127" i="69"/>
  <c r="G120" i="61"/>
  <c r="D121" i="61"/>
  <c r="E121" i="61"/>
  <c r="B125" i="22"/>
  <c r="F125" i="22"/>
  <c r="E118" i="85"/>
  <c r="G117" i="85"/>
  <c r="D118" i="85"/>
  <c r="D121" i="60"/>
  <c r="E121" i="60"/>
  <c r="G120" i="60"/>
  <c r="G119" i="68"/>
  <c r="E120" i="68"/>
  <c r="D120" i="68"/>
  <c r="H116" i="91"/>
  <c r="I116" i="91"/>
  <c r="E121" i="65"/>
  <c r="G120" i="65"/>
  <c r="D121" i="65"/>
  <c r="D127" i="70"/>
  <c r="G126" i="70"/>
  <c r="E127" i="70"/>
  <c r="D122" i="53"/>
  <c r="E122" i="53"/>
  <c r="G121" i="53"/>
  <c r="J125" i="29"/>
  <c r="H116" i="89"/>
  <c r="I116" i="89"/>
  <c r="J118" i="67"/>
  <c r="J125" i="23"/>
  <c r="B123" i="45"/>
  <c r="F123" i="45"/>
  <c r="G126" i="27"/>
  <c r="D127" i="27"/>
  <c r="E127" i="27"/>
  <c r="J118" i="68"/>
  <c r="E124" i="43"/>
  <c r="G123" i="43"/>
  <c r="D124" i="43"/>
  <c r="J120" i="72"/>
  <c r="J117" i="78"/>
  <c r="J121" i="74"/>
  <c r="G120" i="63"/>
  <c r="D121" i="63"/>
  <c r="E121" i="63"/>
  <c r="D117" i="84"/>
  <c r="G116" i="84"/>
  <c r="E117" i="84"/>
  <c r="D124" i="39"/>
  <c r="G123" i="39"/>
  <c r="E124" i="39"/>
  <c r="G121" i="72"/>
  <c r="E122" i="72"/>
  <c r="D122" i="72"/>
  <c r="G124" i="19"/>
  <c r="E125" i="19"/>
  <c r="D125" i="19"/>
  <c r="B121" i="62"/>
  <c r="F121" i="62"/>
  <c r="B117" i="89"/>
  <c r="F117" i="89"/>
  <c r="J117" i="79"/>
  <c r="J124" i="32"/>
  <c r="D125" i="20"/>
  <c r="E125" i="20"/>
  <c r="G124" i="20"/>
  <c r="H117" i="81"/>
  <c r="I117" i="81"/>
  <c r="H122" i="45"/>
  <c r="I122" i="45"/>
  <c r="J119" i="65"/>
  <c r="J123" i="34"/>
  <c r="I123" i="41"/>
  <c r="H123" i="41"/>
  <c r="B124" i="73"/>
  <c r="F124" i="73"/>
  <c r="J123" i="20"/>
  <c r="E117" i="90"/>
  <c r="D117" i="90"/>
  <c r="G116" i="90"/>
  <c r="E127" i="29"/>
  <c r="D127" i="29"/>
  <c r="G126" i="29"/>
  <c r="J125" i="70"/>
  <c r="G126" i="30"/>
  <c r="E127" i="30"/>
  <c r="D127" i="30"/>
  <c r="J118" i="66"/>
  <c r="J125" i="27"/>
  <c r="F117" i="91"/>
  <c r="B117" i="91"/>
  <c r="G124" i="34"/>
  <c r="E125" i="34"/>
  <c r="D125" i="34"/>
  <c r="J120" i="58"/>
  <c r="J125" i="69"/>
  <c r="I120" i="62"/>
  <c r="H120" i="62"/>
  <c r="J116" i="95"/>
  <c r="J124" i="17"/>
  <c r="J120" i="59"/>
  <c r="H122" i="56"/>
  <c r="I122" i="56"/>
  <c r="D127" i="23"/>
  <c r="E127" i="23"/>
  <c r="G126" i="23"/>
  <c r="D122" i="59"/>
  <c r="G121" i="59"/>
  <c r="E122" i="59"/>
  <c r="E126" i="18"/>
  <c r="D126" i="18"/>
  <c r="G125" i="18"/>
  <c r="B123" i="56"/>
  <c r="F123" i="56"/>
  <c r="J124" i="18"/>
  <c r="E127" i="71"/>
  <c r="D127" i="71"/>
  <c r="G126" i="71"/>
  <c r="G122" i="57"/>
  <c r="E123" i="57"/>
  <c r="D123" i="57"/>
  <c r="J137" i="35"/>
  <c r="J115" i="87"/>
  <c r="J125" i="71"/>
  <c r="F124" i="42"/>
  <c r="B124" i="42"/>
  <c r="F119" i="76"/>
  <c r="B119" i="76"/>
  <c r="G127" i="28"/>
  <c r="D128" i="28"/>
  <c r="E128" i="28"/>
  <c r="I138" i="35"/>
  <c r="H138" i="35"/>
  <c r="G116" i="96"/>
  <c r="D117" i="96"/>
  <c r="I118" i="75"/>
  <c r="H118" i="75"/>
  <c r="B122" i="54"/>
  <c r="F122" i="54"/>
  <c r="B118" i="83"/>
  <c r="F118" i="83"/>
  <c r="H117" i="80"/>
  <c r="I117" i="80"/>
  <c r="I121" i="55"/>
  <c r="H121" i="55"/>
  <c r="H115" i="13"/>
  <c r="I115" i="13"/>
  <c r="F125" i="21"/>
  <c r="B125" i="21"/>
  <c r="J122" i="44"/>
  <c r="I125" i="24"/>
  <c r="H125" i="24"/>
  <c r="G119" i="67"/>
  <c r="D120" i="67"/>
  <c r="E120" i="67"/>
  <c r="G116" i="87"/>
  <c r="D117" i="87"/>
  <c r="E117" i="87"/>
  <c r="B119" i="75"/>
  <c r="F119" i="75"/>
  <c r="H117" i="83"/>
  <c r="I117" i="83"/>
  <c r="B122" i="55"/>
  <c r="F122" i="55"/>
  <c r="G124" i="3"/>
  <c r="D125" i="3"/>
  <c r="E125" i="3"/>
  <c r="D118" i="82"/>
  <c r="G117" i="82"/>
  <c r="E118" i="82"/>
  <c r="H124" i="21"/>
  <c r="I124" i="21"/>
  <c r="I118" i="76"/>
  <c r="H118" i="76"/>
  <c r="F126" i="24"/>
  <c r="B126" i="24"/>
  <c r="B116" i="33"/>
  <c r="F116" i="33"/>
  <c r="J116" i="82"/>
  <c r="H118" i="77"/>
  <c r="I118" i="77"/>
  <c r="J123" i="3"/>
  <c r="D118" i="95"/>
  <c r="E118" i="95" s="1"/>
  <c r="G117" i="95"/>
  <c r="D126" i="17"/>
  <c r="E126" i="17"/>
  <c r="G125" i="17"/>
  <c r="B118" i="80"/>
  <c r="F118" i="80"/>
  <c r="F117" i="93"/>
  <c r="B117" i="93"/>
  <c r="H123" i="42"/>
  <c r="I123" i="42"/>
  <c r="I115" i="33"/>
  <c r="H115" i="33"/>
  <c r="G139" i="35"/>
  <c r="B140" i="35"/>
  <c r="E140" i="35"/>
  <c r="F140" i="35" s="1"/>
  <c r="F119" i="77"/>
  <c r="B119" i="77"/>
  <c r="D124" i="44"/>
  <c r="G123" i="44"/>
  <c r="E124" i="44"/>
  <c r="H121" i="54"/>
  <c r="I121" i="54"/>
  <c r="J126" i="28"/>
  <c r="B116" i="13"/>
  <c r="F116" i="13"/>
  <c r="I116" i="93"/>
  <c r="H116" i="93"/>
  <c r="H36" i="25" l="1"/>
  <c r="I36" i="25" s="1"/>
  <c r="D37" i="25"/>
  <c r="B37" i="25" s="1"/>
  <c r="I37" i="99"/>
  <c r="I37" i="81"/>
  <c r="D43" i="97"/>
  <c r="B43" i="97" s="1"/>
  <c r="G42" i="97"/>
  <c r="I41" i="97"/>
  <c r="D39" i="99"/>
  <c r="E39" i="99"/>
  <c r="G38" i="99"/>
  <c r="H38" i="99"/>
  <c r="E43" i="97"/>
  <c r="H42" i="97"/>
  <c r="F36" i="98"/>
  <c r="B36" i="98"/>
  <c r="I43" i="44"/>
  <c r="D117" i="25"/>
  <c r="G116" i="25"/>
  <c r="J116" i="26"/>
  <c r="J115" i="25"/>
  <c r="D117" i="99"/>
  <c r="G116" i="99"/>
  <c r="E117" i="99"/>
  <c r="J115" i="99"/>
  <c r="I44" i="43"/>
  <c r="I44" i="41"/>
  <c r="I37" i="84"/>
  <c r="I44" i="21"/>
  <c r="D118" i="26"/>
  <c r="G117" i="26"/>
  <c r="I116" i="97"/>
  <c r="H116" i="97"/>
  <c r="F117" i="97"/>
  <c r="B117" i="97"/>
  <c r="F117" i="98"/>
  <c r="B117" i="98"/>
  <c r="H116" i="98"/>
  <c r="I116" i="98"/>
  <c r="I116" i="94"/>
  <c r="H116" i="94"/>
  <c r="E117" i="94"/>
  <c r="F117" i="94" s="1"/>
  <c r="E118" i="94" s="1"/>
  <c r="B117" i="94"/>
  <c r="G36" i="95"/>
  <c r="I38" i="90"/>
  <c r="G39" i="75"/>
  <c r="I39" i="75" s="1"/>
  <c r="F41" i="67"/>
  <c r="G41" i="67" s="1"/>
  <c r="B41" i="67"/>
  <c r="F42" i="46"/>
  <c r="G42" i="46" s="1"/>
  <c r="B42" i="46"/>
  <c r="G44" i="42"/>
  <c r="I44" i="42" s="1"/>
  <c r="F46" i="24"/>
  <c r="G46" i="24" s="1"/>
  <c r="B46" i="24"/>
  <c r="G38" i="86"/>
  <c r="H38" i="86"/>
  <c r="D39" i="86"/>
  <c r="E39" i="86"/>
  <c r="H39" i="82"/>
  <c r="I39" i="82" s="1"/>
  <c r="E40" i="82"/>
  <c r="D40" i="82"/>
  <c r="I36" i="95"/>
  <c r="I46" i="23"/>
  <c r="B37" i="94"/>
  <c r="F37" i="94"/>
  <c r="G37" i="94" s="1"/>
  <c r="B39" i="80"/>
  <c r="F39" i="80"/>
  <c r="G39" i="80" s="1"/>
  <c r="F36" i="93"/>
  <c r="B36" i="93"/>
  <c r="I46" i="27"/>
  <c r="H40" i="65"/>
  <c r="E41" i="65"/>
  <c r="D41" i="65"/>
  <c r="F47" i="23"/>
  <c r="B47" i="23"/>
  <c r="D45" i="42"/>
  <c r="E45" i="42" s="1"/>
  <c r="I37" i="91"/>
  <c r="E44" i="55"/>
  <c r="D44" i="55"/>
  <c r="F42" i="53"/>
  <c r="G42" i="53" s="1"/>
  <c r="B42" i="53"/>
  <c r="B39" i="90"/>
  <c r="F39" i="90"/>
  <c r="H39" i="90" s="1"/>
  <c r="G41" i="56"/>
  <c r="I41" i="56" s="1"/>
  <c r="G43" i="58"/>
  <c r="E44" i="58"/>
  <c r="D44" i="58"/>
  <c r="B38" i="84"/>
  <c r="F38" i="84"/>
  <c r="B41" i="66"/>
  <c r="F41" i="66"/>
  <c r="G40" i="65"/>
  <c r="H43" i="58"/>
  <c r="B38" i="91"/>
  <c r="F38" i="91"/>
  <c r="H38" i="91" s="1"/>
  <c r="H43" i="55"/>
  <c r="I43" i="55" s="1"/>
  <c r="D40" i="75"/>
  <c r="E40" i="75"/>
  <c r="G44" i="39"/>
  <c r="I44" i="39" s="1"/>
  <c r="D39" i="85"/>
  <c r="E39" i="85"/>
  <c r="G38" i="88"/>
  <c r="I38" i="88" s="1"/>
  <c r="H41" i="64"/>
  <c r="I41" i="64" s="1"/>
  <c r="D37" i="95"/>
  <c r="E37" i="95"/>
  <c r="B41" i="61"/>
  <c r="F41" i="61"/>
  <c r="G41" i="61" s="1"/>
  <c r="H38" i="33"/>
  <c r="I38" i="33" s="1"/>
  <c r="I56" i="35"/>
  <c r="B39" i="76"/>
  <c r="F39" i="76"/>
  <c r="G39" i="76" s="1"/>
  <c r="B45" i="22"/>
  <c r="F45" i="22"/>
  <c r="H45" i="22" s="1"/>
  <c r="B36" i="96"/>
  <c r="F36" i="96"/>
  <c r="H36" i="96" s="1"/>
  <c r="H38" i="85"/>
  <c r="I38" i="85" s="1"/>
  <c r="B44" i="44"/>
  <c r="F44" i="44"/>
  <c r="D45" i="39"/>
  <c r="E45" i="39" s="1"/>
  <c r="B38" i="81"/>
  <c r="F38" i="81"/>
  <c r="H38" i="81" s="1"/>
  <c r="H42" i="72"/>
  <c r="I42" i="72" s="1"/>
  <c r="E43" i="72"/>
  <c r="D43" i="72"/>
  <c r="B47" i="27"/>
  <c r="F47" i="27"/>
  <c r="I36" i="92"/>
  <c r="D48" i="69"/>
  <c r="E48" i="69" s="1"/>
  <c r="B47" i="29"/>
  <c r="F47" i="29"/>
  <c r="H47" i="29" s="1"/>
  <c r="D44" i="45"/>
  <c r="E44" i="45"/>
  <c r="F39" i="79"/>
  <c r="H39" i="79" s="1"/>
  <c r="B39" i="79"/>
  <c r="F41" i="63"/>
  <c r="G41" i="63" s="1"/>
  <c r="B41" i="63"/>
  <c r="F37" i="89"/>
  <c r="G37" i="89" s="1"/>
  <c r="B37" i="89"/>
  <c r="E41" i="68"/>
  <c r="D41" i="68"/>
  <c r="I38" i="77"/>
  <c r="F46" i="32"/>
  <c r="G46" i="32" s="1"/>
  <c r="B46" i="32"/>
  <c r="H46" i="34"/>
  <c r="I46" i="34" s="1"/>
  <c r="D47" i="34"/>
  <c r="E47" i="34" s="1"/>
  <c r="F41" i="60"/>
  <c r="H41" i="60" s="1"/>
  <c r="B41" i="60"/>
  <c r="D47" i="30"/>
  <c r="E47" i="30" s="1"/>
  <c r="F47" i="70"/>
  <c r="H47" i="70" s="1"/>
  <c r="B47" i="70"/>
  <c r="G40" i="68"/>
  <c r="H47" i="31"/>
  <c r="I47" i="31" s="1"/>
  <c r="H48" i="28"/>
  <c r="I48" i="28" s="1"/>
  <c r="F39" i="78"/>
  <c r="G39" i="78" s="1"/>
  <c r="B39" i="78"/>
  <c r="D42" i="64"/>
  <c r="E42" i="64"/>
  <c r="H45" i="19"/>
  <c r="I45" i="19" s="1"/>
  <c r="F45" i="41"/>
  <c r="G45" i="41" s="1"/>
  <c r="B45" i="41"/>
  <c r="G37" i="87"/>
  <c r="I37" i="87" s="1"/>
  <c r="F44" i="74"/>
  <c r="G44" i="74" s="1"/>
  <c r="B44" i="74"/>
  <c r="H47" i="69"/>
  <c r="G43" i="45"/>
  <c r="B44" i="73"/>
  <c r="F44" i="73"/>
  <c r="B42" i="57"/>
  <c r="F42" i="57"/>
  <c r="H42" i="57" s="1"/>
  <c r="F45" i="17"/>
  <c r="G45" i="17" s="1"/>
  <c r="C54" i="17"/>
  <c r="B45" i="17"/>
  <c r="H45" i="3"/>
  <c r="I45" i="3" s="1"/>
  <c r="D46" i="3"/>
  <c r="E46" i="3" s="1"/>
  <c r="H46" i="30"/>
  <c r="I46" i="30" s="1"/>
  <c r="H37" i="83"/>
  <c r="I37" i="83" s="1"/>
  <c r="D38" i="83"/>
  <c r="E38" i="83"/>
  <c r="B45" i="21"/>
  <c r="F45" i="21"/>
  <c r="H45" i="21" s="1"/>
  <c r="D42" i="56"/>
  <c r="E42" i="56"/>
  <c r="G47" i="69"/>
  <c r="G46" i="71"/>
  <c r="I46" i="71" s="1"/>
  <c r="D47" i="71"/>
  <c r="E47" i="71" s="1"/>
  <c r="D39" i="88"/>
  <c r="E39" i="88"/>
  <c r="H43" i="45"/>
  <c r="F42" i="54"/>
  <c r="H42" i="54" s="1"/>
  <c r="B42" i="54"/>
  <c r="B37" i="92"/>
  <c r="F37" i="92"/>
  <c r="H37" i="92" s="1"/>
  <c r="H40" i="68"/>
  <c r="D48" i="31"/>
  <c r="E48" i="31" s="1"/>
  <c r="D49" i="28"/>
  <c r="E49" i="28"/>
  <c r="D46" i="19"/>
  <c r="E46" i="19" s="1"/>
  <c r="F39" i="77"/>
  <c r="G39" i="77" s="1"/>
  <c r="B39" i="77"/>
  <c r="B45" i="43"/>
  <c r="F45" i="43"/>
  <c r="G45" i="43" s="1"/>
  <c r="J122" i="45"/>
  <c r="D37" i="13"/>
  <c r="E37" i="13" s="1"/>
  <c r="H36" i="13"/>
  <c r="G36" i="13"/>
  <c r="J122" i="56"/>
  <c r="E41" i="62"/>
  <c r="D41" i="62"/>
  <c r="D38" i="26"/>
  <c r="E38" i="26" s="1"/>
  <c r="B41" i="59"/>
  <c r="F41" i="59"/>
  <c r="H41" i="59" s="1"/>
  <c r="D45" i="20"/>
  <c r="E45" i="20"/>
  <c r="G44" i="20"/>
  <c r="G37" i="26"/>
  <c r="D39" i="33"/>
  <c r="E39" i="33" s="1"/>
  <c r="E38" i="87"/>
  <c r="D38" i="87"/>
  <c r="J123" i="42"/>
  <c r="J117" i="81"/>
  <c r="J116" i="89"/>
  <c r="J116" i="91"/>
  <c r="H44" i="20"/>
  <c r="G40" i="62"/>
  <c r="I40" i="62" s="1"/>
  <c r="H37" i="26"/>
  <c r="B46" i="18"/>
  <c r="F46" i="18"/>
  <c r="H46" i="18" s="1"/>
  <c r="H57" i="35"/>
  <c r="B58" i="35"/>
  <c r="E58" i="35"/>
  <c r="F58" i="35" s="1"/>
  <c r="G57" i="35"/>
  <c r="F127" i="30"/>
  <c r="B127" i="30"/>
  <c r="H116" i="90"/>
  <c r="I116" i="90"/>
  <c r="E125" i="73"/>
  <c r="D125" i="73"/>
  <c r="G124" i="73"/>
  <c r="F125" i="20"/>
  <c r="B125" i="20"/>
  <c r="H121" i="72"/>
  <c r="I121" i="72"/>
  <c r="F121" i="63"/>
  <c r="B121" i="63"/>
  <c r="D124" i="45"/>
  <c r="E124" i="45"/>
  <c r="G123" i="45"/>
  <c r="B127" i="70"/>
  <c r="F127" i="70"/>
  <c r="H119" i="68"/>
  <c r="I119" i="68"/>
  <c r="B118" i="85"/>
  <c r="F118" i="85"/>
  <c r="B127" i="69"/>
  <c r="F127" i="69"/>
  <c r="B120" i="66"/>
  <c r="F120" i="66"/>
  <c r="I125" i="31"/>
  <c r="H125" i="31"/>
  <c r="F117" i="88"/>
  <c r="B117" i="88"/>
  <c r="B119" i="79"/>
  <c r="F119" i="79"/>
  <c r="H120" i="64"/>
  <c r="I120" i="64"/>
  <c r="F117" i="92"/>
  <c r="B117" i="92"/>
  <c r="F119" i="78"/>
  <c r="B119" i="78"/>
  <c r="B125" i="34"/>
  <c r="F125" i="34"/>
  <c r="D118" i="91"/>
  <c r="G117" i="91"/>
  <c r="E118" i="91"/>
  <c r="I126" i="29"/>
  <c r="H126" i="29"/>
  <c r="B117" i="90"/>
  <c r="F117" i="90"/>
  <c r="G121" i="62"/>
  <c r="D122" i="62"/>
  <c r="E122" i="62"/>
  <c r="I124" i="19"/>
  <c r="H124" i="19"/>
  <c r="H116" i="84"/>
  <c r="I116" i="84"/>
  <c r="I120" i="63"/>
  <c r="H120" i="63"/>
  <c r="F124" i="43"/>
  <c r="B124" i="43"/>
  <c r="F122" i="53"/>
  <c r="B122" i="53"/>
  <c r="F121" i="65"/>
  <c r="B121" i="65"/>
  <c r="H120" i="60"/>
  <c r="I120" i="60"/>
  <c r="H117" i="85"/>
  <c r="I117" i="85"/>
  <c r="F117" i="86"/>
  <c r="B117" i="86"/>
  <c r="B122" i="46"/>
  <c r="F122" i="46"/>
  <c r="F121" i="64"/>
  <c r="B121" i="64"/>
  <c r="J123" i="73"/>
  <c r="H118" i="78"/>
  <c r="I118" i="78"/>
  <c r="J120" i="62"/>
  <c r="I126" i="30"/>
  <c r="H126" i="30"/>
  <c r="F127" i="29"/>
  <c r="B127" i="29"/>
  <c r="H124" i="20"/>
  <c r="I124" i="20"/>
  <c r="F122" i="72"/>
  <c r="B122" i="72"/>
  <c r="H123" i="39"/>
  <c r="I123" i="39"/>
  <c r="B117" i="84"/>
  <c r="F117" i="84"/>
  <c r="H123" i="43"/>
  <c r="I123" i="43"/>
  <c r="B127" i="27"/>
  <c r="F127" i="27"/>
  <c r="I120" i="65"/>
  <c r="H120" i="65"/>
  <c r="F120" i="68"/>
  <c r="B120" i="68"/>
  <c r="F121" i="61"/>
  <c r="B121" i="61"/>
  <c r="I126" i="69"/>
  <c r="H126" i="69"/>
  <c r="B126" i="31"/>
  <c r="F126" i="31"/>
  <c r="F126" i="32"/>
  <c r="B126" i="32"/>
  <c r="H118" i="79"/>
  <c r="I118" i="79"/>
  <c r="J124" i="22"/>
  <c r="I116" i="92"/>
  <c r="H116" i="92"/>
  <c r="H122" i="74"/>
  <c r="I122" i="74"/>
  <c r="F122" i="58"/>
  <c r="B122" i="58"/>
  <c r="H124" i="34"/>
  <c r="I124" i="34"/>
  <c r="J123" i="41"/>
  <c r="G117" i="89"/>
  <c r="E118" i="89"/>
  <c r="D118" i="89"/>
  <c r="F125" i="19"/>
  <c r="B125" i="19"/>
  <c r="B124" i="39"/>
  <c r="F124" i="39"/>
  <c r="H126" i="27"/>
  <c r="I126" i="27"/>
  <c r="I121" i="53"/>
  <c r="H121" i="53"/>
  <c r="H126" i="70"/>
  <c r="I126" i="70"/>
  <c r="B121" i="60"/>
  <c r="F121" i="60"/>
  <c r="D126" i="22"/>
  <c r="E126" i="22"/>
  <c r="G125" i="22"/>
  <c r="H120" i="61"/>
  <c r="I120" i="61"/>
  <c r="H119" i="66"/>
  <c r="I119" i="66"/>
  <c r="G124" i="41"/>
  <c r="D125" i="41"/>
  <c r="E125" i="41"/>
  <c r="H116" i="86"/>
  <c r="I116" i="86"/>
  <c r="H116" i="88"/>
  <c r="I116" i="88"/>
  <c r="I121" i="46"/>
  <c r="H121" i="46"/>
  <c r="H125" i="32"/>
  <c r="I125" i="32"/>
  <c r="B123" i="74"/>
  <c r="F123" i="74"/>
  <c r="G118" i="81"/>
  <c r="E119" i="81"/>
  <c r="D119" i="81"/>
  <c r="I121" i="58"/>
  <c r="H121" i="58"/>
  <c r="H125" i="18"/>
  <c r="I125" i="18"/>
  <c r="I126" i="23"/>
  <c r="H126" i="23"/>
  <c r="J117" i="83"/>
  <c r="B126" i="18"/>
  <c r="F126" i="18"/>
  <c r="I121" i="59"/>
  <c r="H121" i="59"/>
  <c r="G123" i="56"/>
  <c r="D124" i="56"/>
  <c r="E124" i="56"/>
  <c r="F122" i="59"/>
  <c r="B122" i="59"/>
  <c r="F127" i="23"/>
  <c r="B127" i="23"/>
  <c r="F123" i="57"/>
  <c r="B123" i="57"/>
  <c r="B127" i="71"/>
  <c r="F127" i="71"/>
  <c r="J121" i="54"/>
  <c r="J121" i="55"/>
  <c r="J138" i="35"/>
  <c r="I122" i="57"/>
  <c r="H122" i="57"/>
  <c r="J115" i="33"/>
  <c r="J115" i="13"/>
  <c r="H126" i="71"/>
  <c r="I126" i="71"/>
  <c r="G119" i="77"/>
  <c r="D120" i="77"/>
  <c r="E120" i="77"/>
  <c r="I125" i="17"/>
  <c r="H125" i="17"/>
  <c r="G126" i="24"/>
  <c r="D127" i="24"/>
  <c r="E127" i="24"/>
  <c r="H117" i="82"/>
  <c r="I117" i="82"/>
  <c r="B125" i="3"/>
  <c r="F125" i="3"/>
  <c r="F117" i="87"/>
  <c r="B117" i="87"/>
  <c r="D123" i="54"/>
  <c r="E123" i="54"/>
  <c r="G122" i="54"/>
  <c r="B117" i="96"/>
  <c r="B128" i="28"/>
  <c r="F128" i="28"/>
  <c r="G116" i="13"/>
  <c r="D117" i="13"/>
  <c r="E117" i="13" s="1"/>
  <c r="I139" i="35"/>
  <c r="H139" i="35"/>
  <c r="H117" i="95"/>
  <c r="I117" i="95"/>
  <c r="G116" i="33"/>
  <c r="D117" i="33"/>
  <c r="E117" i="33" s="1"/>
  <c r="F118" i="82"/>
  <c r="B118" i="82"/>
  <c r="I124" i="3"/>
  <c r="H124" i="3"/>
  <c r="I116" i="87"/>
  <c r="H116" i="87"/>
  <c r="J125" i="24"/>
  <c r="E126" i="21"/>
  <c r="D126" i="21"/>
  <c r="G125" i="21"/>
  <c r="J118" i="75"/>
  <c r="I116" i="96"/>
  <c r="H116" i="96"/>
  <c r="I127" i="28"/>
  <c r="H127" i="28"/>
  <c r="J116" i="93"/>
  <c r="I123" i="44"/>
  <c r="H123" i="44"/>
  <c r="D119" i="80"/>
  <c r="G118" i="80"/>
  <c r="E119" i="80"/>
  <c r="B126" i="17"/>
  <c r="F126" i="17"/>
  <c r="J118" i="77"/>
  <c r="J118" i="76"/>
  <c r="J124" i="21"/>
  <c r="D123" i="55"/>
  <c r="G122" i="55"/>
  <c r="E123" i="55"/>
  <c r="B120" i="67"/>
  <c r="F120" i="67"/>
  <c r="J117" i="80"/>
  <c r="E117" i="96"/>
  <c r="F117" i="96" s="1"/>
  <c r="B124" i="44"/>
  <c r="F124" i="44"/>
  <c r="B141" i="35"/>
  <c r="E141" i="35"/>
  <c r="F141" i="35" s="1"/>
  <c r="G140" i="35"/>
  <c r="D118" i="93"/>
  <c r="E118" i="93" s="1"/>
  <c r="G117" i="93"/>
  <c r="B118" i="95"/>
  <c r="F118" i="95"/>
  <c r="E120" i="75"/>
  <c r="D120" i="75"/>
  <c r="G119" i="75"/>
  <c r="H119" i="67"/>
  <c r="I119" i="67"/>
  <c r="D119" i="83"/>
  <c r="E119" i="83"/>
  <c r="G118" i="83"/>
  <c r="D120" i="76"/>
  <c r="G119" i="76"/>
  <c r="E120" i="76"/>
  <c r="E125" i="42"/>
  <c r="D125" i="42"/>
  <c r="G124" i="42"/>
  <c r="E37" i="25" l="1"/>
  <c r="F37" i="25" s="1"/>
  <c r="G37" i="25" s="1"/>
  <c r="I42" i="97"/>
  <c r="I38" i="99"/>
  <c r="F43" i="97"/>
  <c r="G43" i="97" s="1"/>
  <c r="D37" i="98"/>
  <c r="E37" i="98"/>
  <c r="H36" i="98"/>
  <c r="G36" i="98"/>
  <c r="F39" i="99"/>
  <c r="B39" i="99"/>
  <c r="H116" i="25"/>
  <c r="I116" i="25"/>
  <c r="E117" i="25"/>
  <c r="F117" i="25" s="1"/>
  <c r="B117" i="25"/>
  <c r="H116" i="99"/>
  <c r="I116" i="99"/>
  <c r="B117" i="99"/>
  <c r="F117" i="99"/>
  <c r="G47" i="70"/>
  <c r="I47" i="70" s="1"/>
  <c r="H45" i="17"/>
  <c r="I45" i="17" s="1"/>
  <c r="I40" i="65"/>
  <c r="G42" i="57"/>
  <c r="I42" i="57" s="1"/>
  <c r="H42" i="46"/>
  <c r="I42" i="46" s="1"/>
  <c r="J116" i="98"/>
  <c r="G117" i="94"/>
  <c r="D118" i="94"/>
  <c r="B118" i="94" s="1"/>
  <c r="J116" i="94"/>
  <c r="D118" i="98"/>
  <c r="G117" i="98"/>
  <c r="E118" i="98"/>
  <c r="J116" i="97"/>
  <c r="H117" i="26"/>
  <c r="I117" i="26"/>
  <c r="D118" i="97"/>
  <c r="E118" i="97" s="1"/>
  <c r="G117" i="97"/>
  <c r="E118" i="26"/>
  <c r="F118" i="26" s="1"/>
  <c r="B118" i="26"/>
  <c r="H37" i="89"/>
  <c r="I37" i="89" s="1"/>
  <c r="H39" i="80"/>
  <c r="I39" i="80" s="1"/>
  <c r="H39" i="76"/>
  <c r="I39" i="76" s="1"/>
  <c r="H41" i="67"/>
  <c r="I41" i="67" s="1"/>
  <c r="E42" i="67"/>
  <c r="D42" i="67"/>
  <c r="E43" i="46"/>
  <c r="D43" i="46"/>
  <c r="H46" i="24"/>
  <c r="I46" i="24" s="1"/>
  <c r="D47" i="24"/>
  <c r="E47" i="24"/>
  <c r="G41" i="60"/>
  <c r="I41" i="60" s="1"/>
  <c r="G45" i="22"/>
  <c r="I45" i="22" s="1"/>
  <c r="D37" i="93"/>
  <c r="E37" i="93"/>
  <c r="I37" i="26"/>
  <c r="H44" i="74"/>
  <c r="I44" i="74" s="1"/>
  <c r="H36" i="93"/>
  <c r="G36" i="93"/>
  <c r="H37" i="94"/>
  <c r="I37" i="94" s="1"/>
  <c r="D38" i="94"/>
  <c r="E38" i="94"/>
  <c r="B40" i="82"/>
  <c r="F40" i="82"/>
  <c r="H40" i="82" s="1"/>
  <c r="F39" i="86"/>
  <c r="B39" i="86"/>
  <c r="H39" i="78"/>
  <c r="I39" i="78" s="1"/>
  <c r="D40" i="80"/>
  <c r="E40" i="80"/>
  <c r="I38" i="86"/>
  <c r="G38" i="81"/>
  <c r="I38" i="81" s="1"/>
  <c r="G41" i="66"/>
  <c r="D42" i="66"/>
  <c r="E42" i="66"/>
  <c r="H38" i="84"/>
  <c r="E39" i="84"/>
  <c r="D39" i="84"/>
  <c r="B41" i="65"/>
  <c r="F41" i="65"/>
  <c r="H41" i="65" s="1"/>
  <c r="I43" i="58"/>
  <c r="G39" i="90"/>
  <c r="I39" i="90" s="1"/>
  <c r="E40" i="90"/>
  <c r="D40" i="90"/>
  <c r="F44" i="55"/>
  <c r="H44" i="55" s="1"/>
  <c r="B44" i="55"/>
  <c r="F45" i="42"/>
  <c r="G45" i="42" s="1"/>
  <c r="B45" i="42"/>
  <c r="G47" i="29"/>
  <c r="I47" i="29" s="1"/>
  <c r="E39" i="91"/>
  <c r="D39" i="91"/>
  <c r="G38" i="91"/>
  <c r="I38" i="91" s="1"/>
  <c r="F40" i="75"/>
  <c r="H40" i="75" s="1"/>
  <c r="B40" i="75"/>
  <c r="H41" i="66"/>
  <c r="G38" i="84"/>
  <c r="B44" i="58"/>
  <c r="F44" i="58"/>
  <c r="H42" i="53"/>
  <c r="I42" i="53" s="1"/>
  <c r="D43" i="53"/>
  <c r="E43" i="53"/>
  <c r="H47" i="23"/>
  <c r="G47" i="23"/>
  <c r="D48" i="23"/>
  <c r="E48" i="23" s="1"/>
  <c r="D45" i="44"/>
  <c r="E45" i="44"/>
  <c r="H41" i="61"/>
  <c r="I41" i="61" s="1"/>
  <c r="B43" i="72"/>
  <c r="F43" i="72"/>
  <c r="G43" i="72" s="1"/>
  <c r="F45" i="39"/>
  <c r="H45" i="39" s="1"/>
  <c r="B45" i="39"/>
  <c r="G44" i="44"/>
  <c r="E40" i="76"/>
  <c r="D40" i="76"/>
  <c r="D39" i="81"/>
  <c r="E39" i="81"/>
  <c r="D42" i="61"/>
  <c r="E42" i="61"/>
  <c r="B37" i="95"/>
  <c r="F37" i="95"/>
  <c r="G37" i="95" s="1"/>
  <c r="B39" i="85"/>
  <c r="F39" i="85"/>
  <c r="H39" i="85" s="1"/>
  <c r="H46" i="32"/>
  <c r="I46" i="32" s="1"/>
  <c r="G47" i="27"/>
  <c r="H47" i="27"/>
  <c r="D48" i="27"/>
  <c r="E48" i="27" s="1"/>
  <c r="H44" i="44"/>
  <c r="G36" i="96"/>
  <c r="I36" i="96" s="1"/>
  <c r="E37" i="96"/>
  <c r="D37" i="96"/>
  <c r="D46" i="22"/>
  <c r="E46" i="22" s="1"/>
  <c r="I44" i="20"/>
  <c r="I36" i="13"/>
  <c r="H45" i="43"/>
  <c r="I45" i="43" s="1"/>
  <c r="H39" i="77"/>
  <c r="I39" i="77" s="1"/>
  <c r="B47" i="71"/>
  <c r="F47" i="71"/>
  <c r="H47" i="71" s="1"/>
  <c r="B38" i="83"/>
  <c r="F38" i="83"/>
  <c r="F47" i="34"/>
  <c r="G47" i="34" s="1"/>
  <c r="B47" i="34"/>
  <c r="E40" i="79"/>
  <c r="D40" i="79"/>
  <c r="I57" i="35"/>
  <c r="G42" i="54"/>
  <c r="I42" i="54" s="1"/>
  <c r="E43" i="57"/>
  <c r="D43" i="57"/>
  <c r="I43" i="45"/>
  <c r="I47" i="69"/>
  <c r="D45" i="74"/>
  <c r="E45" i="74"/>
  <c r="H41" i="63"/>
  <c r="I41" i="63" s="1"/>
  <c r="E42" i="63"/>
  <c r="D42" i="63"/>
  <c r="G39" i="79"/>
  <c r="I39" i="79" s="1"/>
  <c r="D48" i="29"/>
  <c r="E48" i="29" s="1"/>
  <c r="D46" i="43"/>
  <c r="E46" i="43" s="1"/>
  <c r="B46" i="19"/>
  <c r="F46" i="19"/>
  <c r="G46" i="19" s="1"/>
  <c r="B49" i="28"/>
  <c r="F49" i="28"/>
  <c r="G49" i="28" s="1"/>
  <c r="G37" i="92"/>
  <c r="I37" i="92" s="1"/>
  <c r="E38" i="92"/>
  <c r="D38" i="92"/>
  <c r="B42" i="56"/>
  <c r="F42" i="56"/>
  <c r="D46" i="17"/>
  <c r="E46" i="17" s="1"/>
  <c r="F42" i="64"/>
  <c r="H42" i="64" s="1"/>
  <c r="B42" i="64"/>
  <c r="B47" i="30"/>
  <c r="F47" i="30"/>
  <c r="H47" i="30" s="1"/>
  <c r="D47" i="32"/>
  <c r="E47" i="32" s="1"/>
  <c r="F41" i="68"/>
  <c r="G41" i="68" s="1"/>
  <c r="B41" i="68"/>
  <c r="F44" i="45"/>
  <c r="B44" i="45"/>
  <c r="D40" i="77"/>
  <c r="E40" i="77"/>
  <c r="B48" i="31"/>
  <c r="F48" i="31"/>
  <c r="H48" i="31" s="1"/>
  <c r="E43" i="54"/>
  <c r="D43" i="54"/>
  <c r="F39" i="88"/>
  <c r="G39" i="88" s="1"/>
  <c r="B39" i="88"/>
  <c r="G45" i="21"/>
  <c r="I45" i="21" s="1"/>
  <c r="D46" i="21"/>
  <c r="E46" i="21"/>
  <c r="F46" i="3"/>
  <c r="G46" i="3" s="1"/>
  <c r="B46" i="3"/>
  <c r="G44" i="73"/>
  <c r="E45" i="73"/>
  <c r="H44" i="73"/>
  <c r="D45" i="73"/>
  <c r="H45" i="41"/>
  <c r="I45" i="41" s="1"/>
  <c r="E46" i="41"/>
  <c r="D46" i="41"/>
  <c r="E40" i="78"/>
  <c r="D40" i="78"/>
  <c r="I40" i="68"/>
  <c r="D48" i="70"/>
  <c r="E48" i="70" s="1"/>
  <c r="D42" i="60"/>
  <c r="E42" i="60"/>
  <c r="E38" i="89"/>
  <c r="D38" i="89"/>
  <c r="F48" i="69"/>
  <c r="H48" i="69" s="1"/>
  <c r="B48" i="69"/>
  <c r="J117" i="95"/>
  <c r="J126" i="30"/>
  <c r="J120" i="61"/>
  <c r="J116" i="86"/>
  <c r="J116" i="90"/>
  <c r="J124" i="34"/>
  <c r="J117" i="85"/>
  <c r="J116" i="84"/>
  <c r="J120" i="64"/>
  <c r="D47" i="18"/>
  <c r="E47" i="18" s="1"/>
  <c r="B39" i="33"/>
  <c r="F39" i="33"/>
  <c r="H39" i="33" s="1"/>
  <c r="F45" i="20"/>
  <c r="G45" i="20" s="1"/>
  <c r="B45" i="20"/>
  <c r="E42" i="59"/>
  <c r="D42" i="59"/>
  <c r="B38" i="26"/>
  <c r="F38" i="26"/>
  <c r="G38" i="26" s="1"/>
  <c r="B41" i="62"/>
  <c r="F41" i="62"/>
  <c r="H41" i="62" s="1"/>
  <c r="J126" i="69"/>
  <c r="J126" i="29"/>
  <c r="G41" i="59"/>
  <c r="I41" i="59" s="1"/>
  <c r="B38" i="87"/>
  <c r="F38" i="87"/>
  <c r="G38" i="87" s="1"/>
  <c r="J125" i="18"/>
  <c r="J118" i="79"/>
  <c r="J123" i="43"/>
  <c r="J123" i="39"/>
  <c r="J124" i="20"/>
  <c r="J118" i="78"/>
  <c r="J120" i="63"/>
  <c r="J124" i="19"/>
  <c r="J125" i="31"/>
  <c r="J121" i="72"/>
  <c r="G58" i="35"/>
  <c r="E59" i="35"/>
  <c r="F59" i="35" s="1"/>
  <c r="B59" i="35"/>
  <c r="H58" i="35"/>
  <c r="G46" i="18"/>
  <c r="I46" i="18" s="1"/>
  <c r="B37" i="13"/>
  <c r="F37" i="13"/>
  <c r="H37" i="13" s="1"/>
  <c r="J125" i="32"/>
  <c r="J116" i="88"/>
  <c r="J126" i="70"/>
  <c r="J126" i="27"/>
  <c r="I117" i="89"/>
  <c r="H117" i="89"/>
  <c r="J122" i="74"/>
  <c r="G126" i="32"/>
  <c r="D127" i="32"/>
  <c r="E127" i="32"/>
  <c r="G120" i="68"/>
  <c r="D121" i="68"/>
  <c r="E121" i="68"/>
  <c r="G122" i="72"/>
  <c r="D123" i="72"/>
  <c r="E123" i="72"/>
  <c r="D128" i="29"/>
  <c r="E128" i="29"/>
  <c r="G127" i="29"/>
  <c r="J120" i="60"/>
  <c r="I121" i="62"/>
  <c r="H121" i="62"/>
  <c r="D126" i="34"/>
  <c r="G125" i="34"/>
  <c r="E126" i="34"/>
  <c r="E120" i="79"/>
  <c r="G119" i="79"/>
  <c r="D120" i="79"/>
  <c r="D128" i="69"/>
  <c r="G127" i="69"/>
  <c r="E128" i="69"/>
  <c r="J119" i="68"/>
  <c r="I123" i="45"/>
  <c r="H123" i="45"/>
  <c r="D122" i="63"/>
  <c r="E122" i="63"/>
  <c r="G121" i="63"/>
  <c r="G125" i="20"/>
  <c r="D126" i="20"/>
  <c r="E126" i="20"/>
  <c r="H118" i="81"/>
  <c r="I118" i="81"/>
  <c r="B125" i="41"/>
  <c r="F125" i="41"/>
  <c r="F126" i="22"/>
  <c r="B126" i="22"/>
  <c r="E126" i="19"/>
  <c r="D126" i="19"/>
  <c r="G125" i="19"/>
  <c r="D127" i="31"/>
  <c r="E127" i="31"/>
  <c r="G126" i="31"/>
  <c r="G121" i="64"/>
  <c r="D122" i="64"/>
  <c r="E122" i="64"/>
  <c r="G117" i="86"/>
  <c r="D118" i="86"/>
  <c r="E118" i="86"/>
  <c r="G122" i="53"/>
  <c r="E123" i="53"/>
  <c r="D123" i="53"/>
  <c r="G117" i="90"/>
  <c r="D118" i="90"/>
  <c r="E118" i="90"/>
  <c r="D118" i="92"/>
  <c r="E118" i="92"/>
  <c r="G117" i="92"/>
  <c r="H124" i="73"/>
  <c r="I124" i="73"/>
  <c r="J125" i="17"/>
  <c r="J121" i="58"/>
  <c r="G123" i="74"/>
  <c r="D124" i="74"/>
  <c r="E124" i="74"/>
  <c r="I124" i="41"/>
  <c r="H124" i="41"/>
  <c r="D122" i="60"/>
  <c r="G121" i="60"/>
  <c r="E122" i="60"/>
  <c r="E125" i="39"/>
  <c r="G124" i="39"/>
  <c r="D125" i="39"/>
  <c r="B118" i="89"/>
  <c r="F118" i="89"/>
  <c r="E122" i="61"/>
  <c r="D122" i="61"/>
  <c r="G121" i="61"/>
  <c r="J120" i="65"/>
  <c r="G122" i="46"/>
  <c r="D123" i="46"/>
  <c r="E123" i="46"/>
  <c r="H117" i="91"/>
  <c r="I117" i="91"/>
  <c r="D121" i="66"/>
  <c r="G120" i="66"/>
  <c r="E121" i="66"/>
  <c r="D119" i="85"/>
  <c r="E119" i="85"/>
  <c r="G118" i="85"/>
  <c r="D128" i="70"/>
  <c r="E128" i="70"/>
  <c r="G127" i="70"/>
  <c r="B124" i="45"/>
  <c r="F124" i="45"/>
  <c r="F125" i="73"/>
  <c r="B125" i="73"/>
  <c r="J121" i="59"/>
  <c r="B119" i="81"/>
  <c r="F119" i="81"/>
  <c r="J121" i="46"/>
  <c r="J119" i="66"/>
  <c r="H125" i="22"/>
  <c r="I125" i="22"/>
  <c r="J121" i="53"/>
  <c r="D123" i="58"/>
  <c r="E123" i="58"/>
  <c r="G122" i="58"/>
  <c r="J116" i="92"/>
  <c r="D128" i="27"/>
  <c r="G127" i="27"/>
  <c r="E128" i="27"/>
  <c r="D118" i="84"/>
  <c r="E118" i="84"/>
  <c r="G117" i="84"/>
  <c r="G121" i="65"/>
  <c r="E122" i="65"/>
  <c r="D122" i="65"/>
  <c r="D125" i="43"/>
  <c r="E125" i="43"/>
  <c r="G124" i="43"/>
  <c r="F122" i="62"/>
  <c r="B122" i="62"/>
  <c r="B118" i="91"/>
  <c r="F118" i="91"/>
  <c r="G119" i="78"/>
  <c r="D120" i="78"/>
  <c r="E120" i="78"/>
  <c r="D118" i="88"/>
  <c r="E118" i="88"/>
  <c r="G117" i="88"/>
  <c r="D128" i="30"/>
  <c r="G127" i="30"/>
  <c r="E128" i="30"/>
  <c r="F124" i="56"/>
  <c r="B124" i="56"/>
  <c r="G127" i="23"/>
  <c r="E128" i="23"/>
  <c r="D128" i="23"/>
  <c r="I123" i="56"/>
  <c r="H123" i="56"/>
  <c r="G122" i="59"/>
  <c r="E123" i="59"/>
  <c r="D123" i="59"/>
  <c r="D127" i="18"/>
  <c r="E127" i="18"/>
  <c r="G126" i="18"/>
  <c r="J126" i="23"/>
  <c r="G123" i="57"/>
  <c r="E124" i="57"/>
  <c r="D124" i="57"/>
  <c r="J123" i="44"/>
  <c r="J116" i="96"/>
  <c r="J126" i="71"/>
  <c r="J122" i="57"/>
  <c r="G127" i="71"/>
  <c r="D128" i="71"/>
  <c r="E128" i="71"/>
  <c r="D118" i="96"/>
  <c r="E118" i="96" s="1"/>
  <c r="G117" i="96"/>
  <c r="H124" i="42"/>
  <c r="I124" i="42"/>
  <c r="H119" i="76"/>
  <c r="I119" i="76"/>
  <c r="I117" i="93"/>
  <c r="H117" i="93"/>
  <c r="F123" i="55"/>
  <c r="B123" i="55"/>
  <c r="F126" i="21"/>
  <c r="B126" i="21"/>
  <c r="J116" i="87"/>
  <c r="G118" i="82"/>
  <c r="D119" i="82"/>
  <c r="E119" i="82"/>
  <c r="J139" i="35"/>
  <c r="H116" i="13"/>
  <c r="I116" i="13"/>
  <c r="D129" i="28"/>
  <c r="G128" i="28"/>
  <c r="E129" i="28"/>
  <c r="H122" i="54"/>
  <c r="I122" i="54"/>
  <c r="G117" i="87"/>
  <c r="D118" i="87"/>
  <c r="E118" i="87"/>
  <c r="H126" i="24"/>
  <c r="I126" i="24"/>
  <c r="F125" i="42"/>
  <c r="B125" i="42"/>
  <c r="B120" i="76"/>
  <c r="F120" i="76"/>
  <c r="I118" i="83"/>
  <c r="H118" i="83"/>
  <c r="D125" i="44"/>
  <c r="G124" i="44"/>
  <c r="E125" i="44"/>
  <c r="G120" i="67"/>
  <c r="D121" i="67"/>
  <c r="E121" i="67"/>
  <c r="I118" i="80"/>
  <c r="H118" i="80"/>
  <c r="H116" i="33"/>
  <c r="I116" i="33"/>
  <c r="G125" i="3"/>
  <c r="D126" i="3"/>
  <c r="E126" i="3"/>
  <c r="F120" i="77"/>
  <c r="B120" i="77"/>
  <c r="I119" i="75"/>
  <c r="H119" i="75"/>
  <c r="G118" i="95"/>
  <c r="D119" i="95"/>
  <c r="E119" i="95" s="1"/>
  <c r="F118" i="93"/>
  <c r="B118" i="93"/>
  <c r="H140" i="35"/>
  <c r="I140" i="35"/>
  <c r="G126" i="17"/>
  <c r="D127" i="17"/>
  <c r="E127" i="17"/>
  <c r="F119" i="80"/>
  <c r="B119" i="80"/>
  <c r="J127" i="28"/>
  <c r="J124" i="3"/>
  <c r="F123" i="54"/>
  <c r="B123" i="54"/>
  <c r="I119" i="77"/>
  <c r="H119" i="77"/>
  <c r="B119" i="83"/>
  <c r="F119" i="83"/>
  <c r="J119" i="67"/>
  <c r="F120" i="75"/>
  <c r="B120" i="75"/>
  <c r="G141" i="35"/>
  <c r="B142" i="35"/>
  <c r="E142" i="35"/>
  <c r="F142" i="35" s="1"/>
  <c r="I122" i="55"/>
  <c r="H122" i="55"/>
  <c r="H125" i="21"/>
  <c r="I125" i="21"/>
  <c r="B117" i="33"/>
  <c r="F117" i="33"/>
  <c r="B117" i="13"/>
  <c r="F117" i="13"/>
  <c r="J117" i="82"/>
  <c r="B127" i="24"/>
  <c r="F127" i="24"/>
  <c r="D38" i="25" l="1"/>
  <c r="H37" i="25"/>
  <c r="I37" i="25" s="1"/>
  <c r="D44" i="97"/>
  <c r="E44" i="97" s="1"/>
  <c r="H43" i="97"/>
  <c r="I43" i="97" s="1"/>
  <c r="J116" i="25"/>
  <c r="J116" i="99"/>
  <c r="I36" i="98"/>
  <c r="D40" i="99"/>
  <c r="E40" i="99"/>
  <c r="H39" i="99"/>
  <c r="G39" i="99"/>
  <c r="B37" i="98"/>
  <c r="F37" i="98"/>
  <c r="G37" i="98" s="1"/>
  <c r="G117" i="25"/>
  <c r="D118" i="25"/>
  <c r="E118" i="99"/>
  <c r="D118" i="99"/>
  <c r="G117" i="99"/>
  <c r="J117" i="26"/>
  <c r="F118" i="94"/>
  <c r="D119" i="94" s="1"/>
  <c r="E119" i="94" s="1"/>
  <c r="H117" i="97"/>
  <c r="I117" i="97"/>
  <c r="D119" i="26"/>
  <c r="G118" i="26"/>
  <c r="F118" i="97"/>
  <c r="B118" i="97"/>
  <c r="F118" i="98"/>
  <c r="B118" i="98"/>
  <c r="H117" i="98"/>
  <c r="I117" i="98"/>
  <c r="I117" i="94"/>
  <c r="H117" i="94"/>
  <c r="G40" i="75"/>
  <c r="I40" i="75" s="1"/>
  <c r="I36" i="93"/>
  <c r="B42" i="67"/>
  <c r="F42" i="67"/>
  <c r="H42" i="67" s="1"/>
  <c r="I41" i="66"/>
  <c r="B43" i="46"/>
  <c r="F43" i="46"/>
  <c r="H43" i="46" s="1"/>
  <c r="F47" i="24"/>
  <c r="G47" i="24" s="1"/>
  <c r="B47" i="24"/>
  <c r="G48" i="31"/>
  <c r="I48" i="31" s="1"/>
  <c r="G47" i="71"/>
  <c r="I47" i="71" s="1"/>
  <c r="F40" i="80"/>
  <c r="B40" i="80"/>
  <c r="B38" i="94"/>
  <c r="F38" i="94"/>
  <c r="H38" i="94" s="1"/>
  <c r="F37" i="93"/>
  <c r="B37" i="93"/>
  <c r="H39" i="88"/>
  <c r="I39" i="88" s="1"/>
  <c r="G40" i="82"/>
  <c r="I40" i="82" s="1"/>
  <c r="D41" i="82"/>
  <c r="E41" i="82"/>
  <c r="H38" i="87"/>
  <c r="I38" i="87" s="1"/>
  <c r="I44" i="73"/>
  <c r="G39" i="86"/>
  <c r="H39" i="86"/>
  <c r="E40" i="86"/>
  <c r="D40" i="86"/>
  <c r="I44" i="44"/>
  <c r="H43" i="72"/>
  <c r="I43" i="72" s="1"/>
  <c r="I47" i="23"/>
  <c r="D45" i="58"/>
  <c r="E45" i="58" s="1"/>
  <c r="H44" i="58"/>
  <c r="G44" i="58"/>
  <c r="G41" i="65"/>
  <c r="I41" i="65" s="1"/>
  <c r="G47" i="30"/>
  <c r="I47" i="30" s="1"/>
  <c r="E41" i="75"/>
  <c r="D41" i="75"/>
  <c r="I38" i="84"/>
  <c r="B48" i="23"/>
  <c r="F48" i="23"/>
  <c r="F43" i="53"/>
  <c r="G43" i="53" s="1"/>
  <c r="B43" i="53"/>
  <c r="B39" i="91"/>
  <c r="F39" i="91"/>
  <c r="H39" i="91" s="1"/>
  <c r="G44" i="55"/>
  <c r="I44" i="55" s="1"/>
  <c r="D45" i="55"/>
  <c r="E45" i="55"/>
  <c r="H45" i="42"/>
  <c r="I45" i="42" s="1"/>
  <c r="E46" i="42"/>
  <c r="D46" i="42"/>
  <c r="F40" i="90"/>
  <c r="G40" i="90" s="1"/>
  <c r="B40" i="90"/>
  <c r="E42" i="65"/>
  <c r="D42" i="65"/>
  <c r="B39" i="84"/>
  <c r="F39" i="84"/>
  <c r="F42" i="66"/>
  <c r="G42" i="66" s="1"/>
  <c r="B42" i="66"/>
  <c r="G39" i="85"/>
  <c r="I39" i="85" s="1"/>
  <c r="D40" i="85"/>
  <c r="E40" i="85"/>
  <c r="E38" i="95"/>
  <c r="D38" i="95"/>
  <c r="F39" i="81"/>
  <c r="H39" i="81" s="1"/>
  <c r="B39" i="81"/>
  <c r="G39" i="33"/>
  <c r="I39" i="33" s="1"/>
  <c r="G48" i="69"/>
  <c r="I48" i="69" s="1"/>
  <c r="H41" i="68"/>
  <c r="I41" i="68" s="1"/>
  <c r="B37" i="96"/>
  <c r="F37" i="96"/>
  <c r="H37" i="96" s="1"/>
  <c r="B48" i="27"/>
  <c r="F48" i="27"/>
  <c r="E46" i="39"/>
  <c r="D46" i="39"/>
  <c r="B45" i="44"/>
  <c r="F45" i="44"/>
  <c r="H45" i="44" s="1"/>
  <c r="B46" i="22"/>
  <c r="F46" i="22"/>
  <c r="H46" i="22" s="1"/>
  <c r="B40" i="76"/>
  <c r="F40" i="76"/>
  <c r="G40" i="76" s="1"/>
  <c r="G37" i="13"/>
  <c r="I37" i="13" s="1"/>
  <c r="I47" i="27"/>
  <c r="H37" i="95"/>
  <c r="I37" i="95" s="1"/>
  <c r="B42" i="61"/>
  <c r="F42" i="61"/>
  <c r="H42" i="61" s="1"/>
  <c r="G45" i="39"/>
  <c r="I45" i="39" s="1"/>
  <c r="D44" i="72"/>
  <c r="E44" i="72"/>
  <c r="F42" i="60"/>
  <c r="H42" i="60" s="1"/>
  <c r="B42" i="60"/>
  <c r="D47" i="3"/>
  <c r="E47" i="3" s="1"/>
  <c r="D43" i="56"/>
  <c r="E43" i="56"/>
  <c r="B38" i="92"/>
  <c r="F38" i="92"/>
  <c r="G38" i="92" s="1"/>
  <c r="E50" i="28"/>
  <c r="D50" i="28"/>
  <c r="B43" i="57"/>
  <c r="F43" i="57"/>
  <c r="G43" i="57" s="1"/>
  <c r="D39" i="83"/>
  <c r="E39" i="83"/>
  <c r="G41" i="62"/>
  <c r="I41" i="62" s="1"/>
  <c r="D49" i="69"/>
  <c r="E49" i="69" s="1"/>
  <c r="B40" i="78"/>
  <c r="F40" i="78"/>
  <c r="H40" i="78" s="1"/>
  <c r="B45" i="73"/>
  <c r="F45" i="73"/>
  <c r="G45" i="73" s="1"/>
  <c r="G44" i="45"/>
  <c r="D45" i="45"/>
  <c r="E45" i="45" s="1"/>
  <c r="F47" i="32"/>
  <c r="G47" i="32" s="1"/>
  <c r="B47" i="32"/>
  <c r="F46" i="17"/>
  <c r="H46" i="17" s="1"/>
  <c r="B46" i="17"/>
  <c r="C55" i="17"/>
  <c r="D47" i="19"/>
  <c r="E47" i="19" s="1"/>
  <c r="F42" i="63"/>
  <c r="H42" i="63" s="1"/>
  <c r="B42" i="63"/>
  <c r="B45" i="74"/>
  <c r="F45" i="74"/>
  <c r="H45" i="74" s="1"/>
  <c r="F40" i="79"/>
  <c r="G40" i="79" s="1"/>
  <c r="B40" i="79"/>
  <c r="B38" i="89"/>
  <c r="F38" i="89"/>
  <c r="H38" i="89" s="1"/>
  <c r="F48" i="70"/>
  <c r="H48" i="70" s="1"/>
  <c r="B48" i="70"/>
  <c r="B46" i="41"/>
  <c r="F46" i="41"/>
  <c r="H46" i="41" s="1"/>
  <c r="F46" i="21"/>
  <c r="H46" i="21" s="1"/>
  <c r="B46" i="21"/>
  <c r="E40" i="88"/>
  <c r="D40" i="88"/>
  <c r="D49" i="31"/>
  <c r="E49" i="31" s="1"/>
  <c r="B40" i="77"/>
  <c r="F40" i="77"/>
  <c r="G40" i="77" s="1"/>
  <c r="D42" i="68"/>
  <c r="E42" i="68"/>
  <c r="D43" i="64"/>
  <c r="E43" i="64"/>
  <c r="G42" i="56"/>
  <c r="H49" i="28"/>
  <c r="I49" i="28" s="1"/>
  <c r="B48" i="29"/>
  <c r="F48" i="29"/>
  <c r="H48" i="29" s="1"/>
  <c r="D48" i="34"/>
  <c r="E48" i="34" s="1"/>
  <c r="H47" i="34"/>
  <c r="I47" i="34" s="1"/>
  <c r="G38" i="83"/>
  <c r="H46" i="3"/>
  <c r="I46" i="3" s="1"/>
  <c r="B43" i="54"/>
  <c r="F43" i="54"/>
  <c r="H43" i="54" s="1"/>
  <c r="H44" i="45"/>
  <c r="D48" i="30"/>
  <c r="E48" i="30" s="1"/>
  <c r="G42" i="64"/>
  <c r="I42" i="64" s="1"/>
  <c r="H42" i="56"/>
  <c r="H46" i="19"/>
  <c r="I46" i="19" s="1"/>
  <c r="F46" i="43"/>
  <c r="H46" i="43" s="1"/>
  <c r="B46" i="43"/>
  <c r="H38" i="83"/>
  <c r="D48" i="71"/>
  <c r="E48" i="71" s="1"/>
  <c r="J123" i="45"/>
  <c r="J121" i="62"/>
  <c r="J118" i="80"/>
  <c r="J117" i="91"/>
  <c r="J124" i="41"/>
  <c r="J122" i="54"/>
  <c r="J125" i="22"/>
  <c r="J124" i="73"/>
  <c r="D39" i="26"/>
  <c r="E39" i="26" s="1"/>
  <c r="D46" i="20"/>
  <c r="E46" i="20" s="1"/>
  <c r="J119" i="75"/>
  <c r="H59" i="35"/>
  <c r="B60" i="35"/>
  <c r="E60" i="35"/>
  <c r="F60" i="35" s="1"/>
  <c r="G59" i="35"/>
  <c r="B42" i="59"/>
  <c r="F42" i="59"/>
  <c r="H42" i="59" s="1"/>
  <c r="D38" i="13"/>
  <c r="E38" i="13" s="1"/>
  <c r="I58" i="35"/>
  <c r="E39" i="87"/>
  <c r="D39" i="87"/>
  <c r="E42" i="62"/>
  <c r="D42" i="62"/>
  <c r="H38" i="26"/>
  <c r="I38" i="26" s="1"/>
  <c r="H45" i="20"/>
  <c r="I45" i="20" s="1"/>
  <c r="D40" i="33"/>
  <c r="E40" i="33" s="1"/>
  <c r="F47" i="18"/>
  <c r="H47" i="18" s="1"/>
  <c r="B47" i="18"/>
  <c r="H119" i="78"/>
  <c r="I119" i="78"/>
  <c r="E123" i="62"/>
  <c r="G122" i="62"/>
  <c r="D123" i="62"/>
  <c r="B122" i="65"/>
  <c r="F122" i="65"/>
  <c r="F128" i="27"/>
  <c r="B128" i="27"/>
  <c r="F123" i="58"/>
  <c r="B123" i="58"/>
  <c r="H118" i="85"/>
  <c r="I118" i="85"/>
  <c r="H120" i="66"/>
  <c r="I120" i="66"/>
  <c r="I121" i="61"/>
  <c r="H121" i="61"/>
  <c r="I117" i="92"/>
  <c r="H117" i="92"/>
  <c r="B118" i="90"/>
  <c r="F118" i="90"/>
  <c r="I122" i="53"/>
  <c r="H122" i="53"/>
  <c r="F126" i="20"/>
  <c r="B126" i="20"/>
  <c r="F122" i="63"/>
  <c r="B122" i="63"/>
  <c r="I119" i="79"/>
  <c r="H119" i="79"/>
  <c r="B126" i="34"/>
  <c r="F126" i="34"/>
  <c r="I127" i="29"/>
  <c r="H127" i="29"/>
  <c r="B123" i="72"/>
  <c r="F123" i="72"/>
  <c r="H120" i="68"/>
  <c r="I120" i="68"/>
  <c r="I127" i="30"/>
  <c r="H127" i="30"/>
  <c r="B118" i="88"/>
  <c r="F118" i="88"/>
  <c r="D119" i="91"/>
  <c r="E119" i="91"/>
  <c r="G118" i="91"/>
  <c r="I124" i="43"/>
  <c r="H124" i="43"/>
  <c r="B118" i="84"/>
  <c r="F118" i="84"/>
  <c r="H127" i="70"/>
  <c r="I127" i="70"/>
  <c r="B121" i="66"/>
  <c r="F121" i="66"/>
  <c r="B123" i="46"/>
  <c r="F123" i="46"/>
  <c r="B122" i="61"/>
  <c r="F122" i="61"/>
  <c r="B125" i="39"/>
  <c r="F125" i="39"/>
  <c r="H121" i="60"/>
  <c r="I121" i="60"/>
  <c r="I117" i="90"/>
  <c r="H117" i="90"/>
  <c r="B122" i="64"/>
  <c r="F122" i="64"/>
  <c r="B127" i="31"/>
  <c r="F127" i="31"/>
  <c r="J118" i="81"/>
  <c r="H125" i="20"/>
  <c r="I125" i="20"/>
  <c r="H127" i="69"/>
  <c r="I127" i="69"/>
  <c r="I122" i="72"/>
  <c r="H122" i="72"/>
  <c r="B128" i="30"/>
  <c r="F128" i="30"/>
  <c r="I121" i="65"/>
  <c r="H121" i="65"/>
  <c r="H122" i="58"/>
  <c r="I122" i="58"/>
  <c r="D120" i="81"/>
  <c r="G119" i="81"/>
  <c r="E120" i="81"/>
  <c r="G125" i="73"/>
  <c r="D126" i="73"/>
  <c r="E126" i="73"/>
  <c r="B119" i="85"/>
  <c r="F119" i="85"/>
  <c r="H122" i="46"/>
  <c r="I122" i="46"/>
  <c r="I124" i="39"/>
  <c r="H124" i="39"/>
  <c r="F122" i="60"/>
  <c r="B122" i="60"/>
  <c r="B124" i="74"/>
  <c r="F124" i="74"/>
  <c r="B118" i="92"/>
  <c r="F118" i="92"/>
  <c r="F123" i="53"/>
  <c r="B123" i="53"/>
  <c r="F118" i="86"/>
  <c r="B118" i="86"/>
  <c r="H121" i="64"/>
  <c r="I121" i="64"/>
  <c r="I125" i="19"/>
  <c r="H125" i="19"/>
  <c r="D127" i="22"/>
  <c r="E127" i="22"/>
  <c r="G126" i="22"/>
  <c r="I121" i="63"/>
  <c r="H121" i="63"/>
  <c r="F128" i="69"/>
  <c r="B128" i="69"/>
  <c r="F128" i="29"/>
  <c r="B128" i="29"/>
  <c r="F127" i="32"/>
  <c r="B127" i="32"/>
  <c r="J122" i="55"/>
  <c r="I117" i="88"/>
  <c r="H117" i="88"/>
  <c r="B120" i="78"/>
  <c r="F120" i="78"/>
  <c r="F125" i="43"/>
  <c r="B125" i="43"/>
  <c r="H117" i="84"/>
  <c r="I117" i="84"/>
  <c r="H127" i="27"/>
  <c r="I127" i="27"/>
  <c r="G124" i="45"/>
  <c r="D125" i="45"/>
  <c r="E125" i="45"/>
  <c r="B128" i="70"/>
  <c r="F128" i="70"/>
  <c r="E119" i="89"/>
  <c r="D119" i="89"/>
  <c r="G118" i="89"/>
  <c r="H123" i="74"/>
  <c r="I123" i="74"/>
  <c r="I117" i="86"/>
  <c r="H117" i="86"/>
  <c r="H126" i="31"/>
  <c r="I126" i="31"/>
  <c r="F126" i="19"/>
  <c r="B126" i="19"/>
  <c r="G125" i="41"/>
  <c r="E126" i="41"/>
  <c r="D126" i="41"/>
  <c r="B120" i="79"/>
  <c r="F120" i="79"/>
  <c r="H125" i="34"/>
  <c r="I125" i="34"/>
  <c r="B121" i="68"/>
  <c r="F121" i="68"/>
  <c r="H126" i="32"/>
  <c r="I126" i="32"/>
  <c r="J117" i="89"/>
  <c r="J123" i="56"/>
  <c r="F127" i="18"/>
  <c r="B127" i="18"/>
  <c r="I122" i="59"/>
  <c r="H122" i="59"/>
  <c r="F128" i="23"/>
  <c r="B128" i="23"/>
  <c r="D125" i="56"/>
  <c r="E125" i="56"/>
  <c r="G124" i="56"/>
  <c r="J125" i="21"/>
  <c r="J140" i="35"/>
  <c r="J116" i="33"/>
  <c r="H126" i="18"/>
  <c r="I126" i="18"/>
  <c r="F123" i="59"/>
  <c r="B123" i="59"/>
  <c r="H127" i="23"/>
  <c r="I127" i="23"/>
  <c r="I127" i="71"/>
  <c r="H127" i="71"/>
  <c r="F124" i="57"/>
  <c r="B124" i="57"/>
  <c r="J117" i="93"/>
  <c r="J124" i="42"/>
  <c r="B128" i="71"/>
  <c r="F128" i="71"/>
  <c r="H123" i="57"/>
  <c r="I123" i="57"/>
  <c r="B127" i="17"/>
  <c r="F127" i="17"/>
  <c r="F126" i="3"/>
  <c r="B126" i="3"/>
  <c r="G125" i="42"/>
  <c r="D126" i="42"/>
  <c r="E126" i="42"/>
  <c r="B129" i="28"/>
  <c r="F129" i="28"/>
  <c r="I118" i="82"/>
  <c r="H118" i="82"/>
  <c r="B118" i="96"/>
  <c r="F118" i="96"/>
  <c r="D128" i="24"/>
  <c r="G127" i="24"/>
  <c r="E128" i="24"/>
  <c r="D118" i="13"/>
  <c r="G117" i="13"/>
  <c r="E143" i="35"/>
  <c r="F143" i="35" s="1"/>
  <c r="G142" i="35"/>
  <c r="B143" i="35"/>
  <c r="H126" i="17"/>
  <c r="I126" i="17"/>
  <c r="D119" i="93"/>
  <c r="G118" i="93"/>
  <c r="I125" i="3"/>
  <c r="H125" i="3"/>
  <c r="I124" i="44"/>
  <c r="H124" i="44"/>
  <c r="D121" i="76"/>
  <c r="E121" i="76"/>
  <c r="G120" i="76"/>
  <c r="B118" i="87"/>
  <c r="F118" i="87"/>
  <c r="J116" i="13"/>
  <c r="G123" i="55"/>
  <c r="E124" i="55"/>
  <c r="D124" i="55"/>
  <c r="D118" i="33"/>
  <c r="E118" i="33" s="1"/>
  <c r="G117" i="33"/>
  <c r="D120" i="80"/>
  <c r="G119" i="80"/>
  <c r="E120" i="80"/>
  <c r="F119" i="95"/>
  <c r="B119" i="95"/>
  <c r="B121" i="67"/>
  <c r="F121" i="67"/>
  <c r="B125" i="44"/>
  <c r="F125" i="44"/>
  <c r="J118" i="83"/>
  <c r="J126" i="24"/>
  <c r="H117" i="87"/>
  <c r="I117" i="87"/>
  <c r="J119" i="76"/>
  <c r="H117" i="96"/>
  <c r="I117" i="96"/>
  <c r="I141" i="35"/>
  <c r="H141" i="35"/>
  <c r="D121" i="75"/>
  <c r="G120" i="75"/>
  <c r="E121" i="75"/>
  <c r="D120" i="83"/>
  <c r="G119" i="83"/>
  <c r="E120" i="83"/>
  <c r="J119" i="77"/>
  <c r="D124" i="54"/>
  <c r="G123" i="54"/>
  <c r="E124" i="54"/>
  <c r="I118" i="95"/>
  <c r="H118" i="95"/>
  <c r="E121" i="77"/>
  <c r="G120" i="77"/>
  <c r="D121" i="77"/>
  <c r="H120" i="67"/>
  <c r="I120" i="67"/>
  <c r="H128" i="28"/>
  <c r="I128" i="28"/>
  <c r="B119" i="82"/>
  <c r="F119" i="82"/>
  <c r="G126" i="21"/>
  <c r="E127" i="21"/>
  <c r="D127" i="21"/>
  <c r="F44" i="97" l="1"/>
  <c r="D45" i="97" s="1"/>
  <c r="E38" i="25"/>
  <c r="F38" i="25" s="1"/>
  <c r="B38" i="25"/>
  <c r="B44" i="97"/>
  <c r="I44" i="45"/>
  <c r="B119" i="94"/>
  <c r="F119" i="94"/>
  <c r="G119" i="94" s="1"/>
  <c r="G118" i="94"/>
  <c r="I118" i="94" s="1"/>
  <c r="I38" i="83"/>
  <c r="H37" i="98"/>
  <c r="I37" i="98" s="1"/>
  <c r="I39" i="99"/>
  <c r="E45" i="97"/>
  <c r="F45" i="97" s="1"/>
  <c r="D46" i="97" s="1"/>
  <c r="B45" i="97"/>
  <c r="D38" i="98"/>
  <c r="E38" i="98"/>
  <c r="H44" i="97"/>
  <c r="G44" i="97"/>
  <c r="B40" i="99"/>
  <c r="F40" i="99"/>
  <c r="D41" i="99" s="1"/>
  <c r="E118" i="25"/>
  <c r="F118" i="25" s="1"/>
  <c r="B118" i="25"/>
  <c r="H117" i="25"/>
  <c r="I117" i="25"/>
  <c r="H117" i="99"/>
  <c r="I117" i="99"/>
  <c r="F118" i="99"/>
  <c r="B118" i="99"/>
  <c r="I39" i="86"/>
  <c r="G46" i="17"/>
  <c r="I46" i="17" s="1"/>
  <c r="J117" i="98"/>
  <c r="G38" i="94"/>
  <c r="I38" i="94" s="1"/>
  <c r="H47" i="24"/>
  <c r="I47" i="24" s="1"/>
  <c r="J117" i="97"/>
  <c r="H118" i="26"/>
  <c r="I118" i="26"/>
  <c r="D119" i="98"/>
  <c r="G118" i="98"/>
  <c r="E119" i="98"/>
  <c r="J117" i="94"/>
  <c r="E119" i="26"/>
  <c r="F119" i="26" s="1"/>
  <c r="B119" i="26"/>
  <c r="D119" i="97"/>
  <c r="G118" i="97"/>
  <c r="E119" i="97"/>
  <c r="H40" i="90"/>
  <c r="I40" i="90" s="1"/>
  <c r="H40" i="77"/>
  <c r="I40" i="77" s="1"/>
  <c r="G42" i="67"/>
  <c r="I42" i="67" s="1"/>
  <c r="E43" i="67"/>
  <c r="D43" i="67"/>
  <c r="G42" i="60"/>
  <c r="I42" i="60" s="1"/>
  <c r="I42" i="56"/>
  <c r="G43" i="46"/>
  <c r="I43" i="46" s="1"/>
  <c r="E44" i="46"/>
  <c r="D44" i="46"/>
  <c r="E48" i="24"/>
  <c r="D48" i="24"/>
  <c r="F40" i="86"/>
  <c r="B40" i="86"/>
  <c r="G47" i="18"/>
  <c r="I47" i="18" s="1"/>
  <c r="G42" i="63"/>
  <c r="I42" i="63" s="1"/>
  <c r="E38" i="93"/>
  <c r="D38" i="93"/>
  <c r="H40" i="80"/>
  <c r="E41" i="80"/>
  <c r="D41" i="80"/>
  <c r="G37" i="96"/>
  <c r="I37" i="96" s="1"/>
  <c r="G39" i="81"/>
  <c r="I39" i="81" s="1"/>
  <c r="G37" i="93"/>
  <c r="G46" i="43"/>
  <c r="I46" i="43" s="1"/>
  <c r="F41" i="82"/>
  <c r="H41" i="82" s="1"/>
  <c r="B41" i="82"/>
  <c r="H37" i="93"/>
  <c r="E39" i="94"/>
  <c r="D39" i="94"/>
  <c r="G40" i="80"/>
  <c r="G43" i="54"/>
  <c r="I43" i="54" s="1"/>
  <c r="G45" i="44"/>
  <c r="I45" i="44" s="1"/>
  <c r="H39" i="84"/>
  <c r="E40" i="84"/>
  <c r="D40" i="84"/>
  <c r="F46" i="42"/>
  <c r="G46" i="42" s="1"/>
  <c r="B46" i="42"/>
  <c r="B45" i="55"/>
  <c r="F45" i="55"/>
  <c r="G45" i="55" s="1"/>
  <c r="G48" i="23"/>
  <c r="H48" i="23"/>
  <c r="D49" i="23"/>
  <c r="E49" i="23" s="1"/>
  <c r="F45" i="58"/>
  <c r="B45" i="58"/>
  <c r="H42" i="66"/>
  <c r="I42" i="66" s="1"/>
  <c r="E43" i="66"/>
  <c r="D43" i="66"/>
  <c r="B42" i="65"/>
  <c r="F42" i="65"/>
  <c r="H42" i="65" s="1"/>
  <c r="G39" i="91"/>
  <c r="I39" i="91" s="1"/>
  <c r="E40" i="91"/>
  <c r="D40" i="91"/>
  <c r="I44" i="58"/>
  <c r="G48" i="29"/>
  <c r="I48" i="29" s="1"/>
  <c r="G39" i="84"/>
  <c r="D41" i="90"/>
  <c r="E41" i="90"/>
  <c r="H43" i="53"/>
  <c r="I43" i="53" s="1"/>
  <c r="E44" i="53"/>
  <c r="D44" i="53"/>
  <c r="B41" i="75"/>
  <c r="F41" i="75"/>
  <c r="H41" i="75" s="1"/>
  <c r="D47" i="22"/>
  <c r="E47" i="22" s="1"/>
  <c r="F40" i="85"/>
  <c r="G40" i="85" s="1"/>
  <c r="B40" i="85"/>
  <c r="B46" i="39"/>
  <c r="F46" i="39"/>
  <c r="H46" i="39" s="1"/>
  <c r="G46" i="41"/>
  <c r="I46" i="41" s="1"/>
  <c r="G48" i="70"/>
  <c r="I48" i="70" s="1"/>
  <c r="G45" i="74"/>
  <c r="I45" i="74" s="1"/>
  <c r="B44" i="72"/>
  <c r="F44" i="72"/>
  <c r="G44" i="72" s="1"/>
  <c r="G48" i="27"/>
  <c r="D49" i="27"/>
  <c r="E49" i="27"/>
  <c r="H48" i="27"/>
  <c r="D38" i="96"/>
  <c r="E38" i="96"/>
  <c r="E40" i="81"/>
  <c r="D40" i="81"/>
  <c r="B38" i="95"/>
  <c r="F38" i="95"/>
  <c r="H38" i="95" s="1"/>
  <c r="E43" i="61"/>
  <c r="D43" i="61"/>
  <c r="G46" i="21"/>
  <c r="I46" i="21" s="1"/>
  <c r="G42" i="61"/>
  <c r="I42" i="61" s="1"/>
  <c r="H40" i="76"/>
  <c r="I40" i="76" s="1"/>
  <c r="D41" i="76"/>
  <c r="E41" i="76"/>
  <c r="G46" i="22"/>
  <c r="I46" i="22" s="1"/>
  <c r="D46" i="44"/>
  <c r="E46" i="44" s="1"/>
  <c r="B48" i="71"/>
  <c r="F48" i="71"/>
  <c r="G48" i="71" s="1"/>
  <c r="F48" i="30"/>
  <c r="H48" i="30" s="1"/>
  <c r="B48" i="30"/>
  <c r="F48" i="34"/>
  <c r="B48" i="34"/>
  <c r="F43" i="64"/>
  <c r="G43" i="64" s="1"/>
  <c r="B43" i="64"/>
  <c r="F49" i="31"/>
  <c r="H49" i="31" s="1"/>
  <c r="B49" i="31"/>
  <c r="H40" i="79"/>
  <c r="I40" i="79" s="1"/>
  <c r="B47" i="19"/>
  <c r="F47" i="19"/>
  <c r="H47" i="19" s="1"/>
  <c r="H47" i="32"/>
  <c r="I47" i="32" s="1"/>
  <c r="B45" i="45"/>
  <c r="F45" i="45"/>
  <c r="H45" i="45" s="1"/>
  <c r="B50" i="28"/>
  <c r="F50" i="28"/>
  <c r="G50" i="28" s="1"/>
  <c r="E39" i="92"/>
  <c r="D39" i="92"/>
  <c r="G42" i="59"/>
  <c r="I42" i="59" s="1"/>
  <c r="I59" i="35"/>
  <c r="E44" i="54"/>
  <c r="D44" i="54"/>
  <c r="E41" i="77"/>
  <c r="D41" i="77"/>
  <c r="F40" i="88"/>
  <c r="H40" i="88" s="1"/>
  <c r="B40" i="88"/>
  <c r="D47" i="41"/>
  <c r="E47" i="41"/>
  <c r="D46" i="74"/>
  <c r="E46" i="74" s="1"/>
  <c r="H45" i="73"/>
  <c r="I45" i="73" s="1"/>
  <c r="F49" i="69"/>
  <c r="B49" i="69"/>
  <c r="H43" i="57"/>
  <c r="I43" i="57" s="1"/>
  <c r="D44" i="57"/>
  <c r="E44" i="57"/>
  <c r="B47" i="3"/>
  <c r="F47" i="3"/>
  <c r="H47" i="3" s="1"/>
  <c r="D49" i="29"/>
  <c r="E49" i="29"/>
  <c r="F42" i="68"/>
  <c r="G42" i="68" s="1"/>
  <c r="B42" i="68"/>
  <c r="D47" i="21"/>
  <c r="E47" i="21"/>
  <c r="D49" i="70"/>
  <c r="E49" i="70" s="1"/>
  <c r="E43" i="63"/>
  <c r="D43" i="63"/>
  <c r="G40" i="78"/>
  <c r="I40" i="78" s="1"/>
  <c r="E41" i="78"/>
  <c r="D41" i="78"/>
  <c r="F39" i="83"/>
  <c r="G39" i="83" s="1"/>
  <c r="B39" i="83"/>
  <c r="H38" i="92"/>
  <c r="I38" i="92" s="1"/>
  <c r="E43" i="60"/>
  <c r="D43" i="60"/>
  <c r="E47" i="43"/>
  <c r="D47" i="43"/>
  <c r="G38" i="89"/>
  <c r="I38" i="89" s="1"/>
  <c r="D39" i="89"/>
  <c r="E39" i="89"/>
  <c r="D41" i="79"/>
  <c r="E41" i="79"/>
  <c r="D47" i="17"/>
  <c r="E47" i="17" s="1"/>
  <c r="D48" i="32"/>
  <c r="E48" i="32" s="1"/>
  <c r="E46" i="73"/>
  <c r="D46" i="73"/>
  <c r="B43" i="56"/>
  <c r="F43" i="56"/>
  <c r="G43" i="56" s="1"/>
  <c r="J117" i="86"/>
  <c r="J117" i="88"/>
  <c r="J124" i="39"/>
  <c r="J125" i="3"/>
  <c r="J126" i="31"/>
  <c r="J123" i="74"/>
  <c r="J125" i="20"/>
  <c r="J120" i="68"/>
  <c r="J118" i="85"/>
  <c r="J125" i="19"/>
  <c r="J121" i="60"/>
  <c r="F40" i="33"/>
  <c r="B40" i="33"/>
  <c r="F38" i="13"/>
  <c r="H38" i="13" s="1"/>
  <c r="B38" i="13"/>
  <c r="B61" i="35"/>
  <c r="G60" i="35"/>
  <c r="H60" i="35"/>
  <c r="E61" i="35"/>
  <c r="F61" i="35" s="1"/>
  <c r="F46" i="20"/>
  <c r="G46" i="20" s="1"/>
  <c r="B46" i="20"/>
  <c r="J127" i="29"/>
  <c r="F42" i="62"/>
  <c r="B42" i="62"/>
  <c r="F39" i="87"/>
  <c r="H39" i="87" s="1"/>
  <c r="B39" i="87"/>
  <c r="E43" i="59"/>
  <c r="D43" i="59"/>
  <c r="J127" i="23"/>
  <c r="J126" i="18"/>
  <c r="J126" i="32"/>
  <c r="J125" i="34"/>
  <c r="J127" i="70"/>
  <c r="J127" i="30"/>
  <c r="J122" i="53"/>
  <c r="J117" i="92"/>
  <c r="J119" i="78"/>
  <c r="E48" i="18"/>
  <c r="D48" i="18"/>
  <c r="F39" i="26"/>
  <c r="B39" i="26"/>
  <c r="D122" i="68"/>
  <c r="E122" i="68"/>
  <c r="G121" i="68"/>
  <c r="G120" i="79"/>
  <c r="E121" i="79"/>
  <c r="D121" i="79"/>
  <c r="H125" i="41"/>
  <c r="I125" i="41"/>
  <c r="E129" i="70"/>
  <c r="G128" i="70"/>
  <c r="D129" i="70"/>
  <c r="H124" i="45"/>
  <c r="I124" i="45"/>
  <c r="H126" i="22"/>
  <c r="I126" i="22"/>
  <c r="G118" i="86"/>
  <c r="D119" i="86"/>
  <c r="E119" i="86"/>
  <c r="D123" i="60"/>
  <c r="E123" i="60"/>
  <c r="G122" i="60"/>
  <c r="F126" i="73"/>
  <c r="B126" i="73"/>
  <c r="F120" i="81"/>
  <c r="B120" i="81"/>
  <c r="J121" i="65"/>
  <c r="J122" i="72"/>
  <c r="G122" i="64"/>
  <c r="D123" i="64"/>
  <c r="E123" i="64"/>
  <c r="E123" i="61"/>
  <c r="G122" i="61"/>
  <c r="D123" i="61"/>
  <c r="D122" i="66"/>
  <c r="G121" i="66"/>
  <c r="E122" i="66"/>
  <c r="G118" i="84"/>
  <c r="D119" i="84"/>
  <c r="E119" i="84"/>
  <c r="I118" i="91"/>
  <c r="H118" i="91"/>
  <c r="J119" i="79"/>
  <c r="E127" i="20"/>
  <c r="G126" i="20"/>
  <c r="D127" i="20"/>
  <c r="J121" i="61"/>
  <c r="G128" i="27"/>
  <c r="E129" i="27"/>
  <c r="D129" i="27"/>
  <c r="I122" i="62"/>
  <c r="H122" i="62"/>
  <c r="J128" i="28"/>
  <c r="I118" i="89"/>
  <c r="H118" i="89"/>
  <c r="J127" i="27"/>
  <c r="D128" i="32"/>
  <c r="E128" i="32"/>
  <c r="G127" i="32"/>
  <c r="D129" i="69"/>
  <c r="G128" i="69"/>
  <c r="E129" i="69"/>
  <c r="J121" i="64"/>
  <c r="G124" i="74"/>
  <c r="D125" i="74"/>
  <c r="E125" i="74"/>
  <c r="D120" i="85"/>
  <c r="E120" i="85"/>
  <c r="G119" i="85"/>
  <c r="H125" i="73"/>
  <c r="I125" i="73"/>
  <c r="J122" i="58"/>
  <c r="E129" i="30"/>
  <c r="G128" i="30"/>
  <c r="D129" i="30"/>
  <c r="J127" i="69"/>
  <c r="E124" i="72"/>
  <c r="G123" i="72"/>
  <c r="D124" i="72"/>
  <c r="D127" i="34"/>
  <c r="G126" i="34"/>
  <c r="E127" i="34"/>
  <c r="J120" i="66"/>
  <c r="E123" i="65"/>
  <c r="D123" i="65"/>
  <c r="G122" i="65"/>
  <c r="F126" i="41"/>
  <c r="B126" i="41"/>
  <c r="E127" i="19"/>
  <c r="D127" i="19"/>
  <c r="G126" i="19"/>
  <c r="B119" i="89"/>
  <c r="F119" i="89"/>
  <c r="E126" i="43"/>
  <c r="G125" i="43"/>
  <c r="D126" i="43"/>
  <c r="B127" i="22"/>
  <c r="F127" i="22"/>
  <c r="G123" i="53"/>
  <c r="E124" i="53"/>
  <c r="D124" i="53"/>
  <c r="D128" i="31"/>
  <c r="E128" i="31"/>
  <c r="G127" i="31"/>
  <c r="G125" i="39"/>
  <c r="D126" i="39"/>
  <c r="E126" i="39"/>
  <c r="D124" i="46"/>
  <c r="G123" i="46"/>
  <c r="E124" i="46"/>
  <c r="F119" i="91"/>
  <c r="B119" i="91"/>
  <c r="E123" i="63"/>
  <c r="G122" i="63"/>
  <c r="D123" i="63"/>
  <c r="G123" i="58"/>
  <c r="E124" i="58"/>
  <c r="D124" i="58"/>
  <c r="B125" i="45"/>
  <c r="F125" i="45"/>
  <c r="J117" i="84"/>
  <c r="E121" i="78"/>
  <c r="D121" i="78"/>
  <c r="G120" i="78"/>
  <c r="E129" i="29"/>
  <c r="D129" i="29"/>
  <c r="G128" i="29"/>
  <c r="J121" i="63"/>
  <c r="E119" i="92"/>
  <c r="D119" i="92"/>
  <c r="G118" i="92"/>
  <c r="J122" i="46"/>
  <c r="H119" i="81"/>
  <c r="I119" i="81"/>
  <c r="J117" i="90"/>
  <c r="J124" i="43"/>
  <c r="D119" i="88"/>
  <c r="G118" i="88"/>
  <c r="E119" i="88"/>
  <c r="G118" i="90"/>
  <c r="D119" i="90"/>
  <c r="E119" i="90"/>
  <c r="B123" i="62"/>
  <c r="F123" i="62"/>
  <c r="J117" i="87"/>
  <c r="J126" i="17"/>
  <c r="G123" i="59"/>
  <c r="D124" i="59"/>
  <c r="E124" i="59"/>
  <c r="F125" i="56"/>
  <c r="B125" i="56"/>
  <c r="E129" i="23"/>
  <c r="D129" i="23"/>
  <c r="G128" i="23"/>
  <c r="J122" i="59"/>
  <c r="J120" i="67"/>
  <c r="J123" i="57"/>
  <c r="D128" i="18"/>
  <c r="G127" i="18"/>
  <c r="E128" i="18"/>
  <c r="H124" i="56"/>
  <c r="I124" i="56"/>
  <c r="J118" i="95"/>
  <c r="J118" i="82"/>
  <c r="D129" i="71"/>
  <c r="E129" i="71"/>
  <c r="G128" i="71"/>
  <c r="J124" i="44"/>
  <c r="E125" i="57"/>
  <c r="D125" i="57"/>
  <c r="G124" i="57"/>
  <c r="J127" i="71"/>
  <c r="F127" i="21"/>
  <c r="B127" i="21"/>
  <c r="H123" i="54"/>
  <c r="I123" i="54"/>
  <c r="B120" i="83"/>
  <c r="F120" i="83"/>
  <c r="J117" i="96"/>
  <c r="G121" i="67"/>
  <c r="D122" i="67"/>
  <c r="E122" i="67"/>
  <c r="H119" i="80"/>
  <c r="I119" i="80"/>
  <c r="B124" i="55"/>
  <c r="F124" i="55"/>
  <c r="B119" i="93"/>
  <c r="B118" i="13"/>
  <c r="F128" i="24"/>
  <c r="B128" i="24"/>
  <c r="F126" i="42"/>
  <c r="B126" i="42"/>
  <c r="D128" i="17"/>
  <c r="E128" i="17"/>
  <c r="G127" i="17"/>
  <c r="F124" i="54"/>
  <c r="B124" i="54"/>
  <c r="J141" i="35"/>
  <c r="G125" i="44"/>
  <c r="D126" i="44"/>
  <c r="E126" i="44"/>
  <c r="F120" i="80"/>
  <c r="B120" i="80"/>
  <c r="I117" i="33"/>
  <c r="H117" i="33"/>
  <c r="F121" i="76"/>
  <c r="B121" i="76"/>
  <c r="I142" i="35"/>
  <c r="H142" i="35"/>
  <c r="G118" i="96"/>
  <c r="D119" i="96"/>
  <c r="H125" i="42"/>
  <c r="I125" i="42"/>
  <c r="G126" i="3"/>
  <c r="D127" i="3"/>
  <c r="E127" i="3"/>
  <c r="I126" i="21"/>
  <c r="H126" i="21"/>
  <c r="B121" i="77"/>
  <c r="F121" i="77"/>
  <c r="H120" i="75"/>
  <c r="I120" i="75"/>
  <c r="B118" i="33"/>
  <c r="F118" i="33"/>
  <c r="I123" i="55"/>
  <c r="H123" i="55"/>
  <c r="H118" i="93"/>
  <c r="I118" i="93"/>
  <c r="B144" i="35"/>
  <c r="G143" i="35"/>
  <c r="E144" i="35"/>
  <c r="F144" i="35" s="1"/>
  <c r="E118" i="13"/>
  <c r="F118" i="13" s="1"/>
  <c r="G119" i="82"/>
  <c r="D120" i="82"/>
  <c r="E120" i="82"/>
  <c r="I120" i="77"/>
  <c r="H120" i="77"/>
  <c r="I119" i="83"/>
  <c r="H119" i="83"/>
  <c r="F121" i="75"/>
  <c r="B121" i="75"/>
  <c r="G119" i="95"/>
  <c r="D120" i="95"/>
  <c r="D119" i="87"/>
  <c r="G118" i="87"/>
  <c r="E119" i="87"/>
  <c r="I120" i="76"/>
  <c r="H120" i="76"/>
  <c r="E119" i="93"/>
  <c r="F119" i="93" s="1"/>
  <c r="H117" i="13"/>
  <c r="I117" i="13"/>
  <c r="H127" i="24"/>
  <c r="I127" i="24"/>
  <c r="D130" i="28"/>
  <c r="G129" i="28"/>
  <c r="E130" i="28"/>
  <c r="D39" i="25" l="1"/>
  <c r="H38" i="25"/>
  <c r="G38" i="25"/>
  <c r="D120" i="94"/>
  <c r="E120" i="94" s="1"/>
  <c r="H118" i="94"/>
  <c r="J118" i="94" s="1"/>
  <c r="E41" i="99"/>
  <c r="F41" i="99" s="1"/>
  <c r="G41" i="99" s="1"/>
  <c r="B41" i="99"/>
  <c r="E46" i="97"/>
  <c r="F46" i="97" s="1"/>
  <c r="D47" i="97" s="1"/>
  <c r="B46" i="97"/>
  <c r="B38" i="98"/>
  <c r="F38" i="98"/>
  <c r="H40" i="99"/>
  <c r="H45" i="97"/>
  <c r="G40" i="99"/>
  <c r="I44" i="97"/>
  <c r="G45" i="97"/>
  <c r="D119" i="25"/>
  <c r="G118" i="25"/>
  <c r="J118" i="26"/>
  <c r="J117" i="25"/>
  <c r="D119" i="99"/>
  <c r="G118" i="99"/>
  <c r="E119" i="99"/>
  <c r="J117" i="99"/>
  <c r="G46" i="39"/>
  <c r="I46" i="39" s="1"/>
  <c r="I39" i="84"/>
  <c r="H118" i="98"/>
  <c r="I118" i="98"/>
  <c r="G119" i="26"/>
  <c r="D120" i="26"/>
  <c r="F119" i="98"/>
  <c r="B119" i="98"/>
  <c r="H118" i="97"/>
  <c r="I118" i="97"/>
  <c r="B119" i="97"/>
  <c r="F119" i="97"/>
  <c r="G40" i="88"/>
  <c r="I40" i="88" s="1"/>
  <c r="G41" i="75"/>
  <c r="I41" i="75" s="1"/>
  <c r="B43" i="67"/>
  <c r="F43" i="67"/>
  <c r="H43" i="67" s="1"/>
  <c r="B44" i="46"/>
  <c r="F44" i="46"/>
  <c r="G44" i="46" s="1"/>
  <c r="F48" i="24"/>
  <c r="G48" i="24" s="1"/>
  <c r="B48" i="24"/>
  <c r="I48" i="23"/>
  <c r="G47" i="19"/>
  <c r="I47" i="19" s="1"/>
  <c r="I37" i="93"/>
  <c r="B39" i="94"/>
  <c r="F39" i="94"/>
  <c r="H39" i="94" s="1"/>
  <c r="B38" i="93"/>
  <c r="F38" i="93"/>
  <c r="H38" i="93" s="1"/>
  <c r="H46" i="42"/>
  <c r="I46" i="42" s="1"/>
  <c r="F41" i="80"/>
  <c r="B41" i="80"/>
  <c r="D42" i="82"/>
  <c r="E42" i="82"/>
  <c r="D41" i="86"/>
  <c r="E41" i="86"/>
  <c r="H40" i="86"/>
  <c r="G40" i="86"/>
  <c r="G41" i="82"/>
  <c r="I41" i="82" s="1"/>
  <c r="I40" i="80"/>
  <c r="H46" i="20"/>
  <c r="I46" i="20" s="1"/>
  <c r="G45" i="45"/>
  <c r="I45" i="45" s="1"/>
  <c r="B44" i="53"/>
  <c r="F44" i="53"/>
  <c r="F41" i="90"/>
  <c r="B41" i="90"/>
  <c r="B40" i="91"/>
  <c r="F40" i="91"/>
  <c r="G42" i="65"/>
  <c r="I42" i="65" s="1"/>
  <c r="E43" i="65"/>
  <c r="D43" i="65"/>
  <c r="B49" i="23"/>
  <c r="F49" i="23"/>
  <c r="B40" i="84"/>
  <c r="F40" i="84"/>
  <c r="E42" i="75"/>
  <c r="D42" i="75"/>
  <c r="B43" i="66"/>
  <c r="F43" i="66"/>
  <c r="H43" i="66" s="1"/>
  <c r="G45" i="58"/>
  <c r="H45" i="58"/>
  <c r="D46" i="58"/>
  <c r="E46" i="58" s="1"/>
  <c r="H45" i="55"/>
  <c r="I45" i="55" s="1"/>
  <c r="D46" i="55"/>
  <c r="E46" i="55" s="1"/>
  <c r="D47" i="42"/>
  <c r="E47" i="42"/>
  <c r="B43" i="61"/>
  <c r="F43" i="61"/>
  <c r="G43" i="61" s="1"/>
  <c r="F46" i="44"/>
  <c r="H46" i="44" s="1"/>
  <c r="B46" i="44"/>
  <c r="B41" i="76"/>
  <c r="F41" i="76"/>
  <c r="F40" i="81"/>
  <c r="G40" i="81" s="1"/>
  <c r="B40" i="81"/>
  <c r="I48" i="27"/>
  <c r="G49" i="31"/>
  <c r="I49" i="31" s="1"/>
  <c r="G38" i="95"/>
  <c r="I38" i="95" s="1"/>
  <c r="D39" i="95"/>
  <c r="E39" i="95"/>
  <c r="E41" i="85"/>
  <c r="D41" i="85"/>
  <c r="F47" i="22"/>
  <c r="B47" i="22"/>
  <c r="B38" i="96"/>
  <c r="F38" i="96"/>
  <c r="H38" i="96" s="1"/>
  <c r="D45" i="72"/>
  <c r="E45" i="72" s="1"/>
  <c r="F49" i="27"/>
  <c r="B49" i="27"/>
  <c r="H44" i="72"/>
  <c r="I44" i="72" s="1"/>
  <c r="D47" i="39"/>
  <c r="E47" i="39" s="1"/>
  <c r="H40" i="85"/>
  <c r="I40" i="85" s="1"/>
  <c r="I60" i="35"/>
  <c r="F41" i="79"/>
  <c r="B41" i="79"/>
  <c r="H39" i="83"/>
  <c r="I39" i="83" s="1"/>
  <c r="D40" i="83"/>
  <c r="E40" i="83"/>
  <c r="F43" i="63"/>
  <c r="B43" i="63"/>
  <c r="B44" i="57"/>
  <c r="F44" i="57"/>
  <c r="H44" i="57" s="1"/>
  <c r="B41" i="77"/>
  <c r="F41" i="77"/>
  <c r="G41" i="77" s="1"/>
  <c r="E48" i="19"/>
  <c r="D48" i="19"/>
  <c r="D50" i="31"/>
  <c r="E50" i="31" s="1"/>
  <c r="F46" i="73"/>
  <c r="H46" i="73" s="1"/>
  <c r="B46" i="73"/>
  <c r="F41" i="78"/>
  <c r="B41" i="78"/>
  <c r="F47" i="21"/>
  <c r="G47" i="21" s="1"/>
  <c r="B47" i="21"/>
  <c r="D43" i="68"/>
  <c r="E43" i="68"/>
  <c r="D48" i="3"/>
  <c r="E48" i="3" s="1"/>
  <c r="G49" i="69"/>
  <c r="D50" i="69"/>
  <c r="E50" i="69" s="1"/>
  <c r="F46" i="74"/>
  <c r="H46" i="74" s="1"/>
  <c r="B46" i="74"/>
  <c r="F39" i="92"/>
  <c r="B39" i="92"/>
  <c r="D51" i="28"/>
  <c r="E51" i="28" s="1"/>
  <c r="D44" i="64"/>
  <c r="E44" i="64"/>
  <c r="G48" i="30"/>
  <c r="I48" i="30" s="1"/>
  <c r="D49" i="30"/>
  <c r="E49" i="30" s="1"/>
  <c r="G39" i="87"/>
  <c r="I39" i="87" s="1"/>
  <c r="H43" i="56"/>
  <c r="I43" i="56" s="1"/>
  <c r="D44" i="56"/>
  <c r="E44" i="56"/>
  <c r="F47" i="17"/>
  <c r="G47" i="17" s="1"/>
  <c r="C56" i="17"/>
  <c r="B47" i="17"/>
  <c r="F39" i="89"/>
  <c r="B39" i="89"/>
  <c r="F47" i="43"/>
  <c r="B47" i="43"/>
  <c r="B44" i="54"/>
  <c r="F44" i="54"/>
  <c r="H43" i="64"/>
  <c r="I43" i="64" s="1"/>
  <c r="B48" i="32"/>
  <c r="F48" i="32"/>
  <c r="H48" i="32" s="1"/>
  <c r="F43" i="60"/>
  <c r="G43" i="60" s="1"/>
  <c r="B43" i="60"/>
  <c r="F49" i="70"/>
  <c r="H49" i="70" s="1"/>
  <c r="B49" i="70"/>
  <c r="H42" i="68"/>
  <c r="I42" i="68" s="1"/>
  <c r="F49" i="29"/>
  <c r="H49" i="29" s="1"/>
  <c r="B49" i="29"/>
  <c r="G47" i="3"/>
  <c r="I47" i="3" s="1"/>
  <c r="H49" i="69"/>
  <c r="F47" i="41"/>
  <c r="B47" i="41"/>
  <c r="D41" i="88"/>
  <c r="E41" i="88"/>
  <c r="H50" i="28"/>
  <c r="I50" i="28" s="1"/>
  <c r="D46" i="45"/>
  <c r="E46" i="45" s="1"/>
  <c r="H48" i="34"/>
  <c r="D49" i="34"/>
  <c r="E49" i="34" s="1"/>
  <c r="G48" i="34"/>
  <c r="H48" i="71"/>
  <c r="I48" i="71" s="1"/>
  <c r="D49" i="71"/>
  <c r="E49" i="71" s="1"/>
  <c r="J125" i="41"/>
  <c r="J122" i="62"/>
  <c r="J119" i="81"/>
  <c r="J118" i="89"/>
  <c r="J126" i="22"/>
  <c r="D40" i="26"/>
  <c r="D41" i="33"/>
  <c r="E41" i="33" s="1"/>
  <c r="D43" i="62"/>
  <c r="E43" i="62"/>
  <c r="D47" i="20"/>
  <c r="E47" i="20" s="1"/>
  <c r="H40" i="33"/>
  <c r="J126" i="21"/>
  <c r="H39" i="26"/>
  <c r="F48" i="18"/>
  <c r="B48" i="18"/>
  <c r="H42" i="62"/>
  <c r="D39" i="13"/>
  <c r="E39" i="13" s="1"/>
  <c r="G40" i="33"/>
  <c r="G39" i="26"/>
  <c r="B43" i="59"/>
  <c r="F43" i="59"/>
  <c r="G43" i="59" s="1"/>
  <c r="D40" i="87"/>
  <c r="E40" i="87"/>
  <c r="G42" i="62"/>
  <c r="H61" i="35"/>
  <c r="G61" i="35"/>
  <c r="E62" i="35"/>
  <c r="F62" i="35" s="1"/>
  <c r="B62" i="35"/>
  <c r="G38" i="13"/>
  <c r="I38" i="13" s="1"/>
  <c r="J142" i="35"/>
  <c r="F119" i="90"/>
  <c r="B119" i="90"/>
  <c r="F119" i="88"/>
  <c r="B119" i="88"/>
  <c r="H123" i="46"/>
  <c r="I123" i="46"/>
  <c r="H125" i="39"/>
  <c r="I125" i="39"/>
  <c r="F124" i="53"/>
  <c r="B124" i="53"/>
  <c r="E120" i="89"/>
  <c r="D120" i="89"/>
  <c r="G119" i="89"/>
  <c r="F123" i="65"/>
  <c r="B123" i="65"/>
  <c r="H126" i="34"/>
  <c r="I126" i="34"/>
  <c r="I119" i="85"/>
  <c r="H119" i="85"/>
  <c r="B125" i="74"/>
  <c r="F125" i="74"/>
  <c r="H128" i="69"/>
  <c r="I128" i="69"/>
  <c r="B128" i="32"/>
  <c r="F128" i="32"/>
  <c r="H126" i="20"/>
  <c r="I126" i="20"/>
  <c r="J118" i="91"/>
  <c r="I122" i="61"/>
  <c r="H122" i="61"/>
  <c r="H122" i="64"/>
  <c r="I122" i="64"/>
  <c r="D121" i="81"/>
  <c r="E121" i="81"/>
  <c r="G120" i="81"/>
  <c r="H118" i="86"/>
  <c r="I118" i="86"/>
  <c r="I120" i="79"/>
  <c r="H120" i="79"/>
  <c r="G123" i="62"/>
  <c r="E124" i="62"/>
  <c r="D124" i="62"/>
  <c r="H118" i="90"/>
  <c r="I118" i="90"/>
  <c r="I120" i="78"/>
  <c r="H120" i="78"/>
  <c r="G125" i="45"/>
  <c r="E126" i="45"/>
  <c r="D126" i="45"/>
  <c r="I123" i="58"/>
  <c r="H123" i="58"/>
  <c r="B124" i="46"/>
  <c r="F124" i="46"/>
  <c r="I127" i="31"/>
  <c r="H127" i="31"/>
  <c r="F126" i="43"/>
  <c r="B126" i="43"/>
  <c r="B127" i="34"/>
  <c r="F127" i="34"/>
  <c r="I124" i="74"/>
  <c r="H124" i="74"/>
  <c r="F129" i="69"/>
  <c r="B129" i="69"/>
  <c r="H128" i="27"/>
  <c r="I128" i="27"/>
  <c r="I121" i="66"/>
  <c r="H121" i="66"/>
  <c r="B123" i="60"/>
  <c r="F123" i="60"/>
  <c r="B129" i="70"/>
  <c r="F129" i="70"/>
  <c r="H121" i="68"/>
  <c r="I121" i="68"/>
  <c r="J120" i="75"/>
  <c r="I118" i="92"/>
  <c r="H118" i="92"/>
  <c r="I128" i="29"/>
  <c r="H128" i="29"/>
  <c r="F121" i="78"/>
  <c r="B121" i="78"/>
  <c r="B123" i="63"/>
  <c r="F123" i="63"/>
  <c r="G119" i="91"/>
  <c r="D120" i="91"/>
  <c r="E120" i="91"/>
  <c r="H123" i="53"/>
  <c r="I123" i="53"/>
  <c r="I125" i="43"/>
  <c r="H125" i="43"/>
  <c r="I126" i="19"/>
  <c r="H126" i="19"/>
  <c r="E127" i="41"/>
  <c r="G126" i="41"/>
  <c r="D127" i="41"/>
  <c r="B124" i="72"/>
  <c r="F124" i="72"/>
  <c r="F129" i="30"/>
  <c r="B129" i="30"/>
  <c r="J125" i="73"/>
  <c r="F120" i="85"/>
  <c r="B120" i="85"/>
  <c r="I127" i="32"/>
  <c r="H127" i="32"/>
  <c r="B119" i="84"/>
  <c r="F119" i="84"/>
  <c r="F122" i="66"/>
  <c r="B122" i="66"/>
  <c r="G126" i="73"/>
  <c r="E127" i="73"/>
  <c r="D127" i="73"/>
  <c r="I128" i="70"/>
  <c r="H128" i="70"/>
  <c r="B121" i="79"/>
  <c r="F121" i="79"/>
  <c r="H118" i="88"/>
  <c r="I118" i="88"/>
  <c r="B119" i="92"/>
  <c r="F119" i="92"/>
  <c r="F129" i="29"/>
  <c r="B129" i="29"/>
  <c r="F124" i="58"/>
  <c r="B124" i="58"/>
  <c r="H122" i="63"/>
  <c r="I122" i="63"/>
  <c r="F126" i="39"/>
  <c r="B126" i="39"/>
  <c r="B128" i="31"/>
  <c r="F128" i="31"/>
  <c r="E128" i="22"/>
  <c r="G127" i="22"/>
  <c r="D128" i="22"/>
  <c r="F127" i="19"/>
  <c r="B127" i="19"/>
  <c r="H122" i="65"/>
  <c r="I122" i="65"/>
  <c r="I123" i="72"/>
  <c r="H123" i="72"/>
  <c r="H128" i="30"/>
  <c r="I128" i="30"/>
  <c r="F129" i="27"/>
  <c r="B129" i="27"/>
  <c r="F127" i="20"/>
  <c r="B127" i="20"/>
  <c r="H118" i="84"/>
  <c r="I118" i="84"/>
  <c r="F123" i="61"/>
  <c r="B123" i="61"/>
  <c r="B123" i="64"/>
  <c r="F123" i="64"/>
  <c r="I122" i="60"/>
  <c r="H122" i="60"/>
  <c r="F119" i="86"/>
  <c r="B119" i="86"/>
  <c r="J124" i="45"/>
  <c r="B122" i="68"/>
  <c r="F122" i="68"/>
  <c r="J127" i="24"/>
  <c r="J124" i="56"/>
  <c r="H128" i="23"/>
  <c r="I128" i="23"/>
  <c r="D126" i="56"/>
  <c r="E126" i="56"/>
  <c r="G125" i="56"/>
  <c r="I127" i="18"/>
  <c r="H127" i="18"/>
  <c r="B129" i="23"/>
  <c r="F129" i="23"/>
  <c r="F124" i="59"/>
  <c r="B124" i="59"/>
  <c r="B128" i="18"/>
  <c r="F128" i="18"/>
  <c r="H123" i="59"/>
  <c r="I123" i="59"/>
  <c r="J120" i="77"/>
  <c r="I128" i="71"/>
  <c r="H128" i="71"/>
  <c r="J125" i="42"/>
  <c r="J123" i="54"/>
  <c r="I124" i="57"/>
  <c r="H124" i="57"/>
  <c r="F125" i="57"/>
  <c r="B125" i="57"/>
  <c r="B129" i="71"/>
  <c r="F129" i="71"/>
  <c r="D119" i="13"/>
  <c r="E119" i="13" s="1"/>
  <c r="G118" i="13"/>
  <c r="G119" i="93"/>
  <c r="D120" i="93"/>
  <c r="E120" i="93" s="1"/>
  <c r="J117" i="13"/>
  <c r="H118" i="87"/>
  <c r="I118" i="87"/>
  <c r="B120" i="95"/>
  <c r="H119" i="94"/>
  <c r="I119" i="94"/>
  <c r="B127" i="3"/>
  <c r="F127" i="3"/>
  <c r="B119" i="96"/>
  <c r="G120" i="80"/>
  <c r="E121" i="80"/>
  <c r="D121" i="80"/>
  <c r="G128" i="24"/>
  <c r="E129" i="24"/>
  <c r="D129" i="24"/>
  <c r="E125" i="55"/>
  <c r="G124" i="55"/>
  <c r="D125" i="55"/>
  <c r="H121" i="67"/>
  <c r="I121" i="67"/>
  <c r="H129" i="28"/>
  <c r="I129" i="28"/>
  <c r="B119" i="87"/>
  <c r="F119" i="87"/>
  <c r="H119" i="95"/>
  <c r="I119" i="95"/>
  <c r="G121" i="75"/>
  <c r="E122" i="75"/>
  <c r="D122" i="75"/>
  <c r="B145" i="35"/>
  <c r="G144" i="35"/>
  <c r="E145" i="35"/>
  <c r="F145" i="35" s="1"/>
  <c r="E122" i="77"/>
  <c r="G121" i="77"/>
  <c r="D122" i="77"/>
  <c r="I126" i="3"/>
  <c r="H126" i="3"/>
  <c r="I118" i="96"/>
  <c r="H118" i="96"/>
  <c r="F126" i="44"/>
  <c r="B126" i="44"/>
  <c r="D125" i="54"/>
  <c r="E125" i="54"/>
  <c r="G124" i="54"/>
  <c r="F128" i="17"/>
  <c r="B128" i="17"/>
  <c r="G120" i="83"/>
  <c r="D121" i="83"/>
  <c r="E121" i="83"/>
  <c r="F130" i="28"/>
  <c r="B130" i="28"/>
  <c r="J120" i="76"/>
  <c r="B120" i="82"/>
  <c r="F120" i="82"/>
  <c r="I143" i="35"/>
  <c r="H143" i="35"/>
  <c r="J123" i="55"/>
  <c r="D122" i="76"/>
  <c r="G121" i="76"/>
  <c r="E122" i="76"/>
  <c r="J117" i="33"/>
  <c r="I125" i="44"/>
  <c r="H125" i="44"/>
  <c r="E127" i="42"/>
  <c r="D127" i="42"/>
  <c r="G126" i="42"/>
  <c r="J119" i="80"/>
  <c r="E120" i="95"/>
  <c r="F120" i="95" s="1"/>
  <c r="J119" i="83"/>
  <c r="I119" i="82"/>
  <c r="H119" i="82"/>
  <c r="F120" i="94"/>
  <c r="B120" i="94"/>
  <c r="J118" i="93"/>
  <c r="G118" i="33"/>
  <c r="D119" i="33"/>
  <c r="E119" i="33" s="1"/>
  <c r="E119" i="96"/>
  <c r="F119" i="96" s="1"/>
  <c r="H127" i="17"/>
  <c r="I127" i="17"/>
  <c r="F122" i="67"/>
  <c r="B122" i="67"/>
  <c r="G127" i="21"/>
  <c r="E128" i="21"/>
  <c r="D128" i="21"/>
  <c r="I38" i="25" l="1"/>
  <c r="B39" i="25"/>
  <c r="E39" i="25"/>
  <c r="F39" i="25" s="1"/>
  <c r="J118" i="98"/>
  <c r="I40" i="99"/>
  <c r="I45" i="97"/>
  <c r="D39" i="98"/>
  <c r="E39" i="98"/>
  <c r="E47" i="97"/>
  <c r="F47" i="97" s="1"/>
  <c r="B47" i="97"/>
  <c r="H38" i="98"/>
  <c r="H46" i="97"/>
  <c r="D42" i="99"/>
  <c r="E42" i="99"/>
  <c r="G38" i="98"/>
  <c r="G46" i="97"/>
  <c r="H41" i="99"/>
  <c r="I41" i="99" s="1"/>
  <c r="I118" i="25"/>
  <c r="H118" i="25"/>
  <c r="E119" i="25"/>
  <c r="F119" i="25" s="1"/>
  <c r="B119" i="25"/>
  <c r="I118" i="99"/>
  <c r="H118" i="99"/>
  <c r="B119" i="99"/>
  <c r="F119" i="99"/>
  <c r="H44" i="46"/>
  <c r="I44" i="46" s="1"/>
  <c r="J118" i="97"/>
  <c r="E120" i="26"/>
  <c r="F120" i="26" s="1"/>
  <c r="B120" i="26"/>
  <c r="H119" i="26"/>
  <c r="I119" i="26"/>
  <c r="D120" i="97"/>
  <c r="E120" i="97" s="1"/>
  <c r="G119" i="97"/>
  <c r="G119" i="98"/>
  <c r="D120" i="98"/>
  <c r="E120" i="98"/>
  <c r="G43" i="67"/>
  <c r="I43" i="67" s="1"/>
  <c r="D44" i="67"/>
  <c r="E44" i="67"/>
  <c r="E45" i="46"/>
  <c r="D45" i="46"/>
  <c r="H48" i="24"/>
  <c r="I48" i="24" s="1"/>
  <c r="D49" i="24"/>
  <c r="E49" i="24"/>
  <c r="B41" i="86"/>
  <c r="F41" i="86"/>
  <c r="H41" i="80"/>
  <c r="D42" i="80"/>
  <c r="E42" i="80"/>
  <c r="I45" i="58"/>
  <c r="I40" i="86"/>
  <c r="F42" i="82"/>
  <c r="H42" i="82" s="1"/>
  <c r="B42" i="82"/>
  <c r="G38" i="93"/>
  <c r="I38" i="93" s="1"/>
  <c r="E39" i="93"/>
  <c r="D39" i="93"/>
  <c r="G39" i="94"/>
  <c r="I39" i="94" s="1"/>
  <c r="E40" i="94"/>
  <c r="D40" i="94"/>
  <c r="G41" i="80"/>
  <c r="G44" i="57"/>
  <c r="I44" i="57" s="1"/>
  <c r="H43" i="61"/>
  <c r="I43" i="61" s="1"/>
  <c r="B46" i="58"/>
  <c r="F46" i="58"/>
  <c r="B42" i="75"/>
  <c r="F42" i="75"/>
  <c r="H42" i="75" s="1"/>
  <c r="D41" i="84"/>
  <c r="E41" i="84"/>
  <c r="G49" i="23"/>
  <c r="D50" i="23"/>
  <c r="E50" i="23" s="1"/>
  <c r="H40" i="91"/>
  <c r="D41" i="91"/>
  <c r="E41" i="91"/>
  <c r="G40" i="91"/>
  <c r="H41" i="90"/>
  <c r="E42" i="90"/>
  <c r="D42" i="90"/>
  <c r="D44" i="66"/>
  <c r="E44" i="66" s="1"/>
  <c r="B43" i="65"/>
  <c r="F43" i="65"/>
  <c r="G43" i="65" s="1"/>
  <c r="H44" i="53"/>
  <c r="D45" i="53"/>
  <c r="E45" i="53"/>
  <c r="G49" i="70"/>
  <c r="I49" i="70" s="1"/>
  <c r="H47" i="17"/>
  <c r="I47" i="17" s="1"/>
  <c r="B47" i="42"/>
  <c r="F47" i="42"/>
  <c r="H47" i="42" s="1"/>
  <c r="B46" i="55"/>
  <c r="F46" i="55"/>
  <c r="H46" i="55" s="1"/>
  <c r="G40" i="84"/>
  <c r="G41" i="90"/>
  <c r="H41" i="77"/>
  <c r="I41" i="77" s="1"/>
  <c r="G43" i="66"/>
  <c r="I43" i="66" s="1"/>
  <c r="H40" i="84"/>
  <c r="I40" i="84" s="1"/>
  <c r="H49" i="23"/>
  <c r="G44" i="53"/>
  <c r="G41" i="76"/>
  <c r="E42" i="76"/>
  <c r="D42" i="76"/>
  <c r="F45" i="72"/>
  <c r="H45" i="72" s="1"/>
  <c r="B45" i="72"/>
  <c r="H47" i="22"/>
  <c r="D48" i="22"/>
  <c r="E48" i="22" s="1"/>
  <c r="B39" i="95"/>
  <c r="F39" i="95"/>
  <c r="G39" i="95" s="1"/>
  <c r="D47" i="44"/>
  <c r="E47" i="44" s="1"/>
  <c r="F47" i="39"/>
  <c r="G47" i="39" s="1"/>
  <c r="B47" i="39"/>
  <c r="B41" i="85"/>
  <c r="F41" i="85"/>
  <c r="G41" i="85" s="1"/>
  <c r="H40" i="81"/>
  <c r="I40" i="81" s="1"/>
  <c r="E41" i="81"/>
  <c r="D41" i="81"/>
  <c r="D39" i="96"/>
  <c r="E39" i="96"/>
  <c r="E50" i="27"/>
  <c r="G49" i="27"/>
  <c r="D50" i="27"/>
  <c r="H49" i="27"/>
  <c r="G38" i="96"/>
  <c r="I38" i="96" s="1"/>
  <c r="G47" i="22"/>
  <c r="H41" i="76"/>
  <c r="G46" i="44"/>
  <c r="I46" i="44" s="1"/>
  <c r="D44" i="61"/>
  <c r="E44" i="61" s="1"/>
  <c r="I49" i="69"/>
  <c r="B49" i="71"/>
  <c r="F49" i="71"/>
  <c r="F46" i="45"/>
  <c r="H46" i="45" s="1"/>
  <c r="B46" i="45"/>
  <c r="B49" i="30"/>
  <c r="F49" i="30"/>
  <c r="H49" i="30" s="1"/>
  <c r="F44" i="64"/>
  <c r="G44" i="64" s="1"/>
  <c r="B44" i="64"/>
  <c r="G46" i="74"/>
  <c r="I46" i="74" s="1"/>
  <c r="D47" i="74"/>
  <c r="E47" i="74" s="1"/>
  <c r="F48" i="3"/>
  <c r="G48" i="3" s="1"/>
  <c r="B48" i="3"/>
  <c r="H41" i="78"/>
  <c r="D42" i="78"/>
  <c r="E42" i="78"/>
  <c r="G46" i="73"/>
  <c r="I46" i="73" s="1"/>
  <c r="D47" i="73"/>
  <c r="E47" i="73" s="1"/>
  <c r="F50" i="31"/>
  <c r="B50" i="31"/>
  <c r="B41" i="88"/>
  <c r="F41" i="88"/>
  <c r="D48" i="41"/>
  <c r="E48" i="41" s="1"/>
  <c r="H44" i="54"/>
  <c r="E45" i="54"/>
  <c r="D45" i="54"/>
  <c r="D48" i="43"/>
  <c r="E48" i="43" s="1"/>
  <c r="E40" i="89"/>
  <c r="D40" i="89"/>
  <c r="H39" i="92"/>
  <c r="D40" i="92"/>
  <c r="E40" i="92"/>
  <c r="B50" i="69"/>
  <c r="F50" i="69"/>
  <c r="H50" i="69" s="1"/>
  <c r="G43" i="63"/>
  <c r="D44" i="63"/>
  <c r="E44" i="63"/>
  <c r="I48" i="34"/>
  <c r="H47" i="41"/>
  <c r="E50" i="29"/>
  <c r="D50" i="29"/>
  <c r="G44" i="54"/>
  <c r="H47" i="43"/>
  <c r="H39" i="89"/>
  <c r="D48" i="17"/>
  <c r="E48" i="17"/>
  <c r="B51" i="28"/>
  <c r="F51" i="28"/>
  <c r="H51" i="28" s="1"/>
  <c r="D48" i="21"/>
  <c r="E48" i="21"/>
  <c r="B48" i="19"/>
  <c r="F48" i="19"/>
  <c r="H48" i="19" s="1"/>
  <c r="D42" i="77"/>
  <c r="E42" i="77"/>
  <c r="G41" i="79"/>
  <c r="D42" i="79"/>
  <c r="E42" i="79"/>
  <c r="I61" i="35"/>
  <c r="F49" i="34"/>
  <c r="B49" i="34"/>
  <c r="G47" i="41"/>
  <c r="G49" i="29"/>
  <c r="I49" i="29" s="1"/>
  <c r="D50" i="70"/>
  <c r="E50" i="70" s="1"/>
  <c r="H43" i="60"/>
  <c r="I43" i="60" s="1"/>
  <c r="D44" i="60"/>
  <c r="E44" i="60" s="1"/>
  <c r="G48" i="32"/>
  <c r="I48" i="32" s="1"/>
  <c r="D49" i="32"/>
  <c r="E49" i="32" s="1"/>
  <c r="G47" i="43"/>
  <c r="G39" i="89"/>
  <c r="B44" i="56"/>
  <c r="F44" i="56"/>
  <c r="G44" i="56" s="1"/>
  <c r="G39" i="92"/>
  <c r="B43" i="68"/>
  <c r="F43" i="68"/>
  <c r="H47" i="21"/>
  <c r="I47" i="21" s="1"/>
  <c r="G41" i="78"/>
  <c r="D45" i="57"/>
  <c r="E45" i="57" s="1"/>
  <c r="H43" i="63"/>
  <c r="F40" i="83"/>
  <c r="H40" i="83" s="1"/>
  <c r="B40" i="83"/>
  <c r="H41" i="79"/>
  <c r="J125" i="43"/>
  <c r="J123" i="46"/>
  <c r="J123" i="72"/>
  <c r="D49" i="18"/>
  <c r="E49" i="18" s="1"/>
  <c r="I39" i="26"/>
  <c r="F47" i="20"/>
  <c r="B47" i="20"/>
  <c r="J122" i="60"/>
  <c r="J127" i="32"/>
  <c r="J126" i="19"/>
  <c r="J121" i="66"/>
  <c r="J127" i="31"/>
  <c r="J123" i="58"/>
  <c r="J120" i="79"/>
  <c r="J119" i="85"/>
  <c r="D44" i="59"/>
  <c r="E44" i="59" s="1"/>
  <c r="I42" i="62"/>
  <c r="B40" i="26"/>
  <c r="J119" i="94"/>
  <c r="J128" i="29"/>
  <c r="J121" i="68"/>
  <c r="J128" i="27"/>
  <c r="J120" i="78"/>
  <c r="B63" i="35"/>
  <c r="E63" i="35"/>
  <c r="F63" i="35" s="1"/>
  <c r="G62" i="35"/>
  <c r="H62" i="35"/>
  <c r="B40" i="87"/>
  <c r="F40" i="87"/>
  <c r="G40" i="87" s="1"/>
  <c r="B39" i="13"/>
  <c r="F39" i="13"/>
  <c r="H39" i="13" s="1"/>
  <c r="G48" i="18"/>
  <c r="I40" i="33"/>
  <c r="B43" i="62"/>
  <c r="F43" i="62"/>
  <c r="G43" i="62" s="1"/>
  <c r="E40" i="26"/>
  <c r="F40" i="26" s="1"/>
  <c r="J122" i="63"/>
  <c r="J118" i="88"/>
  <c r="J122" i="64"/>
  <c r="H43" i="59"/>
  <c r="I43" i="59" s="1"/>
  <c r="H48" i="18"/>
  <c r="F41" i="33"/>
  <c r="G41" i="33" s="1"/>
  <c r="B41" i="33"/>
  <c r="D124" i="64"/>
  <c r="G123" i="64"/>
  <c r="E124" i="64"/>
  <c r="J118" i="84"/>
  <c r="D127" i="39"/>
  <c r="G126" i="39"/>
  <c r="E127" i="39"/>
  <c r="E125" i="58"/>
  <c r="D125" i="58"/>
  <c r="G124" i="58"/>
  <c r="E120" i="84"/>
  <c r="G119" i="84"/>
  <c r="D120" i="84"/>
  <c r="D130" i="30"/>
  <c r="G129" i="30"/>
  <c r="E130" i="30"/>
  <c r="I126" i="41"/>
  <c r="H126" i="41"/>
  <c r="E130" i="69"/>
  <c r="G129" i="69"/>
  <c r="D130" i="69"/>
  <c r="F124" i="62"/>
  <c r="B124" i="62"/>
  <c r="I120" i="81"/>
  <c r="H120" i="81"/>
  <c r="J126" i="20"/>
  <c r="J128" i="69"/>
  <c r="E120" i="88"/>
  <c r="G119" i="88"/>
  <c r="D120" i="88"/>
  <c r="G122" i="68"/>
  <c r="E123" i="68"/>
  <c r="D123" i="68"/>
  <c r="G119" i="86"/>
  <c r="D120" i="86"/>
  <c r="E120" i="86"/>
  <c r="G129" i="27"/>
  <c r="E130" i="27"/>
  <c r="D130" i="27"/>
  <c r="D128" i="19"/>
  <c r="E128" i="19"/>
  <c r="G127" i="19"/>
  <c r="E129" i="31"/>
  <c r="D129" i="31"/>
  <c r="G128" i="31"/>
  <c r="H126" i="73"/>
  <c r="I126" i="73"/>
  <c r="G120" i="85"/>
  <c r="E121" i="85"/>
  <c r="D121" i="85"/>
  <c r="D125" i="72"/>
  <c r="E125" i="72"/>
  <c r="G124" i="72"/>
  <c r="F120" i="91"/>
  <c r="B120" i="91"/>
  <c r="E124" i="60"/>
  <c r="D124" i="60"/>
  <c r="G123" i="60"/>
  <c r="D125" i="46"/>
  <c r="G124" i="46"/>
  <c r="E125" i="46"/>
  <c r="F126" i="45"/>
  <c r="B126" i="45"/>
  <c r="D124" i="65"/>
  <c r="E124" i="65"/>
  <c r="G123" i="65"/>
  <c r="J127" i="18"/>
  <c r="J128" i="30"/>
  <c r="J122" i="65"/>
  <c r="F128" i="22"/>
  <c r="B128" i="22"/>
  <c r="D130" i="29"/>
  <c r="G129" i="29"/>
  <c r="E130" i="29"/>
  <c r="J128" i="70"/>
  <c r="J123" i="53"/>
  <c r="H119" i="91"/>
  <c r="I119" i="91"/>
  <c r="E122" i="78"/>
  <c r="D122" i="78"/>
  <c r="G121" i="78"/>
  <c r="J118" i="92"/>
  <c r="J124" i="74"/>
  <c r="G126" i="43"/>
  <c r="E127" i="43"/>
  <c r="D127" i="43"/>
  <c r="J118" i="90"/>
  <c r="I123" i="62"/>
  <c r="H123" i="62"/>
  <c r="J118" i="86"/>
  <c r="B121" i="81"/>
  <c r="F121" i="81"/>
  <c r="J122" i="61"/>
  <c r="E129" i="32"/>
  <c r="D129" i="32"/>
  <c r="G128" i="32"/>
  <c r="D126" i="74"/>
  <c r="G125" i="74"/>
  <c r="E126" i="74"/>
  <c r="J126" i="34"/>
  <c r="I119" i="89"/>
  <c r="H119" i="89"/>
  <c r="D125" i="53"/>
  <c r="G124" i="53"/>
  <c r="E125" i="53"/>
  <c r="E120" i="90"/>
  <c r="G119" i="90"/>
  <c r="D120" i="90"/>
  <c r="J126" i="3"/>
  <c r="D124" i="61"/>
  <c r="G123" i="61"/>
  <c r="E124" i="61"/>
  <c r="E128" i="20"/>
  <c r="D128" i="20"/>
  <c r="G127" i="20"/>
  <c r="I127" i="22"/>
  <c r="H127" i="22"/>
  <c r="G119" i="92"/>
  <c r="D120" i="92"/>
  <c r="E120" i="92"/>
  <c r="D122" i="79"/>
  <c r="E122" i="79"/>
  <c r="G121" i="79"/>
  <c r="F127" i="73"/>
  <c r="B127" i="73"/>
  <c r="E123" i="66"/>
  <c r="D123" i="66"/>
  <c r="G122" i="66"/>
  <c r="B127" i="41"/>
  <c r="F127" i="41"/>
  <c r="G123" i="63"/>
  <c r="E124" i="63"/>
  <c r="D124" i="63"/>
  <c r="G129" i="70"/>
  <c r="D130" i="70"/>
  <c r="E130" i="70"/>
  <c r="E128" i="34"/>
  <c r="G127" i="34"/>
  <c r="D128" i="34"/>
  <c r="H125" i="45"/>
  <c r="I125" i="45"/>
  <c r="B120" i="89"/>
  <c r="F120" i="89"/>
  <c r="J125" i="39"/>
  <c r="J124" i="57"/>
  <c r="J128" i="71"/>
  <c r="J123" i="59"/>
  <c r="J128" i="23"/>
  <c r="J119" i="82"/>
  <c r="I125" i="56"/>
  <c r="H125" i="56"/>
  <c r="J143" i="35"/>
  <c r="J119" i="95"/>
  <c r="D129" i="18"/>
  <c r="E129" i="18"/>
  <c r="G128" i="18"/>
  <c r="D130" i="23"/>
  <c r="E130" i="23"/>
  <c r="G129" i="23"/>
  <c r="D125" i="59"/>
  <c r="G124" i="59"/>
  <c r="E125" i="59"/>
  <c r="B126" i="56"/>
  <c r="F126" i="56"/>
  <c r="G129" i="71"/>
  <c r="E130" i="71"/>
  <c r="D130" i="71"/>
  <c r="G125" i="57"/>
  <c r="D126" i="57"/>
  <c r="E126" i="57"/>
  <c r="D120" i="96"/>
  <c r="E120" i="96" s="1"/>
  <c r="G119" i="96"/>
  <c r="G120" i="95"/>
  <c r="D121" i="95"/>
  <c r="E121" i="95" s="1"/>
  <c r="I121" i="76"/>
  <c r="H121" i="76"/>
  <c r="H120" i="83"/>
  <c r="I120" i="83"/>
  <c r="J118" i="96"/>
  <c r="H144" i="35"/>
  <c r="I144" i="35"/>
  <c r="H124" i="55"/>
  <c r="I124" i="55"/>
  <c r="I128" i="24"/>
  <c r="H128" i="24"/>
  <c r="D123" i="67"/>
  <c r="G122" i="67"/>
  <c r="E123" i="67"/>
  <c r="H126" i="42"/>
  <c r="I126" i="42"/>
  <c r="F122" i="76"/>
  <c r="B122" i="76"/>
  <c r="F125" i="54"/>
  <c r="B125" i="54"/>
  <c r="F122" i="75"/>
  <c r="B122" i="75"/>
  <c r="J129" i="28"/>
  <c r="B121" i="80"/>
  <c r="F121" i="80"/>
  <c r="F128" i="21"/>
  <c r="B128" i="21"/>
  <c r="I127" i="21"/>
  <c r="H127" i="21"/>
  <c r="F119" i="33"/>
  <c r="B119" i="33"/>
  <c r="D121" i="94"/>
  <c r="E121" i="94" s="1"/>
  <c r="G120" i="94"/>
  <c r="B127" i="42"/>
  <c r="F127" i="42"/>
  <c r="J125" i="44"/>
  <c r="E129" i="17"/>
  <c r="G128" i="17"/>
  <c r="D129" i="17"/>
  <c r="B122" i="77"/>
  <c r="F122" i="77"/>
  <c r="J121" i="67"/>
  <c r="B129" i="24"/>
  <c r="F129" i="24"/>
  <c r="D128" i="3"/>
  <c r="G127" i="3"/>
  <c r="E128" i="3"/>
  <c r="J118" i="87"/>
  <c r="B120" i="93"/>
  <c r="F120" i="93"/>
  <c r="H118" i="13"/>
  <c r="I118" i="13"/>
  <c r="J127" i="17"/>
  <c r="H118" i="33"/>
  <c r="I118" i="33"/>
  <c r="G120" i="82"/>
  <c r="D121" i="82"/>
  <c r="E121" i="82"/>
  <c r="G130" i="28"/>
  <c r="D131" i="28"/>
  <c r="E131" i="28"/>
  <c r="F121" i="83"/>
  <c r="B121" i="83"/>
  <c r="I124" i="54"/>
  <c r="H124" i="54"/>
  <c r="G126" i="44"/>
  <c r="D127" i="44"/>
  <c r="E127" i="44"/>
  <c r="I121" i="77"/>
  <c r="H121" i="77"/>
  <c r="G145" i="35"/>
  <c r="E146" i="35"/>
  <c r="F146" i="35" s="1"/>
  <c r="B146" i="35"/>
  <c r="H121" i="75"/>
  <c r="I121" i="75"/>
  <c r="D120" i="87"/>
  <c r="G119" i="87"/>
  <c r="E120" i="87"/>
  <c r="F125" i="55"/>
  <c r="B125" i="55"/>
  <c r="I120" i="80"/>
  <c r="H120" i="80"/>
  <c r="I119" i="93"/>
  <c r="H119" i="93"/>
  <c r="B119" i="13"/>
  <c r="F119" i="13"/>
  <c r="G39" i="25" l="1"/>
  <c r="D40" i="25"/>
  <c r="H39" i="25"/>
  <c r="I39" i="25" s="1"/>
  <c r="I41" i="76"/>
  <c r="I49" i="23"/>
  <c r="D48" i="97"/>
  <c r="G47" i="97"/>
  <c r="H47" i="97"/>
  <c r="F42" i="99"/>
  <c r="D43" i="99" s="1"/>
  <c r="B42" i="99"/>
  <c r="I46" i="97"/>
  <c r="F39" i="98"/>
  <c r="G39" i="98" s="1"/>
  <c r="B39" i="98"/>
  <c r="I38" i="98"/>
  <c r="G119" i="25"/>
  <c r="D120" i="25"/>
  <c r="J118" i="99"/>
  <c r="J118" i="25"/>
  <c r="E120" i="99"/>
  <c r="G119" i="99"/>
  <c r="D120" i="99"/>
  <c r="I39" i="92"/>
  <c r="G42" i="82"/>
  <c r="I42" i="82" s="1"/>
  <c r="I41" i="79"/>
  <c r="I119" i="97"/>
  <c r="H119" i="97"/>
  <c r="B120" i="98"/>
  <c r="F120" i="98"/>
  <c r="B120" i="97"/>
  <c r="F120" i="97"/>
  <c r="G120" i="26"/>
  <c r="D121" i="26"/>
  <c r="H119" i="98"/>
  <c r="I119" i="98"/>
  <c r="J119" i="26"/>
  <c r="B44" i="67"/>
  <c r="F44" i="67"/>
  <c r="G44" i="67" s="1"/>
  <c r="I43" i="63"/>
  <c r="B45" i="46"/>
  <c r="F45" i="46"/>
  <c r="H45" i="46" s="1"/>
  <c r="G49" i="30"/>
  <c r="I49" i="30" s="1"/>
  <c r="B49" i="24"/>
  <c r="F49" i="24"/>
  <c r="G49" i="24" s="1"/>
  <c r="I41" i="90"/>
  <c r="G46" i="55"/>
  <c r="I46" i="55" s="1"/>
  <c r="G47" i="42"/>
  <c r="I47" i="42" s="1"/>
  <c r="F39" i="93"/>
  <c r="G39" i="93" s="1"/>
  <c r="B39" i="93"/>
  <c r="B42" i="80"/>
  <c r="F42" i="80"/>
  <c r="G42" i="80" s="1"/>
  <c r="F40" i="94"/>
  <c r="B40" i="94"/>
  <c r="I41" i="80"/>
  <c r="G42" i="75"/>
  <c r="I42" i="75" s="1"/>
  <c r="D43" i="82"/>
  <c r="E43" i="82" s="1"/>
  <c r="D42" i="86"/>
  <c r="G41" i="86"/>
  <c r="E42" i="86"/>
  <c r="H41" i="86"/>
  <c r="H44" i="64"/>
  <c r="I44" i="64" s="1"/>
  <c r="G45" i="72"/>
  <c r="I45" i="72" s="1"/>
  <c r="I44" i="53"/>
  <c r="B44" i="66"/>
  <c r="F44" i="66"/>
  <c r="H44" i="66" s="1"/>
  <c r="I40" i="91"/>
  <c r="B41" i="84"/>
  <c r="F41" i="84"/>
  <c r="H41" i="84" s="1"/>
  <c r="D47" i="55"/>
  <c r="E47" i="55"/>
  <c r="D48" i="42"/>
  <c r="E48" i="42" s="1"/>
  <c r="H43" i="65"/>
  <c r="I43" i="65" s="1"/>
  <c r="E44" i="65"/>
  <c r="D44" i="65"/>
  <c r="B42" i="90"/>
  <c r="F42" i="90"/>
  <c r="B50" i="23"/>
  <c r="F50" i="23"/>
  <c r="D43" i="75"/>
  <c r="E43" i="75" s="1"/>
  <c r="H46" i="58"/>
  <c r="D47" i="58"/>
  <c r="G46" i="58"/>
  <c r="E47" i="58"/>
  <c r="F45" i="53"/>
  <c r="B45" i="53"/>
  <c r="F41" i="91"/>
  <c r="B41" i="91"/>
  <c r="F44" i="61"/>
  <c r="H44" i="61" s="1"/>
  <c r="B44" i="61"/>
  <c r="F48" i="22"/>
  <c r="H48" i="22" s="1"/>
  <c r="B48" i="22"/>
  <c r="B41" i="81"/>
  <c r="F41" i="81"/>
  <c r="G41" i="81" s="1"/>
  <c r="B47" i="44"/>
  <c r="F47" i="44"/>
  <c r="F50" i="27"/>
  <c r="H50" i="27" s="1"/>
  <c r="B50" i="27"/>
  <c r="F39" i="96"/>
  <c r="G39" i="96" s="1"/>
  <c r="B39" i="96"/>
  <c r="H47" i="39"/>
  <c r="I47" i="39" s="1"/>
  <c r="D48" i="39"/>
  <c r="E48" i="39" s="1"/>
  <c r="H39" i="95"/>
  <c r="I39" i="95" s="1"/>
  <c r="D40" i="95"/>
  <c r="E40" i="95"/>
  <c r="I47" i="22"/>
  <c r="D46" i="72"/>
  <c r="E46" i="72" s="1"/>
  <c r="H40" i="87"/>
  <c r="I40" i="87" s="1"/>
  <c r="I49" i="27"/>
  <c r="H41" i="85"/>
  <c r="I41" i="85" s="1"/>
  <c r="D42" i="85"/>
  <c r="E42" i="85"/>
  <c r="F42" i="76"/>
  <c r="G42" i="76" s="1"/>
  <c r="B42" i="76"/>
  <c r="I48" i="18"/>
  <c r="I62" i="35"/>
  <c r="I47" i="43"/>
  <c r="G40" i="83"/>
  <c r="I40" i="83" s="1"/>
  <c r="H43" i="68"/>
  <c r="E44" i="68"/>
  <c r="D44" i="68"/>
  <c r="D45" i="56"/>
  <c r="E45" i="56" s="1"/>
  <c r="B49" i="32"/>
  <c r="F49" i="32"/>
  <c r="D50" i="34"/>
  <c r="E50" i="34" s="1"/>
  <c r="H49" i="34"/>
  <c r="B42" i="79"/>
  <c r="F42" i="79"/>
  <c r="G42" i="79" s="1"/>
  <c r="I39" i="89"/>
  <c r="B44" i="63"/>
  <c r="F44" i="63"/>
  <c r="H44" i="63" s="1"/>
  <c r="E42" i="88"/>
  <c r="D42" i="88"/>
  <c r="E51" i="31"/>
  <c r="D51" i="31"/>
  <c r="D50" i="71"/>
  <c r="E50" i="71" s="1"/>
  <c r="H41" i="33"/>
  <c r="I41" i="33" s="1"/>
  <c r="G43" i="68"/>
  <c r="G48" i="19"/>
  <c r="I48" i="19" s="1"/>
  <c r="D49" i="19"/>
  <c r="E49" i="19" s="1"/>
  <c r="G51" i="28"/>
  <c r="I51" i="28" s="1"/>
  <c r="I47" i="41"/>
  <c r="D51" i="69"/>
  <c r="E51" i="69" s="1"/>
  <c r="B40" i="92"/>
  <c r="F40" i="92"/>
  <c r="F48" i="43"/>
  <c r="H48" i="43" s="1"/>
  <c r="B48" i="43"/>
  <c r="I44" i="54"/>
  <c r="B47" i="73"/>
  <c r="F47" i="73"/>
  <c r="G47" i="73" s="1"/>
  <c r="B42" i="78"/>
  <c r="F42" i="78"/>
  <c r="H42" i="78" s="1"/>
  <c r="B47" i="74"/>
  <c r="F47" i="74"/>
  <c r="G47" i="74" s="1"/>
  <c r="D47" i="45"/>
  <c r="E47" i="45" s="1"/>
  <c r="B45" i="57"/>
  <c r="F45" i="57"/>
  <c r="H44" i="56"/>
  <c r="I44" i="56" s="1"/>
  <c r="G49" i="34"/>
  <c r="B50" i="29"/>
  <c r="F50" i="29"/>
  <c r="H50" i="29" s="1"/>
  <c r="G50" i="69"/>
  <c r="I50" i="69" s="1"/>
  <c r="H41" i="88"/>
  <c r="G50" i="31"/>
  <c r="I41" i="78"/>
  <c r="D45" i="64"/>
  <c r="E45" i="64" s="1"/>
  <c r="D50" i="30"/>
  <c r="E50" i="30"/>
  <c r="G46" i="45"/>
  <c r="I46" i="45" s="1"/>
  <c r="G49" i="71"/>
  <c r="E41" i="83"/>
  <c r="D41" i="83"/>
  <c r="B44" i="60"/>
  <c r="F44" i="60"/>
  <c r="H44" i="60" s="1"/>
  <c r="F50" i="70"/>
  <c r="G50" i="70" s="1"/>
  <c r="B50" i="70"/>
  <c r="B42" i="77"/>
  <c r="F42" i="77"/>
  <c r="G42" i="77" s="1"/>
  <c r="F48" i="21"/>
  <c r="H48" i="21" s="1"/>
  <c r="B48" i="21"/>
  <c r="E52" i="28"/>
  <c r="D52" i="28"/>
  <c r="F48" i="17"/>
  <c r="G48" i="17" s="1"/>
  <c r="B48" i="17"/>
  <c r="C57" i="17"/>
  <c r="F40" i="89"/>
  <c r="G40" i="89" s="1"/>
  <c r="B40" i="89"/>
  <c r="F45" i="54"/>
  <c r="G45" i="54" s="1"/>
  <c r="B45" i="54"/>
  <c r="B48" i="41"/>
  <c r="F48" i="41"/>
  <c r="H48" i="41" s="1"/>
  <c r="G41" i="88"/>
  <c r="H50" i="31"/>
  <c r="H48" i="3"/>
  <c r="I48" i="3" s="1"/>
  <c r="D49" i="3"/>
  <c r="E49" i="3" s="1"/>
  <c r="H49" i="71"/>
  <c r="J119" i="89"/>
  <c r="J126" i="41"/>
  <c r="J126" i="73"/>
  <c r="D41" i="26"/>
  <c r="E41" i="26" s="1"/>
  <c r="G40" i="26"/>
  <c r="H40" i="26"/>
  <c r="G63" i="35"/>
  <c r="B64" i="35"/>
  <c r="E64" i="35"/>
  <c r="F64" i="35" s="1"/>
  <c r="H63" i="35"/>
  <c r="B44" i="59"/>
  <c r="F44" i="59"/>
  <c r="G44" i="59" s="1"/>
  <c r="D44" i="62"/>
  <c r="E44" i="62"/>
  <c r="E48" i="20"/>
  <c r="D48" i="20"/>
  <c r="B49" i="18"/>
  <c r="F49" i="18"/>
  <c r="G49" i="18" s="1"/>
  <c r="J128" i="24"/>
  <c r="J127" i="22"/>
  <c r="J123" i="62"/>
  <c r="D40" i="13"/>
  <c r="G47" i="20"/>
  <c r="D42" i="33"/>
  <c r="E42" i="33" s="1"/>
  <c r="H43" i="62"/>
  <c r="I43" i="62" s="1"/>
  <c r="G39" i="13"/>
  <c r="I39" i="13" s="1"/>
  <c r="D41" i="87"/>
  <c r="E41" i="87"/>
  <c r="H47" i="20"/>
  <c r="I122" i="66"/>
  <c r="H122" i="66"/>
  <c r="E128" i="73"/>
  <c r="G127" i="73"/>
  <c r="D128" i="73"/>
  <c r="B120" i="90"/>
  <c r="F120" i="90"/>
  <c r="I124" i="53"/>
  <c r="H124" i="53"/>
  <c r="I128" i="32"/>
  <c r="H128" i="32"/>
  <c r="E122" i="81"/>
  <c r="G121" i="81"/>
  <c r="D122" i="81"/>
  <c r="H126" i="43"/>
  <c r="I126" i="43"/>
  <c r="F122" i="78"/>
  <c r="B122" i="78"/>
  <c r="B130" i="29"/>
  <c r="F130" i="29"/>
  <c r="F124" i="65"/>
  <c r="B124" i="65"/>
  <c r="I124" i="46"/>
  <c r="H124" i="46"/>
  <c r="I120" i="85"/>
  <c r="H120" i="85"/>
  <c r="F129" i="31"/>
  <c r="B129" i="31"/>
  <c r="B128" i="19"/>
  <c r="F128" i="19"/>
  <c r="J120" i="81"/>
  <c r="H129" i="69"/>
  <c r="I129" i="69"/>
  <c r="I119" i="84"/>
  <c r="H119" i="84"/>
  <c r="G120" i="89"/>
  <c r="D121" i="89"/>
  <c r="E121" i="89"/>
  <c r="F128" i="34"/>
  <c r="B128" i="34"/>
  <c r="F130" i="70"/>
  <c r="B130" i="70"/>
  <c r="I123" i="63"/>
  <c r="H123" i="63"/>
  <c r="F123" i="66"/>
  <c r="B123" i="66"/>
  <c r="I121" i="79"/>
  <c r="H121" i="79"/>
  <c r="F120" i="92"/>
  <c r="B120" i="92"/>
  <c r="I127" i="20"/>
  <c r="H127" i="20"/>
  <c r="H123" i="61"/>
  <c r="I123" i="61"/>
  <c r="H119" i="90"/>
  <c r="I119" i="90"/>
  <c r="B125" i="53"/>
  <c r="F125" i="53"/>
  <c r="F129" i="32"/>
  <c r="B129" i="32"/>
  <c r="B125" i="46"/>
  <c r="F125" i="46"/>
  <c r="F125" i="72"/>
  <c r="B125" i="72"/>
  <c r="F130" i="27"/>
  <c r="B130" i="27"/>
  <c r="B120" i="86"/>
  <c r="F120" i="86"/>
  <c r="H122" i="68"/>
  <c r="I122" i="68"/>
  <c r="I129" i="30"/>
  <c r="H129" i="30"/>
  <c r="I127" i="34"/>
  <c r="H127" i="34"/>
  <c r="I129" i="70"/>
  <c r="H129" i="70"/>
  <c r="D128" i="41"/>
  <c r="E128" i="41"/>
  <c r="G127" i="41"/>
  <c r="I119" i="92"/>
  <c r="H119" i="92"/>
  <c r="B128" i="20"/>
  <c r="F128" i="20"/>
  <c r="F124" i="61"/>
  <c r="B124" i="61"/>
  <c r="H125" i="74"/>
  <c r="I125" i="74"/>
  <c r="B127" i="43"/>
  <c r="F127" i="43"/>
  <c r="J119" i="91"/>
  <c r="E129" i="22"/>
  <c r="G128" i="22"/>
  <c r="D129" i="22"/>
  <c r="H123" i="65"/>
  <c r="I123" i="65"/>
  <c r="D127" i="45"/>
  <c r="G126" i="45"/>
  <c r="E127" i="45"/>
  <c r="H123" i="60"/>
  <c r="I123" i="60"/>
  <c r="G120" i="91"/>
  <c r="D121" i="91"/>
  <c r="E121" i="91"/>
  <c r="B121" i="85"/>
  <c r="F121" i="85"/>
  <c r="I127" i="19"/>
  <c r="H127" i="19"/>
  <c r="I119" i="86"/>
  <c r="H119" i="86"/>
  <c r="F120" i="88"/>
  <c r="B120" i="88"/>
  <c r="D125" i="62"/>
  <c r="G124" i="62"/>
  <c r="E125" i="62"/>
  <c r="F130" i="30"/>
  <c r="B130" i="30"/>
  <c r="H124" i="58"/>
  <c r="I124" i="58"/>
  <c r="I126" i="39"/>
  <c r="H126" i="39"/>
  <c r="I123" i="64"/>
  <c r="H123" i="64"/>
  <c r="J125" i="45"/>
  <c r="F124" i="63"/>
  <c r="B124" i="63"/>
  <c r="B122" i="79"/>
  <c r="F122" i="79"/>
  <c r="B126" i="74"/>
  <c r="F126" i="74"/>
  <c r="H121" i="78"/>
  <c r="I121" i="78"/>
  <c r="H129" i="29"/>
  <c r="I129" i="29"/>
  <c r="B124" i="60"/>
  <c r="F124" i="60"/>
  <c r="I124" i="72"/>
  <c r="H124" i="72"/>
  <c r="H128" i="31"/>
  <c r="I128" i="31"/>
  <c r="H129" i="27"/>
  <c r="I129" i="27"/>
  <c r="F123" i="68"/>
  <c r="B123" i="68"/>
  <c r="H119" i="88"/>
  <c r="I119" i="88"/>
  <c r="B130" i="69"/>
  <c r="F130" i="69"/>
  <c r="B120" i="84"/>
  <c r="F120" i="84"/>
  <c r="F125" i="58"/>
  <c r="B125" i="58"/>
  <c r="F127" i="39"/>
  <c r="B127" i="39"/>
  <c r="F124" i="64"/>
  <c r="B124" i="64"/>
  <c r="J124" i="55"/>
  <c r="J144" i="35"/>
  <c r="B125" i="59"/>
  <c r="F125" i="59"/>
  <c r="B129" i="18"/>
  <c r="F129" i="18"/>
  <c r="B130" i="23"/>
  <c r="F130" i="23"/>
  <c r="J124" i="54"/>
  <c r="D127" i="56"/>
  <c r="E127" i="56"/>
  <c r="G126" i="56"/>
  <c r="H128" i="18"/>
  <c r="I128" i="18"/>
  <c r="J125" i="56"/>
  <c r="I124" i="59"/>
  <c r="H124" i="59"/>
  <c r="H129" i="23"/>
  <c r="I129" i="23"/>
  <c r="B126" i="57"/>
  <c r="F126" i="57"/>
  <c r="B130" i="71"/>
  <c r="F130" i="71"/>
  <c r="H125" i="57"/>
  <c r="I125" i="57"/>
  <c r="I129" i="71"/>
  <c r="H129" i="71"/>
  <c r="J118" i="33"/>
  <c r="J121" i="76"/>
  <c r="B147" i="35"/>
  <c r="G146" i="35"/>
  <c r="E147" i="35"/>
  <c r="F147" i="35" s="1"/>
  <c r="H130" i="28"/>
  <c r="I130" i="28"/>
  <c r="B121" i="82"/>
  <c r="F121" i="82"/>
  <c r="G120" i="93"/>
  <c r="D121" i="93"/>
  <c r="E121" i="93" s="1"/>
  <c r="G127" i="42"/>
  <c r="E128" i="42"/>
  <c r="D128" i="42"/>
  <c r="H120" i="94"/>
  <c r="I120" i="94"/>
  <c r="G128" i="21"/>
  <c r="D129" i="21"/>
  <c r="E129" i="21"/>
  <c r="J120" i="83"/>
  <c r="I120" i="95"/>
  <c r="H120" i="95"/>
  <c r="D126" i="55"/>
  <c r="G125" i="55"/>
  <c r="E126" i="55"/>
  <c r="H119" i="87"/>
  <c r="I119" i="87"/>
  <c r="I145" i="35"/>
  <c r="H145" i="35"/>
  <c r="B127" i="44"/>
  <c r="F127" i="44"/>
  <c r="D122" i="83"/>
  <c r="E122" i="83"/>
  <c r="G121" i="83"/>
  <c r="H120" i="82"/>
  <c r="I120" i="82"/>
  <c r="D123" i="75"/>
  <c r="E123" i="75"/>
  <c r="G122" i="75"/>
  <c r="I122" i="67"/>
  <c r="H122" i="67"/>
  <c r="I119" i="96"/>
  <c r="H119" i="96"/>
  <c r="J119" i="93"/>
  <c r="B120" i="87"/>
  <c r="F120" i="87"/>
  <c r="H126" i="44"/>
  <c r="I126" i="44"/>
  <c r="J118" i="13"/>
  <c r="I127" i="3"/>
  <c r="H127" i="3"/>
  <c r="E123" i="77"/>
  <c r="D123" i="77"/>
  <c r="G122" i="77"/>
  <c r="F129" i="17"/>
  <c r="B129" i="17"/>
  <c r="F121" i="94"/>
  <c r="B121" i="94"/>
  <c r="G119" i="33"/>
  <c r="D120" i="33"/>
  <c r="J127" i="21"/>
  <c r="D123" i="76"/>
  <c r="E123" i="76"/>
  <c r="G122" i="76"/>
  <c r="J126" i="42"/>
  <c r="F123" i="67"/>
  <c r="B123" i="67"/>
  <c r="D120" i="13"/>
  <c r="E120" i="13" s="1"/>
  <c r="G119" i="13"/>
  <c r="J120" i="80"/>
  <c r="J121" i="75"/>
  <c r="J121" i="77"/>
  <c r="B131" i="28"/>
  <c r="F131" i="28"/>
  <c r="F128" i="3"/>
  <c r="B128" i="3"/>
  <c r="E130" i="24"/>
  <c r="G129" i="24"/>
  <c r="D130" i="24"/>
  <c r="H128" i="17"/>
  <c r="I128" i="17"/>
  <c r="D122" i="80"/>
  <c r="E122" i="80"/>
  <c r="G121" i="80"/>
  <c r="E126" i="54"/>
  <c r="G125" i="54"/>
  <c r="D126" i="54"/>
  <c r="F121" i="95"/>
  <c r="B121" i="95"/>
  <c r="F120" i="96"/>
  <c r="B120" i="96"/>
  <c r="E40" i="25" l="1"/>
  <c r="F40" i="25" s="1"/>
  <c r="B40" i="25"/>
  <c r="I47" i="97"/>
  <c r="G45" i="46"/>
  <c r="I45" i="46" s="1"/>
  <c r="I50" i="31"/>
  <c r="H39" i="98"/>
  <c r="I39" i="98" s="1"/>
  <c r="E43" i="99"/>
  <c r="F43" i="99" s="1"/>
  <c r="D44" i="99" s="1"/>
  <c r="B43" i="99"/>
  <c r="H42" i="99"/>
  <c r="G42" i="99"/>
  <c r="D40" i="98"/>
  <c r="E40" i="98"/>
  <c r="E48" i="97"/>
  <c r="F48" i="97" s="1"/>
  <c r="B48" i="97"/>
  <c r="E120" i="25"/>
  <c r="F120" i="25" s="1"/>
  <c r="B120" i="25"/>
  <c r="H119" i="25"/>
  <c r="I119" i="25"/>
  <c r="B120" i="99"/>
  <c r="F120" i="99"/>
  <c r="I119" i="99"/>
  <c r="H119" i="99"/>
  <c r="I49" i="71"/>
  <c r="H50" i="70"/>
  <c r="I50" i="70" s="1"/>
  <c r="G48" i="22"/>
  <c r="I48" i="22" s="1"/>
  <c r="J119" i="98"/>
  <c r="G120" i="98"/>
  <c r="D121" i="98"/>
  <c r="E121" i="98"/>
  <c r="I120" i="26"/>
  <c r="H120" i="26"/>
  <c r="G120" i="97"/>
  <c r="D121" i="97"/>
  <c r="E121" i="97" s="1"/>
  <c r="E121" i="26"/>
  <c r="F121" i="26" s="1"/>
  <c r="B121" i="26"/>
  <c r="J119" i="97"/>
  <c r="H42" i="76"/>
  <c r="I42" i="76" s="1"/>
  <c r="I41" i="86"/>
  <c r="H42" i="80"/>
  <c r="H44" i="67"/>
  <c r="I44" i="67" s="1"/>
  <c r="D45" i="67"/>
  <c r="E45" i="67"/>
  <c r="D46" i="46"/>
  <c r="E46" i="46"/>
  <c r="H49" i="24"/>
  <c r="I49" i="24" s="1"/>
  <c r="E50" i="24"/>
  <c r="D50" i="24"/>
  <c r="F42" i="86"/>
  <c r="B42" i="86"/>
  <c r="E41" i="94"/>
  <c r="D41" i="94"/>
  <c r="B43" i="82"/>
  <c r="F43" i="82"/>
  <c r="G43" i="82" s="1"/>
  <c r="H40" i="94"/>
  <c r="I42" i="80"/>
  <c r="G40" i="94"/>
  <c r="G44" i="66"/>
  <c r="I44" i="66" s="1"/>
  <c r="D43" i="80"/>
  <c r="E43" i="80"/>
  <c r="H39" i="93"/>
  <c r="I39" i="93" s="1"/>
  <c r="E40" i="93"/>
  <c r="D40" i="93"/>
  <c r="H45" i="53"/>
  <c r="D46" i="53"/>
  <c r="E46" i="53" s="1"/>
  <c r="I46" i="58"/>
  <c r="G42" i="90"/>
  <c r="E43" i="90"/>
  <c r="D43" i="90"/>
  <c r="B47" i="55"/>
  <c r="F47" i="55"/>
  <c r="H47" i="55" s="1"/>
  <c r="H42" i="77"/>
  <c r="I42" i="77" s="1"/>
  <c r="E42" i="91"/>
  <c r="H41" i="91"/>
  <c r="D42" i="91"/>
  <c r="F47" i="58"/>
  <c r="B47" i="58"/>
  <c r="G50" i="23"/>
  <c r="H50" i="23"/>
  <c r="D51" i="23"/>
  <c r="E51" i="23" s="1"/>
  <c r="F44" i="65"/>
  <c r="B44" i="65"/>
  <c r="B48" i="42"/>
  <c r="F48" i="42"/>
  <c r="G41" i="84"/>
  <c r="I41" i="84" s="1"/>
  <c r="D42" i="84"/>
  <c r="E42" i="84"/>
  <c r="G48" i="41"/>
  <c r="I48" i="41" s="1"/>
  <c r="G41" i="91"/>
  <c r="G45" i="53"/>
  <c r="F43" i="75"/>
  <c r="G43" i="75" s="1"/>
  <c r="B43" i="75"/>
  <c r="H42" i="90"/>
  <c r="D45" i="66"/>
  <c r="E45" i="66"/>
  <c r="F42" i="85"/>
  <c r="H42" i="85" s="1"/>
  <c r="B42" i="85"/>
  <c r="G47" i="44"/>
  <c r="D48" i="44"/>
  <c r="E48" i="44" s="1"/>
  <c r="H44" i="59"/>
  <c r="I44" i="59" s="1"/>
  <c r="H40" i="89"/>
  <c r="I40" i="89" s="1"/>
  <c r="G42" i="78"/>
  <c r="I42" i="78" s="1"/>
  <c r="E43" i="76"/>
  <c r="D43" i="76"/>
  <c r="B48" i="39"/>
  <c r="F48" i="39"/>
  <c r="G48" i="39" s="1"/>
  <c r="G50" i="27"/>
  <c r="I50" i="27" s="1"/>
  <c r="D51" i="27"/>
  <c r="E51" i="27" s="1"/>
  <c r="G44" i="60"/>
  <c r="I44" i="60" s="1"/>
  <c r="B40" i="95"/>
  <c r="F40" i="95"/>
  <c r="G40" i="95" s="1"/>
  <c r="H39" i="96"/>
  <c r="I39" i="96" s="1"/>
  <c r="E40" i="96"/>
  <c r="D40" i="96"/>
  <c r="H41" i="81"/>
  <c r="I41" i="81" s="1"/>
  <c r="D42" i="81"/>
  <c r="E42" i="81"/>
  <c r="D49" i="22"/>
  <c r="E49" i="22" s="1"/>
  <c r="D45" i="61"/>
  <c r="E45" i="61" s="1"/>
  <c r="F46" i="72"/>
  <c r="H46" i="72" s="1"/>
  <c r="B46" i="72"/>
  <c r="H47" i="44"/>
  <c r="G44" i="61"/>
  <c r="I44" i="61" s="1"/>
  <c r="I47" i="20"/>
  <c r="D49" i="17"/>
  <c r="E49" i="17"/>
  <c r="B45" i="64"/>
  <c r="F45" i="64"/>
  <c r="H45" i="64" s="1"/>
  <c r="D46" i="57"/>
  <c r="E46" i="57" s="1"/>
  <c r="F47" i="45"/>
  <c r="G47" i="45" s="1"/>
  <c r="B47" i="45"/>
  <c r="D41" i="92"/>
  <c r="E41" i="92"/>
  <c r="F50" i="71"/>
  <c r="B50" i="71"/>
  <c r="B51" i="31"/>
  <c r="F51" i="31"/>
  <c r="G44" i="63"/>
  <c r="I44" i="63" s="1"/>
  <c r="D45" i="63"/>
  <c r="E45" i="63" s="1"/>
  <c r="H42" i="79"/>
  <c r="I42" i="79" s="1"/>
  <c r="H49" i="18"/>
  <c r="I49" i="18" s="1"/>
  <c r="B49" i="3"/>
  <c r="F49" i="3"/>
  <c r="E46" i="54"/>
  <c r="D46" i="54"/>
  <c r="F52" i="28"/>
  <c r="G52" i="28" s="1"/>
  <c r="B52" i="28"/>
  <c r="G48" i="21"/>
  <c r="I48" i="21" s="1"/>
  <c r="D49" i="21"/>
  <c r="E49" i="21" s="1"/>
  <c r="D45" i="60"/>
  <c r="E45" i="60" s="1"/>
  <c r="H45" i="57"/>
  <c r="H47" i="74"/>
  <c r="I47" i="74" s="1"/>
  <c r="H47" i="73"/>
  <c r="I47" i="73" s="1"/>
  <c r="G48" i="43"/>
  <c r="I48" i="43" s="1"/>
  <c r="B51" i="69"/>
  <c r="F51" i="69"/>
  <c r="G51" i="69" s="1"/>
  <c r="G49" i="32"/>
  <c r="E50" i="32"/>
  <c r="D50" i="32"/>
  <c r="F45" i="56"/>
  <c r="H45" i="56" s="1"/>
  <c r="B45" i="56"/>
  <c r="I43" i="68"/>
  <c r="I63" i="35"/>
  <c r="D49" i="41"/>
  <c r="E49" i="41" s="1"/>
  <c r="H45" i="54"/>
  <c r="I45" i="54" s="1"/>
  <c r="D41" i="89"/>
  <c r="E41" i="89"/>
  <c r="D51" i="70"/>
  <c r="E51" i="70"/>
  <c r="B50" i="30"/>
  <c r="F50" i="30"/>
  <c r="H50" i="30" s="1"/>
  <c r="E43" i="78"/>
  <c r="D43" i="78"/>
  <c r="G40" i="92"/>
  <c r="B42" i="88"/>
  <c r="F42" i="88"/>
  <c r="H42" i="88" s="1"/>
  <c r="E43" i="79"/>
  <c r="D43" i="79"/>
  <c r="I49" i="34"/>
  <c r="I40" i="26"/>
  <c r="H48" i="17"/>
  <c r="I48" i="17" s="1"/>
  <c r="D43" i="77"/>
  <c r="E43" i="77" s="1"/>
  <c r="F41" i="83"/>
  <c r="B41" i="83"/>
  <c r="I41" i="88"/>
  <c r="G50" i="29"/>
  <c r="I50" i="29" s="1"/>
  <c r="D51" i="29"/>
  <c r="E51" i="29" s="1"/>
  <c r="G45" i="57"/>
  <c r="D48" i="74"/>
  <c r="E48" i="74"/>
  <c r="D48" i="73"/>
  <c r="E48" i="73" s="1"/>
  <c r="D49" i="43"/>
  <c r="E49" i="43" s="1"/>
  <c r="H40" i="92"/>
  <c r="B49" i="19"/>
  <c r="F49" i="19"/>
  <c r="H49" i="19" s="1"/>
  <c r="B50" i="34"/>
  <c r="F50" i="34"/>
  <c r="H49" i="32"/>
  <c r="B44" i="68"/>
  <c r="F44" i="68"/>
  <c r="G44" i="68" s="1"/>
  <c r="J124" i="58"/>
  <c r="J127" i="19"/>
  <c r="J124" i="72"/>
  <c r="J129" i="23"/>
  <c r="J124" i="53"/>
  <c r="J122" i="68"/>
  <c r="J123" i="61"/>
  <c r="J119" i="84"/>
  <c r="B40" i="13"/>
  <c r="B41" i="87"/>
  <c r="F41" i="87"/>
  <c r="G41" i="87" s="1"/>
  <c r="B44" i="62"/>
  <c r="F44" i="62"/>
  <c r="E65" i="35"/>
  <c r="F65" i="35" s="1"/>
  <c r="H64" i="35"/>
  <c r="B65" i="35"/>
  <c r="G64" i="35"/>
  <c r="J119" i="86"/>
  <c r="J123" i="60"/>
  <c r="J119" i="92"/>
  <c r="J119" i="90"/>
  <c r="J126" i="43"/>
  <c r="B42" i="33"/>
  <c r="F42" i="33"/>
  <c r="H42" i="33" s="1"/>
  <c r="E40" i="13"/>
  <c r="F40" i="13" s="1"/>
  <c r="D50" i="18"/>
  <c r="E50" i="18" s="1"/>
  <c r="F48" i="20"/>
  <c r="G48" i="20" s="1"/>
  <c r="B48" i="20"/>
  <c r="D45" i="59"/>
  <c r="E45" i="59"/>
  <c r="B41" i="26"/>
  <c r="F41" i="26"/>
  <c r="H41" i="26" s="1"/>
  <c r="G127" i="39"/>
  <c r="E128" i="39"/>
  <c r="D128" i="39"/>
  <c r="G124" i="63"/>
  <c r="E125" i="63"/>
  <c r="D125" i="63"/>
  <c r="F125" i="62"/>
  <c r="B125" i="62"/>
  <c r="F127" i="45"/>
  <c r="B127" i="45"/>
  <c r="H128" i="22"/>
  <c r="I128" i="22"/>
  <c r="G124" i="61"/>
  <c r="E125" i="61"/>
  <c r="D125" i="61"/>
  <c r="E121" i="86"/>
  <c r="D121" i="86"/>
  <c r="G120" i="86"/>
  <c r="I120" i="89"/>
  <c r="H120" i="89"/>
  <c r="D131" i="29"/>
  <c r="G130" i="29"/>
  <c r="E131" i="29"/>
  <c r="H127" i="73"/>
  <c r="I127" i="73"/>
  <c r="J125" i="57"/>
  <c r="D131" i="69"/>
  <c r="G130" i="69"/>
  <c r="E131" i="69"/>
  <c r="J128" i="31"/>
  <c r="E125" i="60"/>
  <c r="D125" i="60"/>
  <c r="G124" i="60"/>
  <c r="J121" i="78"/>
  <c r="E123" i="79"/>
  <c r="G122" i="79"/>
  <c r="D123" i="79"/>
  <c r="J126" i="39"/>
  <c r="G130" i="30"/>
  <c r="D131" i="30"/>
  <c r="E131" i="30"/>
  <c r="J123" i="65"/>
  <c r="J125" i="74"/>
  <c r="E129" i="20"/>
  <c r="D129" i="20"/>
  <c r="G128" i="20"/>
  <c r="H127" i="41"/>
  <c r="I127" i="41"/>
  <c r="J129" i="70"/>
  <c r="J129" i="30"/>
  <c r="G125" i="72"/>
  <c r="D126" i="72"/>
  <c r="E126" i="72"/>
  <c r="G129" i="32"/>
  <c r="E130" i="32"/>
  <c r="D130" i="32"/>
  <c r="J127" i="20"/>
  <c r="J121" i="79"/>
  <c r="J123" i="63"/>
  <c r="G128" i="34"/>
  <c r="E129" i="34"/>
  <c r="D129" i="34"/>
  <c r="G129" i="31"/>
  <c r="E130" i="31"/>
  <c r="D130" i="31"/>
  <c r="J124" i="46"/>
  <c r="G120" i="90"/>
  <c r="D121" i="90"/>
  <c r="E121" i="90"/>
  <c r="G124" i="64"/>
  <c r="D125" i="64"/>
  <c r="E125" i="64"/>
  <c r="E126" i="58"/>
  <c r="D126" i="58"/>
  <c r="G125" i="58"/>
  <c r="G123" i="68"/>
  <c r="E124" i="68"/>
  <c r="D124" i="68"/>
  <c r="E121" i="88"/>
  <c r="G120" i="88"/>
  <c r="D121" i="88"/>
  <c r="F121" i="91"/>
  <c r="B121" i="91"/>
  <c r="D126" i="46"/>
  <c r="E126" i="46"/>
  <c r="G125" i="46"/>
  <c r="G125" i="53"/>
  <c r="D126" i="53"/>
  <c r="E126" i="53"/>
  <c r="D129" i="19"/>
  <c r="E129" i="19"/>
  <c r="G128" i="19"/>
  <c r="B122" i="81"/>
  <c r="F122" i="81"/>
  <c r="J128" i="32"/>
  <c r="D121" i="84"/>
  <c r="G120" i="84"/>
  <c r="E121" i="84"/>
  <c r="J119" i="88"/>
  <c r="J129" i="27"/>
  <c r="J129" i="29"/>
  <c r="D127" i="74"/>
  <c r="E127" i="74"/>
  <c r="G126" i="74"/>
  <c r="J123" i="64"/>
  <c r="H124" i="62"/>
  <c r="I124" i="62"/>
  <c r="G121" i="85"/>
  <c r="E122" i="85"/>
  <c r="D122" i="85"/>
  <c r="I120" i="91"/>
  <c r="H120" i="91"/>
  <c r="I126" i="45"/>
  <c r="H126" i="45"/>
  <c r="B129" i="22"/>
  <c r="F129" i="22"/>
  <c r="G127" i="43"/>
  <c r="E128" i="43"/>
  <c r="D128" i="43"/>
  <c r="B128" i="41"/>
  <c r="F128" i="41"/>
  <c r="J127" i="34"/>
  <c r="E131" i="27"/>
  <c r="D131" i="27"/>
  <c r="G130" i="27"/>
  <c r="G120" i="92"/>
  <c r="E121" i="92"/>
  <c r="D121" i="92"/>
  <c r="G123" i="66"/>
  <c r="E124" i="66"/>
  <c r="D124" i="66"/>
  <c r="G130" i="70"/>
  <c r="D131" i="70"/>
  <c r="E131" i="70"/>
  <c r="F121" i="89"/>
  <c r="B121" i="89"/>
  <c r="J129" i="69"/>
  <c r="J120" i="85"/>
  <c r="G124" i="65"/>
  <c r="D125" i="65"/>
  <c r="E125" i="65"/>
  <c r="D123" i="78"/>
  <c r="G122" i="78"/>
  <c r="E123" i="78"/>
  <c r="H121" i="81"/>
  <c r="I121" i="81"/>
  <c r="B128" i="73"/>
  <c r="F128" i="73"/>
  <c r="J122" i="66"/>
  <c r="J119" i="87"/>
  <c r="E131" i="23"/>
  <c r="D131" i="23"/>
  <c r="G130" i="23"/>
  <c r="D130" i="18"/>
  <c r="G129" i="18"/>
  <c r="E130" i="18"/>
  <c r="G125" i="59"/>
  <c r="E126" i="59"/>
  <c r="D126" i="59"/>
  <c r="I126" i="56"/>
  <c r="H126" i="56"/>
  <c r="J124" i="59"/>
  <c r="J128" i="18"/>
  <c r="J120" i="95"/>
  <c r="B127" i="56"/>
  <c r="F127" i="56"/>
  <c r="G126" i="57"/>
  <c r="E127" i="57"/>
  <c r="D127" i="57"/>
  <c r="J128" i="17"/>
  <c r="J127" i="3"/>
  <c r="J119" i="96"/>
  <c r="J120" i="94"/>
  <c r="E131" i="71"/>
  <c r="G130" i="71"/>
  <c r="D131" i="71"/>
  <c r="J120" i="82"/>
  <c r="J129" i="71"/>
  <c r="D122" i="95"/>
  <c r="E122" i="95" s="1"/>
  <c r="G121" i="95"/>
  <c r="B130" i="24"/>
  <c r="F130" i="24"/>
  <c r="G128" i="3"/>
  <c r="D129" i="3"/>
  <c r="E129" i="3"/>
  <c r="H119" i="13"/>
  <c r="I119" i="13"/>
  <c r="H122" i="76"/>
  <c r="I122" i="76"/>
  <c r="B120" i="33"/>
  <c r="G121" i="94"/>
  <c r="D122" i="94"/>
  <c r="E122" i="94" s="1"/>
  <c r="F123" i="77"/>
  <c r="B123" i="77"/>
  <c r="G120" i="87"/>
  <c r="D121" i="87"/>
  <c r="E121" i="87"/>
  <c r="G127" i="44"/>
  <c r="D128" i="44"/>
  <c r="E128" i="44"/>
  <c r="H127" i="42"/>
  <c r="I127" i="42"/>
  <c r="H120" i="93"/>
  <c r="I120" i="93"/>
  <c r="F122" i="80"/>
  <c r="B122" i="80"/>
  <c r="H129" i="24"/>
  <c r="I129" i="24"/>
  <c r="G123" i="67"/>
  <c r="D124" i="67"/>
  <c r="E124" i="67"/>
  <c r="H119" i="33"/>
  <c r="I119" i="33"/>
  <c r="B123" i="75"/>
  <c r="F123" i="75"/>
  <c r="B122" i="83"/>
  <c r="F122" i="83"/>
  <c r="D122" i="82"/>
  <c r="G121" i="82"/>
  <c r="E122" i="82"/>
  <c r="E148" i="35"/>
  <c r="F148" i="35" s="1"/>
  <c r="G147" i="35"/>
  <c r="B148" i="35"/>
  <c r="G120" i="96"/>
  <c r="D121" i="96"/>
  <c r="B126" i="54"/>
  <c r="F126" i="54"/>
  <c r="D132" i="28"/>
  <c r="G131" i="28"/>
  <c r="E132" i="28"/>
  <c r="F120" i="13"/>
  <c r="B120" i="13"/>
  <c r="F123" i="76"/>
  <c r="B123" i="76"/>
  <c r="E120" i="33"/>
  <c r="F120" i="33" s="1"/>
  <c r="D130" i="17"/>
  <c r="G129" i="17"/>
  <c r="E130" i="17"/>
  <c r="H125" i="55"/>
  <c r="I125" i="55"/>
  <c r="F129" i="21"/>
  <c r="B129" i="21"/>
  <c r="F128" i="42"/>
  <c r="B128" i="42"/>
  <c r="I146" i="35"/>
  <c r="H146" i="35"/>
  <c r="H125" i="54"/>
  <c r="I125" i="54"/>
  <c r="I121" i="80"/>
  <c r="H121" i="80"/>
  <c r="H122" i="77"/>
  <c r="I122" i="77"/>
  <c r="J126" i="44"/>
  <c r="J122" i="67"/>
  <c r="H122" i="75"/>
  <c r="I122" i="75"/>
  <c r="H121" i="83"/>
  <c r="I121" i="83"/>
  <c r="J145" i="35"/>
  <c r="F126" i="55"/>
  <c r="B126" i="55"/>
  <c r="I128" i="21"/>
  <c r="H128" i="21"/>
  <c r="F121" i="93"/>
  <c r="B121" i="93"/>
  <c r="J130" i="28"/>
  <c r="D41" i="25" l="1"/>
  <c r="G40" i="25"/>
  <c r="H40" i="25"/>
  <c r="I40" i="25" s="1"/>
  <c r="I40" i="92"/>
  <c r="D49" i="97"/>
  <c r="G48" i="97"/>
  <c r="H48" i="97"/>
  <c r="I42" i="99"/>
  <c r="E44" i="99"/>
  <c r="F44" i="99" s="1"/>
  <c r="D45" i="99" s="1"/>
  <c r="B44" i="99"/>
  <c r="F40" i="98"/>
  <c r="G40" i="98" s="1"/>
  <c r="B40" i="98"/>
  <c r="H43" i="99"/>
  <c r="G43" i="99"/>
  <c r="G120" i="25"/>
  <c r="D121" i="25"/>
  <c r="I50" i="23"/>
  <c r="J119" i="25"/>
  <c r="J119" i="99"/>
  <c r="G120" i="99"/>
  <c r="D121" i="99"/>
  <c r="E121" i="99"/>
  <c r="I47" i="44"/>
  <c r="I49" i="32"/>
  <c r="H48" i="20"/>
  <c r="I48" i="20" s="1"/>
  <c r="I42" i="90"/>
  <c r="G47" i="55"/>
  <c r="I47" i="55" s="1"/>
  <c r="J120" i="26"/>
  <c r="B121" i="97"/>
  <c r="F121" i="97"/>
  <c r="H120" i="97"/>
  <c r="I120" i="97"/>
  <c r="B121" i="98"/>
  <c r="F121" i="98"/>
  <c r="D122" i="26"/>
  <c r="G121" i="26"/>
  <c r="H120" i="98"/>
  <c r="I120" i="98"/>
  <c r="H43" i="75"/>
  <c r="I43" i="75" s="1"/>
  <c r="H44" i="68"/>
  <c r="I44" i="68" s="1"/>
  <c r="B45" i="67"/>
  <c r="F45" i="67"/>
  <c r="G45" i="67" s="1"/>
  <c r="B46" i="46"/>
  <c r="F46" i="46"/>
  <c r="B50" i="24"/>
  <c r="F50" i="24"/>
  <c r="G50" i="24" s="1"/>
  <c r="G50" i="30"/>
  <c r="I50" i="30" s="1"/>
  <c r="H47" i="45"/>
  <c r="I47" i="45" s="1"/>
  <c r="G46" i="72"/>
  <c r="I46" i="72" s="1"/>
  <c r="E44" i="82"/>
  <c r="D44" i="82"/>
  <c r="G45" i="64"/>
  <c r="I45" i="64" s="1"/>
  <c r="I40" i="94"/>
  <c r="G42" i="86"/>
  <c r="H42" i="86"/>
  <c r="D43" i="86"/>
  <c r="E43" i="86" s="1"/>
  <c r="B40" i="93"/>
  <c r="F40" i="93"/>
  <c r="G40" i="93" s="1"/>
  <c r="F43" i="80"/>
  <c r="B43" i="80"/>
  <c r="H43" i="82"/>
  <c r="I43" i="82" s="1"/>
  <c r="B41" i="94"/>
  <c r="F41" i="94"/>
  <c r="G41" i="94" s="1"/>
  <c r="D49" i="42"/>
  <c r="E49" i="42" s="1"/>
  <c r="B51" i="23"/>
  <c r="F51" i="23"/>
  <c r="E48" i="58"/>
  <c r="D48" i="58"/>
  <c r="H47" i="58"/>
  <c r="G47" i="58"/>
  <c r="F42" i="84"/>
  <c r="H42" i="84" s="1"/>
  <c r="B42" i="84"/>
  <c r="G44" i="65"/>
  <c r="D45" i="65"/>
  <c r="E45" i="65" s="1"/>
  <c r="F42" i="91"/>
  <c r="G42" i="91" s="1"/>
  <c r="B42" i="91"/>
  <c r="F43" i="90"/>
  <c r="H43" i="90" s="1"/>
  <c r="B43" i="90"/>
  <c r="G41" i="26"/>
  <c r="I41" i="26" s="1"/>
  <c r="B45" i="66"/>
  <c r="F45" i="66"/>
  <c r="H48" i="42"/>
  <c r="I41" i="91"/>
  <c r="B46" i="53"/>
  <c r="F46" i="53"/>
  <c r="G46" i="53" s="1"/>
  <c r="D44" i="75"/>
  <c r="E44" i="75" s="1"/>
  <c r="G48" i="42"/>
  <c r="H44" i="65"/>
  <c r="D48" i="55"/>
  <c r="E48" i="55" s="1"/>
  <c r="I45" i="53"/>
  <c r="B49" i="22"/>
  <c r="F49" i="22"/>
  <c r="B48" i="44"/>
  <c r="F48" i="44"/>
  <c r="G48" i="44" s="1"/>
  <c r="G42" i="88"/>
  <c r="I42" i="88" s="1"/>
  <c r="F45" i="61"/>
  <c r="G45" i="61" s="1"/>
  <c r="B45" i="61"/>
  <c r="B43" i="76"/>
  <c r="F43" i="76"/>
  <c r="H43" i="76" s="1"/>
  <c r="H51" i="69"/>
  <c r="I51" i="69" s="1"/>
  <c r="D47" i="72"/>
  <c r="E47" i="72" s="1"/>
  <c r="B40" i="96"/>
  <c r="F40" i="96"/>
  <c r="G40" i="96" s="1"/>
  <c r="H40" i="95"/>
  <c r="I40" i="95" s="1"/>
  <c r="D41" i="95"/>
  <c r="E41" i="95"/>
  <c r="G42" i="85"/>
  <c r="I42" i="85" s="1"/>
  <c r="E43" i="85"/>
  <c r="D43" i="85"/>
  <c r="D49" i="39"/>
  <c r="E49" i="39" s="1"/>
  <c r="G42" i="33"/>
  <c r="I42" i="33" s="1"/>
  <c r="I45" i="57"/>
  <c r="F42" i="81"/>
  <c r="H42" i="81" s="1"/>
  <c r="B42" i="81"/>
  <c r="F51" i="27"/>
  <c r="B51" i="27"/>
  <c r="H48" i="39"/>
  <c r="I48" i="39" s="1"/>
  <c r="I64" i="35"/>
  <c r="E42" i="83"/>
  <c r="D42" i="83"/>
  <c r="B43" i="77"/>
  <c r="F43" i="77"/>
  <c r="H43" i="77" s="1"/>
  <c r="F43" i="79"/>
  <c r="B43" i="79"/>
  <c r="F51" i="70"/>
  <c r="B51" i="70"/>
  <c r="F49" i="41"/>
  <c r="B49" i="41"/>
  <c r="B49" i="21"/>
  <c r="F49" i="21"/>
  <c r="H49" i="21" s="1"/>
  <c r="D50" i="3"/>
  <c r="E50" i="3" s="1"/>
  <c r="F45" i="63"/>
  <c r="G45" i="63" s="1"/>
  <c r="B45" i="63"/>
  <c r="E52" i="31"/>
  <c r="D52" i="31"/>
  <c r="D51" i="71"/>
  <c r="E51" i="71" s="1"/>
  <c r="C58" i="17"/>
  <c r="B49" i="17"/>
  <c r="F49" i="17"/>
  <c r="H41" i="87"/>
  <c r="I41" i="87" s="1"/>
  <c r="E45" i="68"/>
  <c r="D45" i="68"/>
  <c r="F48" i="73"/>
  <c r="H48" i="73" s="1"/>
  <c r="B48" i="73"/>
  <c r="H41" i="83"/>
  <c r="B45" i="60"/>
  <c r="F45" i="60"/>
  <c r="D53" i="28"/>
  <c r="E53" i="28" s="1"/>
  <c r="H50" i="71"/>
  <c r="F41" i="92"/>
  <c r="G41" i="92" s="1"/>
  <c r="B41" i="92"/>
  <c r="D48" i="45"/>
  <c r="E48" i="45" s="1"/>
  <c r="G50" i="34"/>
  <c r="E51" i="34"/>
  <c r="H50" i="34"/>
  <c r="D51" i="34"/>
  <c r="G49" i="19"/>
  <c r="I49" i="19" s="1"/>
  <c r="D50" i="19"/>
  <c r="E50" i="19" s="1"/>
  <c r="B49" i="43"/>
  <c r="F49" i="43"/>
  <c r="H49" i="43" s="1"/>
  <c r="B51" i="29"/>
  <c r="F51" i="29"/>
  <c r="H51" i="29" s="1"/>
  <c r="G41" i="83"/>
  <c r="D43" i="88"/>
  <c r="E43" i="88" s="1"/>
  <c r="D51" i="30"/>
  <c r="E51" i="30" s="1"/>
  <c r="F41" i="89"/>
  <c r="H41" i="89" s="1"/>
  <c r="B41" i="89"/>
  <c r="G45" i="56"/>
  <c r="I45" i="56" s="1"/>
  <c r="D46" i="56"/>
  <c r="E46" i="56"/>
  <c r="B46" i="54"/>
  <c r="F46" i="54"/>
  <c r="H46" i="54" s="1"/>
  <c r="G49" i="3"/>
  <c r="G51" i="31"/>
  <c r="F46" i="57"/>
  <c r="H46" i="57" s="1"/>
  <c r="B46" i="57"/>
  <c r="D46" i="64"/>
  <c r="E46" i="64" s="1"/>
  <c r="B48" i="74"/>
  <c r="F48" i="74"/>
  <c r="G48" i="74" s="1"/>
  <c r="B43" i="78"/>
  <c r="F43" i="78"/>
  <c r="F50" i="32"/>
  <c r="G50" i="32" s="1"/>
  <c r="B50" i="32"/>
  <c r="D52" i="69"/>
  <c r="E52" i="69" s="1"/>
  <c r="H52" i="28"/>
  <c r="I52" i="28" s="1"/>
  <c r="H49" i="3"/>
  <c r="H51" i="31"/>
  <c r="G50" i="71"/>
  <c r="J122" i="75"/>
  <c r="J125" i="54"/>
  <c r="J120" i="89"/>
  <c r="D41" i="13"/>
  <c r="E41" i="13" s="1"/>
  <c r="H40" i="13"/>
  <c r="G40" i="13"/>
  <c r="D45" i="62"/>
  <c r="E45" i="62" s="1"/>
  <c r="J126" i="45"/>
  <c r="G65" i="35"/>
  <c r="E66" i="35"/>
  <c r="F66" i="35" s="1"/>
  <c r="B66" i="35"/>
  <c r="H65" i="35"/>
  <c r="J126" i="56"/>
  <c r="J127" i="41"/>
  <c r="J128" i="22"/>
  <c r="D42" i="26"/>
  <c r="E42" i="26" s="1"/>
  <c r="E49" i="20"/>
  <c r="D49" i="20"/>
  <c r="D43" i="33"/>
  <c r="H44" i="62"/>
  <c r="B45" i="59"/>
  <c r="F45" i="59"/>
  <c r="B50" i="18"/>
  <c r="F50" i="18"/>
  <c r="G44" i="62"/>
  <c r="D42" i="87"/>
  <c r="E42" i="87"/>
  <c r="E129" i="73"/>
  <c r="D129" i="73"/>
  <c r="G128" i="73"/>
  <c r="F125" i="65"/>
  <c r="B125" i="65"/>
  <c r="I130" i="70"/>
  <c r="H130" i="70"/>
  <c r="F121" i="92"/>
  <c r="B121" i="92"/>
  <c r="B131" i="27"/>
  <c r="F131" i="27"/>
  <c r="G129" i="22"/>
  <c r="E130" i="22"/>
  <c r="D130" i="22"/>
  <c r="I121" i="85"/>
  <c r="H121" i="85"/>
  <c r="I126" i="74"/>
  <c r="H126" i="74"/>
  <c r="F121" i="84"/>
  <c r="B121" i="84"/>
  <c r="I128" i="19"/>
  <c r="H128" i="19"/>
  <c r="F126" i="53"/>
  <c r="B126" i="53"/>
  <c r="F126" i="46"/>
  <c r="B126" i="46"/>
  <c r="I120" i="88"/>
  <c r="H120" i="88"/>
  <c r="H123" i="68"/>
  <c r="I123" i="68"/>
  <c r="B121" i="90"/>
  <c r="F121" i="90"/>
  <c r="I128" i="34"/>
  <c r="H128" i="34"/>
  <c r="B130" i="32"/>
  <c r="F130" i="32"/>
  <c r="B126" i="72"/>
  <c r="F126" i="72"/>
  <c r="F131" i="30"/>
  <c r="B131" i="30"/>
  <c r="I122" i="79"/>
  <c r="H122" i="79"/>
  <c r="F125" i="60"/>
  <c r="B125" i="60"/>
  <c r="H130" i="69"/>
  <c r="I130" i="69"/>
  <c r="I124" i="63"/>
  <c r="H124" i="63"/>
  <c r="I122" i="78"/>
  <c r="H122" i="78"/>
  <c r="H124" i="65"/>
  <c r="I124" i="65"/>
  <c r="E122" i="89"/>
  <c r="G121" i="89"/>
  <c r="D122" i="89"/>
  <c r="F124" i="66"/>
  <c r="B124" i="66"/>
  <c r="F128" i="43"/>
  <c r="B128" i="43"/>
  <c r="J120" i="91"/>
  <c r="J124" i="62"/>
  <c r="I125" i="53"/>
  <c r="H125" i="53"/>
  <c r="H125" i="58"/>
  <c r="I125" i="58"/>
  <c r="F125" i="64"/>
  <c r="B125" i="64"/>
  <c r="H120" i="90"/>
  <c r="I120" i="90"/>
  <c r="H129" i="31"/>
  <c r="I129" i="31"/>
  <c r="I125" i="72"/>
  <c r="H125" i="72"/>
  <c r="H130" i="30"/>
  <c r="I130" i="30"/>
  <c r="B131" i="69"/>
  <c r="F131" i="69"/>
  <c r="B125" i="61"/>
  <c r="F125" i="61"/>
  <c r="G125" i="62"/>
  <c r="D126" i="62"/>
  <c r="E126" i="62"/>
  <c r="B128" i="39"/>
  <c r="F128" i="39"/>
  <c r="J121" i="81"/>
  <c r="B123" i="78"/>
  <c r="F123" i="78"/>
  <c r="I120" i="92"/>
  <c r="H120" i="92"/>
  <c r="F122" i="85"/>
  <c r="B122" i="85"/>
  <c r="F127" i="74"/>
  <c r="B127" i="74"/>
  <c r="D123" i="81"/>
  <c r="G122" i="81"/>
  <c r="E123" i="81"/>
  <c r="F129" i="19"/>
  <c r="B129" i="19"/>
  <c r="H125" i="46"/>
  <c r="I125" i="46"/>
  <c r="D122" i="91"/>
  <c r="E122" i="91"/>
  <c r="G121" i="91"/>
  <c r="F124" i="68"/>
  <c r="B124" i="68"/>
  <c r="B126" i="58"/>
  <c r="F126" i="58"/>
  <c r="H124" i="64"/>
  <c r="I124" i="64"/>
  <c r="B129" i="34"/>
  <c r="F129" i="34"/>
  <c r="H129" i="32"/>
  <c r="I129" i="32"/>
  <c r="H128" i="20"/>
  <c r="I128" i="20"/>
  <c r="H130" i="29"/>
  <c r="I130" i="29"/>
  <c r="I120" i="86"/>
  <c r="H120" i="86"/>
  <c r="F125" i="63"/>
  <c r="B125" i="63"/>
  <c r="J127" i="42"/>
  <c r="F131" i="70"/>
  <c r="B131" i="70"/>
  <c r="H123" i="66"/>
  <c r="I123" i="66"/>
  <c r="H130" i="27"/>
  <c r="I130" i="27"/>
  <c r="E129" i="41"/>
  <c r="D129" i="41"/>
  <c r="G128" i="41"/>
  <c r="H127" i="43"/>
  <c r="I127" i="43"/>
  <c r="I120" i="84"/>
  <c r="H120" i="84"/>
  <c r="B121" i="88"/>
  <c r="F121" i="88"/>
  <c r="B130" i="31"/>
  <c r="F130" i="31"/>
  <c r="F129" i="20"/>
  <c r="B129" i="20"/>
  <c r="B123" i="79"/>
  <c r="F123" i="79"/>
  <c r="I124" i="60"/>
  <c r="H124" i="60"/>
  <c r="J127" i="73"/>
  <c r="B131" i="29"/>
  <c r="F131" i="29"/>
  <c r="F121" i="86"/>
  <c r="B121" i="86"/>
  <c r="H124" i="61"/>
  <c r="I124" i="61"/>
  <c r="E128" i="45"/>
  <c r="G127" i="45"/>
  <c r="D128" i="45"/>
  <c r="H127" i="39"/>
  <c r="I127" i="39"/>
  <c r="J146" i="35"/>
  <c r="B126" i="59"/>
  <c r="F126" i="59"/>
  <c r="I129" i="18"/>
  <c r="H129" i="18"/>
  <c r="I130" i="23"/>
  <c r="H130" i="23"/>
  <c r="G127" i="56"/>
  <c r="D128" i="56"/>
  <c r="E128" i="56"/>
  <c r="B130" i="18"/>
  <c r="F130" i="18"/>
  <c r="F131" i="23"/>
  <c r="B131" i="23"/>
  <c r="J129" i="24"/>
  <c r="J122" i="76"/>
  <c r="I125" i="59"/>
  <c r="H125" i="59"/>
  <c r="J121" i="83"/>
  <c r="B127" i="57"/>
  <c r="F127" i="57"/>
  <c r="B131" i="71"/>
  <c r="F131" i="71"/>
  <c r="J119" i="13"/>
  <c r="I130" i="71"/>
  <c r="H130" i="71"/>
  <c r="H126" i="57"/>
  <c r="I126" i="57"/>
  <c r="G120" i="33"/>
  <c r="D121" i="33"/>
  <c r="E121" i="33" s="1"/>
  <c r="D122" i="93"/>
  <c r="G121" i="93"/>
  <c r="D127" i="55"/>
  <c r="G126" i="55"/>
  <c r="E127" i="55"/>
  <c r="B130" i="17"/>
  <c r="F130" i="17"/>
  <c r="I131" i="28"/>
  <c r="H131" i="28"/>
  <c r="H120" i="96"/>
  <c r="I120" i="96"/>
  <c r="H127" i="44"/>
  <c r="I127" i="44"/>
  <c r="B121" i="87"/>
  <c r="F121" i="87"/>
  <c r="I121" i="94"/>
  <c r="H121" i="94"/>
  <c r="E131" i="24"/>
  <c r="G130" i="24"/>
  <c r="D131" i="24"/>
  <c r="F132" i="28"/>
  <c r="B132" i="28"/>
  <c r="I121" i="82"/>
  <c r="H121" i="82"/>
  <c r="B124" i="67"/>
  <c r="F124" i="67"/>
  <c r="E123" i="80"/>
  <c r="D123" i="80"/>
  <c r="G122" i="80"/>
  <c r="H120" i="87"/>
  <c r="I120" i="87"/>
  <c r="I121" i="95"/>
  <c r="H121" i="95"/>
  <c r="J128" i="21"/>
  <c r="G128" i="42"/>
  <c r="D129" i="42"/>
  <c r="E129" i="42"/>
  <c r="E130" i="21"/>
  <c r="D130" i="21"/>
  <c r="G129" i="21"/>
  <c r="J125" i="55"/>
  <c r="D124" i="76"/>
  <c r="E124" i="76"/>
  <c r="G123" i="76"/>
  <c r="G120" i="13"/>
  <c r="D121" i="13"/>
  <c r="E121" i="13" s="1"/>
  <c r="E127" i="54"/>
  <c r="G126" i="54"/>
  <c r="D127" i="54"/>
  <c r="B121" i="96"/>
  <c r="H147" i="35"/>
  <c r="I147" i="35"/>
  <c r="B122" i="82"/>
  <c r="F122" i="82"/>
  <c r="G123" i="75"/>
  <c r="D124" i="75"/>
  <c r="E124" i="75"/>
  <c r="I123" i="67"/>
  <c r="H123" i="67"/>
  <c r="J120" i="93"/>
  <c r="B129" i="3"/>
  <c r="F129" i="3"/>
  <c r="J122" i="77"/>
  <c r="J121" i="80"/>
  <c r="H129" i="17"/>
  <c r="I129" i="17"/>
  <c r="E121" i="96"/>
  <c r="F121" i="96" s="1"/>
  <c r="G148" i="35"/>
  <c r="B149" i="35"/>
  <c r="E149" i="35"/>
  <c r="F149" i="35" s="1"/>
  <c r="E123" i="83"/>
  <c r="G122" i="83"/>
  <c r="D123" i="83"/>
  <c r="J119" i="33"/>
  <c r="F128" i="44"/>
  <c r="B128" i="44"/>
  <c r="D124" i="77"/>
  <c r="E124" i="77"/>
  <c r="G123" i="77"/>
  <c r="F122" i="94"/>
  <c r="B122" i="94"/>
  <c r="I128" i="3"/>
  <c r="H128" i="3"/>
  <c r="B122" i="95"/>
  <c r="F122" i="95"/>
  <c r="E41" i="25" l="1"/>
  <c r="F41" i="25" s="1"/>
  <c r="B41" i="25"/>
  <c r="G44" i="99"/>
  <c r="I48" i="97"/>
  <c r="E45" i="99"/>
  <c r="F45" i="99" s="1"/>
  <c r="B45" i="99"/>
  <c r="I43" i="99"/>
  <c r="D41" i="98"/>
  <c r="E41" i="98"/>
  <c r="H40" i="98"/>
  <c r="I40" i="98" s="1"/>
  <c r="H44" i="99"/>
  <c r="I44" i="99" s="1"/>
  <c r="E49" i="97"/>
  <c r="F49" i="97" s="1"/>
  <c r="D50" i="97" s="1"/>
  <c r="B49" i="97"/>
  <c r="E121" i="25"/>
  <c r="F121" i="25" s="1"/>
  <c r="B121" i="25"/>
  <c r="I120" i="25"/>
  <c r="H120" i="25"/>
  <c r="B121" i="99"/>
  <c r="F121" i="99"/>
  <c r="I120" i="99"/>
  <c r="H120" i="99"/>
  <c r="I49" i="3"/>
  <c r="J120" i="97"/>
  <c r="H121" i="26"/>
  <c r="I121" i="26"/>
  <c r="E122" i="26"/>
  <c r="F122" i="26" s="1"/>
  <c r="B122" i="26"/>
  <c r="J120" i="98"/>
  <c r="D122" i="98"/>
  <c r="G121" i="98"/>
  <c r="E122" i="98"/>
  <c r="G121" i="97"/>
  <c r="D122" i="97"/>
  <c r="E122" i="97"/>
  <c r="H41" i="92"/>
  <c r="I41" i="92" s="1"/>
  <c r="H42" i="91"/>
  <c r="I42" i="91" s="1"/>
  <c r="H45" i="67"/>
  <c r="I45" i="67" s="1"/>
  <c r="D46" i="67"/>
  <c r="E46" i="67"/>
  <c r="I44" i="65"/>
  <c r="G46" i="57"/>
  <c r="I46" i="57" s="1"/>
  <c r="H46" i="53"/>
  <c r="I46" i="53" s="1"/>
  <c r="G46" i="46"/>
  <c r="D47" i="46"/>
  <c r="E47" i="46" s="1"/>
  <c r="H46" i="46"/>
  <c r="E51" i="24"/>
  <c r="D51" i="24"/>
  <c r="H50" i="24"/>
  <c r="I50" i="24" s="1"/>
  <c r="G43" i="80"/>
  <c r="E44" i="80"/>
  <c r="D44" i="80"/>
  <c r="F43" i="86"/>
  <c r="B43" i="86"/>
  <c r="I48" i="42"/>
  <c r="H43" i="80"/>
  <c r="H40" i="93"/>
  <c r="I40" i="93" s="1"/>
  <c r="D41" i="93"/>
  <c r="E41" i="93"/>
  <c r="I42" i="86"/>
  <c r="H41" i="94"/>
  <c r="I41" i="94" s="1"/>
  <c r="D42" i="94"/>
  <c r="E42" i="94" s="1"/>
  <c r="B44" i="82"/>
  <c r="F44" i="82"/>
  <c r="H50" i="32"/>
  <c r="I50" i="32" s="1"/>
  <c r="G49" i="21"/>
  <c r="G43" i="76"/>
  <c r="I43" i="76" s="1"/>
  <c r="G45" i="66"/>
  <c r="D46" i="66"/>
  <c r="E46" i="66" s="1"/>
  <c r="B45" i="65"/>
  <c r="F45" i="65"/>
  <c r="G45" i="65" s="1"/>
  <c r="F48" i="58"/>
  <c r="H48" i="58" s="1"/>
  <c r="B48" i="58"/>
  <c r="G41" i="89"/>
  <c r="I41" i="89" s="1"/>
  <c r="H40" i="96"/>
  <c r="I40" i="96" s="1"/>
  <c r="B48" i="55"/>
  <c r="F48" i="55"/>
  <c r="G48" i="55" s="1"/>
  <c r="G43" i="90"/>
  <c r="I43" i="90" s="1"/>
  <c r="D44" i="90"/>
  <c r="E44" i="90" s="1"/>
  <c r="D43" i="91"/>
  <c r="E43" i="91"/>
  <c r="G42" i="84"/>
  <c r="I42" i="84" s="1"/>
  <c r="D43" i="84"/>
  <c r="E43" i="84"/>
  <c r="G48" i="73"/>
  <c r="I48" i="73" s="1"/>
  <c r="F44" i="75"/>
  <c r="H44" i="75" s="1"/>
  <c r="B44" i="75"/>
  <c r="D47" i="53"/>
  <c r="E47" i="53"/>
  <c r="H51" i="23"/>
  <c r="D52" i="23"/>
  <c r="E52" i="23"/>
  <c r="B49" i="42"/>
  <c r="F49" i="42"/>
  <c r="G49" i="42" s="1"/>
  <c r="H45" i="66"/>
  <c r="I47" i="58"/>
  <c r="G51" i="23"/>
  <c r="G49" i="43"/>
  <c r="I49" i="43" s="1"/>
  <c r="G42" i="81"/>
  <c r="I42" i="81" s="1"/>
  <c r="B49" i="39"/>
  <c r="F49" i="39"/>
  <c r="H49" i="39" s="1"/>
  <c r="E46" i="61"/>
  <c r="D46" i="61"/>
  <c r="H48" i="44"/>
  <c r="I48" i="44" s="1"/>
  <c r="D49" i="44"/>
  <c r="E49" i="44" s="1"/>
  <c r="F47" i="72"/>
  <c r="B47" i="72"/>
  <c r="H49" i="22"/>
  <c r="D50" i="22"/>
  <c r="E50" i="22" s="1"/>
  <c r="H48" i="74"/>
  <c r="I48" i="74" s="1"/>
  <c r="H51" i="27"/>
  <c r="D52" i="27"/>
  <c r="E52" i="27" s="1"/>
  <c r="G51" i="27"/>
  <c r="E41" i="96"/>
  <c r="D41" i="96"/>
  <c r="D43" i="81"/>
  <c r="E43" i="81" s="1"/>
  <c r="H45" i="63"/>
  <c r="I45" i="63" s="1"/>
  <c r="B43" i="85"/>
  <c r="F43" i="85"/>
  <c r="H43" i="85" s="1"/>
  <c r="B41" i="95"/>
  <c r="F41" i="95"/>
  <c r="H41" i="95" s="1"/>
  <c r="E44" i="76"/>
  <c r="D44" i="76"/>
  <c r="H45" i="61"/>
  <c r="I45" i="61" s="1"/>
  <c r="G49" i="22"/>
  <c r="I51" i="31"/>
  <c r="H43" i="78"/>
  <c r="D44" i="78"/>
  <c r="E44" i="78" s="1"/>
  <c r="F46" i="64"/>
  <c r="G46" i="64" s="1"/>
  <c r="B46" i="64"/>
  <c r="F51" i="30"/>
  <c r="G51" i="30" s="1"/>
  <c r="B51" i="30"/>
  <c r="F51" i="34"/>
  <c r="G51" i="34" s="1"/>
  <c r="B51" i="34"/>
  <c r="I50" i="71"/>
  <c r="D46" i="60"/>
  <c r="E46" i="60" s="1"/>
  <c r="I41" i="83"/>
  <c r="D50" i="17"/>
  <c r="E50" i="17" s="1"/>
  <c r="F51" i="71"/>
  <c r="G51" i="71" s="1"/>
  <c r="B51" i="71"/>
  <c r="F50" i="3"/>
  <c r="G50" i="3" s="1"/>
  <c r="B50" i="3"/>
  <c r="H49" i="41"/>
  <c r="D50" i="41"/>
  <c r="E50" i="41" s="1"/>
  <c r="E52" i="70"/>
  <c r="D52" i="70"/>
  <c r="D44" i="79"/>
  <c r="E44" i="79"/>
  <c r="B42" i="83"/>
  <c r="F42" i="83"/>
  <c r="H42" i="83" s="1"/>
  <c r="D49" i="74"/>
  <c r="E49" i="74" s="1"/>
  <c r="E47" i="57"/>
  <c r="D47" i="57"/>
  <c r="B46" i="56"/>
  <c r="F46" i="56"/>
  <c r="G51" i="29"/>
  <c r="I51" i="29" s="1"/>
  <c r="D52" i="29"/>
  <c r="E52" i="29" s="1"/>
  <c r="D50" i="43"/>
  <c r="E50" i="43" s="1"/>
  <c r="I50" i="34"/>
  <c r="G49" i="17"/>
  <c r="D50" i="21"/>
  <c r="E50" i="21" s="1"/>
  <c r="H51" i="70"/>
  <c r="H43" i="79"/>
  <c r="B52" i="69"/>
  <c r="F52" i="69"/>
  <c r="G52" i="69" s="1"/>
  <c r="D51" i="32"/>
  <c r="E51" i="32" s="1"/>
  <c r="G46" i="54"/>
  <c r="I46" i="54" s="1"/>
  <c r="E47" i="54"/>
  <c r="D47" i="54"/>
  <c r="E42" i="89"/>
  <c r="D42" i="89"/>
  <c r="F43" i="88"/>
  <c r="B43" i="88"/>
  <c r="F50" i="19"/>
  <c r="G50" i="19" s="1"/>
  <c r="B50" i="19"/>
  <c r="F48" i="45"/>
  <c r="H48" i="45" s="1"/>
  <c r="B48" i="45"/>
  <c r="D42" i="92"/>
  <c r="E42" i="92"/>
  <c r="B53" i="28"/>
  <c r="F53" i="28"/>
  <c r="H53" i="28" s="1"/>
  <c r="H45" i="60"/>
  <c r="D49" i="73"/>
  <c r="E49" i="73" s="1"/>
  <c r="F52" i="31"/>
  <c r="H52" i="31" s="1"/>
  <c r="B52" i="31"/>
  <c r="D46" i="63"/>
  <c r="E46" i="63" s="1"/>
  <c r="G49" i="41"/>
  <c r="I49" i="41" s="1"/>
  <c r="G51" i="70"/>
  <c r="G43" i="79"/>
  <c r="G43" i="77"/>
  <c r="I43" i="77" s="1"/>
  <c r="E44" i="77"/>
  <c r="D44" i="77"/>
  <c r="G43" i="78"/>
  <c r="G45" i="60"/>
  <c r="F45" i="68"/>
  <c r="H45" i="68" s="1"/>
  <c r="B45" i="68"/>
  <c r="H49" i="17"/>
  <c r="I49" i="21"/>
  <c r="J130" i="69"/>
  <c r="J123" i="68"/>
  <c r="J120" i="84"/>
  <c r="J120" i="86"/>
  <c r="J125" i="53"/>
  <c r="J130" i="70"/>
  <c r="J130" i="71"/>
  <c r="J125" i="72"/>
  <c r="D51" i="18"/>
  <c r="E51" i="18"/>
  <c r="D46" i="59"/>
  <c r="E46" i="59" s="1"/>
  <c r="J130" i="23"/>
  <c r="J130" i="30"/>
  <c r="J129" i="31"/>
  <c r="J124" i="63"/>
  <c r="J121" i="85"/>
  <c r="G50" i="18"/>
  <c r="H45" i="59"/>
  <c r="I44" i="62"/>
  <c r="B43" i="33"/>
  <c r="B49" i="20"/>
  <c r="F49" i="20"/>
  <c r="H49" i="20" s="1"/>
  <c r="I65" i="35"/>
  <c r="F45" i="62"/>
  <c r="B45" i="62"/>
  <c r="I40" i="13"/>
  <c r="J123" i="66"/>
  <c r="F42" i="87"/>
  <c r="B42" i="87"/>
  <c r="E43" i="33"/>
  <c r="F43" i="33" s="1"/>
  <c r="F42" i="26"/>
  <c r="H42" i="26" s="1"/>
  <c r="B42" i="26"/>
  <c r="J127" i="39"/>
  <c r="J127" i="43"/>
  <c r="J130" i="29"/>
  <c r="J129" i="32"/>
  <c r="J124" i="64"/>
  <c r="H50" i="18"/>
  <c r="G45" i="59"/>
  <c r="H66" i="35"/>
  <c r="G66" i="35"/>
  <c r="B67" i="35"/>
  <c r="E67" i="35"/>
  <c r="F67" i="35" s="1"/>
  <c r="B41" i="13"/>
  <c r="F41" i="13"/>
  <c r="J125" i="59"/>
  <c r="J129" i="18"/>
  <c r="J124" i="61"/>
  <c r="E132" i="29"/>
  <c r="D132" i="29"/>
  <c r="G131" i="29"/>
  <c r="J124" i="60"/>
  <c r="D130" i="20"/>
  <c r="E130" i="20"/>
  <c r="G129" i="20"/>
  <c r="J130" i="27"/>
  <c r="E126" i="63"/>
  <c r="G125" i="63"/>
  <c r="D126" i="63"/>
  <c r="E125" i="68"/>
  <c r="D125" i="68"/>
  <c r="G124" i="68"/>
  <c r="J125" i="46"/>
  <c r="G127" i="74"/>
  <c r="D128" i="74"/>
  <c r="E128" i="74"/>
  <c r="J120" i="92"/>
  <c r="D129" i="39"/>
  <c r="E129" i="39"/>
  <c r="G128" i="39"/>
  <c r="H125" i="62"/>
  <c r="I125" i="62"/>
  <c r="E125" i="66"/>
  <c r="D125" i="66"/>
  <c r="G124" i="66"/>
  <c r="J124" i="65"/>
  <c r="E131" i="32"/>
  <c r="G130" i="32"/>
  <c r="D131" i="32"/>
  <c r="D122" i="90"/>
  <c r="G121" i="90"/>
  <c r="E122" i="90"/>
  <c r="H129" i="22"/>
  <c r="I129" i="22"/>
  <c r="E122" i="92"/>
  <c r="D122" i="92"/>
  <c r="G121" i="92"/>
  <c r="E126" i="65"/>
  <c r="D126" i="65"/>
  <c r="G125" i="65"/>
  <c r="J120" i="87"/>
  <c r="J126" i="57"/>
  <c r="B128" i="45"/>
  <c r="F128" i="45"/>
  <c r="E124" i="79"/>
  <c r="G123" i="79"/>
  <c r="D124" i="79"/>
  <c r="E131" i="31"/>
  <c r="D131" i="31"/>
  <c r="G130" i="31"/>
  <c r="H128" i="41"/>
  <c r="I128" i="41"/>
  <c r="E132" i="70"/>
  <c r="D132" i="70"/>
  <c r="G131" i="70"/>
  <c r="J128" i="20"/>
  <c r="E130" i="34"/>
  <c r="G129" i="34"/>
  <c r="D130" i="34"/>
  <c r="D127" i="58"/>
  <c r="E127" i="58"/>
  <c r="G126" i="58"/>
  <c r="I121" i="91"/>
  <c r="H121" i="91"/>
  <c r="I122" i="81"/>
  <c r="H122" i="81"/>
  <c r="D124" i="78"/>
  <c r="E124" i="78"/>
  <c r="G123" i="78"/>
  <c r="E126" i="61"/>
  <c r="G125" i="61"/>
  <c r="D126" i="61"/>
  <c r="B122" i="89"/>
  <c r="F122" i="89"/>
  <c r="E126" i="60"/>
  <c r="D126" i="60"/>
  <c r="G125" i="60"/>
  <c r="E132" i="30"/>
  <c r="G131" i="30"/>
  <c r="D132" i="30"/>
  <c r="J120" i="88"/>
  <c r="G126" i="53"/>
  <c r="E127" i="53"/>
  <c r="D127" i="53"/>
  <c r="D122" i="84"/>
  <c r="G121" i="84"/>
  <c r="E122" i="84"/>
  <c r="D132" i="27"/>
  <c r="G131" i="27"/>
  <c r="E132" i="27"/>
  <c r="I128" i="73"/>
  <c r="H128" i="73"/>
  <c r="I127" i="45"/>
  <c r="H127" i="45"/>
  <c r="B129" i="41"/>
  <c r="F129" i="41"/>
  <c r="F123" i="81"/>
  <c r="B123" i="81"/>
  <c r="G122" i="85"/>
  <c r="E123" i="85"/>
  <c r="D123" i="85"/>
  <c r="E126" i="64"/>
  <c r="G125" i="64"/>
  <c r="D126" i="64"/>
  <c r="E129" i="43"/>
  <c r="G128" i="43"/>
  <c r="D129" i="43"/>
  <c r="H121" i="89"/>
  <c r="I121" i="89"/>
  <c r="G126" i="72"/>
  <c r="E127" i="72"/>
  <c r="D127" i="72"/>
  <c r="F130" i="22"/>
  <c r="B130" i="22"/>
  <c r="B129" i="73"/>
  <c r="F129" i="73"/>
  <c r="D122" i="86"/>
  <c r="G121" i="86"/>
  <c r="E122" i="86"/>
  <c r="E122" i="88"/>
  <c r="G121" i="88"/>
  <c r="D122" i="88"/>
  <c r="B122" i="91"/>
  <c r="F122" i="91"/>
  <c r="D130" i="19"/>
  <c r="E130" i="19"/>
  <c r="G129" i="19"/>
  <c r="B126" i="62"/>
  <c r="F126" i="62"/>
  <c r="G131" i="69"/>
  <c r="D132" i="69"/>
  <c r="E132" i="69"/>
  <c r="J120" i="90"/>
  <c r="J125" i="58"/>
  <c r="J122" i="78"/>
  <c r="J122" i="79"/>
  <c r="J128" i="34"/>
  <c r="G126" i="46"/>
  <c r="E127" i="46"/>
  <c r="D127" i="46"/>
  <c r="J128" i="19"/>
  <c r="J126" i="74"/>
  <c r="E132" i="23"/>
  <c r="D132" i="23"/>
  <c r="G131" i="23"/>
  <c r="G130" i="18"/>
  <c r="E131" i="18"/>
  <c r="D131" i="18"/>
  <c r="F128" i="56"/>
  <c r="B128" i="56"/>
  <c r="G126" i="59"/>
  <c r="E127" i="59"/>
  <c r="D127" i="59"/>
  <c r="H127" i="56"/>
  <c r="I127" i="56"/>
  <c r="J147" i="35"/>
  <c r="D132" i="71"/>
  <c r="E132" i="71"/>
  <c r="G131" i="71"/>
  <c r="J131" i="28"/>
  <c r="J127" i="44"/>
  <c r="J120" i="96"/>
  <c r="E128" i="57"/>
  <c r="D128" i="57"/>
  <c r="G127" i="57"/>
  <c r="G121" i="96"/>
  <c r="D122" i="96"/>
  <c r="E122" i="96" s="1"/>
  <c r="F124" i="77"/>
  <c r="B124" i="77"/>
  <c r="F123" i="83"/>
  <c r="B123" i="83"/>
  <c r="G149" i="35"/>
  <c r="B150" i="35"/>
  <c r="E150" i="35"/>
  <c r="F150" i="35" s="1"/>
  <c r="J129" i="17"/>
  <c r="D123" i="82"/>
  <c r="G122" i="82"/>
  <c r="E123" i="82"/>
  <c r="H120" i="13"/>
  <c r="I120" i="13"/>
  <c r="B130" i="21"/>
  <c r="F130" i="21"/>
  <c r="I128" i="42"/>
  <c r="H128" i="42"/>
  <c r="J121" i="95"/>
  <c r="B123" i="80"/>
  <c r="F123" i="80"/>
  <c r="G132" i="28"/>
  <c r="D133" i="28"/>
  <c r="E133" i="28"/>
  <c r="E131" i="17"/>
  <c r="D131" i="17"/>
  <c r="G130" i="17"/>
  <c r="I126" i="55"/>
  <c r="H126" i="55"/>
  <c r="B122" i="93"/>
  <c r="D123" i="95"/>
  <c r="E123" i="95" s="1"/>
  <c r="G122" i="95"/>
  <c r="D123" i="94"/>
  <c r="E123" i="94" s="1"/>
  <c r="G122" i="94"/>
  <c r="H122" i="83"/>
  <c r="I122" i="83"/>
  <c r="D130" i="3"/>
  <c r="G129" i="3"/>
  <c r="E130" i="3"/>
  <c r="B124" i="75"/>
  <c r="F124" i="75"/>
  <c r="B127" i="54"/>
  <c r="F127" i="54"/>
  <c r="B124" i="76"/>
  <c r="F124" i="76"/>
  <c r="F131" i="24"/>
  <c r="B131" i="24"/>
  <c r="F127" i="55"/>
  <c r="B127" i="55"/>
  <c r="J128" i="3"/>
  <c r="H123" i="77"/>
  <c r="I123" i="77"/>
  <c r="D129" i="44"/>
  <c r="G128" i="44"/>
  <c r="E129" i="44"/>
  <c r="H148" i="35"/>
  <c r="I148" i="35"/>
  <c r="I123" i="75"/>
  <c r="H123" i="75"/>
  <c r="H126" i="54"/>
  <c r="I126" i="54"/>
  <c r="D125" i="67"/>
  <c r="G124" i="67"/>
  <c r="E125" i="67"/>
  <c r="J121" i="82"/>
  <c r="H130" i="24"/>
  <c r="I130" i="24"/>
  <c r="H121" i="93"/>
  <c r="I121" i="93"/>
  <c r="B121" i="33"/>
  <c r="F121" i="33"/>
  <c r="J123" i="67"/>
  <c r="B121" i="13"/>
  <c r="F121" i="13"/>
  <c r="H123" i="76"/>
  <c r="I123" i="76"/>
  <c r="I129" i="21"/>
  <c r="H129" i="21"/>
  <c r="F129" i="42"/>
  <c r="B129" i="42"/>
  <c r="I122" i="80"/>
  <c r="H122" i="80"/>
  <c r="J121" i="94"/>
  <c r="G121" i="87"/>
  <c r="D122" i="87"/>
  <c r="E122" i="87"/>
  <c r="E122" i="93"/>
  <c r="F122" i="93" s="1"/>
  <c r="I120" i="33"/>
  <c r="H120" i="33"/>
  <c r="G41" i="25" l="1"/>
  <c r="H41" i="25"/>
  <c r="I41" i="25" s="1"/>
  <c r="D42" i="25"/>
  <c r="I49" i="22"/>
  <c r="D46" i="99"/>
  <c r="B46" i="99" s="1"/>
  <c r="G45" i="99"/>
  <c r="E50" i="97"/>
  <c r="F50" i="97" s="1"/>
  <c r="B50" i="97"/>
  <c r="H49" i="97"/>
  <c r="F41" i="98"/>
  <c r="B41" i="98"/>
  <c r="G49" i="97"/>
  <c r="E46" i="99"/>
  <c r="H45" i="99"/>
  <c r="D122" i="25"/>
  <c r="G121" i="25"/>
  <c r="J120" i="25"/>
  <c r="J120" i="99"/>
  <c r="G121" i="99"/>
  <c r="D122" i="99"/>
  <c r="E122" i="99"/>
  <c r="I46" i="46"/>
  <c r="J121" i="26"/>
  <c r="I49" i="17"/>
  <c r="D123" i="26"/>
  <c r="G122" i="26"/>
  <c r="H121" i="98"/>
  <c r="I121" i="98"/>
  <c r="B122" i="97"/>
  <c r="F122" i="97"/>
  <c r="F122" i="98"/>
  <c r="B122" i="98"/>
  <c r="H121" i="97"/>
  <c r="I121" i="97"/>
  <c r="I43" i="80"/>
  <c r="F46" i="67"/>
  <c r="H46" i="67" s="1"/>
  <c r="B46" i="67"/>
  <c r="I45" i="66"/>
  <c r="B47" i="46"/>
  <c r="F47" i="46"/>
  <c r="H47" i="46" s="1"/>
  <c r="H51" i="30"/>
  <c r="I51" i="30" s="1"/>
  <c r="F51" i="24"/>
  <c r="G51" i="24" s="1"/>
  <c r="B51" i="24"/>
  <c r="I45" i="60"/>
  <c r="H48" i="55"/>
  <c r="I48" i="55" s="1"/>
  <c r="D45" i="82"/>
  <c r="E45" i="82" s="1"/>
  <c r="H43" i="86"/>
  <c r="D44" i="86"/>
  <c r="E44" i="86" s="1"/>
  <c r="B44" i="80"/>
  <c r="F44" i="80"/>
  <c r="G44" i="80" s="1"/>
  <c r="H46" i="64"/>
  <c r="I46" i="64" s="1"/>
  <c r="G43" i="86"/>
  <c r="G44" i="82"/>
  <c r="F42" i="94"/>
  <c r="B42" i="94"/>
  <c r="H44" i="82"/>
  <c r="F41" i="93"/>
  <c r="B41" i="93"/>
  <c r="H49" i="42"/>
  <c r="I49" i="42" s="1"/>
  <c r="F52" i="23"/>
  <c r="B52" i="23"/>
  <c r="G44" i="75"/>
  <c r="I44" i="75" s="1"/>
  <c r="G48" i="58"/>
  <c r="I48" i="58" s="1"/>
  <c r="E49" i="58"/>
  <c r="D49" i="58"/>
  <c r="I51" i="23"/>
  <c r="F43" i="91"/>
  <c r="B43" i="91"/>
  <c r="F46" i="66"/>
  <c r="G46" i="66" s="1"/>
  <c r="B46" i="66"/>
  <c r="F43" i="84"/>
  <c r="G43" i="84" s="1"/>
  <c r="B43" i="84"/>
  <c r="D49" i="55"/>
  <c r="E49" i="55" s="1"/>
  <c r="D50" i="42"/>
  <c r="E50" i="42"/>
  <c r="B47" i="53"/>
  <c r="F47" i="53"/>
  <c r="D45" i="75"/>
  <c r="E45" i="75"/>
  <c r="B44" i="90"/>
  <c r="F44" i="90"/>
  <c r="H44" i="90" s="1"/>
  <c r="H45" i="65"/>
  <c r="I45" i="65" s="1"/>
  <c r="D46" i="65"/>
  <c r="E46" i="65" s="1"/>
  <c r="G48" i="45"/>
  <c r="I48" i="45" s="1"/>
  <c r="B44" i="76"/>
  <c r="F44" i="76"/>
  <c r="H44" i="76" s="1"/>
  <c r="I51" i="27"/>
  <c r="D48" i="72"/>
  <c r="E48" i="72" s="1"/>
  <c r="B46" i="61"/>
  <c r="F46" i="61"/>
  <c r="G46" i="61" s="1"/>
  <c r="G49" i="39"/>
  <c r="I49" i="39" s="1"/>
  <c r="D50" i="39"/>
  <c r="E50" i="39"/>
  <c r="H47" i="72"/>
  <c r="B49" i="44"/>
  <c r="F49" i="44"/>
  <c r="H49" i="44" s="1"/>
  <c r="D44" i="85"/>
  <c r="E44" i="85" s="1"/>
  <c r="B50" i="22"/>
  <c r="F50" i="22"/>
  <c r="G50" i="22" s="1"/>
  <c r="G41" i="95"/>
  <c r="I41" i="95" s="1"/>
  <c r="D42" i="95"/>
  <c r="E42" i="95" s="1"/>
  <c r="G43" i="85"/>
  <c r="I43" i="85" s="1"/>
  <c r="F43" i="81"/>
  <c r="B43" i="81"/>
  <c r="F41" i="96"/>
  <c r="B41" i="96"/>
  <c r="F52" i="27"/>
  <c r="B52" i="27"/>
  <c r="G47" i="72"/>
  <c r="I50" i="18"/>
  <c r="I43" i="78"/>
  <c r="G45" i="68"/>
  <c r="I45" i="68" s="1"/>
  <c r="D46" i="68"/>
  <c r="E46" i="68"/>
  <c r="B46" i="63"/>
  <c r="F46" i="63"/>
  <c r="G46" i="63" s="1"/>
  <c r="G52" i="31"/>
  <c r="I52" i="31" s="1"/>
  <c r="D53" i="31"/>
  <c r="E53" i="31" s="1"/>
  <c r="B42" i="92"/>
  <c r="F42" i="92"/>
  <c r="D51" i="19"/>
  <c r="E51" i="19" s="1"/>
  <c r="D44" i="88"/>
  <c r="E44" i="88" s="1"/>
  <c r="B51" i="32"/>
  <c r="F51" i="32"/>
  <c r="H51" i="32" s="1"/>
  <c r="H52" i="69"/>
  <c r="I52" i="69" s="1"/>
  <c r="I43" i="79"/>
  <c r="B52" i="29"/>
  <c r="F52" i="29"/>
  <c r="H52" i="29" s="1"/>
  <c r="G46" i="56"/>
  <c r="D47" i="56"/>
  <c r="E47" i="56" s="1"/>
  <c r="B49" i="74"/>
  <c r="F49" i="74"/>
  <c r="F44" i="79"/>
  <c r="G44" i="79" s="1"/>
  <c r="B44" i="79"/>
  <c r="B44" i="78"/>
  <c r="F44" i="78"/>
  <c r="G44" i="78" s="1"/>
  <c r="G42" i="26"/>
  <c r="B49" i="73"/>
  <c r="F49" i="73"/>
  <c r="H49" i="73" s="1"/>
  <c r="G53" i="28"/>
  <c r="I53" i="28" s="1"/>
  <c r="D54" i="28"/>
  <c r="E54" i="28"/>
  <c r="H43" i="88"/>
  <c r="B42" i="89"/>
  <c r="F42" i="89"/>
  <c r="I51" i="70"/>
  <c r="B50" i="43"/>
  <c r="F50" i="43"/>
  <c r="D43" i="83"/>
  <c r="E43" i="83" s="1"/>
  <c r="B52" i="70"/>
  <c r="F52" i="70"/>
  <c r="D51" i="3"/>
  <c r="E51" i="3" s="1"/>
  <c r="D52" i="71"/>
  <c r="E52" i="71" s="1"/>
  <c r="D47" i="64"/>
  <c r="E47" i="64" s="1"/>
  <c r="F44" i="77"/>
  <c r="G44" i="77" s="1"/>
  <c r="B44" i="77"/>
  <c r="D53" i="69"/>
  <c r="E53" i="69" s="1"/>
  <c r="F50" i="21"/>
  <c r="B50" i="21"/>
  <c r="F47" i="57"/>
  <c r="H47" i="57" s="1"/>
  <c r="B47" i="57"/>
  <c r="C59" i="17"/>
  <c r="F50" i="17"/>
  <c r="H50" i="17" s="1"/>
  <c r="B50" i="17"/>
  <c r="B46" i="60"/>
  <c r="F46" i="60"/>
  <c r="G46" i="60" s="1"/>
  <c r="I45" i="59"/>
  <c r="E49" i="45"/>
  <c r="D49" i="45"/>
  <c r="H50" i="19"/>
  <c r="I50" i="19" s="1"/>
  <c r="G43" i="88"/>
  <c r="F47" i="54"/>
  <c r="B47" i="54"/>
  <c r="H46" i="56"/>
  <c r="G42" i="83"/>
  <c r="I42" i="83" s="1"/>
  <c r="F50" i="41"/>
  <c r="G50" i="41" s="1"/>
  <c r="B50" i="41"/>
  <c r="H50" i="3"/>
  <c r="I50" i="3" s="1"/>
  <c r="H51" i="71"/>
  <c r="I51" i="71" s="1"/>
  <c r="H51" i="34"/>
  <c r="I51" i="34" s="1"/>
  <c r="E52" i="34"/>
  <c r="D52" i="34"/>
  <c r="D52" i="30"/>
  <c r="E52" i="30"/>
  <c r="J129" i="22"/>
  <c r="J121" i="91"/>
  <c r="J125" i="62"/>
  <c r="D44" i="33"/>
  <c r="G43" i="33"/>
  <c r="H43" i="33"/>
  <c r="D42" i="13"/>
  <c r="E42" i="13" s="1"/>
  <c r="G67" i="35"/>
  <c r="B68" i="35"/>
  <c r="E68" i="35"/>
  <c r="F68" i="35" s="1"/>
  <c r="H67" i="35"/>
  <c r="E43" i="87"/>
  <c r="D43" i="87"/>
  <c r="B46" i="59"/>
  <c r="F46" i="59"/>
  <c r="G46" i="59" s="1"/>
  <c r="J127" i="45"/>
  <c r="I42" i="26"/>
  <c r="H42" i="87"/>
  <c r="D46" i="62"/>
  <c r="E46" i="62"/>
  <c r="D50" i="20"/>
  <c r="E50" i="20" s="1"/>
  <c r="G41" i="13"/>
  <c r="G42" i="87"/>
  <c r="G45" i="62"/>
  <c r="B51" i="18"/>
  <c r="F51" i="18"/>
  <c r="G51" i="18" s="1"/>
  <c r="J127" i="56"/>
  <c r="J128" i="73"/>
  <c r="H41" i="13"/>
  <c r="I66" i="35"/>
  <c r="D43" i="26"/>
  <c r="E43" i="26" s="1"/>
  <c r="H45" i="62"/>
  <c r="G49" i="20"/>
  <c r="I49" i="20" s="1"/>
  <c r="F132" i="69"/>
  <c r="B132" i="69"/>
  <c r="H129" i="19"/>
  <c r="I129" i="19"/>
  <c r="F129" i="43"/>
  <c r="B129" i="43"/>
  <c r="H125" i="64"/>
  <c r="I125" i="64"/>
  <c r="I122" i="85"/>
  <c r="H122" i="85"/>
  <c r="H131" i="30"/>
  <c r="I131" i="30"/>
  <c r="I125" i="61"/>
  <c r="H125" i="61"/>
  <c r="F124" i="78"/>
  <c r="B124" i="78"/>
  <c r="B130" i="34"/>
  <c r="F130" i="34"/>
  <c r="H131" i="70"/>
  <c r="I131" i="70"/>
  <c r="F124" i="79"/>
  <c r="B124" i="79"/>
  <c r="B126" i="65"/>
  <c r="F126" i="65"/>
  <c r="H121" i="90"/>
  <c r="I121" i="90"/>
  <c r="B128" i="74"/>
  <c r="F128" i="74"/>
  <c r="B125" i="68"/>
  <c r="F125" i="68"/>
  <c r="F130" i="20"/>
  <c r="B130" i="20"/>
  <c r="H126" i="46"/>
  <c r="I126" i="46"/>
  <c r="H131" i="69"/>
  <c r="I131" i="69"/>
  <c r="B122" i="88"/>
  <c r="F122" i="88"/>
  <c r="H121" i="86"/>
  <c r="I121" i="86"/>
  <c r="H126" i="72"/>
  <c r="I126" i="72"/>
  <c r="H128" i="43"/>
  <c r="I128" i="43"/>
  <c r="I121" i="84"/>
  <c r="H121" i="84"/>
  <c r="H126" i="53"/>
  <c r="I126" i="53"/>
  <c r="G122" i="89"/>
  <c r="E123" i="89"/>
  <c r="D123" i="89"/>
  <c r="H126" i="58"/>
  <c r="I126" i="58"/>
  <c r="I129" i="34"/>
  <c r="H129" i="34"/>
  <c r="F132" i="70"/>
  <c r="B132" i="70"/>
  <c r="I130" i="31"/>
  <c r="H130" i="31"/>
  <c r="I123" i="79"/>
  <c r="H123" i="79"/>
  <c r="F122" i="90"/>
  <c r="B122" i="90"/>
  <c r="F129" i="39"/>
  <c r="B129" i="39"/>
  <c r="H127" i="74"/>
  <c r="I127" i="74"/>
  <c r="J120" i="13"/>
  <c r="G126" i="62"/>
  <c r="D127" i="62"/>
  <c r="E127" i="62"/>
  <c r="F130" i="19"/>
  <c r="B130" i="19"/>
  <c r="H121" i="88"/>
  <c r="I121" i="88"/>
  <c r="F122" i="86"/>
  <c r="B122" i="86"/>
  <c r="E131" i="22"/>
  <c r="G130" i="22"/>
  <c r="D131" i="22"/>
  <c r="J121" i="89"/>
  <c r="F123" i="85"/>
  <c r="B123" i="85"/>
  <c r="G123" i="81"/>
  <c r="D124" i="81"/>
  <c r="E124" i="81"/>
  <c r="I131" i="27"/>
  <c r="H131" i="27"/>
  <c r="F122" i="84"/>
  <c r="B122" i="84"/>
  <c r="I125" i="60"/>
  <c r="H125" i="60"/>
  <c r="H123" i="78"/>
  <c r="I123" i="78"/>
  <c r="J122" i="81"/>
  <c r="F131" i="31"/>
  <c r="B131" i="31"/>
  <c r="I121" i="92"/>
  <c r="H121" i="92"/>
  <c r="B131" i="32"/>
  <c r="F131" i="32"/>
  <c r="I124" i="66"/>
  <c r="H124" i="66"/>
  <c r="F126" i="63"/>
  <c r="B126" i="63"/>
  <c r="H129" i="20"/>
  <c r="I129" i="20"/>
  <c r="I131" i="29"/>
  <c r="H131" i="29"/>
  <c r="B127" i="46"/>
  <c r="F127" i="46"/>
  <c r="D123" i="91"/>
  <c r="G122" i="91"/>
  <c r="E123" i="91"/>
  <c r="D130" i="73"/>
  <c r="G129" i="73"/>
  <c r="E130" i="73"/>
  <c r="F127" i="72"/>
  <c r="B127" i="72"/>
  <c r="B126" i="64"/>
  <c r="F126" i="64"/>
  <c r="D130" i="41"/>
  <c r="G129" i="41"/>
  <c r="E130" i="41"/>
  <c r="F132" i="27"/>
  <c r="B132" i="27"/>
  <c r="F127" i="53"/>
  <c r="B127" i="53"/>
  <c r="F132" i="30"/>
  <c r="B132" i="30"/>
  <c r="F126" i="60"/>
  <c r="B126" i="60"/>
  <c r="B126" i="61"/>
  <c r="F126" i="61"/>
  <c r="B127" i="58"/>
  <c r="F127" i="58"/>
  <c r="J128" i="41"/>
  <c r="E129" i="45"/>
  <c r="D129" i="45"/>
  <c r="G128" i="45"/>
  <c r="H125" i="65"/>
  <c r="I125" i="65"/>
  <c r="B122" i="92"/>
  <c r="F122" i="92"/>
  <c r="H130" i="32"/>
  <c r="I130" i="32"/>
  <c r="F125" i="66"/>
  <c r="B125" i="66"/>
  <c r="H128" i="39"/>
  <c r="I128" i="39"/>
  <c r="I124" i="68"/>
  <c r="H124" i="68"/>
  <c r="I125" i="63"/>
  <c r="H125" i="63"/>
  <c r="F132" i="29"/>
  <c r="B132" i="29"/>
  <c r="I126" i="59"/>
  <c r="H126" i="59"/>
  <c r="H131" i="23"/>
  <c r="I131" i="23"/>
  <c r="F131" i="18"/>
  <c r="B131" i="18"/>
  <c r="F132" i="23"/>
  <c r="B132" i="23"/>
  <c r="J122" i="83"/>
  <c r="J126" i="55"/>
  <c r="B127" i="59"/>
  <c r="F127" i="59"/>
  <c r="E129" i="56"/>
  <c r="D129" i="56"/>
  <c r="G128" i="56"/>
  <c r="I130" i="18"/>
  <c r="H130" i="18"/>
  <c r="F128" i="57"/>
  <c r="B128" i="57"/>
  <c r="F132" i="71"/>
  <c r="B132" i="71"/>
  <c r="J129" i="21"/>
  <c r="J121" i="93"/>
  <c r="H127" i="57"/>
  <c r="I127" i="57"/>
  <c r="I131" i="71"/>
  <c r="H131" i="71"/>
  <c r="G122" i="93"/>
  <c r="D123" i="93"/>
  <c r="J120" i="33"/>
  <c r="I121" i="87"/>
  <c r="H121" i="87"/>
  <c r="J122" i="80"/>
  <c r="E130" i="42"/>
  <c r="D130" i="42"/>
  <c r="G129" i="42"/>
  <c r="J123" i="76"/>
  <c r="G121" i="33"/>
  <c r="D122" i="33"/>
  <c r="E122" i="33" s="1"/>
  <c r="H124" i="67"/>
  <c r="I124" i="67"/>
  <c r="J123" i="75"/>
  <c r="J123" i="77"/>
  <c r="G127" i="55"/>
  <c r="E128" i="55"/>
  <c r="D128" i="55"/>
  <c r="D125" i="75"/>
  <c r="E125" i="75"/>
  <c r="G124" i="75"/>
  <c r="H129" i="3"/>
  <c r="I129" i="3"/>
  <c r="B123" i="94"/>
  <c r="F123" i="94"/>
  <c r="I122" i="95"/>
  <c r="H122" i="95"/>
  <c r="H132" i="28"/>
  <c r="I132" i="28"/>
  <c r="D131" i="21"/>
  <c r="E131" i="21"/>
  <c r="G130" i="21"/>
  <c r="H149" i="35"/>
  <c r="I149" i="35"/>
  <c r="E124" i="83"/>
  <c r="G123" i="83"/>
  <c r="D124" i="83"/>
  <c r="B125" i="67"/>
  <c r="F125" i="67"/>
  <c r="J126" i="54"/>
  <c r="J148" i="35"/>
  <c r="F130" i="3"/>
  <c r="B130" i="3"/>
  <c r="F123" i="95"/>
  <c r="B123" i="95"/>
  <c r="I122" i="82"/>
  <c r="H122" i="82"/>
  <c r="D122" i="13"/>
  <c r="E122" i="13" s="1"/>
  <c r="G121" i="13"/>
  <c r="J130" i="24"/>
  <c r="I128" i="44"/>
  <c r="H128" i="44"/>
  <c r="G124" i="76"/>
  <c r="E125" i="76"/>
  <c r="D125" i="76"/>
  <c r="E128" i="54"/>
  <c r="G127" i="54"/>
  <c r="D128" i="54"/>
  <c r="H122" i="94"/>
  <c r="I122" i="94"/>
  <c r="I130" i="17"/>
  <c r="H130" i="17"/>
  <c r="B123" i="82"/>
  <c r="F123" i="82"/>
  <c r="G150" i="35"/>
  <c r="B151" i="35"/>
  <c r="E151" i="35"/>
  <c r="F151" i="35" s="1"/>
  <c r="E125" i="77"/>
  <c r="G124" i="77"/>
  <c r="D125" i="77"/>
  <c r="B122" i="96"/>
  <c r="F122" i="96"/>
  <c r="F122" i="87"/>
  <c r="B122" i="87"/>
  <c r="B129" i="44"/>
  <c r="F129" i="44"/>
  <c r="E132" i="24"/>
  <c r="D132" i="24"/>
  <c r="G131" i="24"/>
  <c r="B131" i="17"/>
  <c r="F131" i="17"/>
  <c r="F133" i="28"/>
  <c r="B133" i="28"/>
  <c r="D124" i="80"/>
  <c r="E124" i="80"/>
  <c r="G123" i="80"/>
  <c r="J128" i="42"/>
  <c r="I121" i="96"/>
  <c r="H121" i="96"/>
  <c r="E42" i="25" l="1"/>
  <c r="F42" i="25" s="1"/>
  <c r="B42" i="25"/>
  <c r="I45" i="99"/>
  <c r="F46" i="99"/>
  <c r="H46" i="99" s="1"/>
  <c r="D51" i="97"/>
  <c r="B51" i="97" s="1"/>
  <c r="G50" i="97"/>
  <c r="G47" i="46"/>
  <c r="I47" i="46" s="1"/>
  <c r="H51" i="24"/>
  <c r="I51" i="24" s="1"/>
  <c r="D42" i="98"/>
  <c r="E42" i="98"/>
  <c r="H41" i="98"/>
  <c r="I49" i="97"/>
  <c r="E51" i="97"/>
  <c r="G41" i="98"/>
  <c r="H50" i="97"/>
  <c r="I121" i="25"/>
  <c r="H121" i="25"/>
  <c r="E122" i="25"/>
  <c r="F122" i="25" s="1"/>
  <c r="B122" i="25"/>
  <c r="F122" i="99"/>
  <c r="B122" i="99"/>
  <c r="H121" i="99"/>
  <c r="I121" i="99"/>
  <c r="J121" i="98"/>
  <c r="I46" i="56"/>
  <c r="J121" i="97"/>
  <c r="G122" i="97"/>
  <c r="D123" i="97"/>
  <c r="E123" i="97"/>
  <c r="I122" i="26"/>
  <c r="H122" i="26"/>
  <c r="D123" i="98"/>
  <c r="G122" i="98"/>
  <c r="E123" i="98"/>
  <c r="E123" i="26"/>
  <c r="F123" i="26" s="1"/>
  <c r="B123" i="26"/>
  <c r="I44" i="82"/>
  <c r="H43" i="84"/>
  <c r="I43" i="84" s="1"/>
  <c r="H44" i="80"/>
  <c r="I44" i="80" s="1"/>
  <c r="G46" i="67"/>
  <c r="I46" i="67" s="1"/>
  <c r="D47" i="67"/>
  <c r="E47" i="67" s="1"/>
  <c r="H46" i="59"/>
  <c r="I46" i="59" s="1"/>
  <c r="D48" i="46"/>
  <c r="E48" i="46" s="1"/>
  <c r="D52" i="24"/>
  <c r="E52" i="24" s="1"/>
  <c r="E42" i="93"/>
  <c r="D42" i="93"/>
  <c r="H42" i="94"/>
  <c r="D43" i="94"/>
  <c r="E43" i="94"/>
  <c r="B44" i="86"/>
  <c r="F44" i="86"/>
  <c r="H44" i="86" s="1"/>
  <c r="H41" i="93"/>
  <c r="G41" i="93"/>
  <c r="G42" i="94"/>
  <c r="D45" i="80"/>
  <c r="E45" i="80" s="1"/>
  <c r="I43" i="86"/>
  <c r="B45" i="82"/>
  <c r="F45" i="82"/>
  <c r="G45" i="82" s="1"/>
  <c r="B46" i="65"/>
  <c r="F46" i="65"/>
  <c r="H46" i="65" s="1"/>
  <c r="G47" i="53"/>
  <c r="D48" i="53"/>
  <c r="E48" i="53" s="1"/>
  <c r="F50" i="42"/>
  <c r="H50" i="42" s="1"/>
  <c r="B50" i="42"/>
  <c r="B49" i="55"/>
  <c r="F49" i="55"/>
  <c r="H49" i="55" s="1"/>
  <c r="H43" i="91"/>
  <c r="D44" i="91"/>
  <c r="E44" i="91" s="1"/>
  <c r="G43" i="91"/>
  <c r="F49" i="58"/>
  <c r="H49" i="58" s="1"/>
  <c r="B49" i="58"/>
  <c r="F45" i="75"/>
  <c r="G45" i="75" s="1"/>
  <c r="B45" i="75"/>
  <c r="D44" i="84"/>
  <c r="E44" i="84"/>
  <c r="H46" i="66"/>
  <c r="I46" i="66" s="1"/>
  <c r="D47" i="66"/>
  <c r="E47" i="66" s="1"/>
  <c r="H52" i="23"/>
  <c r="G52" i="23"/>
  <c r="D53" i="23"/>
  <c r="E53" i="23"/>
  <c r="H44" i="77"/>
  <c r="I44" i="77" s="1"/>
  <c r="G44" i="90"/>
  <c r="I44" i="90" s="1"/>
  <c r="D45" i="90"/>
  <c r="E45" i="90" s="1"/>
  <c r="H47" i="53"/>
  <c r="H52" i="27"/>
  <c r="D53" i="27"/>
  <c r="G52" i="27"/>
  <c r="E53" i="27"/>
  <c r="D42" i="96"/>
  <c r="E42" i="96"/>
  <c r="F44" i="85"/>
  <c r="H44" i="85" s="1"/>
  <c r="B44" i="85"/>
  <c r="H41" i="96"/>
  <c r="H43" i="81"/>
  <c r="D44" i="81"/>
  <c r="E44" i="81" s="1"/>
  <c r="H50" i="22"/>
  <c r="I50" i="22" s="1"/>
  <c r="D51" i="22"/>
  <c r="E51" i="22" s="1"/>
  <c r="G49" i="44"/>
  <c r="I49" i="44" s="1"/>
  <c r="E50" i="44"/>
  <c r="D50" i="44"/>
  <c r="B50" i="39"/>
  <c r="F50" i="39"/>
  <c r="G50" i="39" s="1"/>
  <c r="E47" i="61"/>
  <c r="D47" i="61"/>
  <c r="G51" i="32"/>
  <c r="I51" i="32" s="1"/>
  <c r="F42" i="95"/>
  <c r="H42" i="95" s="1"/>
  <c r="B42" i="95"/>
  <c r="I45" i="62"/>
  <c r="H44" i="78"/>
  <c r="I44" i="78" s="1"/>
  <c r="H46" i="63"/>
  <c r="I46" i="63" s="1"/>
  <c r="G41" i="96"/>
  <c r="G43" i="81"/>
  <c r="I47" i="72"/>
  <c r="H46" i="61"/>
  <c r="I46" i="61" s="1"/>
  <c r="F48" i="72"/>
  <c r="H48" i="72" s="1"/>
  <c r="B48" i="72"/>
  <c r="G44" i="76"/>
  <c r="I44" i="76" s="1"/>
  <c r="D45" i="76"/>
  <c r="E45" i="76" s="1"/>
  <c r="I67" i="35"/>
  <c r="B52" i="34"/>
  <c r="F52" i="34"/>
  <c r="H47" i="54"/>
  <c r="D48" i="54"/>
  <c r="E48" i="54" s="1"/>
  <c r="G50" i="21"/>
  <c r="D51" i="21"/>
  <c r="E51" i="21" s="1"/>
  <c r="G52" i="70"/>
  <c r="D53" i="70"/>
  <c r="E53" i="70"/>
  <c r="D51" i="43"/>
  <c r="E51" i="43"/>
  <c r="D43" i="89"/>
  <c r="E43" i="89" s="1"/>
  <c r="G49" i="74"/>
  <c r="D50" i="74"/>
  <c r="E50" i="74" s="1"/>
  <c r="F44" i="88"/>
  <c r="G44" i="88" s="1"/>
  <c r="B44" i="88"/>
  <c r="G42" i="92"/>
  <c r="D43" i="92"/>
  <c r="E43" i="92" s="1"/>
  <c r="B53" i="31"/>
  <c r="F53" i="31"/>
  <c r="H53" i="31" s="1"/>
  <c r="D51" i="17"/>
  <c r="E51" i="17"/>
  <c r="D48" i="57"/>
  <c r="E48" i="57" s="1"/>
  <c r="F47" i="64"/>
  <c r="G47" i="64" s="1"/>
  <c r="B47" i="64"/>
  <c r="F54" i="28"/>
  <c r="H54" i="28" s="1"/>
  <c r="B54" i="28"/>
  <c r="D50" i="73"/>
  <c r="E50" i="73"/>
  <c r="B51" i="19"/>
  <c r="F51" i="19"/>
  <c r="H51" i="19" s="1"/>
  <c r="F46" i="68"/>
  <c r="H46" i="68" s="1"/>
  <c r="B46" i="68"/>
  <c r="I43" i="33"/>
  <c r="H50" i="41"/>
  <c r="I50" i="41" s="1"/>
  <c r="D51" i="41"/>
  <c r="E51" i="41"/>
  <c r="G47" i="54"/>
  <c r="G50" i="17"/>
  <c r="I50" i="17" s="1"/>
  <c r="G47" i="57"/>
  <c r="I47" i="57" s="1"/>
  <c r="H50" i="21"/>
  <c r="B53" i="69"/>
  <c r="F53" i="69"/>
  <c r="H53" i="69" s="1"/>
  <c r="F51" i="3"/>
  <c r="G51" i="3" s="1"/>
  <c r="B51" i="3"/>
  <c r="F43" i="83"/>
  <c r="H43" i="83" s="1"/>
  <c r="B43" i="83"/>
  <c r="G50" i="43"/>
  <c r="G42" i="89"/>
  <c r="I43" i="88"/>
  <c r="H44" i="79"/>
  <c r="I44" i="79" s="1"/>
  <c r="D45" i="79"/>
  <c r="E45" i="79"/>
  <c r="D47" i="63"/>
  <c r="E47" i="63" s="1"/>
  <c r="F52" i="30"/>
  <c r="G52" i="30" s="1"/>
  <c r="B52" i="30"/>
  <c r="F49" i="45"/>
  <c r="B49" i="45"/>
  <c r="H46" i="60"/>
  <c r="I46" i="60" s="1"/>
  <c r="E47" i="60"/>
  <c r="D47" i="60"/>
  <c r="D45" i="77"/>
  <c r="E45" i="77"/>
  <c r="F52" i="71"/>
  <c r="H52" i="71" s="1"/>
  <c r="B52" i="71"/>
  <c r="H52" i="70"/>
  <c r="H50" i="43"/>
  <c r="H42" i="89"/>
  <c r="G49" i="73"/>
  <c r="I49" i="73" s="1"/>
  <c r="D45" i="78"/>
  <c r="E45" i="78" s="1"/>
  <c r="H49" i="74"/>
  <c r="F47" i="56"/>
  <c r="H47" i="56" s="1"/>
  <c r="B47" i="56"/>
  <c r="G52" i="29"/>
  <c r="I52" i="29" s="1"/>
  <c r="E53" i="29"/>
  <c r="D53" i="29"/>
  <c r="D52" i="32"/>
  <c r="E52" i="32"/>
  <c r="H42" i="92"/>
  <c r="J126" i="53"/>
  <c r="J128" i="43"/>
  <c r="J121" i="86"/>
  <c r="J131" i="69"/>
  <c r="J131" i="70"/>
  <c r="J131" i="30"/>
  <c r="J125" i="64"/>
  <c r="J129" i="19"/>
  <c r="J128" i="39"/>
  <c r="J130" i="32"/>
  <c r="J125" i="65"/>
  <c r="J126" i="72"/>
  <c r="J121" i="90"/>
  <c r="J123" i="78"/>
  <c r="J126" i="46"/>
  <c r="J124" i="66"/>
  <c r="J127" i="57"/>
  <c r="J131" i="29"/>
  <c r="J121" i="92"/>
  <c r="F43" i="87"/>
  <c r="G43" i="87" s="1"/>
  <c r="B43" i="87"/>
  <c r="J131" i="71"/>
  <c r="B46" i="62"/>
  <c r="F46" i="62"/>
  <c r="H46" i="62" s="1"/>
  <c r="I42" i="87"/>
  <c r="G68" i="35"/>
  <c r="H68" i="35"/>
  <c r="E69" i="35"/>
  <c r="F69" i="35" s="1"/>
  <c r="B69" i="35"/>
  <c r="J123" i="79"/>
  <c r="I41" i="13"/>
  <c r="E52" i="18"/>
  <c r="D52" i="18"/>
  <c r="F50" i="20"/>
  <c r="G50" i="20" s="1"/>
  <c r="B50" i="20"/>
  <c r="B44" i="33"/>
  <c r="J127" i="74"/>
  <c r="F43" i="26"/>
  <c r="H43" i="26" s="1"/>
  <c r="B43" i="26"/>
  <c r="H51" i="18"/>
  <c r="I51" i="18" s="1"/>
  <c r="E47" i="59"/>
  <c r="D47" i="59"/>
  <c r="B42" i="13"/>
  <c r="F42" i="13"/>
  <c r="G42" i="13" s="1"/>
  <c r="E44" i="33"/>
  <c r="F44" i="33" s="1"/>
  <c r="G122" i="92"/>
  <c r="D123" i="92"/>
  <c r="E123" i="92"/>
  <c r="I128" i="45"/>
  <c r="H128" i="45"/>
  <c r="G127" i="58"/>
  <c r="E128" i="58"/>
  <c r="D128" i="58"/>
  <c r="I129" i="73"/>
  <c r="H129" i="73"/>
  <c r="F123" i="91"/>
  <c r="B123" i="91"/>
  <c r="D127" i="63"/>
  <c r="E127" i="63"/>
  <c r="G126" i="63"/>
  <c r="G131" i="31"/>
  <c r="E132" i="31"/>
  <c r="D132" i="31"/>
  <c r="I123" i="81"/>
  <c r="H123" i="81"/>
  <c r="B131" i="22"/>
  <c r="F131" i="22"/>
  <c r="E123" i="86"/>
  <c r="D123" i="86"/>
  <c r="G122" i="86"/>
  <c r="D131" i="19"/>
  <c r="E131" i="19"/>
  <c r="G130" i="19"/>
  <c r="D130" i="39"/>
  <c r="G129" i="39"/>
  <c r="E130" i="39"/>
  <c r="G132" i="70"/>
  <c r="E133" i="70"/>
  <c r="D133" i="70"/>
  <c r="G128" i="74"/>
  <c r="D129" i="74"/>
  <c r="E129" i="74"/>
  <c r="D127" i="65"/>
  <c r="G126" i="65"/>
  <c r="E127" i="65"/>
  <c r="J126" i="59"/>
  <c r="E133" i="29"/>
  <c r="G132" i="29"/>
  <c r="D133" i="29"/>
  <c r="J124" i="68"/>
  <c r="D126" i="66"/>
  <c r="E126" i="66"/>
  <c r="G125" i="66"/>
  <c r="B129" i="45"/>
  <c r="F129" i="45"/>
  <c r="D127" i="60"/>
  <c r="E127" i="60"/>
  <c r="G126" i="60"/>
  <c r="G127" i="53"/>
  <c r="E128" i="53"/>
  <c r="D128" i="53"/>
  <c r="I129" i="41"/>
  <c r="H129" i="41"/>
  <c r="F130" i="73"/>
  <c r="B130" i="73"/>
  <c r="G127" i="46"/>
  <c r="D128" i="46"/>
  <c r="E128" i="46"/>
  <c r="J129" i="20"/>
  <c r="J125" i="60"/>
  <c r="J131" i="27"/>
  <c r="H130" i="22"/>
  <c r="I130" i="22"/>
  <c r="J121" i="88"/>
  <c r="B123" i="89"/>
  <c r="F123" i="89"/>
  <c r="E131" i="20"/>
  <c r="G130" i="20"/>
  <c r="D131" i="20"/>
  <c r="E125" i="78"/>
  <c r="D125" i="78"/>
  <c r="G124" i="78"/>
  <c r="D127" i="61"/>
  <c r="E127" i="61"/>
  <c r="G126" i="61"/>
  <c r="B130" i="41"/>
  <c r="F130" i="41"/>
  <c r="E128" i="72"/>
  <c r="G127" i="72"/>
  <c r="D128" i="72"/>
  <c r="G123" i="85"/>
  <c r="E124" i="85"/>
  <c r="D124" i="85"/>
  <c r="B127" i="62"/>
  <c r="F127" i="62"/>
  <c r="E123" i="90"/>
  <c r="D123" i="90"/>
  <c r="G122" i="90"/>
  <c r="J130" i="31"/>
  <c r="J129" i="34"/>
  <c r="E123" i="88"/>
  <c r="D123" i="88"/>
  <c r="G122" i="88"/>
  <c r="D126" i="68"/>
  <c r="G125" i="68"/>
  <c r="E126" i="68"/>
  <c r="D131" i="34"/>
  <c r="G130" i="34"/>
  <c r="E131" i="34"/>
  <c r="J125" i="63"/>
  <c r="G132" i="30"/>
  <c r="E133" i="30"/>
  <c r="D133" i="30"/>
  <c r="E133" i="27"/>
  <c r="G132" i="27"/>
  <c r="D133" i="27"/>
  <c r="D127" i="64"/>
  <c r="G126" i="64"/>
  <c r="E127" i="64"/>
  <c r="H122" i="91"/>
  <c r="I122" i="91"/>
  <c r="D132" i="32"/>
  <c r="E132" i="32"/>
  <c r="G131" i="32"/>
  <c r="E123" i="84"/>
  <c r="G122" i="84"/>
  <c r="D123" i="84"/>
  <c r="B124" i="81"/>
  <c r="F124" i="81"/>
  <c r="H126" i="62"/>
  <c r="I126" i="62"/>
  <c r="J126" i="58"/>
  <c r="H122" i="89"/>
  <c r="I122" i="89"/>
  <c r="J121" i="84"/>
  <c r="G124" i="79"/>
  <c r="D125" i="79"/>
  <c r="E125" i="79"/>
  <c r="J125" i="61"/>
  <c r="J122" i="85"/>
  <c r="D130" i="43"/>
  <c r="G129" i="43"/>
  <c r="E130" i="43"/>
  <c r="E133" i="69"/>
  <c r="G132" i="69"/>
  <c r="D133" i="69"/>
  <c r="G127" i="59"/>
  <c r="E128" i="59"/>
  <c r="D128" i="59"/>
  <c r="J131" i="23"/>
  <c r="H128" i="56"/>
  <c r="I128" i="56"/>
  <c r="J130" i="18"/>
  <c r="F129" i="56"/>
  <c r="B129" i="56"/>
  <c r="J124" i="67"/>
  <c r="G132" i="23"/>
  <c r="D133" i="23"/>
  <c r="E133" i="23"/>
  <c r="E132" i="18"/>
  <c r="D132" i="18"/>
  <c r="G131" i="18"/>
  <c r="J122" i="94"/>
  <c r="J128" i="44"/>
  <c r="J122" i="95"/>
  <c r="J121" i="96"/>
  <c r="J130" i="17"/>
  <c r="G132" i="71"/>
  <c r="D133" i="71"/>
  <c r="E133" i="71"/>
  <c r="E129" i="57"/>
  <c r="D129" i="57"/>
  <c r="G128" i="57"/>
  <c r="F124" i="80"/>
  <c r="B124" i="80"/>
  <c r="G129" i="44"/>
  <c r="D130" i="44"/>
  <c r="E130" i="44"/>
  <c r="D123" i="87"/>
  <c r="G122" i="87"/>
  <c r="E123" i="87"/>
  <c r="G122" i="96"/>
  <c r="D123" i="96"/>
  <c r="H150" i="35"/>
  <c r="I150" i="35"/>
  <c r="B128" i="54"/>
  <c r="F128" i="54"/>
  <c r="B122" i="13"/>
  <c r="F122" i="13"/>
  <c r="F125" i="75"/>
  <c r="B125" i="75"/>
  <c r="H127" i="55"/>
  <c r="I127" i="55"/>
  <c r="I121" i="33"/>
  <c r="H121" i="33"/>
  <c r="F130" i="42"/>
  <c r="B130" i="42"/>
  <c r="J121" i="87"/>
  <c r="G131" i="17"/>
  <c r="E132" i="17"/>
  <c r="D132" i="17"/>
  <c r="I131" i="24"/>
  <c r="H131" i="24"/>
  <c r="I127" i="54"/>
  <c r="H127" i="54"/>
  <c r="I124" i="76"/>
  <c r="H124" i="76"/>
  <c r="D126" i="67"/>
  <c r="G125" i="67"/>
  <c r="E126" i="67"/>
  <c r="J149" i="35"/>
  <c r="F131" i="21"/>
  <c r="B131" i="21"/>
  <c r="J132" i="28"/>
  <c r="J129" i="3"/>
  <c r="B123" i="93"/>
  <c r="I123" i="80"/>
  <c r="H123" i="80"/>
  <c r="D134" i="28"/>
  <c r="G133" i="28"/>
  <c r="E134" i="28"/>
  <c r="F132" i="24"/>
  <c r="B132" i="24"/>
  <c r="B125" i="77"/>
  <c r="F125" i="77"/>
  <c r="G151" i="35"/>
  <c r="B152" i="35"/>
  <c r="E152" i="35"/>
  <c r="F152" i="35" s="1"/>
  <c r="I121" i="13"/>
  <c r="H121" i="13"/>
  <c r="G123" i="95"/>
  <c r="D124" i="95"/>
  <c r="E124" i="95" s="1"/>
  <c r="D131" i="3"/>
  <c r="G130" i="3"/>
  <c r="E131" i="3"/>
  <c r="B124" i="83"/>
  <c r="F124" i="83"/>
  <c r="I124" i="75"/>
  <c r="H124" i="75"/>
  <c r="F128" i="55"/>
  <c r="B128" i="55"/>
  <c r="H122" i="93"/>
  <c r="I122" i="93"/>
  <c r="I124" i="77"/>
  <c r="H124" i="77"/>
  <c r="D124" i="82"/>
  <c r="G123" i="82"/>
  <c r="E124" i="82"/>
  <c r="B125" i="76"/>
  <c r="F125" i="76"/>
  <c r="J122" i="82"/>
  <c r="H123" i="83"/>
  <c r="I123" i="83"/>
  <c r="H130" i="21"/>
  <c r="I130" i="21"/>
  <c r="G123" i="94"/>
  <c r="D124" i="94"/>
  <c r="F122" i="33"/>
  <c r="B122" i="33"/>
  <c r="H129" i="42"/>
  <c r="I129" i="42"/>
  <c r="E123" i="93"/>
  <c r="F123" i="93" s="1"/>
  <c r="G46" i="99" l="1"/>
  <c r="D47" i="99"/>
  <c r="B47" i="99" s="1"/>
  <c r="H42" i="25"/>
  <c r="G42" i="25"/>
  <c r="D43" i="25"/>
  <c r="I47" i="53"/>
  <c r="F51" i="97"/>
  <c r="D52" i="97" s="1"/>
  <c r="E52" i="97" s="1"/>
  <c r="J121" i="99"/>
  <c r="I50" i="97"/>
  <c r="I46" i="99"/>
  <c r="I42" i="92"/>
  <c r="J121" i="25"/>
  <c r="F42" i="98"/>
  <c r="G42" i="98" s="1"/>
  <c r="B42" i="98"/>
  <c r="I41" i="98"/>
  <c r="E47" i="99"/>
  <c r="F47" i="99" s="1"/>
  <c r="G122" i="25"/>
  <c r="D123" i="25"/>
  <c r="D123" i="99"/>
  <c r="G122" i="99"/>
  <c r="E123" i="99"/>
  <c r="I52" i="70"/>
  <c r="I42" i="94"/>
  <c r="H45" i="82"/>
  <c r="I45" i="82" s="1"/>
  <c r="I49" i="74"/>
  <c r="J122" i="26"/>
  <c r="H122" i="98"/>
  <c r="I122" i="98"/>
  <c r="B123" i="98"/>
  <c r="F123" i="98"/>
  <c r="F123" i="97"/>
  <c r="B123" i="97"/>
  <c r="D124" i="26"/>
  <c r="B124" i="26" s="1"/>
  <c r="G123" i="26"/>
  <c r="I122" i="97"/>
  <c r="H122" i="97"/>
  <c r="F47" i="67"/>
  <c r="G47" i="67" s="1"/>
  <c r="B47" i="67"/>
  <c r="G49" i="58"/>
  <c r="I49" i="58" s="1"/>
  <c r="B48" i="46"/>
  <c r="F48" i="46"/>
  <c r="B52" i="24"/>
  <c r="F52" i="24"/>
  <c r="G52" i="24" s="1"/>
  <c r="I50" i="21"/>
  <c r="I47" i="54"/>
  <c r="G44" i="85"/>
  <c r="I44" i="85" s="1"/>
  <c r="F43" i="94"/>
  <c r="H43" i="94" s="1"/>
  <c r="B43" i="94"/>
  <c r="F45" i="80"/>
  <c r="B45" i="80"/>
  <c r="I41" i="93"/>
  <c r="F42" i="93"/>
  <c r="H42" i="93" s="1"/>
  <c r="B42" i="93"/>
  <c r="H51" i="3"/>
  <c r="I51" i="3" s="1"/>
  <c r="I52" i="23"/>
  <c r="D46" i="82"/>
  <c r="E46" i="82" s="1"/>
  <c r="E45" i="86"/>
  <c r="D45" i="86"/>
  <c r="G44" i="86"/>
  <c r="I44" i="86" s="1"/>
  <c r="G42" i="95"/>
  <c r="I42" i="95" s="1"/>
  <c r="I43" i="91"/>
  <c r="G49" i="55"/>
  <c r="I49" i="55" s="1"/>
  <c r="D50" i="55"/>
  <c r="E50" i="55" s="1"/>
  <c r="G50" i="42"/>
  <c r="I50" i="42" s="1"/>
  <c r="D51" i="42"/>
  <c r="E51" i="42" s="1"/>
  <c r="G53" i="31"/>
  <c r="I53" i="31" s="1"/>
  <c r="F45" i="90"/>
  <c r="H45" i="90" s="1"/>
  <c r="B45" i="90"/>
  <c r="B47" i="66"/>
  <c r="F47" i="66"/>
  <c r="B44" i="84"/>
  <c r="F44" i="84"/>
  <c r="G44" i="84" s="1"/>
  <c r="D46" i="75"/>
  <c r="E46" i="75" s="1"/>
  <c r="F44" i="91"/>
  <c r="G44" i="91" s="1"/>
  <c r="B44" i="91"/>
  <c r="G46" i="65"/>
  <c r="I46" i="65" s="1"/>
  <c r="D47" i="65"/>
  <c r="E47" i="65" s="1"/>
  <c r="I50" i="43"/>
  <c r="B53" i="23"/>
  <c r="F53" i="23"/>
  <c r="H45" i="75"/>
  <c r="I45" i="75" s="1"/>
  <c r="D50" i="58"/>
  <c r="E50" i="58" s="1"/>
  <c r="B48" i="53"/>
  <c r="F48" i="53"/>
  <c r="G48" i="53" s="1"/>
  <c r="F47" i="61"/>
  <c r="G47" i="61" s="1"/>
  <c r="B47" i="61"/>
  <c r="H42" i="13"/>
  <c r="I42" i="13" s="1"/>
  <c r="G46" i="62"/>
  <c r="I46" i="62" s="1"/>
  <c r="D43" i="95"/>
  <c r="E43" i="95" s="1"/>
  <c r="B50" i="44"/>
  <c r="F50" i="44"/>
  <c r="H50" i="44" s="1"/>
  <c r="I41" i="96"/>
  <c r="D45" i="85"/>
  <c r="E45" i="85"/>
  <c r="F45" i="76"/>
  <c r="B45" i="76"/>
  <c r="G48" i="72"/>
  <c r="I48" i="72" s="1"/>
  <c r="D49" i="72"/>
  <c r="E49" i="72" s="1"/>
  <c r="H50" i="39"/>
  <c r="I50" i="39" s="1"/>
  <c r="D51" i="39"/>
  <c r="E51" i="39"/>
  <c r="F44" i="81"/>
  <c r="H44" i="81" s="1"/>
  <c r="B44" i="81"/>
  <c r="B53" i="27"/>
  <c r="F53" i="27"/>
  <c r="H53" i="27" s="1"/>
  <c r="I43" i="81"/>
  <c r="F51" i="22"/>
  <c r="H51" i="22" s="1"/>
  <c r="B51" i="22"/>
  <c r="B42" i="96"/>
  <c r="F42" i="96"/>
  <c r="H42" i="96" s="1"/>
  <c r="I52" i="27"/>
  <c r="F47" i="60"/>
  <c r="H47" i="60" s="1"/>
  <c r="B47" i="60"/>
  <c r="H52" i="30"/>
  <c r="I52" i="30" s="1"/>
  <c r="D53" i="30"/>
  <c r="E53" i="30" s="1"/>
  <c r="B47" i="63"/>
  <c r="F47" i="63"/>
  <c r="H47" i="63" s="1"/>
  <c r="B48" i="57"/>
  <c r="F48" i="57"/>
  <c r="G48" i="57" s="1"/>
  <c r="B43" i="92"/>
  <c r="F43" i="92"/>
  <c r="G43" i="92" s="1"/>
  <c r="D53" i="34"/>
  <c r="E53" i="34"/>
  <c r="H52" i="34"/>
  <c r="G52" i="34"/>
  <c r="H50" i="20"/>
  <c r="I50" i="20" s="1"/>
  <c r="D48" i="56"/>
  <c r="E48" i="56"/>
  <c r="G52" i="71"/>
  <c r="D53" i="71"/>
  <c r="E53" i="71" s="1"/>
  <c r="B45" i="77"/>
  <c r="F45" i="77"/>
  <c r="H45" i="77" s="1"/>
  <c r="G49" i="45"/>
  <c r="D50" i="45"/>
  <c r="E50" i="45" s="1"/>
  <c r="G53" i="69"/>
  <c r="I53" i="69" s="1"/>
  <c r="D54" i="69"/>
  <c r="E54" i="69" s="1"/>
  <c r="F51" i="43"/>
  <c r="H51" i="43" s="1"/>
  <c r="B51" i="43"/>
  <c r="B51" i="21"/>
  <c r="F51" i="21"/>
  <c r="H51" i="21" s="1"/>
  <c r="G47" i="56"/>
  <c r="I47" i="56" s="1"/>
  <c r="H49" i="45"/>
  <c r="I42" i="89"/>
  <c r="D44" i="83"/>
  <c r="E44" i="83" s="1"/>
  <c r="D47" i="68"/>
  <c r="E47" i="68" s="1"/>
  <c r="G51" i="19"/>
  <c r="I51" i="19" s="1"/>
  <c r="E52" i="19"/>
  <c r="D52" i="19"/>
  <c r="F50" i="73"/>
  <c r="B50" i="73"/>
  <c r="D55" i="28"/>
  <c r="E55" i="28" s="1"/>
  <c r="D48" i="64"/>
  <c r="E48" i="64"/>
  <c r="F51" i="17"/>
  <c r="H51" i="17" s="1"/>
  <c r="B51" i="17"/>
  <c r="C60" i="17"/>
  <c r="D54" i="31"/>
  <c r="E54" i="31" s="1"/>
  <c r="D45" i="88"/>
  <c r="E45" i="88" s="1"/>
  <c r="F53" i="70"/>
  <c r="H53" i="70" s="1"/>
  <c r="B53" i="70"/>
  <c r="B48" i="54"/>
  <c r="F48" i="54"/>
  <c r="H48" i="54" s="1"/>
  <c r="F52" i="32"/>
  <c r="G52" i="32" s="1"/>
  <c r="B52" i="32"/>
  <c r="F53" i="29"/>
  <c r="H53" i="29" s="1"/>
  <c r="B53" i="29"/>
  <c r="F45" i="78"/>
  <c r="G45" i="78" s="1"/>
  <c r="B45" i="78"/>
  <c r="I52" i="71"/>
  <c r="B45" i="79"/>
  <c r="F45" i="79"/>
  <c r="G45" i="79" s="1"/>
  <c r="G43" i="83"/>
  <c r="I43" i="83" s="1"/>
  <c r="D52" i="3"/>
  <c r="E52" i="3" s="1"/>
  <c r="F51" i="41"/>
  <c r="H51" i="41" s="1"/>
  <c r="B51" i="41"/>
  <c r="G46" i="68"/>
  <c r="I46" i="68" s="1"/>
  <c r="G54" i="28"/>
  <c r="I54" i="28" s="1"/>
  <c r="H47" i="64"/>
  <c r="I47" i="64" s="1"/>
  <c r="H44" i="88"/>
  <c r="I44" i="88" s="1"/>
  <c r="F50" i="74"/>
  <c r="G50" i="74" s="1"/>
  <c r="B50" i="74"/>
  <c r="F43" i="89"/>
  <c r="G43" i="89" s="1"/>
  <c r="B43" i="89"/>
  <c r="J122" i="91"/>
  <c r="J130" i="22"/>
  <c r="D45" i="33"/>
  <c r="G44" i="33"/>
  <c r="H44" i="33"/>
  <c r="E51" i="20"/>
  <c r="D51" i="20"/>
  <c r="H69" i="35"/>
  <c r="G69" i="35"/>
  <c r="B70" i="35"/>
  <c r="E70" i="35"/>
  <c r="F70" i="35" s="1"/>
  <c r="E44" i="87"/>
  <c r="D44" i="87"/>
  <c r="J126" i="62"/>
  <c r="D43" i="13"/>
  <c r="E43" i="13" s="1"/>
  <c r="I68" i="35"/>
  <c r="D47" i="62"/>
  <c r="E47" i="62" s="1"/>
  <c r="H43" i="87"/>
  <c r="I43" i="87" s="1"/>
  <c r="D44" i="26"/>
  <c r="E44" i="26" s="1"/>
  <c r="J128" i="45"/>
  <c r="B47" i="59"/>
  <c r="F47" i="59"/>
  <c r="H47" i="59" s="1"/>
  <c r="G43" i="26"/>
  <c r="I43" i="26" s="1"/>
  <c r="B52" i="18"/>
  <c r="F52" i="18"/>
  <c r="H52" i="18" s="1"/>
  <c r="H132" i="69"/>
  <c r="I132" i="69"/>
  <c r="F130" i="43"/>
  <c r="B130" i="43"/>
  <c r="B125" i="79"/>
  <c r="F125" i="79"/>
  <c r="G124" i="81"/>
  <c r="D125" i="81"/>
  <c r="E125" i="81"/>
  <c r="B127" i="64"/>
  <c r="F127" i="64"/>
  <c r="B133" i="30"/>
  <c r="F133" i="30"/>
  <c r="H125" i="68"/>
  <c r="I125" i="68"/>
  <c r="F123" i="90"/>
  <c r="B123" i="90"/>
  <c r="B124" i="85"/>
  <c r="F124" i="85"/>
  <c r="I127" i="72"/>
  <c r="H127" i="72"/>
  <c r="I126" i="61"/>
  <c r="H126" i="61"/>
  <c r="B125" i="78"/>
  <c r="F125" i="78"/>
  <c r="B128" i="53"/>
  <c r="F128" i="53"/>
  <c r="I125" i="66"/>
  <c r="H125" i="66"/>
  <c r="B133" i="29"/>
  <c r="F133" i="29"/>
  <c r="B129" i="74"/>
  <c r="F129" i="74"/>
  <c r="H132" i="70"/>
  <c r="I132" i="70"/>
  <c r="H130" i="19"/>
  <c r="I130" i="19"/>
  <c r="B123" i="86"/>
  <c r="F123" i="86"/>
  <c r="I131" i="31"/>
  <c r="H131" i="31"/>
  <c r="B128" i="58"/>
  <c r="F128" i="58"/>
  <c r="J130" i="21"/>
  <c r="J123" i="83"/>
  <c r="J128" i="56"/>
  <c r="H124" i="79"/>
  <c r="I124" i="79"/>
  <c r="H131" i="32"/>
  <c r="I131" i="32"/>
  <c r="B133" i="27"/>
  <c r="F133" i="27"/>
  <c r="H130" i="34"/>
  <c r="I130" i="34"/>
  <c r="B126" i="68"/>
  <c r="F126" i="68"/>
  <c r="D124" i="89"/>
  <c r="G123" i="89"/>
  <c r="E124" i="89"/>
  <c r="G130" i="73"/>
  <c r="E131" i="73"/>
  <c r="D131" i="73"/>
  <c r="B127" i="60"/>
  <c r="F127" i="60"/>
  <c r="H132" i="29"/>
  <c r="I132" i="29"/>
  <c r="I126" i="65"/>
  <c r="H126" i="65"/>
  <c r="I128" i="74"/>
  <c r="H128" i="74"/>
  <c r="J123" i="81"/>
  <c r="I126" i="63"/>
  <c r="H126" i="63"/>
  <c r="E124" i="91"/>
  <c r="D124" i="91"/>
  <c r="G123" i="91"/>
  <c r="B123" i="84"/>
  <c r="F123" i="84"/>
  <c r="I132" i="27"/>
  <c r="H132" i="27"/>
  <c r="H132" i="30"/>
  <c r="I132" i="30"/>
  <c r="F131" i="34"/>
  <c r="B131" i="34"/>
  <c r="H122" i="88"/>
  <c r="I122" i="88"/>
  <c r="E128" i="62"/>
  <c r="D128" i="62"/>
  <c r="G127" i="62"/>
  <c r="I123" i="85"/>
  <c r="H123" i="85"/>
  <c r="G130" i="41"/>
  <c r="D131" i="41"/>
  <c r="E131" i="41"/>
  <c r="B127" i="61"/>
  <c r="F127" i="61"/>
  <c r="B131" i="20"/>
  <c r="F131" i="20"/>
  <c r="B128" i="46"/>
  <c r="F128" i="46"/>
  <c r="H127" i="53"/>
  <c r="I127" i="53"/>
  <c r="E130" i="45"/>
  <c r="D130" i="45"/>
  <c r="G129" i="45"/>
  <c r="F126" i="66"/>
  <c r="B126" i="66"/>
  <c r="F127" i="65"/>
  <c r="B127" i="65"/>
  <c r="B133" i="70"/>
  <c r="F133" i="70"/>
  <c r="I129" i="39"/>
  <c r="H129" i="39"/>
  <c r="B131" i="19"/>
  <c r="F131" i="19"/>
  <c r="G131" i="22"/>
  <c r="D132" i="22"/>
  <c r="E132" i="22"/>
  <c r="F132" i="31"/>
  <c r="B132" i="31"/>
  <c r="I127" i="58"/>
  <c r="H127" i="58"/>
  <c r="B123" i="92"/>
  <c r="F123" i="92"/>
  <c r="B133" i="69"/>
  <c r="F133" i="69"/>
  <c r="I129" i="43"/>
  <c r="H129" i="43"/>
  <c r="J122" i="89"/>
  <c r="H122" i="84"/>
  <c r="I122" i="84"/>
  <c r="F132" i="32"/>
  <c r="B132" i="32"/>
  <c r="I126" i="64"/>
  <c r="H126" i="64"/>
  <c r="F123" i="88"/>
  <c r="B123" i="88"/>
  <c r="I122" i="90"/>
  <c r="H122" i="90"/>
  <c r="B128" i="72"/>
  <c r="F128" i="72"/>
  <c r="H124" i="78"/>
  <c r="I124" i="78"/>
  <c r="H130" i="20"/>
  <c r="I130" i="20"/>
  <c r="I127" i="46"/>
  <c r="H127" i="46"/>
  <c r="J129" i="41"/>
  <c r="H126" i="60"/>
  <c r="I126" i="60"/>
  <c r="B130" i="39"/>
  <c r="F130" i="39"/>
  <c r="I122" i="86"/>
  <c r="H122" i="86"/>
  <c r="B127" i="63"/>
  <c r="F127" i="63"/>
  <c r="J129" i="73"/>
  <c r="H122" i="92"/>
  <c r="I122" i="92"/>
  <c r="B132" i="18"/>
  <c r="F132" i="18"/>
  <c r="I132" i="23"/>
  <c r="H132" i="23"/>
  <c r="I127" i="59"/>
  <c r="H127" i="59"/>
  <c r="J127" i="55"/>
  <c r="I131" i="18"/>
  <c r="H131" i="18"/>
  <c r="B133" i="23"/>
  <c r="F133" i="23"/>
  <c r="D130" i="56"/>
  <c r="G129" i="56"/>
  <c r="E130" i="56"/>
  <c r="F128" i="59"/>
  <c r="B128" i="59"/>
  <c r="F129" i="57"/>
  <c r="B129" i="57"/>
  <c r="J129" i="42"/>
  <c r="J121" i="13"/>
  <c r="J150" i="35"/>
  <c r="B133" i="71"/>
  <c r="F133" i="71"/>
  <c r="H128" i="57"/>
  <c r="I128" i="57"/>
  <c r="I132" i="71"/>
  <c r="H132" i="71"/>
  <c r="G123" i="93"/>
  <c r="D124" i="93"/>
  <c r="E124" i="93" s="1"/>
  <c r="B124" i="94"/>
  <c r="J124" i="77"/>
  <c r="H130" i="3"/>
  <c r="I130" i="3"/>
  <c r="B124" i="95"/>
  <c r="F124" i="95"/>
  <c r="G152" i="35"/>
  <c r="B153" i="35"/>
  <c r="E153" i="35"/>
  <c r="F153" i="35" s="1"/>
  <c r="I133" i="28"/>
  <c r="H133" i="28"/>
  <c r="H131" i="17"/>
  <c r="I131" i="17"/>
  <c r="E126" i="75"/>
  <c r="D126" i="75"/>
  <c r="G125" i="75"/>
  <c r="E129" i="54"/>
  <c r="G128" i="54"/>
  <c r="D129" i="54"/>
  <c r="B123" i="96"/>
  <c r="H122" i="87"/>
  <c r="I122" i="87"/>
  <c r="I123" i="94"/>
  <c r="H123" i="94"/>
  <c r="I123" i="82"/>
  <c r="H123" i="82"/>
  <c r="F131" i="3"/>
  <c r="B131" i="3"/>
  <c r="B134" i="28"/>
  <c r="F134" i="28"/>
  <c r="G131" i="21"/>
  <c r="D132" i="21"/>
  <c r="E132" i="21"/>
  <c r="I125" i="67"/>
  <c r="H125" i="67"/>
  <c r="J127" i="54"/>
  <c r="J131" i="24"/>
  <c r="D131" i="42"/>
  <c r="G130" i="42"/>
  <c r="E131" i="42"/>
  <c r="H122" i="96"/>
  <c r="I122" i="96"/>
  <c r="B123" i="87"/>
  <c r="F123" i="87"/>
  <c r="E125" i="80"/>
  <c r="G124" i="80"/>
  <c r="D125" i="80"/>
  <c r="G122" i="33"/>
  <c r="D123" i="33"/>
  <c r="E123" i="33" s="1"/>
  <c r="D126" i="76"/>
  <c r="E126" i="76"/>
  <c r="G125" i="76"/>
  <c r="F124" i="82"/>
  <c r="B124" i="82"/>
  <c r="D129" i="55"/>
  <c r="E129" i="55"/>
  <c r="G128" i="55"/>
  <c r="J124" i="75"/>
  <c r="E125" i="83"/>
  <c r="D125" i="83"/>
  <c r="G124" i="83"/>
  <c r="H123" i="95"/>
  <c r="I123" i="95"/>
  <c r="I151" i="35"/>
  <c r="H151" i="35"/>
  <c r="D133" i="24"/>
  <c r="G132" i="24"/>
  <c r="E133" i="24"/>
  <c r="B126" i="67"/>
  <c r="F126" i="67"/>
  <c r="B132" i="17"/>
  <c r="F132" i="17"/>
  <c r="E123" i="96"/>
  <c r="F123" i="96" s="1"/>
  <c r="F130" i="44"/>
  <c r="B130" i="44"/>
  <c r="E124" i="94"/>
  <c r="F124" i="94" s="1"/>
  <c r="J122" i="93"/>
  <c r="D126" i="77"/>
  <c r="E126" i="77"/>
  <c r="G125" i="77"/>
  <c r="J123" i="80"/>
  <c r="J124" i="76"/>
  <c r="J121" i="33"/>
  <c r="D123" i="13"/>
  <c r="E123" i="13" s="1"/>
  <c r="G122" i="13"/>
  <c r="H129" i="44"/>
  <c r="I129" i="44"/>
  <c r="I42" i="25" l="1"/>
  <c r="G51" i="97"/>
  <c r="E43" i="25"/>
  <c r="F43" i="25" s="1"/>
  <c r="B43" i="25"/>
  <c r="H51" i="97"/>
  <c r="H52" i="24"/>
  <c r="I52" i="24" s="1"/>
  <c r="H42" i="98"/>
  <c r="I42" i="98" s="1"/>
  <c r="D48" i="99"/>
  <c r="E48" i="99"/>
  <c r="H47" i="99"/>
  <c r="G47" i="99"/>
  <c r="D43" i="98"/>
  <c r="E43" i="98" s="1"/>
  <c r="F52" i="97"/>
  <c r="D53" i="97" s="1"/>
  <c r="B52" i="97"/>
  <c r="E123" i="25"/>
  <c r="F123" i="25" s="1"/>
  <c r="B123" i="25"/>
  <c r="I122" i="25"/>
  <c r="H122" i="25"/>
  <c r="I122" i="99"/>
  <c r="H122" i="99"/>
  <c r="B123" i="99"/>
  <c r="F123" i="99"/>
  <c r="J122" i="98"/>
  <c r="G53" i="70"/>
  <c r="I53" i="70" s="1"/>
  <c r="H47" i="67"/>
  <c r="I47" i="67" s="1"/>
  <c r="J122" i="97"/>
  <c r="G123" i="97"/>
  <c r="D124" i="97"/>
  <c r="E124" i="97"/>
  <c r="H123" i="26"/>
  <c r="I123" i="26"/>
  <c r="G123" i="98"/>
  <c r="D124" i="98"/>
  <c r="E124" i="98"/>
  <c r="E124" i="26"/>
  <c r="F124" i="26" s="1"/>
  <c r="D48" i="67"/>
  <c r="E48" i="67" s="1"/>
  <c r="G47" i="59"/>
  <c r="H48" i="46"/>
  <c r="D49" i="46"/>
  <c r="E49" i="46"/>
  <c r="G48" i="46"/>
  <c r="D53" i="24"/>
  <c r="E53" i="24" s="1"/>
  <c r="D43" i="93"/>
  <c r="E43" i="93"/>
  <c r="H45" i="80"/>
  <c r="D46" i="80"/>
  <c r="E46" i="80"/>
  <c r="F46" i="82"/>
  <c r="H46" i="82" s="1"/>
  <c r="B46" i="82"/>
  <c r="G42" i="93"/>
  <c r="I42" i="93" s="1"/>
  <c r="G45" i="80"/>
  <c r="H48" i="53"/>
  <c r="I48" i="53" s="1"/>
  <c r="B45" i="86"/>
  <c r="F45" i="86"/>
  <c r="G45" i="86" s="1"/>
  <c r="G43" i="94"/>
  <c r="I43" i="94" s="1"/>
  <c r="D44" i="94"/>
  <c r="E44" i="94" s="1"/>
  <c r="H53" i="23"/>
  <c r="E54" i="23"/>
  <c r="D54" i="23"/>
  <c r="G53" i="23"/>
  <c r="F51" i="42"/>
  <c r="B51" i="42"/>
  <c r="I69" i="35"/>
  <c r="G51" i="22"/>
  <c r="I51" i="22" s="1"/>
  <c r="F47" i="65"/>
  <c r="H47" i="65" s="1"/>
  <c r="B47" i="65"/>
  <c r="H44" i="91"/>
  <c r="I44" i="91" s="1"/>
  <c r="D45" i="91"/>
  <c r="E45" i="91"/>
  <c r="H44" i="84"/>
  <c r="I44" i="84" s="1"/>
  <c r="D45" i="84"/>
  <c r="E45" i="84" s="1"/>
  <c r="H47" i="66"/>
  <c r="E48" i="66"/>
  <c r="D48" i="66"/>
  <c r="I47" i="59"/>
  <c r="G51" i="41"/>
  <c r="I51" i="41" s="1"/>
  <c r="H45" i="78"/>
  <c r="I45" i="78" s="1"/>
  <c r="D49" i="53"/>
  <c r="E49" i="53" s="1"/>
  <c r="B50" i="58"/>
  <c r="F50" i="58"/>
  <c r="H50" i="58" s="1"/>
  <c r="F46" i="75"/>
  <c r="H46" i="75" s="1"/>
  <c r="B46" i="75"/>
  <c r="B50" i="55"/>
  <c r="F50" i="55"/>
  <c r="H50" i="55" s="1"/>
  <c r="G45" i="90"/>
  <c r="I45" i="90" s="1"/>
  <c r="D46" i="90"/>
  <c r="E46" i="90"/>
  <c r="G53" i="27"/>
  <c r="I53" i="27" s="1"/>
  <c r="G47" i="66"/>
  <c r="G48" i="54"/>
  <c r="I48" i="54" s="1"/>
  <c r="H43" i="92"/>
  <c r="I43" i="92" s="1"/>
  <c r="B51" i="39"/>
  <c r="F51" i="39"/>
  <c r="G51" i="39" s="1"/>
  <c r="G45" i="76"/>
  <c r="E46" i="76"/>
  <c r="D46" i="76"/>
  <c r="D54" i="27"/>
  <c r="E54" i="27" s="1"/>
  <c r="F49" i="72"/>
  <c r="B49" i="72"/>
  <c r="G50" i="44"/>
  <c r="I50" i="44" s="1"/>
  <c r="D51" i="44"/>
  <c r="E51" i="44" s="1"/>
  <c r="B43" i="95"/>
  <c r="F43" i="95"/>
  <c r="H43" i="95" s="1"/>
  <c r="D48" i="61"/>
  <c r="E48" i="61" s="1"/>
  <c r="B45" i="85"/>
  <c r="F45" i="85"/>
  <c r="G42" i="96"/>
  <c r="I42" i="96" s="1"/>
  <c r="D43" i="96"/>
  <c r="E43" i="96" s="1"/>
  <c r="D52" i="22"/>
  <c r="E52" i="22" s="1"/>
  <c r="G44" i="81"/>
  <c r="I44" i="81" s="1"/>
  <c r="D45" i="81"/>
  <c r="E45" i="81" s="1"/>
  <c r="H45" i="76"/>
  <c r="H47" i="61"/>
  <c r="I47" i="61" s="1"/>
  <c r="I49" i="45"/>
  <c r="G52" i="18"/>
  <c r="I52" i="18" s="1"/>
  <c r="D44" i="89"/>
  <c r="E44" i="89" s="1"/>
  <c r="D46" i="79"/>
  <c r="E46" i="79"/>
  <c r="F45" i="88"/>
  <c r="H45" i="88" s="1"/>
  <c r="B45" i="88"/>
  <c r="D52" i="17"/>
  <c r="E52" i="17" s="1"/>
  <c r="B55" i="28"/>
  <c r="F55" i="28"/>
  <c r="H55" i="28" s="1"/>
  <c r="B44" i="83"/>
  <c r="F44" i="83"/>
  <c r="H44" i="83" s="1"/>
  <c r="F54" i="69"/>
  <c r="H54" i="69" s="1"/>
  <c r="B54" i="69"/>
  <c r="B48" i="56"/>
  <c r="F48" i="56"/>
  <c r="H48" i="56" s="1"/>
  <c r="B53" i="30"/>
  <c r="F53" i="30"/>
  <c r="H53" i="30" s="1"/>
  <c r="I44" i="33"/>
  <c r="H43" i="89"/>
  <c r="I43" i="89" s="1"/>
  <c r="D52" i="41"/>
  <c r="E52" i="41" s="1"/>
  <c r="B52" i="3"/>
  <c r="F52" i="3"/>
  <c r="H52" i="3" s="1"/>
  <c r="H45" i="79"/>
  <c r="I45" i="79" s="1"/>
  <c r="H52" i="32"/>
  <c r="I52" i="32" s="1"/>
  <c r="D53" i="32"/>
  <c r="E53" i="32" s="1"/>
  <c r="D54" i="70"/>
  <c r="E54" i="70" s="1"/>
  <c r="D52" i="21"/>
  <c r="E52" i="21" s="1"/>
  <c r="F53" i="71"/>
  <c r="H53" i="71" s="1"/>
  <c r="B53" i="71"/>
  <c r="I52" i="34"/>
  <c r="E49" i="57"/>
  <c r="D49" i="57"/>
  <c r="D48" i="63"/>
  <c r="E48" i="63" s="1"/>
  <c r="G53" i="29"/>
  <c r="I53" i="29" s="1"/>
  <c r="D54" i="29"/>
  <c r="E54" i="29" s="1"/>
  <c r="G51" i="17"/>
  <c r="I51" i="17" s="1"/>
  <c r="B48" i="64"/>
  <c r="F48" i="64"/>
  <c r="H48" i="64" s="1"/>
  <c r="E51" i="73"/>
  <c r="H50" i="73"/>
  <c r="D51" i="73"/>
  <c r="G50" i="73"/>
  <c r="F47" i="68"/>
  <c r="H47" i="68" s="1"/>
  <c r="B47" i="68"/>
  <c r="D52" i="43"/>
  <c r="E52" i="43" s="1"/>
  <c r="F50" i="45"/>
  <c r="G50" i="45" s="1"/>
  <c r="B50" i="45"/>
  <c r="G45" i="77"/>
  <c r="I45" i="77" s="1"/>
  <c r="E46" i="77"/>
  <c r="D46" i="77"/>
  <c r="D44" i="92"/>
  <c r="E44" i="92" s="1"/>
  <c r="G47" i="63"/>
  <c r="I47" i="63" s="1"/>
  <c r="D48" i="60"/>
  <c r="E48" i="60" s="1"/>
  <c r="H50" i="74"/>
  <c r="I50" i="74" s="1"/>
  <c r="D51" i="74"/>
  <c r="E51" i="74" s="1"/>
  <c r="E46" i="78"/>
  <c r="D46" i="78"/>
  <c r="D49" i="54"/>
  <c r="E49" i="54" s="1"/>
  <c r="F54" i="31"/>
  <c r="H54" i="31" s="1"/>
  <c r="B54" i="31"/>
  <c r="B52" i="19"/>
  <c r="F52" i="19"/>
  <c r="G52" i="19" s="1"/>
  <c r="G51" i="21"/>
  <c r="I51" i="21" s="1"/>
  <c r="G51" i="43"/>
  <c r="I51" i="43" s="1"/>
  <c r="B53" i="34"/>
  <c r="F53" i="34"/>
  <c r="H53" i="34" s="1"/>
  <c r="H48" i="57"/>
  <c r="I48" i="57" s="1"/>
  <c r="G47" i="60"/>
  <c r="I47" i="60" s="1"/>
  <c r="J124" i="79"/>
  <c r="J130" i="20"/>
  <c r="J122" i="96"/>
  <c r="J132" i="23"/>
  <c r="B45" i="33"/>
  <c r="J126" i="60"/>
  <c r="J127" i="46"/>
  <c r="J122" i="90"/>
  <c r="J126" i="64"/>
  <c r="J127" i="53"/>
  <c r="J123" i="85"/>
  <c r="J122" i="88"/>
  <c r="J132" i="30"/>
  <c r="J132" i="29"/>
  <c r="J130" i="34"/>
  <c r="J131" i="32"/>
  <c r="J126" i="61"/>
  <c r="J132" i="69"/>
  <c r="D48" i="59"/>
  <c r="E48" i="59" s="1"/>
  <c r="H70" i="35"/>
  <c r="E71" i="35"/>
  <c r="F71" i="35" s="1"/>
  <c r="G70" i="35"/>
  <c r="B71" i="35"/>
  <c r="E45" i="33"/>
  <c r="F45" i="33" s="1"/>
  <c r="J129" i="39"/>
  <c r="J126" i="63"/>
  <c r="J131" i="31"/>
  <c r="J125" i="66"/>
  <c r="J127" i="72"/>
  <c r="D53" i="18"/>
  <c r="E53" i="18" s="1"/>
  <c r="B44" i="26"/>
  <c r="F44" i="26"/>
  <c r="H44" i="26" s="1"/>
  <c r="F47" i="62"/>
  <c r="H47" i="62" s="1"/>
  <c r="B47" i="62"/>
  <c r="F43" i="13"/>
  <c r="G43" i="13" s="1"/>
  <c r="B43" i="13"/>
  <c r="B44" i="87"/>
  <c r="F44" i="87"/>
  <c r="H44" i="87" s="1"/>
  <c r="F51" i="20"/>
  <c r="H51" i="20" s="1"/>
  <c r="B51" i="20"/>
  <c r="J123" i="82"/>
  <c r="J122" i="87"/>
  <c r="D128" i="63"/>
  <c r="E128" i="63"/>
  <c r="G127" i="63"/>
  <c r="E131" i="39"/>
  <c r="G130" i="39"/>
  <c r="D131" i="39"/>
  <c r="G123" i="88"/>
  <c r="D124" i="88"/>
  <c r="E124" i="88"/>
  <c r="G132" i="32"/>
  <c r="D133" i="32"/>
  <c r="E133" i="32"/>
  <c r="D124" i="92"/>
  <c r="E124" i="92"/>
  <c r="G123" i="92"/>
  <c r="H131" i="22"/>
  <c r="I131" i="22"/>
  <c r="E128" i="65"/>
  <c r="G127" i="65"/>
  <c r="D128" i="65"/>
  <c r="F130" i="45"/>
  <c r="B130" i="45"/>
  <c r="G128" i="46"/>
  <c r="E129" i="46"/>
  <c r="D129" i="46"/>
  <c r="E128" i="61"/>
  <c r="G127" i="61"/>
  <c r="D128" i="61"/>
  <c r="I130" i="41"/>
  <c r="H130" i="41"/>
  <c r="F128" i="62"/>
  <c r="B128" i="62"/>
  <c r="H123" i="91"/>
  <c r="I123" i="91"/>
  <c r="D128" i="60"/>
  <c r="G127" i="60"/>
  <c r="E128" i="60"/>
  <c r="H130" i="73"/>
  <c r="I130" i="73"/>
  <c r="E127" i="68"/>
  <c r="G126" i="68"/>
  <c r="D127" i="68"/>
  <c r="E134" i="27"/>
  <c r="D134" i="27"/>
  <c r="G133" i="27"/>
  <c r="G123" i="90"/>
  <c r="E124" i="90"/>
  <c r="D124" i="90"/>
  <c r="F125" i="81"/>
  <c r="B125" i="81"/>
  <c r="J122" i="92"/>
  <c r="J124" i="78"/>
  <c r="J122" i="84"/>
  <c r="J129" i="43"/>
  <c r="D133" i="31"/>
  <c r="G132" i="31"/>
  <c r="E133" i="31"/>
  <c r="G131" i="19"/>
  <c r="D132" i="19"/>
  <c r="E132" i="19"/>
  <c r="E134" i="70"/>
  <c r="G133" i="70"/>
  <c r="D134" i="70"/>
  <c r="G131" i="34"/>
  <c r="E132" i="34"/>
  <c r="D132" i="34"/>
  <c r="J132" i="27"/>
  <c r="F124" i="91"/>
  <c r="B124" i="91"/>
  <c r="J126" i="65"/>
  <c r="E129" i="58"/>
  <c r="G128" i="58"/>
  <c r="D129" i="58"/>
  <c r="G123" i="86"/>
  <c r="D124" i="86"/>
  <c r="E124" i="86"/>
  <c r="J132" i="70"/>
  <c r="E134" i="29"/>
  <c r="D134" i="29"/>
  <c r="G133" i="29"/>
  <c r="D129" i="53"/>
  <c r="G128" i="53"/>
  <c r="E129" i="53"/>
  <c r="E125" i="85"/>
  <c r="D125" i="85"/>
  <c r="G124" i="85"/>
  <c r="J125" i="68"/>
  <c r="D128" i="64"/>
  <c r="E128" i="64"/>
  <c r="G127" i="64"/>
  <c r="I124" i="81"/>
  <c r="H124" i="81"/>
  <c r="D131" i="43"/>
  <c r="G130" i="43"/>
  <c r="E131" i="43"/>
  <c r="D134" i="69"/>
  <c r="E134" i="69"/>
  <c r="G133" i="69"/>
  <c r="D127" i="66"/>
  <c r="E127" i="66"/>
  <c r="G126" i="66"/>
  <c r="D132" i="20"/>
  <c r="E132" i="20"/>
  <c r="G131" i="20"/>
  <c r="E124" i="84"/>
  <c r="G123" i="84"/>
  <c r="D124" i="84"/>
  <c r="F131" i="73"/>
  <c r="B131" i="73"/>
  <c r="H123" i="89"/>
  <c r="I123" i="89"/>
  <c r="D126" i="79"/>
  <c r="G125" i="79"/>
  <c r="E126" i="79"/>
  <c r="J122" i="86"/>
  <c r="E129" i="72"/>
  <c r="D129" i="72"/>
  <c r="G128" i="72"/>
  <c r="J127" i="58"/>
  <c r="B132" i="22"/>
  <c r="F132" i="22"/>
  <c r="I129" i="45"/>
  <c r="H129" i="45"/>
  <c r="B131" i="41"/>
  <c r="F131" i="41"/>
  <c r="H127" i="62"/>
  <c r="I127" i="62"/>
  <c r="J128" i="74"/>
  <c r="F124" i="89"/>
  <c r="B124" i="89"/>
  <c r="J130" i="19"/>
  <c r="E130" i="74"/>
  <c r="G129" i="74"/>
  <c r="D130" i="74"/>
  <c r="E126" i="78"/>
  <c r="D126" i="78"/>
  <c r="G125" i="78"/>
  <c r="D134" i="30"/>
  <c r="E134" i="30"/>
  <c r="G133" i="30"/>
  <c r="J133" i="28"/>
  <c r="E129" i="59"/>
  <c r="D129" i="59"/>
  <c r="G128" i="59"/>
  <c r="J127" i="59"/>
  <c r="H129" i="56"/>
  <c r="I129" i="56"/>
  <c r="J132" i="71"/>
  <c r="B130" i="56"/>
  <c r="F130" i="56"/>
  <c r="J131" i="18"/>
  <c r="E133" i="18"/>
  <c r="G132" i="18"/>
  <c r="D133" i="18"/>
  <c r="D134" i="23"/>
  <c r="G133" i="23"/>
  <c r="E134" i="23"/>
  <c r="J130" i="3"/>
  <c r="D134" i="71"/>
  <c r="G133" i="71"/>
  <c r="E134" i="71"/>
  <c r="J128" i="57"/>
  <c r="J123" i="95"/>
  <c r="E130" i="57"/>
  <c r="D130" i="57"/>
  <c r="G129" i="57"/>
  <c r="D125" i="94"/>
  <c r="E125" i="94" s="1"/>
  <c r="G124" i="94"/>
  <c r="G123" i="96"/>
  <c r="D124" i="96"/>
  <c r="E124" i="96" s="1"/>
  <c r="J129" i="44"/>
  <c r="H122" i="13"/>
  <c r="I122" i="13"/>
  <c r="B126" i="77"/>
  <c r="F126" i="77"/>
  <c r="D127" i="67"/>
  <c r="G126" i="67"/>
  <c r="E127" i="67"/>
  <c r="B133" i="24"/>
  <c r="F133" i="24"/>
  <c r="I124" i="83"/>
  <c r="H124" i="83"/>
  <c r="F129" i="55"/>
  <c r="B129" i="55"/>
  <c r="I130" i="42"/>
  <c r="H130" i="42"/>
  <c r="I128" i="54"/>
  <c r="H128" i="54"/>
  <c r="F126" i="75"/>
  <c r="B126" i="75"/>
  <c r="J131" i="17"/>
  <c r="I152" i="35"/>
  <c r="H152" i="35"/>
  <c r="D125" i="95"/>
  <c r="E125" i="95" s="1"/>
  <c r="G124" i="95"/>
  <c r="B125" i="83"/>
  <c r="F125" i="83"/>
  <c r="F126" i="76"/>
  <c r="B126" i="76"/>
  <c r="F123" i="33"/>
  <c r="B123" i="33"/>
  <c r="F131" i="42"/>
  <c r="B131" i="42"/>
  <c r="F123" i="13"/>
  <c r="B123" i="13"/>
  <c r="H125" i="77"/>
  <c r="I125" i="77"/>
  <c r="D131" i="44"/>
  <c r="G130" i="44"/>
  <c r="E131" i="44"/>
  <c r="J151" i="35"/>
  <c r="I128" i="55"/>
  <c r="H128" i="55"/>
  <c r="D125" i="82"/>
  <c r="G124" i="82"/>
  <c r="E125" i="82"/>
  <c r="H122" i="33"/>
  <c r="I122" i="33"/>
  <c r="B125" i="80"/>
  <c r="F125" i="80"/>
  <c r="F132" i="21"/>
  <c r="B132" i="21"/>
  <c r="D135" i="28"/>
  <c r="G134" i="28"/>
  <c r="E135" i="28"/>
  <c r="G153" i="35"/>
  <c r="B154" i="35"/>
  <c r="E154" i="35"/>
  <c r="F154" i="35" s="1"/>
  <c r="G154" i="35" s="1"/>
  <c r="F124" i="93"/>
  <c r="B124" i="93"/>
  <c r="G132" i="17"/>
  <c r="D133" i="17"/>
  <c r="E133" i="17"/>
  <c r="I132" i="24"/>
  <c r="H132" i="24"/>
  <c r="H125" i="76"/>
  <c r="I125" i="76"/>
  <c r="I124" i="80"/>
  <c r="H124" i="80"/>
  <c r="D124" i="87"/>
  <c r="G123" i="87"/>
  <c r="E124" i="87"/>
  <c r="J125" i="67"/>
  <c r="H131" i="21"/>
  <c r="I131" i="21"/>
  <c r="G131" i="3"/>
  <c r="D132" i="3"/>
  <c r="E132" i="3"/>
  <c r="J123" i="94"/>
  <c r="B129" i="54"/>
  <c r="F129" i="54"/>
  <c r="I125" i="75"/>
  <c r="H125" i="75"/>
  <c r="I123" i="93"/>
  <c r="H123" i="93"/>
  <c r="I51" i="97" l="1"/>
  <c r="D44" i="25"/>
  <c r="G43" i="25"/>
  <c r="H43" i="25"/>
  <c r="I43" i="25" s="1"/>
  <c r="J122" i="25"/>
  <c r="H52" i="97"/>
  <c r="E53" i="97"/>
  <c r="F53" i="97" s="1"/>
  <c r="D54" i="97" s="1"/>
  <c r="B53" i="97"/>
  <c r="I47" i="99"/>
  <c r="G44" i="26"/>
  <c r="G52" i="97"/>
  <c r="F43" i="98"/>
  <c r="G43" i="98" s="1"/>
  <c r="B43" i="98"/>
  <c r="F48" i="99"/>
  <c r="G48" i="99" s="1"/>
  <c r="B48" i="99"/>
  <c r="G123" i="25"/>
  <c r="D124" i="25"/>
  <c r="D124" i="99"/>
  <c r="G123" i="99"/>
  <c r="E124" i="99"/>
  <c r="J122" i="99"/>
  <c r="I47" i="66"/>
  <c r="G50" i="58"/>
  <c r="I50" i="58" s="1"/>
  <c r="J123" i="26"/>
  <c r="B124" i="98"/>
  <c r="F124" i="98"/>
  <c r="H123" i="98"/>
  <c r="I123" i="98"/>
  <c r="B124" i="97"/>
  <c r="F124" i="97"/>
  <c r="D125" i="26"/>
  <c r="G124" i="26"/>
  <c r="I123" i="97"/>
  <c r="H123" i="97"/>
  <c r="G46" i="82"/>
  <c r="I46" i="82" s="1"/>
  <c r="G46" i="75"/>
  <c r="I46" i="75" s="1"/>
  <c r="G54" i="69"/>
  <c r="I54" i="69" s="1"/>
  <c r="B48" i="67"/>
  <c r="F48" i="67"/>
  <c r="H48" i="67" s="1"/>
  <c r="G48" i="56"/>
  <c r="I48" i="56" s="1"/>
  <c r="G50" i="55"/>
  <c r="I50" i="55" s="1"/>
  <c r="F49" i="46"/>
  <c r="H49" i="46" s="1"/>
  <c r="B49" i="46"/>
  <c r="I48" i="46"/>
  <c r="H51" i="39"/>
  <c r="I51" i="39" s="1"/>
  <c r="G53" i="30"/>
  <c r="I53" i="30" s="1"/>
  <c r="F53" i="24"/>
  <c r="G53" i="24" s="1"/>
  <c r="B53" i="24"/>
  <c r="B46" i="80"/>
  <c r="F46" i="80"/>
  <c r="G46" i="80" s="1"/>
  <c r="I45" i="80"/>
  <c r="B44" i="94"/>
  <c r="F44" i="94"/>
  <c r="G44" i="94" s="1"/>
  <c r="H45" i="86"/>
  <c r="I45" i="86" s="1"/>
  <c r="D46" i="86"/>
  <c r="E46" i="86" s="1"/>
  <c r="D47" i="82"/>
  <c r="E47" i="82" s="1"/>
  <c r="G52" i="3"/>
  <c r="I52" i="3" s="1"/>
  <c r="F43" i="93"/>
  <c r="G43" i="93" s="1"/>
  <c r="B43" i="93"/>
  <c r="D52" i="42"/>
  <c r="E52" i="42" s="1"/>
  <c r="B48" i="66"/>
  <c r="F48" i="66"/>
  <c r="H48" i="66" s="1"/>
  <c r="F45" i="84"/>
  <c r="H45" i="84" s="1"/>
  <c r="B45" i="84"/>
  <c r="B45" i="91"/>
  <c r="F45" i="91"/>
  <c r="D48" i="65"/>
  <c r="E48" i="65"/>
  <c r="G51" i="42"/>
  <c r="I53" i="23"/>
  <c r="B49" i="53"/>
  <c r="F49" i="53"/>
  <c r="H49" i="53" s="1"/>
  <c r="G47" i="62"/>
  <c r="I47" i="62" s="1"/>
  <c r="G43" i="95"/>
  <c r="I43" i="95" s="1"/>
  <c r="F46" i="90"/>
  <c r="H46" i="90" s="1"/>
  <c r="B46" i="90"/>
  <c r="D51" i="55"/>
  <c r="E51" i="55" s="1"/>
  <c r="D51" i="58"/>
  <c r="E51" i="58" s="1"/>
  <c r="H51" i="42"/>
  <c r="B54" i="23"/>
  <c r="F54" i="23"/>
  <c r="H50" i="45"/>
  <c r="I50" i="45" s="1"/>
  <c r="G48" i="64"/>
  <c r="I48" i="64" s="1"/>
  <c r="D47" i="75"/>
  <c r="E47" i="75"/>
  <c r="G47" i="65"/>
  <c r="I47" i="65" s="1"/>
  <c r="H45" i="85"/>
  <c r="D46" i="85"/>
  <c r="E46" i="85" s="1"/>
  <c r="G54" i="31"/>
  <c r="I54" i="31" s="1"/>
  <c r="G45" i="88"/>
  <c r="I45" i="88" s="1"/>
  <c r="B51" i="44"/>
  <c r="F51" i="44"/>
  <c r="H51" i="44" s="1"/>
  <c r="D50" i="72"/>
  <c r="E50" i="72"/>
  <c r="G53" i="71"/>
  <c r="I53" i="71" s="1"/>
  <c r="I45" i="76"/>
  <c r="B52" i="22"/>
  <c r="F52" i="22"/>
  <c r="G52" i="22" s="1"/>
  <c r="F48" i="61"/>
  <c r="B48" i="61"/>
  <c r="D44" i="95"/>
  <c r="E44" i="95" s="1"/>
  <c r="H49" i="72"/>
  <c r="F54" i="27"/>
  <c r="B54" i="27"/>
  <c r="F46" i="76"/>
  <c r="G46" i="76" s="1"/>
  <c r="B46" i="76"/>
  <c r="B45" i="81"/>
  <c r="F45" i="81"/>
  <c r="G45" i="81" s="1"/>
  <c r="B43" i="96"/>
  <c r="F43" i="96"/>
  <c r="H43" i="96" s="1"/>
  <c r="H52" i="19"/>
  <c r="I52" i="19" s="1"/>
  <c r="G55" i="28"/>
  <c r="I55" i="28" s="1"/>
  <c r="G45" i="85"/>
  <c r="G49" i="72"/>
  <c r="D52" i="39"/>
  <c r="E52" i="39" s="1"/>
  <c r="I50" i="73"/>
  <c r="G51" i="20"/>
  <c r="I51" i="20" s="1"/>
  <c r="H43" i="13"/>
  <c r="I43" i="13" s="1"/>
  <c r="G53" i="34"/>
  <c r="I53" i="34" s="1"/>
  <c r="D54" i="34"/>
  <c r="E54" i="34" s="1"/>
  <c r="F49" i="54"/>
  <c r="G49" i="54" s="1"/>
  <c r="B49" i="54"/>
  <c r="G47" i="68"/>
  <c r="I47" i="68" s="1"/>
  <c r="D48" i="68"/>
  <c r="E48" i="68"/>
  <c r="B54" i="29"/>
  <c r="F54" i="29"/>
  <c r="G54" i="29" s="1"/>
  <c r="B54" i="70"/>
  <c r="F54" i="70"/>
  <c r="H54" i="70" s="1"/>
  <c r="D53" i="3"/>
  <c r="E53" i="3" s="1"/>
  <c r="D54" i="30"/>
  <c r="E54" i="30"/>
  <c r="D53" i="19"/>
  <c r="E53" i="19" s="1"/>
  <c r="D55" i="31"/>
  <c r="E55" i="31"/>
  <c r="F44" i="92"/>
  <c r="B44" i="92"/>
  <c r="F52" i="43"/>
  <c r="H52" i="43" s="1"/>
  <c r="B52" i="43"/>
  <c r="D54" i="71"/>
  <c r="E54" i="71" s="1"/>
  <c r="D55" i="69"/>
  <c r="E55" i="69" s="1"/>
  <c r="G44" i="83"/>
  <c r="I44" i="83" s="1"/>
  <c r="B52" i="17"/>
  <c r="C61" i="17"/>
  <c r="F52" i="17"/>
  <c r="B46" i="79"/>
  <c r="F46" i="79"/>
  <c r="G46" i="79" s="1"/>
  <c r="I44" i="26"/>
  <c r="F46" i="78"/>
  <c r="H46" i="78" s="1"/>
  <c r="B46" i="78"/>
  <c r="B46" i="77"/>
  <c r="F46" i="77"/>
  <c r="G46" i="77" s="1"/>
  <c r="F51" i="73"/>
  <c r="H51" i="73" s="1"/>
  <c r="B51" i="73"/>
  <c r="B48" i="63"/>
  <c r="F48" i="63"/>
  <c r="G48" i="63" s="1"/>
  <c r="F52" i="21"/>
  <c r="G52" i="21" s="1"/>
  <c r="B52" i="21"/>
  <c r="F53" i="32"/>
  <c r="H53" i="32" s="1"/>
  <c r="B53" i="32"/>
  <c r="B52" i="41"/>
  <c r="F52" i="41"/>
  <c r="D56" i="28"/>
  <c r="E56" i="28" s="1"/>
  <c r="E46" i="88"/>
  <c r="D46" i="88"/>
  <c r="F51" i="74"/>
  <c r="H51" i="74" s="1"/>
  <c r="B51" i="74"/>
  <c r="F48" i="60"/>
  <c r="B48" i="60"/>
  <c r="D51" i="45"/>
  <c r="E51" i="45"/>
  <c r="E49" i="64"/>
  <c r="D49" i="64"/>
  <c r="B49" i="57"/>
  <c r="F49" i="57"/>
  <c r="G49" i="57" s="1"/>
  <c r="D49" i="56"/>
  <c r="E49" i="56" s="1"/>
  <c r="D45" i="83"/>
  <c r="E45" i="83" s="1"/>
  <c r="F44" i="89"/>
  <c r="G44" i="89" s="1"/>
  <c r="B44" i="89"/>
  <c r="J127" i="62"/>
  <c r="J123" i="89"/>
  <c r="J122" i="13"/>
  <c r="D46" i="33"/>
  <c r="E46" i="33" s="1"/>
  <c r="G45" i="33"/>
  <c r="H45" i="33"/>
  <c r="E45" i="87"/>
  <c r="D45" i="87"/>
  <c r="J132" i="24"/>
  <c r="J130" i="41"/>
  <c r="J131" i="22"/>
  <c r="E52" i="20"/>
  <c r="D52" i="20"/>
  <c r="D48" i="62"/>
  <c r="E48" i="62" s="1"/>
  <c r="D45" i="26"/>
  <c r="E45" i="26" s="1"/>
  <c r="F53" i="18"/>
  <c r="G53" i="18" s="1"/>
  <c r="B53" i="18"/>
  <c r="G71" i="35"/>
  <c r="H71" i="35"/>
  <c r="E72" i="35"/>
  <c r="F72" i="35" s="1"/>
  <c r="B72" i="35"/>
  <c r="G44" i="87"/>
  <c r="I44" i="87" s="1"/>
  <c r="D44" i="13"/>
  <c r="I70" i="35"/>
  <c r="F48" i="59"/>
  <c r="H48" i="59" s="1"/>
  <c r="B48" i="59"/>
  <c r="B134" i="30"/>
  <c r="F134" i="30"/>
  <c r="F130" i="74"/>
  <c r="B130" i="74"/>
  <c r="J129" i="45"/>
  <c r="I128" i="72"/>
  <c r="H128" i="72"/>
  <c r="H123" i="84"/>
  <c r="I123" i="84"/>
  <c r="F132" i="20"/>
  <c r="B132" i="20"/>
  <c r="H133" i="69"/>
  <c r="I133" i="69"/>
  <c r="H130" i="43"/>
  <c r="I130" i="43"/>
  <c r="H127" i="64"/>
  <c r="I127" i="64"/>
  <c r="I124" i="85"/>
  <c r="H124" i="85"/>
  <c r="H128" i="53"/>
  <c r="I128" i="53"/>
  <c r="I123" i="86"/>
  <c r="H123" i="86"/>
  <c r="B132" i="34"/>
  <c r="F132" i="34"/>
  <c r="I133" i="70"/>
  <c r="H133" i="70"/>
  <c r="I131" i="19"/>
  <c r="H131" i="19"/>
  <c r="I123" i="90"/>
  <c r="H123" i="90"/>
  <c r="B127" i="68"/>
  <c r="F127" i="68"/>
  <c r="J123" i="91"/>
  <c r="I132" i="32"/>
  <c r="H132" i="32"/>
  <c r="B131" i="39"/>
  <c r="F131" i="39"/>
  <c r="J130" i="42"/>
  <c r="H125" i="78"/>
  <c r="I125" i="78"/>
  <c r="H129" i="74"/>
  <c r="I129" i="74"/>
  <c r="D125" i="89"/>
  <c r="G124" i="89"/>
  <c r="E125" i="89"/>
  <c r="G131" i="41"/>
  <c r="D132" i="41"/>
  <c r="E132" i="41"/>
  <c r="E133" i="22"/>
  <c r="D133" i="22"/>
  <c r="G132" i="22"/>
  <c r="B129" i="72"/>
  <c r="F129" i="72"/>
  <c r="H125" i="79"/>
  <c r="I125" i="79"/>
  <c r="I126" i="66"/>
  <c r="H126" i="66"/>
  <c r="F131" i="43"/>
  <c r="B131" i="43"/>
  <c r="F125" i="85"/>
  <c r="B125" i="85"/>
  <c r="F129" i="53"/>
  <c r="B129" i="53"/>
  <c r="B129" i="58"/>
  <c r="F129" i="58"/>
  <c r="E126" i="81"/>
  <c r="G125" i="81"/>
  <c r="D126" i="81"/>
  <c r="I133" i="27"/>
  <c r="H133" i="27"/>
  <c r="I126" i="68"/>
  <c r="H126" i="68"/>
  <c r="B129" i="46"/>
  <c r="F129" i="46"/>
  <c r="E131" i="45"/>
  <c r="G130" i="45"/>
  <c r="D131" i="45"/>
  <c r="F124" i="92"/>
  <c r="B124" i="92"/>
  <c r="I130" i="39"/>
  <c r="H130" i="39"/>
  <c r="B128" i="63"/>
  <c r="F128" i="63"/>
  <c r="I133" i="30"/>
  <c r="H133" i="30"/>
  <c r="F126" i="78"/>
  <c r="B126" i="78"/>
  <c r="F126" i="79"/>
  <c r="B126" i="79"/>
  <c r="G131" i="73"/>
  <c r="D132" i="73"/>
  <c r="E132" i="73"/>
  <c r="H131" i="20"/>
  <c r="I131" i="20"/>
  <c r="B134" i="69"/>
  <c r="F134" i="69"/>
  <c r="B128" i="64"/>
  <c r="F128" i="64"/>
  <c r="I133" i="29"/>
  <c r="H133" i="29"/>
  <c r="I128" i="58"/>
  <c r="H128" i="58"/>
  <c r="E125" i="91"/>
  <c r="G124" i="91"/>
  <c r="D125" i="91"/>
  <c r="I131" i="34"/>
  <c r="H131" i="34"/>
  <c r="I132" i="31"/>
  <c r="H132" i="31"/>
  <c r="F124" i="90"/>
  <c r="B124" i="90"/>
  <c r="B134" i="27"/>
  <c r="F134" i="27"/>
  <c r="I127" i="60"/>
  <c r="H127" i="60"/>
  <c r="B128" i="61"/>
  <c r="F128" i="61"/>
  <c r="B128" i="65"/>
  <c r="F128" i="65"/>
  <c r="F124" i="88"/>
  <c r="B124" i="88"/>
  <c r="J128" i="54"/>
  <c r="B124" i="84"/>
  <c r="F124" i="84"/>
  <c r="F127" i="66"/>
  <c r="B127" i="66"/>
  <c r="J124" i="81"/>
  <c r="F134" i="29"/>
  <c r="B134" i="29"/>
  <c r="B124" i="86"/>
  <c r="F124" i="86"/>
  <c r="F134" i="70"/>
  <c r="B134" i="70"/>
  <c r="F132" i="19"/>
  <c r="B132" i="19"/>
  <c r="F133" i="31"/>
  <c r="B133" i="31"/>
  <c r="J130" i="73"/>
  <c r="B128" i="60"/>
  <c r="F128" i="60"/>
  <c r="E129" i="62"/>
  <c r="D129" i="62"/>
  <c r="G128" i="62"/>
  <c r="I127" i="61"/>
  <c r="H127" i="61"/>
  <c r="H128" i="46"/>
  <c r="I128" i="46"/>
  <c r="H127" i="65"/>
  <c r="I127" i="65"/>
  <c r="H123" i="92"/>
  <c r="I123" i="92"/>
  <c r="B133" i="32"/>
  <c r="F133" i="32"/>
  <c r="H123" i="88"/>
  <c r="I123" i="88"/>
  <c r="H127" i="63"/>
  <c r="I127" i="63"/>
  <c r="J125" i="76"/>
  <c r="J152" i="35"/>
  <c r="H133" i="23"/>
  <c r="I133" i="23"/>
  <c r="F133" i="18"/>
  <c r="B133" i="18"/>
  <c r="E131" i="56"/>
  <c r="G130" i="56"/>
  <c r="D131" i="56"/>
  <c r="J129" i="56"/>
  <c r="I128" i="59"/>
  <c r="H128" i="59"/>
  <c r="F134" i="23"/>
  <c r="B134" i="23"/>
  <c r="I132" i="18"/>
  <c r="H132" i="18"/>
  <c r="F129" i="59"/>
  <c r="B129" i="59"/>
  <c r="J123" i="93"/>
  <c r="J125" i="75"/>
  <c r="J124" i="80"/>
  <c r="J128" i="55"/>
  <c r="F130" i="57"/>
  <c r="B130" i="57"/>
  <c r="J131" i="21"/>
  <c r="H133" i="71"/>
  <c r="I133" i="71"/>
  <c r="H129" i="57"/>
  <c r="I129" i="57"/>
  <c r="B134" i="71"/>
  <c r="F134" i="71"/>
  <c r="F124" i="87"/>
  <c r="B124" i="87"/>
  <c r="E133" i="21"/>
  <c r="D133" i="21"/>
  <c r="G132" i="21"/>
  <c r="D126" i="80"/>
  <c r="E126" i="80"/>
  <c r="G125" i="80"/>
  <c r="B125" i="82"/>
  <c r="F125" i="82"/>
  <c r="H130" i="44"/>
  <c r="I130" i="44"/>
  <c r="G123" i="13"/>
  <c r="D124" i="13"/>
  <c r="E124" i="13" s="1"/>
  <c r="G131" i="42"/>
  <c r="D132" i="42"/>
  <c r="E132" i="42"/>
  <c r="G123" i="33"/>
  <c r="D124" i="33"/>
  <c r="E124" i="33" s="1"/>
  <c r="B125" i="95"/>
  <c r="F125" i="95"/>
  <c r="J124" i="83"/>
  <c r="F132" i="3"/>
  <c r="B132" i="3"/>
  <c r="B133" i="17"/>
  <c r="F133" i="17"/>
  <c r="I154" i="35"/>
  <c r="H154" i="35"/>
  <c r="I134" i="28"/>
  <c r="H134" i="28"/>
  <c r="B131" i="44"/>
  <c r="F131" i="44"/>
  <c r="J125" i="77"/>
  <c r="I124" i="94"/>
  <c r="H124" i="94"/>
  <c r="I131" i="3"/>
  <c r="H131" i="3"/>
  <c r="H132" i="17"/>
  <c r="I132" i="17"/>
  <c r="G124" i="93"/>
  <c r="D125" i="93"/>
  <c r="B135" i="28"/>
  <c r="F135" i="28"/>
  <c r="J122" i="33"/>
  <c r="E127" i="76"/>
  <c r="D127" i="76"/>
  <c r="G126" i="76"/>
  <c r="I124" i="95"/>
  <c r="H124" i="95"/>
  <c r="E127" i="75"/>
  <c r="D127" i="75"/>
  <c r="G126" i="75"/>
  <c r="D130" i="55"/>
  <c r="E130" i="55"/>
  <c r="G129" i="55"/>
  <c r="H126" i="67"/>
  <c r="I126" i="67"/>
  <c r="E127" i="77"/>
  <c r="D127" i="77"/>
  <c r="G126" i="77"/>
  <c r="B124" i="96"/>
  <c r="F124" i="96"/>
  <c r="G129" i="54"/>
  <c r="D130" i="54"/>
  <c r="E130" i="54"/>
  <c r="I123" i="87"/>
  <c r="H123" i="87"/>
  <c r="H153" i="35"/>
  <c r="I153" i="35"/>
  <c r="H124" i="82"/>
  <c r="I124" i="82"/>
  <c r="E126" i="83"/>
  <c r="D126" i="83"/>
  <c r="G125" i="83"/>
  <c r="D134" i="24"/>
  <c r="G133" i="24"/>
  <c r="E134" i="24"/>
  <c r="B127" i="67"/>
  <c r="F127" i="67"/>
  <c r="H123" i="96"/>
  <c r="I123" i="96"/>
  <c r="B125" i="94"/>
  <c r="F125" i="94"/>
  <c r="B44" i="25" l="1"/>
  <c r="E44" i="25"/>
  <c r="F44" i="25" s="1"/>
  <c r="I52" i="97"/>
  <c r="I51" i="42"/>
  <c r="G53" i="97"/>
  <c r="H52" i="22"/>
  <c r="I52" i="22" s="1"/>
  <c r="D49" i="99"/>
  <c r="E49" i="99"/>
  <c r="D44" i="98"/>
  <c r="E44" i="98" s="1"/>
  <c r="E54" i="97"/>
  <c r="F54" i="97" s="1"/>
  <c r="B54" i="97"/>
  <c r="H48" i="99"/>
  <c r="I48" i="99" s="1"/>
  <c r="H43" i="98"/>
  <c r="I43" i="98" s="1"/>
  <c r="H53" i="97"/>
  <c r="I53" i="97" s="1"/>
  <c r="E124" i="25"/>
  <c r="F124" i="25" s="1"/>
  <c r="B124" i="25"/>
  <c r="I123" i="25"/>
  <c r="H123" i="25"/>
  <c r="I123" i="99"/>
  <c r="H123" i="99"/>
  <c r="B124" i="99"/>
  <c r="F124" i="99"/>
  <c r="H46" i="80"/>
  <c r="I46" i="80" s="1"/>
  <c r="J123" i="98"/>
  <c r="I124" i="26"/>
  <c r="H124" i="26"/>
  <c r="B125" i="26"/>
  <c r="E125" i="26"/>
  <c r="F125" i="26" s="1"/>
  <c r="G124" i="97"/>
  <c r="D125" i="97"/>
  <c r="E125" i="97"/>
  <c r="G124" i="98"/>
  <c r="D125" i="98"/>
  <c r="E125" i="98"/>
  <c r="J123" i="97"/>
  <c r="H44" i="89"/>
  <c r="I44" i="89" s="1"/>
  <c r="G43" i="96"/>
  <c r="I43" i="96" s="1"/>
  <c r="H43" i="93"/>
  <c r="I43" i="93" s="1"/>
  <c r="G48" i="67"/>
  <c r="I48" i="67" s="1"/>
  <c r="E49" i="67"/>
  <c r="D49" i="67"/>
  <c r="G49" i="46"/>
  <c r="I49" i="46" s="1"/>
  <c r="D50" i="46"/>
  <c r="E50" i="46" s="1"/>
  <c r="H53" i="24"/>
  <c r="I53" i="24" s="1"/>
  <c r="D54" i="24"/>
  <c r="E54" i="24" s="1"/>
  <c r="H49" i="57"/>
  <c r="I49" i="57" s="1"/>
  <c r="G49" i="53"/>
  <c r="I49" i="53" s="1"/>
  <c r="F47" i="82"/>
  <c r="B47" i="82"/>
  <c r="H49" i="54"/>
  <c r="I49" i="54" s="1"/>
  <c r="H45" i="81"/>
  <c r="I45" i="81" s="1"/>
  <c r="D44" i="93"/>
  <c r="E44" i="93" s="1"/>
  <c r="H44" i="94"/>
  <c r="I44" i="94" s="1"/>
  <c r="D45" i="94"/>
  <c r="E45" i="94" s="1"/>
  <c r="D47" i="80"/>
  <c r="E47" i="80"/>
  <c r="B46" i="86"/>
  <c r="F46" i="86"/>
  <c r="B47" i="75"/>
  <c r="F47" i="75"/>
  <c r="G47" i="75" s="1"/>
  <c r="F51" i="58"/>
  <c r="B51" i="58"/>
  <c r="D50" i="53"/>
  <c r="E50" i="53"/>
  <c r="D46" i="84"/>
  <c r="E46" i="84"/>
  <c r="B51" i="55"/>
  <c r="F51" i="55"/>
  <c r="H51" i="55" s="1"/>
  <c r="D47" i="90"/>
  <c r="E47" i="90" s="1"/>
  <c r="D46" i="91"/>
  <c r="E46" i="91" s="1"/>
  <c r="G45" i="91"/>
  <c r="H54" i="23"/>
  <c r="G54" i="23"/>
  <c r="D55" i="23"/>
  <c r="E55" i="23" s="1"/>
  <c r="G46" i="90"/>
  <c r="I46" i="90" s="1"/>
  <c r="B48" i="65"/>
  <c r="F48" i="65"/>
  <c r="H48" i="65" s="1"/>
  <c r="G45" i="84"/>
  <c r="I45" i="84" s="1"/>
  <c r="H45" i="91"/>
  <c r="G48" i="66"/>
  <c r="I48" i="66" s="1"/>
  <c r="D49" i="66"/>
  <c r="E49" i="66" s="1"/>
  <c r="F52" i="42"/>
  <c r="G52" i="42" s="1"/>
  <c r="B52" i="42"/>
  <c r="D49" i="61"/>
  <c r="E49" i="61" s="1"/>
  <c r="G46" i="78"/>
  <c r="I46" i="78" s="1"/>
  <c r="I45" i="85"/>
  <c r="G48" i="61"/>
  <c r="B50" i="72"/>
  <c r="F50" i="72"/>
  <c r="H50" i="72" s="1"/>
  <c r="G48" i="59"/>
  <c r="I48" i="59" s="1"/>
  <c r="F52" i="39"/>
  <c r="B52" i="39"/>
  <c r="D44" i="96"/>
  <c r="E44" i="96" s="1"/>
  <c r="H54" i="27"/>
  <c r="G54" i="27"/>
  <c r="D55" i="27"/>
  <c r="E55" i="27" s="1"/>
  <c r="I49" i="72"/>
  <c r="H48" i="61"/>
  <c r="B46" i="85"/>
  <c r="F46" i="85"/>
  <c r="G46" i="85" s="1"/>
  <c r="H46" i="76"/>
  <c r="I46" i="76" s="1"/>
  <c r="E47" i="76"/>
  <c r="D47" i="76"/>
  <c r="E46" i="81"/>
  <c r="D46" i="81"/>
  <c r="B44" i="95"/>
  <c r="F44" i="95"/>
  <c r="G44" i="95" s="1"/>
  <c r="D53" i="22"/>
  <c r="E53" i="22" s="1"/>
  <c r="G51" i="44"/>
  <c r="I51" i="44" s="1"/>
  <c r="D52" i="44"/>
  <c r="E52" i="44" s="1"/>
  <c r="B45" i="83"/>
  <c r="F45" i="83"/>
  <c r="G45" i="83" s="1"/>
  <c r="F49" i="64"/>
  <c r="G49" i="64" s="1"/>
  <c r="B49" i="64"/>
  <c r="F51" i="45"/>
  <c r="H51" i="45" s="1"/>
  <c r="B51" i="45"/>
  <c r="E49" i="60"/>
  <c r="D49" i="60"/>
  <c r="B46" i="88"/>
  <c r="F46" i="88"/>
  <c r="G46" i="88" s="1"/>
  <c r="D53" i="41"/>
  <c r="E53" i="41" s="1"/>
  <c r="G51" i="73"/>
  <c r="I51" i="73" s="1"/>
  <c r="H46" i="77"/>
  <c r="I46" i="77" s="1"/>
  <c r="D45" i="92"/>
  <c r="E45" i="92" s="1"/>
  <c r="B54" i="34"/>
  <c r="F54" i="34"/>
  <c r="H54" i="34" s="1"/>
  <c r="F49" i="56"/>
  <c r="H49" i="56" s="1"/>
  <c r="B49" i="56"/>
  <c r="E50" i="57"/>
  <c r="D50" i="57"/>
  <c r="H48" i="60"/>
  <c r="G51" i="74"/>
  <c r="I51" i="74" s="1"/>
  <c r="D52" i="74"/>
  <c r="E52" i="74" s="1"/>
  <c r="G53" i="32"/>
  <c r="I53" i="32" s="1"/>
  <c r="D54" i="32"/>
  <c r="E54" i="32" s="1"/>
  <c r="D53" i="21"/>
  <c r="E53" i="21" s="1"/>
  <c r="H48" i="63"/>
  <c r="I48" i="63" s="1"/>
  <c r="D47" i="78"/>
  <c r="E47" i="78" s="1"/>
  <c r="H46" i="79"/>
  <c r="I46" i="79" s="1"/>
  <c r="G52" i="17"/>
  <c r="D53" i="17"/>
  <c r="E53" i="17" s="1"/>
  <c r="D53" i="43"/>
  <c r="E53" i="43" s="1"/>
  <c r="H44" i="92"/>
  <c r="B53" i="19"/>
  <c r="F53" i="19"/>
  <c r="H53" i="19" s="1"/>
  <c r="F53" i="3"/>
  <c r="H53" i="3" s="1"/>
  <c r="B53" i="3"/>
  <c r="I45" i="33"/>
  <c r="D45" i="89"/>
  <c r="E45" i="89" s="1"/>
  <c r="G52" i="41"/>
  <c r="H52" i="21"/>
  <c r="I52" i="21" s="1"/>
  <c r="H52" i="17"/>
  <c r="B54" i="71"/>
  <c r="F54" i="71"/>
  <c r="H54" i="71" s="1"/>
  <c r="G52" i="43"/>
  <c r="I52" i="43" s="1"/>
  <c r="G44" i="92"/>
  <c r="H54" i="29"/>
  <c r="I54" i="29" s="1"/>
  <c r="D55" i="29"/>
  <c r="E55" i="29" s="1"/>
  <c r="B48" i="68"/>
  <c r="F48" i="68"/>
  <c r="H48" i="68" s="1"/>
  <c r="D50" i="54"/>
  <c r="E50" i="54" s="1"/>
  <c r="G48" i="60"/>
  <c r="F56" i="28"/>
  <c r="B56" i="28"/>
  <c r="H52" i="41"/>
  <c r="E49" i="63"/>
  <c r="D49" i="63"/>
  <c r="D52" i="73"/>
  <c r="E52" i="73" s="1"/>
  <c r="D47" i="77"/>
  <c r="E47" i="77"/>
  <c r="D47" i="79"/>
  <c r="E47" i="79"/>
  <c r="B55" i="69"/>
  <c r="F55" i="69"/>
  <c r="H55" i="69" s="1"/>
  <c r="B55" i="31"/>
  <c r="F55" i="31"/>
  <c r="G55" i="31" s="1"/>
  <c r="F54" i="30"/>
  <c r="G54" i="30" s="1"/>
  <c r="B54" i="30"/>
  <c r="G54" i="70"/>
  <c r="I54" i="70" s="1"/>
  <c r="D55" i="70"/>
  <c r="E55" i="70" s="1"/>
  <c r="J125" i="78"/>
  <c r="J128" i="53"/>
  <c r="J127" i="64"/>
  <c r="J133" i="69"/>
  <c r="J133" i="30"/>
  <c r="J126" i="66"/>
  <c r="J130" i="39"/>
  <c r="J129" i="74"/>
  <c r="J123" i="88"/>
  <c r="J123" i="92"/>
  <c r="J130" i="43"/>
  <c r="J125" i="79"/>
  <c r="J128" i="59"/>
  <c r="J128" i="46"/>
  <c r="J132" i="31"/>
  <c r="J128" i="58"/>
  <c r="J127" i="63"/>
  <c r="J127" i="65"/>
  <c r="G72" i="35"/>
  <c r="H72" i="35"/>
  <c r="F52" i="20"/>
  <c r="H52" i="20" s="1"/>
  <c r="B52" i="20"/>
  <c r="B45" i="87"/>
  <c r="F45" i="87"/>
  <c r="J123" i="84"/>
  <c r="B44" i="13"/>
  <c r="I71" i="35"/>
  <c r="D54" i="18"/>
  <c r="E54" i="18" s="1"/>
  <c r="B45" i="26"/>
  <c r="F45" i="26"/>
  <c r="G45" i="26" s="1"/>
  <c r="B48" i="62"/>
  <c r="F48" i="62"/>
  <c r="H48" i="62" s="1"/>
  <c r="B46" i="33"/>
  <c r="F46" i="33"/>
  <c r="G46" i="33" s="1"/>
  <c r="E44" i="13"/>
  <c r="F44" i="13" s="1"/>
  <c r="H44" i="13" s="1"/>
  <c r="J132" i="32"/>
  <c r="D49" i="59"/>
  <c r="E49" i="59" s="1"/>
  <c r="H53" i="18"/>
  <c r="I53" i="18" s="1"/>
  <c r="B129" i="62"/>
  <c r="F129" i="62"/>
  <c r="D133" i="19"/>
  <c r="E133" i="19"/>
  <c r="G132" i="19"/>
  <c r="J127" i="60"/>
  <c r="E125" i="90"/>
  <c r="G124" i="90"/>
  <c r="D125" i="90"/>
  <c r="J131" i="34"/>
  <c r="G128" i="64"/>
  <c r="E129" i="64"/>
  <c r="D129" i="64"/>
  <c r="J131" i="20"/>
  <c r="H131" i="73"/>
  <c r="I131" i="73"/>
  <c r="E127" i="78"/>
  <c r="D127" i="78"/>
  <c r="G126" i="78"/>
  <c r="G124" i="92"/>
  <c r="E125" i="92"/>
  <c r="D125" i="92"/>
  <c r="E130" i="46"/>
  <c r="D130" i="46"/>
  <c r="G129" i="46"/>
  <c r="D130" i="53"/>
  <c r="E130" i="53"/>
  <c r="G129" i="53"/>
  <c r="E132" i="43"/>
  <c r="G131" i="43"/>
  <c r="D132" i="43"/>
  <c r="F133" i="22"/>
  <c r="B133" i="22"/>
  <c r="I131" i="41"/>
  <c r="H131" i="41"/>
  <c r="G130" i="74"/>
  <c r="D131" i="74"/>
  <c r="E131" i="74"/>
  <c r="J134" i="28"/>
  <c r="G133" i="32"/>
  <c r="D134" i="32"/>
  <c r="E134" i="32"/>
  <c r="D128" i="66"/>
  <c r="G127" i="66"/>
  <c r="E128" i="66"/>
  <c r="D129" i="61"/>
  <c r="E129" i="61"/>
  <c r="G128" i="61"/>
  <c r="D135" i="27"/>
  <c r="E135" i="27"/>
  <c r="G134" i="27"/>
  <c r="B125" i="91"/>
  <c r="F125" i="91"/>
  <c r="F131" i="45"/>
  <c r="B131" i="45"/>
  <c r="J133" i="27"/>
  <c r="D130" i="58"/>
  <c r="G129" i="58"/>
  <c r="E130" i="58"/>
  <c r="G129" i="72"/>
  <c r="D130" i="72"/>
  <c r="E130" i="72"/>
  <c r="E132" i="39"/>
  <c r="D132" i="39"/>
  <c r="G131" i="39"/>
  <c r="J123" i="90"/>
  <c r="J133" i="70"/>
  <c r="J123" i="86"/>
  <c r="J124" i="85"/>
  <c r="E133" i="20"/>
  <c r="G132" i="20"/>
  <c r="D133" i="20"/>
  <c r="J128" i="72"/>
  <c r="G134" i="30"/>
  <c r="D135" i="30"/>
  <c r="E135" i="30"/>
  <c r="J132" i="18"/>
  <c r="J127" i="61"/>
  <c r="G128" i="60"/>
  <c r="E129" i="60"/>
  <c r="D129" i="60"/>
  <c r="E134" i="31"/>
  <c r="D134" i="31"/>
  <c r="G133" i="31"/>
  <c r="E135" i="70"/>
  <c r="D135" i="70"/>
  <c r="G134" i="70"/>
  <c r="E135" i="29"/>
  <c r="D135" i="29"/>
  <c r="G134" i="29"/>
  <c r="E125" i="84"/>
  <c r="D125" i="84"/>
  <c r="G124" i="84"/>
  <c r="E125" i="88"/>
  <c r="D125" i="88"/>
  <c r="G124" i="88"/>
  <c r="H124" i="91"/>
  <c r="I124" i="91"/>
  <c r="E135" i="69"/>
  <c r="G134" i="69"/>
  <c r="D135" i="69"/>
  <c r="G126" i="79"/>
  <c r="D127" i="79"/>
  <c r="E127" i="79"/>
  <c r="I130" i="45"/>
  <c r="H130" i="45"/>
  <c r="B126" i="81"/>
  <c r="F126" i="81"/>
  <c r="G125" i="85"/>
  <c r="E126" i="85"/>
  <c r="D126" i="85"/>
  <c r="I124" i="89"/>
  <c r="H124" i="89"/>
  <c r="E128" i="68"/>
  <c r="G127" i="68"/>
  <c r="D128" i="68"/>
  <c r="E133" i="34"/>
  <c r="G132" i="34"/>
  <c r="D133" i="34"/>
  <c r="I128" i="62"/>
  <c r="H128" i="62"/>
  <c r="D125" i="86"/>
  <c r="G124" i="86"/>
  <c r="E125" i="86"/>
  <c r="D129" i="65"/>
  <c r="G128" i="65"/>
  <c r="E129" i="65"/>
  <c r="J133" i="29"/>
  <c r="B132" i="73"/>
  <c r="F132" i="73"/>
  <c r="G128" i="63"/>
  <c r="E129" i="63"/>
  <c r="D129" i="63"/>
  <c r="J126" i="68"/>
  <c r="H125" i="81"/>
  <c r="I125" i="81"/>
  <c r="I132" i="22"/>
  <c r="H132" i="22"/>
  <c r="F132" i="41"/>
  <c r="B132" i="41"/>
  <c r="F125" i="89"/>
  <c r="B125" i="89"/>
  <c r="J131" i="19"/>
  <c r="J124" i="82"/>
  <c r="J154" i="35"/>
  <c r="H130" i="56"/>
  <c r="I130" i="56"/>
  <c r="G133" i="18"/>
  <c r="D134" i="18"/>
  <c r="E134" i="18"/>
  <c r="J133" i="23"/>
  <c r="G129" i="59"/>
  <c r="D130" i="59"/>
  <c r="E130" i="59"/>
  <c r="E135" i="23"/>
  <c r="D135" i="23"/>
  <c r="G134" i="23"/>
  <c r="B131" i="56"/>
  <c r="F131" i="56"/>
  <c r="E135" i="71"/>
  <c r="D135" i="71"/>
  <c r="G134" i="71"/>
  <c r="J129" i="57"/>
  <c r="J133" i="71"/>
  <c r="G130" i="57"/>
  <c r="D131" i="57"/>
  <c r="E131" i="57"/>
  <c r="J132" i="17"/>
  <c r="H125" i="83"/>
  <c r="I125" i="83"/>
  <c r="B130" i="54"/>
  <c r="F130" i="54"/>
  <c r="F130" i="55"/>
  <c r="B130" i="55"/>
  <c r="H126" i="76"/>
  <c r="I126" i="76"/>
  <c r="B125" i="93"/>
  <c r="G131" i="44"/>
  <c r="D132" i="44"/>
  <c r="E132" i="44"/>
  <c r="B132" i="42"/>
  <c r="F132" i="42"/>
  <c r="H123" i="13"/>
  <c r="I123" i="13"/>
  <c r="D126" i="82"/>
  <c r="G125" i="82"/>
  <c r="E126" i="82"/>
  <c r="I125" i="80"/>
  <c r="H125" i="80"/>
  <c r="B133" i="21"/>
  <c r="F133" i="21"/>
  <c r="J123" i="96"/>
  <c r="H133" i="24"/>
  <c r="I133" i="24"/>
  <c r="B126" i="83"/>
  <c r="F126" i="83"/>
  <c r="J153" i="35"/>
  <c r="J155" i="35" s="1"/>
  <c r="J123" i="87"/>
  <c r="I129" i="54"/>
  <c r="H129" i="54"/>
  <c r="G124" i="96"/>
  <c r="D125" i="96"/>
  <c r="J126" i="67"/>
  <c r="H126" i="75"/>
  <c r="I126" i="75"/>
  <c r="J124" i="95"/>
  <c r="B127" i="76"/>
  <c r="F127" i="76"/>
  <c r="H124" i="93"/>
  <c r="I124" i="93"/>
  <c r="J131" i="3"/>
  <c r="G133" i="17"/>
  <c r="D134" i="17"/>
  <c r="E134" i="17"/>
  <c r="B124" i="33"/>
  <c r="F124" i="33"/>
  <c r="H131" i="42"/>
  <c r="I131" i="42"/>
  <c r="J130" i="44"/>
  <c r="G124" i="87"/>
  <c r="D125" i="87"/>
  <c r="E125" i="87"/>
  <c r="G127" i="67"/>
  <c r="D128" i="67"/>
  <c r="E128" i="67"/>
  <c r="B134" i="24"/>
  <c r="F134" i="24"/>
  <c r="I126" i="77"/>
  <c r="H126" i="77"/>
  <c r="H129" i="55"/>
  <c r="I129" i="55"/>
  <c r="F127" i="75"/>
  <c r="B127" i="75"/>
  <c r="G132" i="3"/>
  <c r="D133" i="3"/>
  <c r="E133" i="3"/>
  <c r="D126" i="95"/>
  <c r="E126" i="95" s="1"/>
  <c r="G125" i="95"/>
  <c r="I123" i="33"/>
  <c r="H123" i="33"/>
  <c r="F126" i="80"/>
  <c r="B126" i="80"/>
  <c r="G125" i="94"/>
  <c r="D126" i="94"/>
  <c r="E126" i="94" s="1"/>
  <c r="F127" i="77"/>
  <c r="B127" i="77"/>
  <c r="G135" i="28"/>
  <c r="D136" i="28"/>
  <c r="E136" i="28"/>
  <c r="E125" i="93"/>
  <c r="F125" i="93" s="1"/>
  <c r="J124" i="94"/>
  <c r="F124" i="13"/>
  <c r="B124" i="13"/>
  <c r="H132" i="21"/>
  <c r="I132" i="21"/>
  <c r="G44" i="25" l="1"/>
  <c r="D45" i="25"/>
  <c r="H44" i="25"/>
  <c r="I44" i="25" s="1"/>
  <c r="J123" i="25"/>
  <c r="D55" i="97"/>
  <c r="G54" i="97"/>
  <c r="H54" i="97"/>
  <c r="B44" i="98"/>
  <c r="F44" i="98"/>
  <c r="G44" i="98" s="1"/>
  <c r="F49" i="99"/>
  <c r="B49" i="99"/>
  <c r="G124" i="25"/>
  <c r="D125" i="25"/>
  <c r="B125" i="25" s="1"/>
  <c r="D125" i="99"/>
  <c r="G124" i="99"/>
  <c r="E125" i="99"/>
  <c r="J123" i="99"/>
  <c r="H124" i="98"/>
  <c r="I124" i="98"/>
  <c r="F125" i="97"/>
  <c r="B125" i="97"/>
  <c r="D126" i="26"/>
  <c r="B126" i="26" s="1"/>
  <c r="G125" i="26"/>
  <c r="B125" i="98"/>
  <c r="F125" i="98"/>
  <c r="I124" i="97"/>
  <c r="H124" i="97"/>
  <c r="J124" i="26"/>
  <c r="B49" i="67"/>
  <c r="F49" i="67"/>
  <c r="G49" i="67" s="1"/>
  <c r="G48" i="65"/>
  <c r="I48" i="65" s="1"/>
  <c r="B50" i="46"/>
  <c r="F50" i="46"/>
  <c r="H50" i="46" s="1"/>
  <c r="B54" i="24"/>
  <c r="F54" i="24"/>
  <c r="H54" i="24" s="1"/>
  <c r="B45" i="94"/>
  <c r="F45" i="94"/>
  <c r="G45" i="94" s="1"/>
  <c r="H47" i="82"/>
  <c r="D48" i="82"/>
  <c r="E48" i="82" s="1"/>
  <c r="G53" i="3"/>
  <c r="I53" i="3" s="1"/>
  <c r="G50" i="72"/>
  <c r="I50" i="72" s="1"/>
  <c r="F47" i="80"/>
  <c r="G47" i="80" s="1"/>
  <c r="B47" i="80"/>
  <c r="H47" i="75"/>
  <c r="I47" i="75" s="1"/>
  <c r="H46" i="86"/>
  <c r="D47" i="86"/>
  <c r="E47" i="86" s="1"/>
  <c r="G46" i="86"/>
  <c r="F44" i="93"/>
  <c r="B44" i="93"/>
  <c r="G47" i="82"/>
  <c r="B46" i="91"/>
  <c r="F46" i="91"/>
  <c r="H46" i="91" s="1"/>
  <c r="G49" i="56"/>
  <c r="I49" i="56" s="1"/>
  <c r="G51" i="55"/>
  <c r="I51" i="55" s="1"/>
  <c r="D52" i="55"/>
  <c r="E52" i="55" s="1"/>
  <c r="F49" i="66"/>
  <c r="B49" i="66"/>
  <c r="G51" i="58"/>
  <c r="H51" i="58"/>
  <c r="D52" i="58"/>
  <c r="E52" i="58"/>
  <c r="I52" i="17"/>
  <c r="H52" i="42"/>
  <c r="I52" i="42" s="1"/>
  <c r="D53" i="42"/>
  <c r="E53" i="42" s="1"/>
  <c r="F55" i="23"/>
  <c r="B55" i="23"/>
  <c r="B47" i="90"/>
  <c r="F47" i="90"/>
  <c r="G47" i="90" s="1"/>
  <c r="F50" i="53"/>
  <c r="B50" i="53"/>
  <c r="D48" i="75"/>
  <c r="E48" i="75" s="1"/>
  <c r="F46" i="84"/>
  <c r="G46" i="84" s="1"/>
  <c r="B46" i="84"/>
  <c r="H46" i="33"/>
  <c r="I46" i="33" s="1"/>
  <c r="G54" i="71"/>
  <c r="I54" i="71" s="1"/>
  <c r="I54" i="27"/>
  <c r="D49" i="65"/>
  <c r="E49" i="65"/>
  <c r="I54" i="23"/>
  <c r="I45" i="91"/>
  <c r="B53" i="22"/>
  <c r="F53" i="22"/>
  <c r="H53" i="22" s="1"/>
  <c r="H46" i="88"/>
  <c r="I46" i="88" s="1"/>
  <c r="G51" i="45"/>
  <c r="I51" i="45" s="1"/>
  <c r="H45" i="83"/>
  <c r="I45" i="83" s="1"/>
  <c r="B46" i="81"/>
  <c r="F46" i="81"/>
  <c r="H46" i="81" s="1"/>
  <c r="H46" i="85"/>
  <c r="I46" i="85" s="1"/>
  <c r="D47" i="85"/>
  <c r="E47" i="85" s="1"/>
  <c r="D53" i="39"/>
  <c r="E53" i="39" s="1"/>
  <c r="B49" i="61"/>
  <c r="F49" i="61"/>
  <c r="H54" i="30"/>
  <c r="I54" i="30" s="1"/>
  <c r="B52" i="44"/>
  <c r="F52" i="44"/>
  <c r="G52" i="44" s="1"/>
  <c r="H44" i="95"/>
  <c r="I44" i="95" s="1"/>
  <c r="D45" i="95"/>
  <c r="E45" i="95" s="1"/>
  <c r="B55" i="27"/>
  <c r="F55" i="27"/>
  <c r="G52" i="39"/>
  <c r="F47" i="76"/>
  <c r="H47" i="76" s="1"/>
  <c r="B47" i="76"/>
  <c r="F44" i="96"/>
  <c r="G44" i="96" s="1"/>
  <c r="B44" i="96"/>
  <c r="H52" i="39"/>
  <c r="D51" i="72"/>
  <c r="E51" i="72" s="1"/>
  <c r="I48" i="61"/>
  <c r="I52" i="41"/>
  <c r="B47" i="79"/>
  <c r="F47" i="79"/>
  <c r="F52" i="73"/>
  <c r="G52" i="73" s="1"/>
  <c r="B52" i="73"/>
  <c r="D57" i="28"/>
  <c r="E57" i="28"/>
  <c r="G53" i="19"/>
  <c r="I53" i="19" s="1"/>
  <c r="D54" i="19"/>
  <c r="E54" i="19" s="1"/>
  <c r="F50" i="57"/>
  <c r="H50" i="57" s="1"/>
  <c r="B50" i="57"/>
  <c r="B49" i="60"/>
  <c r="F49" i="60"/>
  <c r="H49" i="60" s="1"/>
  <c r="D50" i="64"/>
  <c r="E50" i="64" s="1"/>
  <c r="H55" i="31"/>
  <c r="I55" i="31" s="1"/>
  <c r="D56" i="31"/>
  <c r="E56" i="31" s="1"/>
  <c r="G55" i="69"/>
  <c r="I55" i="69" s="1"/>
  <c r="F49" i="63"/>
  <c r="B49" i="63"/>
  <c r="H56" i="28"/>
  <c r="F50" i="54"/>
  <c r="B50" i="54"/>
  <c r="F55" i="29"/>
  <c r="G55" i="29" s="1"/>
  <c r="B55" i="29"/>
  <c r="I44" i="92"/>
  <c r="D55" i="71"/>
  <c r="E55" i="71" s="1"/>
  <c r="B45" i="89"/>
  <c r="F45" i="89"/>
  <c r="D54" i="3"/>
  <c r="E54" i="3" s="1"/>
  <c r="B53" i="43"/>
  <c r="F53" i="43"/>
  <c r="H53" i="43" s="1"/>
  <c r="F54" i="32"/>
  <c r="B54" i="32"/>
  <c r="I48" i="60"/>
  <c r="D50" i="56"/>
  <c r="E50" i="56" s="1"/>
  <c r="D47" i="88"/>
  <c r="E47" i="88"/>
  <c r="D52" i="45"/>
  <c r="E52" i="45" s="1"/>
  <c r="H49" i="64"/>
  <c r="I49" i="64" s="1"/>
  <c r="B55" i="70"/>
  <c r="F55" i="70"/>
  <c r="H55" i="70" s="1"/>
  <c r="F47" i="77"/>
  <c r="H47" i="77" s="1"/>
  <c r="B47" i="77"/>
  <c r="G56" i="28"/>
  <c r="B53" i="41"/>
  <c r="F53" i="41"/>
  <c r="G53" i="41" s="1"/>
  <c r="D46" i="83"/>
  <c r="E46" i="83"/>
  <c r="D55" i="30"/>
  <c r="E55" i="30" s="1"/>
  <c r="D56" i="69"/>
  <c r="E56" i="69" s="1"/>
  <c r="G48" i="68"/>
  <c r="I48" i="68" s="1"/>
  <c r="E49" i="68"/>
  <c r="D49" i="68"/>
  <c r="F53" i="17"/>
  <c r="B53" i="17"/>
  <c r="C62" i="17"/>
  <c r="F47" i="78"/>
  <c r="H47" i="78" s="1"/>
  <c r="B47" i="78"/>
  <c r="B53" i="21"/>
  <c r="F53" i="21"/>
  <c r="H53" i="21" s="1"/>
  <c r="B52" i="74"/>
  <c r="F52" i="74"/>
  <c r="H52" i="74" s="1"/>
  <c r="D55" i="34"/>
  <c r="E55" i="34" s="1"/>
  <c r="G54" i="34"/>
  <c r="I54" i="34" s="1"/>
  <c r="B45" i="92"/>
  <c r="F45" i="92"/>
  <c r="H45" i="92" s="1"/>
  <c r="J132" i="22"/>
  <c r="J131" i="41"/>
  <c r="J130" i="45"/>
  <c r="J126" i="77"/>
  <c r="E46" i="87"/>
  <c r="D46" i="87"/>
  <c r="D53" i="20"/>
  <c r="E53" i="20" s="1"/>
  <c r="D49" i="62"/>
  <c r="E49" i="62" s="1"/>
  <c r="D46" i="26"/>
  <c r="E46" i="26" s="1"/>
  <c r="B54" i="18"/>
  <c r="F54" i="18"/>
  <c r="H54" i="18" s="1"/>
  <c r="D45" i="13"/>
  <c r="E45" i="13" s="1"/>
  <c r="B49" i="59"/>
  <c r="F49" i="59"/>
  <c r="H49" i="59" s="1"/>
  <c r="G48" i="62"/>
  <c r="I48" i="62" s="1"/>
  <c r="H45" i="26"/>
  <c r="I45" i="26" s="1"/>
  <c r="G45" i="87"/>
  <c r="D47" i="33"/>
  <c r="E47" i="33" s="1"/>
  <c r="G44" i="13"/>
  <c r="I44" i="13" s="1"/>
  <c r="H45" i="87"/>
  <c r="G52" i="20"/>
  <c r="I52" i="20" s="1"/>
  <c r="I72" i="35"/>
  <c r="I73" i="35" s="1"/>
  <c r="J132" i="21"/>
  <c r="J125" i="81"/>
  <c r="J128" i="62"/>
  <c r="B128" i="68"/>
  <c r="F128" i="68"/>
  <c r="J124" i="89"/>
  <c r="G126" i="81"/>
  <c r="E127" i="81"/>
  <c r="D127" i="81"/>
  <c r="H134" i="69"/>
  <c r="I134" i="69"/>
  <c r="I124" i="88"/>
  <c r="H124" i="88"/>
  <c r="B125" i="84"/>
  <c r="F125" i="84"/>
  <c r="H133" i="31"/>
  <c r="I133" i="31"/>
  <c r="B133" i="20"/>
  <c r="F133" i="20"/>
  <c r="B132" i="39"/>
  <c r="F132" i="39"/>
  <c r="H129" i="72"/>
  <c r="I129" i="72"/>
  <c r="I128" i="61"/>
  <c r="H128" i="61"/>
  <c r="I127" i="66"/>
  <c r="H127" i="66"/>
  <c r="H133" i="32"/>
  <c r="I133" i="32"/>
  <c r="I130" i="74"/>
  <c r="H130" i="74"/>
  <c r="D134" i="22"/>
  <c r="E134" i="22"/>
  <c r="G133" i="22"/>
  <c r="H129" i="53"/>
  <c r="I129" i="53"/>
  <c r="B130" i="46"/>
  <c r="F130" i="46"/>
  <c r="I124" i="92"/>
  <c r="H124" i="92"/>
  <c r="J131" i="73"/>
  <c r="I124" i="90"/>
  <c r="H124" i="90"/>
  <c r="E133" i="41"/>
  <c r="G132" i="41"/>
  <c r="D133" i="41"/>
  <c r="I128" i="63"/>
  <c r="H128" i="63"/>
  <c r="H124" i="86"/>
  <c r="I124" i="86"/>
  <c r="B133" i="34"/>
  <c r="F133" i="34"/>
  <c r="I127" i="68"/>
  <c r="H127" i="68"/>
  <c r="F126" i="85"/>
  <c r="B126" i="85"/>
  <c r="F127" i="79"/>
  <c r="B127" i="79"/>
  <c r="B125" i="88"/>
  <c r="F125" i="88"/>
  <c r="I134" i="70"/>
  <c r="H134" i="70"/>
  <c r="B134" i="31"/>
  <c r="F134" i="31"/>
  <c r="I128" i="60"/>
  <c r="H128" i="60"/>
  <c r="F135" i="30"/>
  <c r="B135" i="30"/>
  <c r="H132" i="20"/>
  <c r="I132" i="20"/>
  <c r="I134" i="27"/>
  <c r="H134" i="27"/>
  <c r="F128" i="66"/>
  <c r="B128" i="66"/>
  <c r="B132" i="43"/>
  <c r="F132" i="43"/>
  <c r="I126" i="78"/>
  <c r="H126" i="78"/>
  <c r="H128" i="64"/>
  <c r="I128" i="64"/>
  <c r="B133" i="19"/>
  <c r="F133" i="19"/>
  <c r="E133" i="73"/>
  <c r="G132" i="73"/>
  <c r="D133" i="73"/>
  <c r="H128" i="65"/>
  <c r="I128" i="65"/>
  <c r="F125" i="86"/>
  <c r="B125" i="86"/>
  <c r="H132" i="34"/>
  <c r="I132" i="34"/>
  <c r="H126" i="79"/>
  <c r="I126" i="79"/>
  <c r="J124" i="91"/>
  <c r="H134" i="29"/>
  <c r="I134" i="29"/>
  <c r="F135" i="70"/>
  <c r="B135" i="70"/>
  <c r="H134" i="30"/>
  <c r="I134" i="30"/>
  <c r="H129" i="58"/>
  <c r="I129" i="58"/>
  <c r="D132" i="45"/>
  <c r="G131" i="45"/>
  <c r="E132" i="45"/>
  <c r="B129" i="61"/>
  <c r="F129" i="61"/>
  <c r="I131" i="43"/>
  <c r="H131" i="43"/>
  <c r="F130" i="53"/>
  <c r="B130" i="53"/>
  <c r="F125" i="92"/>
  <c r="B125" i="92"/>
  <c r="F127" i="78"/>
  <c r="B127" i="78"/>
  <c r="G129" i="62"/>
  <c r="E130" i="62"/>
  <c r="D130" i="62"/>
  <c r="D126" i="89"/>
  <c r="E126" i="89"/>
  <c r="G125" i="89"/>
  <c r="B129" i="63"/>
  <c r="F129" i="63"/>
  <c r="B129" i="65"/>
  <c r="F129" i="65"/>
  <c r="H125" i="85"/>
  <c r="I125" i="85"/>
  <c r="F135" i="69"/>
  <c r="B135" i="69"/>
  <c r="I124" i="84"/>
  <c r="H124" i="84"/>
  <c r="F135" i="29"/>
  <c r="B135" i="29"/>
  <c r="F129" i="60"/>
  <c r="B129" i="60"/>
  <c r="H131" i="39"/>
  <c r="I131" i="39"/>
  <c r="B130" i="72"/>
  <c r="F130" i="72"/>
  <c r="F130" i="58"/>
  <c r="B130" i="58"/>
  <c r="D126" i="91"/>
  <c r="G125" i="91"/>
  <c r="E126" i="91"/>
  <c r="B135" i="27"/>
  <c r="F135" i="27"/>
  <c r="F134" i="32"/>
  <c r="B134" i="32"/>
  <c r="B131" i="74"/>
  <c r="F131" i="74"/>
  <c r="I129" i="46"/>
  <c r="H129" i="46"/>
  <c r="F129" i="64"/>
  <c r="B129" i="64"/>
  <c r="F125" i="90"/>
  <c r="B125" i="90"/>
  <c r="H132" i="19"/>
  <c r="I132" i="19"/>
  <c r="J129" i="55"/>
  <c r="E132" i="56"/>
  <c r="G131" i="56"/>
  <c r="D132" i="56"/>
  <c r="B134" i="18"/>
  <c r="F134" i="18"/>
  <c r="F130" i="59"/>
  <c r="B130" i="59"/>
  <c r="I133" i="18"/>
  <c r="H133" i="18"/>
  <c r="J126" i="75"/>
  <c r="I134" i="23"/>
  <c r="H134" i="23"/>
  <c r="H129" i="59"/>
  <c r="I129" i="59"/>
  <c r="J130" i="56"/>
  <c r="F135" i="23"/>
  <c r="B135" i="23"/>
  <c r="H130" i="57"/>
  <c r="I130" i="57"/>
  <c r="J125" i="80"/>
  <c r="H134" i="71"/>
  <c r="I134" i="71"/>
  <c r="F135" i="71"/>
  <c r="B135" i="71"/>
  <c r="J124" i="93"/>
  <c r="J133" i="24"/>
  <c r="J123" i="13"/>
  <c r="F131" i="57"/>
  <c r="B131" i="57"/>
  <c r="D126" i="93"/>
  <c r="E126" i="93" s="1"/>
  <c r="G125" i="93"/>
  <c r="H135" i="28"/>
  <c r="I135" i="28"/>
  <c r="F126" i="94"/>
  <c r="B126" i="94"/>
  <c r="E128" i="75"/>
  <c r="G127" i="75"/>
  <c r="D128" i="75"/>
  <c r="H133" i="17"/>
  <c r="I133" i="17"/>
  <c r="B125" i="96"/>
  <c r="E133" i="42"/>
  <c r="G132" i="42"/>
  <c r="D133" i="42"/>
  <c r="B132" i="44"/>
  <c r="F132" i="44"/>
  <c r="D131" i="55"/>
  <c r="G130" i="55"/>
  <c r="E131" i="55"/>
  <c r="G124" i="13"/>
  <c r="D125" i="13"/>
  <c r="E125" i="13" s="1"/>
  <c r="E128" i="77"/>
  <c r="D128" i="77"/>
  <c r="G127" i="77"/>
  <c r="I125" i="94"/>
  <c r="H125" i="94"/>
  <c r="F133" i="3"/>
  <c r="B133" i="3"/>
  <c r="B128" i="67"/>
  <c r="F128" i="67"/>
  <c r="G124" i="33"/>
  <c r="D125" i="33"/>
  <c r="E125" i="33" s="1"/>
  <c r="E128" i="76"/>
  <c r="D128" i="76"/>
  <c r="G127" i="76"/>
  <c r="H124" i="96"/>
  <c r="I124" i="96"/>
  <c r="E134" i="21"/>
  <c r="G133" i="21"/>
  <c r="D134" i="21"/>
  <c r="H131" i="44"/>
  <c r="I131" i="44"/>
  <c r="J126" i="76"/>
  <c r="E131" i="54"/>
  <c r="D131" i="54"/>
  <c r="G130" i="54"/>
  <c r="J125" i="83"/>
  <c r="G126" i="80"/>
  <c r="E127" i="80"/>
  <c r="D127" i="80"/>
  <c r="H125" i="95"/>
  <c r="I125" i="95"/>
  <c r="I132" i="3"/>
  <c r="H132" i="3"/>
  <c r="G134" i="24"/>
  <c r="E135" i="24"/>
  <c r="D135" i="24"/>
  <c r="H127" i="67"/>
  <c r="I127" i="67"/>
  <c r="F125" i="87"/>
  <c r="B125" i="87"/>
  <c r="E127" i="83"/>
  <c r="G126" i="83"/>
  <c r="D127" i="83"/>
  <c r="H125" i="82"/>
  <c r="I125" i="82"/>
  <c r="B136" i="28"/>
  <c r="F136" i="28"/>
  <c r="J123" i="33"/>
  <c r="F126" i="95"/>
  <c r="B126" i="95"/>
  <c r="H124" i="87"/>
  <c r="I124" i="87"/>
  <c r="J131" i="42"/>
  <c r="F134" i="17"/>
  <c r="B134" i="17"/>
  <c r="E125" i="96"/>
  <c r="F125" i="96" s="1"/>
  <c r="J129" i="54"/>
  <c r="F126" i="82"/>
  <c r="B126" i="82"/>
  <c r="I54" i="97" l="1"/>
  <c r="B45" i="25"/>
  <c r="E45" i="25"/>
  <c r="F45" i="25" s="1"/>
  <c r="E125" i="25"/>
  <c r="F125" i="25" s="1"/>
  <c r="H44" i="98"/>
  <c r="I44" i="98" s="1"/>
  <c r="D50" i="99"/>
  <c r="E50" i="99" s="1"/>
  <c r="H49" i="99"/>
  <c r="G49" i="99"/>
  <c r="D45" i="98"/>
  <c r="E45" i="98" s="1"/>
  <c r="E55" i="97"/>
  <c r="F55" i="97" s="1"/>
  <c r="B55" i="97"/>
  <c r="I124" i="25"/>
  <c r="H124" i="25"/>
  <c r="H124" i="99"/>
  <c r="I124" i="99"/>
  <c r="B125" i="99"/>
  <c r="F125" i="99"/>
  <c r="G46" i="91"/>
  <c r="I46" i="91" s="1"/>
  <c r="H45" i="94"/>
  <c r="I45" i="94" s="1"/>
  <c r="E126" i="26"/>
  <c r="F126" i="26" s="1"/>
  <c r="G54" i="24"/>
  <c r="I54" i="24" s="1"/>
  <c r="J124" i="98"/>
  <c r="G125" i="97"/>
  <c r="D126" i="97"/>
  <c r="E126" i="97"/>
  <c r="J124" i="97"/>
  <c r="H125" i="26"/>
  <c r="I125" i="26"/>
  <c r="D126" i="98"/>
  <c r="G125" i="98"/>
  <c r="E126" i="98"/>
  <c r="H46" i="84"/>
  <c r="I46" i="84" s="1"/>
  <c r="I46" i="86"/>
  <c r="G55" i="70"/>
  <c r="I55" i="70" s="1"/>
  <c r="H49" i="67"/>
  <c r="I49" i="67" s="1"/>
  <c r="D50" i="67"/>
  <c r="E50" i="67" s="1"/>
  <c r="G50" i="46"/>
  <c r="I50" i="46" s="1"/>
  <c r="D51" i="46"/>
  <c r="E51" i="46" s="1"/>
  <c r="D55" i="24"/>
  <c r="E55" i="24" s="1"/>
  <c r="I47" i="82"/>
  <c r="G47" i="76"/>
  <c r="I47" i="76" s="1"/>
  <c r="D45" i="93"/>
  <c r="E45" i="93" s="1"/>
  <c r="B47" i="86"/>
  <c r="F47" i="86"/>
  <c r="G44" i="93"/>
  <c r="D48" i="80"/>
  <c r="E48" i="80" s="1"/>
  <c r="F48" i="82"/>
  <c r="B48" i="82"/>
  <c r="E46" i="94"/>
  <c r="D46" i="94"/>
  <c r="I51" i="58"/>
  <c r="H44" i="93"/>
  <c r="H47" i="80"/>
  <c r="I47" i="80" s="1"/>
  <c r="F48" i="75"/>
  <c r="G48" i="75" s="1"/>
  <c r="B48" i="75"/>
  <c r="G50" i="53"/>
  <c r="D51" i="53"/>
  <c r="E51" i="53" s="1"/>
  <c r="H49" i="66"/>
  <c r="D50" i="66"/>
  <c r="E50" i="66"/>
  <c r="G53" i="43"/>
  <c r="I53" i="43" s="1"/>
  <c r="G49" i="60"/>
  <c r="I49" i="60" s="1"/>
  <c r="H55" i="23"/>
  <c r="G55" i="23"/>
  <c r="D56" i="23"/>
  <c r="E56" i="23" s="1"/>
  <c r="I52" i="39"/>
  <c r="F49" i="65"/>
  <c r="G49" i="65" s="1"/>
  <c r="B49" i="65"/>
  <c r="H50" i="53"/>
  <c r="H47" i="90"/>
  <c r="I47" i="90" s="1"/>
  <c r="D48" i="90"/>
  <c r="E48" i="90" s="1"/>
  <c r="G49" i="66"/>
  <c r="B52" i="55"/>
  <c r="F52" i="55"/>
  <c r="H52" i="55" s="1"/>
  <c r="E47" i="91"/>
  <c r="D47" i="91"/>
  <c r="G50" i="57"/>
  <c r="I50" i="57" s="1"/>
  <c r="G53" i="22"/>
  <c r="I53" i="22" s="1"/>
  <c r="D47" i="84"/>
  <c r="E47" i="84" s="1"/>
  <c r="B53" i="42"/>
  <c r="F53" i="42"/>
  <c r="H53" i="42" s="1"/>
  <c r="B52" i="58"/>
  <c r="F52" i="58"/>
  <c r="B45" i="95"/>
  <c r="F45" i="95"/>
  <c r="G45" i="95" s="1"/>
  <c r="H52" i="44"/>
  <c r="I52" i="44" s="1"/>
  <c r="D53" i="44"/>
  <c r="E53" i="44" s="1"/>
  <c r="G47" i="77"/>
  <c r="I47" i="77" s="1"/>
  <c r="B51" i="72"/>
  <c r="F51" i="72"/>
  <c r="H51" i="72" s="1"/>
  <c r="D48" i="76"/>
  <c r="E48" i="76" s="1"/>
  <c r="G46" i="81"/>
  <c r="I46" i="81" s="1"/>
  <c r="D47" i="81"/>
  <c r="E47" i="81" s="1"/>
  <c r="D54" i="22"/>
  <c r="E54" i="22" s="1"/>
  <c r="H55" i="27"/>
  <c r="D56" i="27"/>
  <c r="E56" i="27" s="1"/>
  <c r="G55" i="27"/>
  <c r="G49" i="61"/>
  <c r="D50" i="61"/>
  <c r="E50" i="61" s="1"/>
  <c r="I45" i="87"/>
  <c r="G45" i="92"/>
  <c r="I45" i="92" s="1"/>
  <c r="H53" i="41"/>
  <c r="I53" i="41" s="1"/>
  <c r="H44" i="96"/>
  <c r="I44" i="96" s="1"/>
  <c r="D45" i="96"/>
  <c r="E45" i="96"/>
  <c r="H49" i="61"/>
  <c r="B53" i="39"/>
  <c r="F53" i="39"/>
  <c r="H53" i="39" s="1"/>
  <c r="B47" i="85"/>
  <c r="F47" i="85"/>
  <c r="G47" i="85" s="1"/>
  <c r="F55" i="34"/>
  <c r="G55" i="34" s="1"/>
  <c r="B55" i="34"/>
  <c r="D53" i="74"/>
  <c r="E53" i="74" s="1"/>
  <c r="D48" i="78"/>
  <c r="E48" i="78"/>
  <c r="D54" i="17"/>
  <c r="E54" i="17" s="1"/>
  <c r="B52" i="45"/>
  <c r="F52" i="45"/>
  <c r="H52" i="45" s="1"/>
  <c r="F50" i="56"/>
  <c r="H50" i="56" s="1"/>
  <c r="B50" i="56"/>
  <c r="G45" i="89"/>
  <c r="D46" i="89"/>
  <c r="E46" i="89" s="1"/>
  <c r="B55" i="71"/>
  <c r="F55" i="71"/>
  <c r="H55" i="71" s="1"/>
  <c r="D48" i="79"/>
  <c r="E48" i="79"/>
  <c r="G47" i="78"/>
  <c r="I47" i="78" s="1"/>
  <c r="G53" i="17"/>
  <c r="H53" i="17"/>
  <c r="B56" i="69"/>
  <c r="F56" i="69"/>
  <c r="H56" i="69" s="1"/>
  <c r="G54" i="32"/>
  <c r="D55" i="32"/>
  <c r="E55" i="32" s="1"/>
  <c r="D56" i="29"/>
  <c r="E56" i="29" s="1"/>
  <c r="D51" i="54"/>
  <c r="E51" i="54"/>
  <c r="I56" i="28"/>
  <c r="D50" i="63"/>
  <c r="E50" i="63" s="1"/>
  <c r="F56" i="31"/>
  <c r="G56" i="31" s="1"/>
  <c r="B56" i="31"/>
  <c r="B50" i="64"/>
  <c r="F50" i="64"/>
  <c r="G50" i="64" s="1"/>
  <c r="B54" i="19"/>
  <c r="F54" i="19"/>
  <c r="H54" i="19" s="1"/>
  <c r="G52" i="74"/>
  <c r="I52" i="74" s="1"/>
  <c r="B49" i="68"/>
  <c r="F49" i="68"/>
  <c r="H49" i="68" s="1"/>
  <c r="F46" i="83"/>
  <c r="H46" i="83" s="1"/>
  <c r="B46" i="83"/>
  <c r="D54" i="41"/>
  <c r="E54" i="41" s="1"/>
  <c r="D56" i="70"/>
  <c r="E56" i="70" s="1"/>
  <c r="F47" i="88"/>
  <c r="H47" i="88" s="1"/>
  <c r="B47" i="88"/>
  <c r="D54" i="43"/>
  <c r="E54" i="43" s="1"/>
  <c r="H45" i="89"/>
  <c r="G50" i="54"/>
  <c r="G49" i="63"/>
  <c r="D51" i="57"/>
  <c r="E51" i="57"/>
  <c r="H52" i="73"/>
  <c r="I52" i="73" s="1"/>
  <c r="D53" i="73"/>
  <c r="E53" i="73" s="1"/>
  <c r="G47" i="79"/>
  <c r="E46" i="92"/>
  <c r="D46" i="92"/>
  <c r="G53" i="21"/>
  <c r="I53" i="21" s="1"/>
  <c r="D54" i="21"/>
  <c r="E54" i="21"/>
  <c r="B55" i="30"/>
  <c r="F55" i="30"/>
  <c r="G55" i="30" s="1"/>
  <c r="D48" i="77"/>
  <c r="E48" i="77"/>
  <c r="H54" i="32"/>
  <c r="B54" i="3"/>
  <c r="F54" i="3"/>
  <c r="G54" i="3" s="1"/>
  <c r="H55" i="29"/>
  <c r="I55" i="29" s="1"/>
  <c r="H50" i="54"/>
  <c r="H49" i="63"/>
  <c r="D50" i="60"/>
  <c r="E50" i="60"/>
  <c r="F57" i="28"/>
  <c r="G57" i="28" s="1"/>
  <c r="B57" i="28"/>
  <c r="H47" i="79"/>
  <c r="J130" i="57"/>
  <c r="J132" i="19"/>
  <c r="J124" i="84"/>
  <c r="J132" i="20"/>
  <c r="J124" i="86"/>
  <c r="J129" i="58"/>
  <c r="J134" i="30"/>
  <c r="J134" i="29"/>
  <c r="J128" i="64"/>
  <c r="J129" i="53"/>
  <c r="J134" i="69"/>
  <c r="J131" i="43"/>
  <c r="J128" i="61"/>
  <c r="J124" i="88"/>
  <c r="J129" i="46"/>
  <c r="J124" i="87"/>
  <c r="J124" i="96"/>
  <c r="B47" i="33"/>
  <c r="F47" i="33"/>
  <c r="D50" i="59"/>
  <c r="E50" i="59" s="1"/>
  <c r="D55" i="18"/>
  <c r="E55" i="18" s="1"/>
  <c r="F46" i="26"/>
  <c r="G46" i="26" s="1"/>
  <c r="B46" i="26"/>
  <c r="B53" i="20"/>
  <c r="F53" i="20"/>
  <c r="H53" i="20" s="1"/>
  <c r="G49" i="59"/>
  <c r="I49" i="59" s="1"/>
  <c r="G54" i="18"/>
  <c r="I54" i="18" s="1"/>
  <c r="B49" i="62"/>
  <c r="F49" i="62"/>
  <c r="H49" i="62" s="1"/>
  <c r="J124" i="90"/>
  <c r="J130" i="74"/>
  <c r="J127" i="66"/>
  <c r="B45" i="13"/>
  <c r="F45" i="13"/>
  <c r="H45" i="13" s="1"/>
  <c r="F46" i="87"/>
  <c r="G46" i="87" s="1"/>
  <c r="B46" i="87"/>
  <c r="D131" i="58"/>
  <c r="E131" i="58"/>
  <c r="G130" i="58"/>
  <c r="E136" i="29"/>
  <c r="D136" i="29"/>
  <c r="G135" i="29"/>
  <c r="G135" i="69"/>
  <c r="E136" i="69"/>
  <c r="D136" i="69"/>
  <c r="I129" i="62"/>
  <c r="H129" i="62"/>
  <c r="D126" i="92"/>
  <c r="G125" i="92"/>
  <c r="E126" i="92"/>
  <c r="I131" i="45"/>
  <c r="H131" i="45"/>
  <c r="G125" i="86"/>
  <c r="E126" i="86"/>
  <c r="D126" i="86"/>
  <c r="H132" i="73"/>
  <c r="I132" i="73"/>
  <c r="E133" i="43"/>
  <c r="D133" i="43"/>
  <c r="G132" i="43"/>
  <c r="G134" i="31"/>
  <c r="D135" i="31"/>
  <c r="E135" i="31"/>
  <c r="D126" i="88"/>
  <c r="G125" i="88"/>
  <c r="E126" i="88"/>
  <c r="D134" i="34"/>
  <c r="G133" i="34"/>
  <c r="E134" i="34"/>
  <c r="B134" i="22"/>
  <c r="F134" i="22"/>
  <c r="E126" i="90"/>
  <c r="D126" i="90"/>
  <c r="G125" i="90"/>
  <c r="D135" i="32"/>
  <c r="E135" i="32"/>
  <c r="G134" i="32"/>
  <c r="I125" i="91"/>
  <c r="H125" i="91"/>
  <c r="E131" i="72"/>
  <c r="G130" i="72"/>
  <c r="D131" i="72"/>
  <c r="J125" i="85"/>
  <c r="D130" i="63"/>
  <c r="G129" i="63"/>
  <c r="E130" i="63"/>
  <c r="F126" i="89"/>
  <c r="B126" i="89"/>
  <c r="G129" i="61"/>
  <c r="D130" i="61"/>
  <c r="E130" i="61"/>
  <c r="B132" i="45"/>
  <c r="F132" i="45"/>
  <c r="J132" i="34"/>
  <c r="J128" i="65"/>
  <c r="J134" i="27"/>
  <c r="E136" i="30"/>
  <c r="G135" i="30"/>
  <c r="D136" i="30"/>
  <c r="E127" i="85"/>
  <c r="D127" i="85"/>
  <c r="G126" i="85"/>
  <c r="J128" i="63"/>
  <c r="J124" i="92"/>
  <c r="J129" i="72"/>
  <c r="D134" i="20"/>
  <c r="E134" i="20"/>
  <c r="G133" i="20"/>
  <c r="D126" i="84"/>
  <c r="E126" i="84"/>
  <c r="G125" i="84"/>
  <c r="H126" i="81"/>
  <c r="I126" i="81"/>
  <c r="G131" i="74"/>
  <c r="D132" i="74"/>
  <c r="E132" i="74"/>
  <c r="E136" i="27"/>
  <c r="G135" i="27"/>
  <c r="D136" i="27"/>
  <c r="B126" i="91"/>
  <c r="F126" i="91"/>
  <c r="G129" i="60"/>
  <c r="D130" i="60"/>
  <c r="E130" i="60"/>
  <c r="B130" i="62"/>
  <c r="F130" i="62"/>
  <c r="E128" i="78"/>
  <c r="G127" i="78"/>
  <c r="D128" i="78"/>
  <c r="G130" i="53"/>
  <c r="D131" i="53"/>
  <c r="E131" i="53"/>
  <c r="G133" i="19"/>
  <c r="E134" i="19"/>
  <c r="D134" i="19"/>
  <c r="B133" i="41"/>
  <c r="F133" i="41"/>
  <c r="G130" i="46"/>
  <c r="E131" i="46"/>
  <c r="D131" i="46"/>
  <c r="H133" i="22"/>
  <c r="I133" i="22"/>
  <c r="J134" i="23"/>
  <c r="E130" i="64"/>
  <c r="G129" i="64"/>
  <c r="D130" i="64"/>
  <c r="J131" i="39"/>
  <c r="G129" i="65"/>
  <c r="D130" i="65"/>
  <c r="E130" i="65"/>
  <c r="I125" i="89"/>
  <c r="H125" i="89"/>
  <c r="D136" i="70"/>
  <c r="E136" i="70"/>
  <c r="G135" i="70"/>
  <c r="J126" i="79"/>
  <c r="F133" i="73"/>
  <c r="B133" i="73"/>
  <c r="J126" i="78"/>
  <c r="G128" i="66"/>
  <c r="D129" i="66"/>
  <c r="E129" i="66"/>
  <c r="J128" i="60"/>
  <c r="J134" i="70"/>
  <c r="D128" i="79"/>
  <c r="G127" i="79"/>
  <c r="E128" i="79"/>
  <c r="J127" i="68"/>
  <c r="I132" i="41"/>
  <c r="H132" i="41"/>
  <c r="J133" i="32"/>
  <c r="E133" i="39"/>
  <c r="G132" i="39"/>
  <c r="D133" i="39"/>
  <c r="J133" i="31"/>
  <c r="F127" i="81"/>
  <c r="B127" i="81"/>
  <c r="E129" i="68"/>
  <c r="G128" i="68"/>
  <c r="D129" i="68"/>
  <c r="J131" i="44"/>
  <c r="J134" i="71"/>
  <c r="G130" i="59"/>
  <c r="D131" i="59"/>
  <c r="E131" i="59"/>
  <c r="H131" i="56"/>
  <c r="I131" i="56"/>
  <c r="D136" i="23"/>
  <c r="G135" i="23"/>
  <c r="E136" i="23"/>
  <c r="J129" i="59"/>
  <c r="J133" i="18"/>
  <c r="E135" i="18"/>
  <c r="G134" i="18"/>
  <c r="D135" i="18"/>
  <c r="F132" i="56"/>
  <c r="B132" i="56"/>
  <c r="J125" i="94"/>
  <c r="E132" i="57"/>
  <c r="G131" i="57"/>
  <c r="D132" i="57"/>
  <c r="J127" i="67"/>
  <c r="J132" i="3"/>
  <c r="D136" i="71"/>
  <c r="G135" i="71"/>
  <c r="E136" i="71"/>
  <c r="J125" i="82"/>
  <c r="J125" i="95"/>
  <c r="J135" i="28"/>
  <c r="G125" i="96"/>
  <c r="D126" i="96"/>
  <c r="E126" i="96" s="1"/>
  <c r="E135" i="17"/>
  <c r="D135" i="17"/>
  <c r="G134" i="17"/>
  <c r="F127" i="80"/>
  <c r="B127" i="80"/>
  <c r="H133" i="21"/>
  <c r="I133" i="21"/>
  <c r="H127" i="77"/>
  <c r="I127" i="77"/>
  <c r="F133" i="42"/>
  <c r="B133" i="42"/>
  <c r="F128" i="75"/>
  <c r="B128" i="75"/>
  <c r="G126" i="94"/>
  <c r="D127" i="94"/>
  <c r="E127" i="94" s="1"/>
  <c r="F126" i="93"/>
  <c r="B126" i="93"/>
  <c r="D127" i="82"/>
  <c r="G126" i="82"/>
  <c r="E127" i="82"/>
  <c r="I126" i="83"/>
  <c r="H126" i="83"/>
  <c r="G126" i="95"/>
  <c r="D127" i="95"/>
  <c r="E127" i="95" s="1"/>
  <c r="B135" i="24"/>
  <c r="F135" i="24"/>
  <c r="I130" i="54"/>
  <c r="H130" i="54"/>
  <c r="G128" i="67"/>
  <c r="D129" i="67"/>
  <c r="E129" i="67"/>
  <c r="B128" i="77"/>
  <c r="F128" i="77"/>
  <c r="F125" i="13"/>
  <c r="B125" i="13"/>
  <c r="I130" i="55"/>
  <c r="H130" i="55"/>
  <c r="G132" i="44"/>
  <c r="D133" i="44"/>
  <c r="E133" i="44"/>
  <c r="I132" i="42"/>
  <c r="H132" i="42"/>
  <c r="H127" i="75"/>
  <c r="I127" i="75"/>
  <c r="D137" i="28"/>
  <c r="G136" i="28"/>
  <c r="E137" i="28"/>
  <c r="F127" i="83"/>
  <c r="B127" i="83"/>
  <c r="G125" i="87"/>
  <c r="D126" i="87"/>
  <c r="E126" i="87"/>
  <c r="H126" i="80"/>
  <c r="I126" i="80"/>
  <c r="F131" i="54"/>
  <c r="B131" i="54"/>
  <c r="H127" i="76"/>
  <c r="I127" i="76"/>
  <c r="B125" i="33"/>
  <c r="F125" i="33"/>
  <c r="F131" i="55"/>
  <c r="B131" i="55"/>
  <c r="J133" i="17"/>
  <c r="H125" i="93"/>
  <c r="I125" i="93"/>
  <c r="I134" i="24"/>
  <c r="H134" i="24"/>
  <c r="F134" i="21"/>
  <c r="B134" i="21"/>
  <c r="B128" i="76"/>
  <c r="F128" i="76"/>
  <c r="H124" i="33"/>
  <c r="I124" i="33"/>
  <c r="D134" i="3"/>
  <c r="G133" i="3"/>
  <c r="E134" i="3"/>
  <c r="H124" i="13"/>
  <c r="I124" i="13"/>
  <c r="D46" i="25" l="1"/>
  <c r="H45" i="25"/>
  <c r="G45" i="25"/>
  <c r="D126" i="25"/>
  <c r="G125" i="25"/>
  <c r="J124" i="99"/>
  <c r="I49" i="99"/>
  <c r="D56" i="97"/>
  <c r="G55" i="97"/>
  <c r="H55" i="97"/>
  <c r="B45" i="98"/>
  <c r="F45" i="98"/>
  <c r="G45" i="98" s="1"/>
  <c r="F50" i="99"/>
  <c r="B50" i="99"/>
  <c r="J124" i="25"/>
  <c r="I49" i="61"/>
  <c r="D126" i="99"/>
  <c r="E126" i="99"/>
  <c r="G125" i="99"/>
  <c r="I49" i="66"/>
  <c r="J125" i="26"/>
  <c r="G126" i="26"/>
  <c r="D127" i="26"/>
  <c r="G49" i="68"/>
  <c r="I49" i="68" s="1"/>
  <c r="G50" i="56"/>
  <c r="I50" i="56" s="1"/>
  <c r="I50" i="54"/>
  <c r="I54" i="32"/>
  <c r="I55" i="23"/>
  <c r="H125" i="98"/>
  <c r="I125" i="98"/>
  <c r="F126" i="98"/>
  <c r="B126" i="98"/>
  <c r="B126" i="97"/>
  <c r="F126" i="97"/>
  <c r="H125" i="97"/>
  <c r="I125" i="97"/>
  <c r="H45" i="95"/>
  <c r="I45" i="89"/>
  <c r="F50" i="67"/>
  <c r="G50" i="67" s="1"/>
  <c r="B50" i="67"/>
  <c r="F51" i="46"/>
  <c r="G51" i="46" s="1"/>
  <c r="B51" i="46"/>
  <c r="F55" i="24"/>
  <c r="H55" i="24" s="1"/>
  <c r="B55" i="24"/>
  <c r="H50" i="64"/>
  <c r="I50" i="64" s="1"/>
  <c r="F46" i="94"/>
  <c r="H46" i="94" s="1"/>
  <c r="B46" i="94"/>
  <c r="H48" i="82"/>
  <c r="D49" i="82"/>
  <c r="E49" i="82" s="1"/>
  <c r="F45" i="93"/>
  <c r="H45" i="93" s="1"/>
  <c r="B45" i="93"/>
  <c r="G53" i="42"/>
  <c r="I53" i="42" s="1"/>
  <c r="H48" i="75"/>
  <c r="I48" i="75" s="1"/>
  <c r="I44" i="93"/>
  <c r="G49" i="62"/>
  <c r="I49" i="62" s="1"/>
  <c r="I55" i="27"/>
  <c r="I50" i="53"/>
  <c r="G48" i="82"/>
  <c r="B48" i="80"/>
  <c r="F48" i="80"/>
  <c r="G47" i="86"/>
  <c r="H47" i="86"/>
  <c r="D48" i="86"/>
  <c r="E48" i="86"/>
  <c r="G52" i="55"/>
  <c r="I52" i="55" s="1"/>
  <c r="D53" i="55"/>
  <c r="E53" i="55" s="1"/>
  <c r="F47" i="91"/>
  <c r="G47" i="91" s="1"/>
  <c r="B47" i="91"/>
  <c r="H49" i="65"/>
  <c r="I49" i="65" s="1"/>
  <c r="D50" i="65"/>
  <c r="E50" i="65" s="1"/>
  <c r="I47" i="79"/>
  <c r="F47" i="84"/>
  <c r="B47" i="84"/>
  <c r="B51" i="53"/>
  <c r="F51" i="53"/>
  <c r="H51" i="53" s="1"/>
  <c r="G52" i="58"/>
  <c r="D53" i="58"/>
  <c r="E53" i="58" s="1"/>
  <c r="H52" i="58"/>
  <c r="D54" i="42"/>
  <c r="E54" i="42" s="1"/>
  <c r="F48" i="90"/>
  <c r="H48" i="90" s="1"/>
  <c r="B48" i="90"/>
  <c r="B56" i="23"/>
  <c r="F56" i="23"/>
  <c r="B50" i="66"/>
  <c r="F50" i="66"/>
  <c r="H50" i="66" s="1"/>
  <c r="D49" i="75"/>
  <c r="E49" i="75" s="1"/>
  <c r="B54" i="22"/>
  <c r="F54" i="22"/>
  <c r="G54" i="22" s="1"/>
  <c r="I53" i="17"/>
  <c r="G53" i="39"/>
  <c r="I53" i="39" s="1"/>
  <c r="D54" i="39"/>
  <c r="E54" i="39" s="1"/>
  <c r="F45" i="96"/>
  <c r="B45" i="96"/>
  <c r="B56" i="27"/>
  <c r="F56" i="27"/>
  <c r="F47" i="81"/>
  <c r="H47" i="81" s="1"/>
  <c r="B47" i="81"/>
  <c r="G51" i="72"/>
  <c r="I51" i="72" s="1"/>
  <c r="D52" i="72"/>
  <c r="E52" i="72" s="1"/>
  <c r="F53" i="44"/>
  <c r="G53" i="44" s="1"/>
  <c r="B53" i="44"/>
  <c r="I45" i="95"/>
  <c r="F50" i="61"/>
  <c r="H50" i="61" s="1"/>
  <c r="B50" i="61"/>
  <c r="G54" i="19"/>
  <c r="I54" i="19" s="1"/>
  <c r="G55" i="71"/>
  <c r="I55" i="71" s="1"/>
  <c r="H47" i="85"/>
  <c r="I47" i="85" s="1"/>
  <c r="D48" i="85"/>
  <c r="E48" i="85" s="1"/>
  <c r="D46" i="95"/>
  <c r="E46" i="95" s="1"/>
  <c r="B48" i="76"/>
  <c r="F48" i="76"/>
  <c r="H48" i="76" s="1"/>
  <c r="I49" i="63"/>
  <c r="G53" i="20"/>
  <c r="I53" i="20" s="1"/>
  <c r="H46" i="26"/>
  <c r="I46" i="26" s="1"/>
  <c r="B46" i="92"/>
  <c r="F46" i="92"/>
  <c r="H46" i="92" s="1"/>
  <c r="G47" i="88"/>
  <c r="I47" i="88" s="1"/>
  <c r="F54" i="41"/>
  <c r="B54" i="41"/>
  <c r="G46" i="83"/>
  <c r="I46" i="83" s="1"/>
  <c r="D47" i="83"/>
  <c r="E47" i="83" s="1"/>
  <c r="D51" i="64"/>
  <c r="E51" i="64" s="1"/>
  <c r="F56" i="29"/>
  <c r="H56" i="29" s="1"/>
  <c r="B56" i="29"/>
  <c r="D51" i="56"/>
  <c r="E51" i="56" s="1"/>
  <c r="D55" i="19"/>
  <c r="E55" i="19" s="1"/>
  <c r="H56" i="31"/>
  <c r="I56" i="31" s="1"/>
  <c r="D57" i="31"/>
  <c r="E57" i="31" s="1"/>
  <c r="F55" i="32"/>
  <c r="G55" i="32" s="1"/>
  <c r="B55" i="32"/>
  <c r="D56" i="71"/>
  <c r="E56" i="71" s="1"/>
  <c r="B46" i="89"/>
  <c r="F46" i="89"/>
  <c r="H46" i="89" s="1"/>
  <c r="F48" i="78"/>
  <c r="B48" i="78"/>
  <c r="D56" i="30"/>
  <c r="E56" i="30" s="1"/>
  <c r="H57" i="28"/>
  <c r="I57" i="28" s="1"/>
  <c r="D58" i="28"/>
  <c r="E58" i="28" s="1"/>
  <c r="H54" i="3"/>
  <c r="I54" i="3" s="1"/>
  <c r="D55" i="3"/>
  <c r="E55" i="3" s="1"/>
  <c r="F48" i="77"/>
  <c r="G48" i="77" s="1"/>
  <c r="B48" i="77"/>
  <c r="B53" i="73"/>
  <c r="F53" i="73"/>
  <c r="H53" i="73" s="1"/>
  <c r="F51" i="57"/>
  <c r="G51" i="57" s="1"/>
  <c r="B51" i="57"/>
  <c r="F51" i="54"/>
  <c r="G51" i="54" s="1"/>
  <c r="B51" i="54"/>
  <c r="D57" i="69"/>
  <c r="E57" i="69" s="1"/>
  <c r="F48" i="79"/>
  <c r="B48" i="79"/>
  <c r="G52" i="45"/>
  <c r="I52" i="45" s="1"/>
  <c r="D53" i="45"/>
  <c r="E53" i="45" s="1"/>
  <c r="C63" i="17"/>
  <c r="F54" i="17"/>
  <c r="G54" i="17" s="1"/>
  <c r="B54" i="17"/>
  <c r="B53" i="74"/>
  <c r="F53" i="74"/>
  <c r="G53" i="74" s="1"/>
  <c r="H55" i="34"/>
  <c r="I55" i="34" s="1"/>
  <c r="D56" i="34"/>
  <c r="E56" i="34" s="1"/>
  <c r="B50" i="60"/>
  <c r="F50" i="60"/>
  <c r="H50" i="60" s="1"/>
  <c r="F54" i="21"/>
  <c r="G54" i="21" s="1"/>
  <c r="B54" i="21"/>
  <c r="B56" i="70"/>
  <c r="F56" i="70"/>
  <c r="H55" i="30"/>
  <c r="I55" i="30" s="1"/>
  <c r="B54" i="43"/>
  <c r="F54" i="43"/>
  <c r="D48" i="88"/>
  <c r="E48" i="88" s="1"/>
  <c r="D50" i="68"/>
  <c r="E50" i="68" s="1"/>
  <c r="B50" i="63"/>
  <c r="F50" i="63"/>
  <c r="H50" i="63" s="1"/>
  <c r="G56" i="69"/>
  <c r="I56" i="69" s="1"/>
  <c r="J130" i="55"/>
  <c r="J125" i="89"/>
  <c r="J132" i="41"/>
  <c r="J131" i="56"/>
  <c r="J126" i="81"/>
  <c r="J132" i="73"/>
  <c r="H46" i="87"/>
  <c r="I46" i="87" s="1"/>
  <c r="D46" i="13"/>
  <c r="E46" i="13" s="1"/>
  <c r="D48" i="33"/>
  <c r="J133" i="21"/>
  <c r="G45" i="13"/>
  <c r="I45" i="13" s="1"/>
  <c r="D54" i="20"/>
  <c r="E54" i="20"/>
  <c r="D47" i="26"/>
  <c r="E47" i="26" s="1"/>
  <c r="D47" i="87"/>
  <c r="E47" i="87" s="1"/>
  <c r="B50" i="59"/>
  <c r="F50" i="59"/>
  <c r="G50" i="59" s="1"/>
  <c r="H47" i="33"/>
  <c r="J127" i="77"/>
  <c r="D50" i="62"/>
  <c r="E50" i="62" s="1"/>
  <c r="B55" i="18"/>
  <c r="F55" i="18"/>
  <c r="H55" i="18" s="1"/>
  <c r="G47" i="33"/>
  <c r="J127" i="76"/>
  <c r="F129" i="68"/>
  <c r="B129" i="68"/>
  <c r="G127" i="81"/>
  <c r="E128" i="81"/>
  <c r="D128" i="81"/>
  <c r="I128" i="66"/>
  <c r="H128" i="66"/>
  <c r="I129" i="65"/>
  <c r="H129" i="65"/>
  <c r="F131" i="46"/>
  <c r="B131" i="46"/>
  <c r="H127" i="78"/>
  <c r="I127" i="78"/>
  <c r="H133" i="20"/>
  <c r="I133" i="20"/>
  <c r="F130" i="63"/>
  <c r="B130" i="63"/>
  <c r="H133" i="34"/>
  <c r="I133" i="34"/>
  <c r="B126" i="88"/>
  <c r="F126" i="88"/>
  <c r="H132" i="43"/>
  <c r="I132" i="43"/>
  <c r="F126" i="92"/>
  <c r="B126" i="92"/>
  <c r="H128" i="68"/>
  <c r="I128" i="68"/>
  <c r="I135" i="70"/>
  <c r="H135" i="70"/>
  <c r="B134" i="19"/>
  <c r="F134" i="19"/>
  <c r="B131" i="53"/>
  <c r="F131" i="53"/>
  <c r="F130" i="60"/>
  <c r="B130" i="60"/>
  <c r="B136" i="27"/>
  <c r="F136" i="27"/>
  <c r="B132" i="74"/>
  <c r="F132" i="74"/>
  <c r="H125" i="84"/>
  <c r="I125" i="84"/>
  <c r="F136" i="30"/>
  <c r="B136" i="30"/>
  <c r="G126" i="89"/>
  <c r="D127" i="89"/>
  <c r="E127" i="89"/>
  <c r="B135" i="32"/>
  <c r="F135" i="32"/>
  <c r="G134" i="22"/>
  <c r="E135" i="22"/>
  <c r="D135" i="22"/>
  <c r="F134" i="34"/>
  <c r="B134" i="34"/>
  <c r="B133" i="43"/>
  <c r="F133" i="43"/>
  <c r="F126" i="86"/>
  <c r="B126" i="86"/>
  <c r="J131" i="45"/>
  <c r="I135" i="69"/>
  <c r="H135" i="69"/>
  <c r="H130" i="58"/>
  <c r="I130" i="58"/>
  <c r="F133" i="39"/>
  <c r="B133" i="39"/>
  <c r="I127" i="79"/>
  <c r="H127" i="79"/>
  <c r="F130" i="64"/>
  <c r="B130" i="64"/>
  <c r="J133" i="22"/>
  <c r="I130" i="46"/>
  <c r="H130" i="46"/>
  <c r="H130" i="53"/>
  <c r="I130" i="53"/>
  <c r="G130" i="62"/>
  <c r="E131" i="62"/>
  <c r="D131" i="62"/>
  <c r="H129" i="60"/>
  <c r="I129" i="60"/>
  <c r="H135" i="27"/>
  <c r="I135" i="27"/>
  <c r="H131" i="74"/>
  <c r="I131" i="74"/>
  <c r="B134" i="20"/>
  <c r="F134" i="20"/>
  <c r="H126" i="85"/>
  <c r="I126" i="85"/>
  <c r="H135" i="30"/>
  <c r="I135" i="30"/>
  <c r="F130" i="61"/>
  <c r="B130" i="61"/>
  <c r="F131" i="72"/>
  <c r="B131" i="72"/>
  <c r="J125" i="91"/>
  <c r="H125" i="90"/>
  <c r="I125" i="90"/>
  <c r="B135" i="31"/>
  <c r="F135" i="31"/>
  <c r="J129" i="62"/>
  <c r="H135" i="29"/>
  <c r="I135" i="29"/>
  <c r="H132" i="39"/>
  <c r="I132" i="39"/>
  <c r="B128" i="79"/>
  <c r="F128" i="79"/>
  <c r="B129" i="66"/>
  <c r="F129" i="66"/>
  <c r="E134" i="73"/>
  <c r="D134" i="73"/>
  <c r="G133" i="73"/>
  <c r="F136" i="70"/>
  <c r="B136" i="70"/>
  <c r="B130" i="65"/>
  <c r="F130" i="65"/>
  <c r="H129" i="64"/>
  <c r="I129" i="64"/>
  <c r="D134" i="41"/>
  <c r="G133" i="41"/>
  <c r="E134" i="41"/>
  <c r="I133" i="19"/>
  <c r="H133" i="19"/>
  <c r="B128" i="78"/>
  <c r="F128" i="78"/>
  <c r="G126" i="91"/>
  <c r="E127" i="91"/>
  <c r="D127" i="91"/>
  <c r="B126" i="84"/>
  <c r="F126" i="84"/>
  <c r="B127" i="85"/>
  <c r="F127" i="85"/>
  <c r="E133" i="45"/>
  <c r="D133" i="45"/>
  <c r="G132" i="45"/>
  <c r="H129" i="61"/>
  <c r="I129" i="61"/>
  <c r="H129" i="63"/>
  <c r="I129" i="63"/>
  <c r="I130" i="72"/>
  <c r="H130" i="72"/>
  <c r="I134" i="32"/>
  <c r="H134" i="32"/>
  <c r="B126" i="90"/>
  <c r="F126" i="90"/>
  <c r="I125" i="88"/>
  <c r="H125" i="88"/>
  <c r="I134" i="31"/>
  <c r="H134" i="31"/>
  <c r="H125" i="86"/>
  <c r="I125" i="86"/>
  <c r="H125" i="92"/>
  <c r="I125" i="92"/>
  <c r="B136" i="69"/>
  <c r="F136" i="69"/>
  <c r="F136" i="29"/>
  <c r="B136" i="29"/>
  <c r="F131" i="58"/>
  <c r="B131" i="58"/>
  <c r="J127" i="75"/>
  <c r="D133" i="56"/>
  <c r="G132" i="56"/>
  <c r="E133" i="56"/>
  <c r="H134" i="18"/>
  <c r="I134" i="18"/>
  <c r="I135" i="23"/>
  <c r="H135" i="23"/>
  <c r="F131" i="59"/>
  <c r="B131" i="59"/>
  <c r="B135" i="18"/>
  <c r="F135" i="18"/>
  <c r="B136" i="23"/>
  <c r="F136" i="23"/>
  <c r="H130" i="59"/>
  <c r="I130" i="59"/>
  <c r="B132" i="57"/>
  <c r="F132" i="57"/>
  <c r="H131" i="57"/>
  <c r="I131" i="57"/>
  <c r="J126" i="83"/>
  <c r="H135" i="71"/>
  <c r="I135" i="71"/>
  <c r="J124" i="13"/>
  <c r="J125" i="93"/>
  <c r="J126" i="80"/>
  <c r="B136" i="71"/>
  <c r="F136" i="71"/>
  <c r="J134" i="24"/>
  <c r="D128" i="83"/>
  <c r="G127" i="83"/>
  <c r="E128" i="83"/>
  <c r="H132" i="44"/>
  <c r="I132" i="44"/>
  <c r="D126" i="13"/>
  <c r="E126" i="13" s="1"/>
  <c r="G125" i="13"/>
  <c r="F129" i="67"/>
  <c r="B129" i="67"/>
  <c r="H126" i="95"/>
  <c r="I126" i="95"/>
  <c r="G128" i="75"/>
  <c r="E129" i="75"/>
  <c r="D129" i="75"/>
  <c r="I133" i="3"/>
  <c r="H133" i="3"/>
  <c r="J124" i="33"/>
  <c r="I136" i="28"/>
  <c r="H136" i="28"/>
  <c r="I128" i="67"/>
  <c r="H128" i="67"/>
  <c r="I126" i="82"/>
  <c r="H126" i="82"/>
  <c r="B127" i="94"/>
  <c r="F127" i="94"/>
  <c r="D134" i="42"/>
  <c r="G133" i="42"/>
  <c r="E134" i="42"/>
  <c r="F134" i="3"/>
  <c r="B134" i="3"/>
  <c r="G131" i="55"/>
  <c r="E132" i="55"/>
  <c r="D132" i="55"/>
  <c r="G125" i="33"/>
  <c r="D126" i="33"/>
  <c r="E126" i="33" s="1"/>
  <c r="E132" i="54"/>
  <c r="D132" i="54"/>
  <c r="G131" i="54"/>
  <c r="B126" i="87"/>
  <c r="F126" i="87"/>
  <c r="B137" i="28"/>
  <c r="F137" i="28"/>
  <c r="F127" i="82"/>
  <c r="B127" i="82"/>
  <c r="G126" i="93"/>
  <c r="D127" i="93"/>
  <c r="E127" i="93" s="1"/>
  <c r="I126" i="94"/>
  <c r="H126" i="94"/>
  <c r="G127" i="80"/>
  <c r="E128" i="80"/>
  <c r="D128" i="80"/>
  <c r="I134" i="17"/>
  <c r="H134" i="17"/>
  <c r="B126" i="96"/>
  <c r="F126" i="96"/>
  <c r="G128" i="76"/>
  <c r="E129" i="76"/>
  <c r="D129" i="76"/>
  <c r="G134" i="21"/>
  <c r="D135" i="21"/>
  <c r="E135" i="21"/>
  <c r="H125" i="87"/>
  <c r="I125" i="87"/>
  <c r="J132" i="42"/>
  <c r="B133" i="44"/>
  <c r="F133" i="44"/>
  <c r="G128" i="77"/>
  <c r="D129" i="77"/>
  <c r="E129" i="77"/>
  <c r="J130" i="54"/>
  <c r="E136" i="24"/>
  <c r="G135" i="24"/>
  <c r="D136" i="24"/>
  <c r="F127" i="95"/>
  <c r="B127" i="95"/>
  <c r="B135" i="17"/>
  <c r="F135" i="17"/>
  <c r="H125" i="96"/>
  <c r="I125" i="96"/>
  <c r="I45" i="25" l="1"/>
  <c r="B46" i="25"/>
  <c r="E46" i="25"/>
  <c r="F46" i="25" s="1"/>
  <c r="I55" i="97"/>
  <c r="H45" i="98"/>
  <c r="I45" i="98" s="1"/>
  <c r="H125" i="25"/>
  <c r="I125" i="25"/>
  <c r="E126" i="25"/>
  <c r="F126" i="25" s="1"/>
  <c r="B126" i="25"/>
  <c r="D51" i="99"/>
  <c r="E51" i="99"/>
  <c r="H50" i="99"/>
  <c r="G50" i="99"/>
  <c r="D46" i="98"/>
  <c r="E46" i="98" s="1"/>
  <c r="E56" i="97"/>
  <c r="F56" i="97" s="1"/>
  <c r="D57" i="97" s="1"/>
  <c r="B56" i="97"/>
  <c r="I125" i="99"/>
  <c r="H125" i="99"/>
  <c r="B126" i="99"/>
  <c r="F126" i="99"/>
  <c r="I47" i="86"/>
  <c r="B127" i="26"/>
  <c r="E127" i="26"/>
  <c r="F127" i="26" s="1"/>
  <c r="J125" i="98"/>
  <c r="I126" i="26"/>
  <c r="H126" i="26"/>
  <c r="J125" i="97"/>
  <c r="H51" i="46"/>
  <c r="I51" i="46" s="1"/>
  <c r="D127" i="98"/>
  <c r="G126" i="98"/>
  <c r="E127" i="98"/>
  <c r="G126" i="97"/>
  <c r="D127" i="97"/>
  <c r="E127" i="97"/>
  <c r="G45" i="93"/>
  <c r="I45" i="93" s="1"/>
  <c r="H50" i="67"/>
  <c r="I50" i="67" s="1"/>
  <c r="D51" i="67"/>
  <c r="E51" i="67" s="1"/>
  <c r="D52" i="46"/>
  <c r="E52" i="46" s="1"/>
  <c r="G55" i="24"/>
  <c r="I55" i="24" s="1"/>
  <c r="D56" i="24"/>
  <c r="E56" i="24" s="1"/>
  <c r="I48" i="82"/>
  <c r="B48" i="86"/>
  <c r="F48" i="86"/>
  <c r="G48" i="80"/>
  <c r="D49" i="80"/>
  <c r="E49" i="80"/>
  <c r="D46" i="93"/>
  <c r="E46" i="93" s="1"/>
  <c r="F49" i="82"/>
  <c r="B49" i="82"/>
  <c r="G46" i="94"/>
  <c r="I46" i="94" s="1"/>
  <c r="D47" i="94"/>
  <c r="E47" i="94" s="1"/>
  <c r="H48" i="80"/>
  <c r="G56" i="29"/>
  <c r="I56" i="29" s="1"/>
  <c r="G48" i="76"/>
  <c r="I48" i="76" s="1"/>
  <c r="G56" i="23"/>
  <c r="H56" i="23"/>
  <c r="D57" i="23"/>
  <c r="E57" i="23" s="1"/>
  <c r="B54" i="42"/>
  <c r="F54" i="42"/>
  <c r="H54" i="42" s="1"/>
  <c r="F53" i="58"/>
  <c r="B53" i="58"/>
  <c r="B50" i="65"/>
  <c r="F50" i="65"/>
  <c r="G47" i="84"/>
  <c r="D48" i="84"/>
  <c r="E48" i="84" s="1"/>
  <c r="F53" i="55"/>
  <c r="H53" i="55" s="1"/>
  <c r="B53" i="55"/>
  <c r="G47" i="81"/>
  <c r="I47" i="81" s="1"/>
  <c r="G50" i="66"/>
  <c r="I50" i="66" s="1"/>
  <c r="D51" i="66"/>
  <c r="E51" i="66"/>
  <c r="G48" i="90"/>
  <c r="I48" i="90" s="1"/>
  <c r="D49" i="90"/>
  <c r="E49" i="90"/>
  <c r="F49" i="75"/>
  <c r="H49" i="75" s="1"/>
  <c r="B49" i="75"/>
  <c r="I52" i="58"/>
  <c r="G51" i="53"/>
  <c r="I51" i="53" s="1"/>
  <c r="D52" i="53"/>
  <c r="E52" i="53" s="1"/>
  <c r="H47" i="84"/>
  <c r="H47" i="91"/>
  <c r="I47" i="91" s="1"/>
  <c r="D48" i="91"/>
  <c r="E48" i="91" s="1"/>
  <c r="F48" i="85"/>
  <c r="G48" i="85" s="1"/>
  <c r="B48" i="85"/>
  <c r="G56" i="27"/>
  <c r="D57" i="27"/>
  <c r="E57" i="27" s="1"/>
  <c r="F52" i="72"/>
  <c r="G52" i="72" s="1"/>
  <c r="B52" i="72"/>
  <c r="H45" i="96"/>
  <c r="E46" i="96"/>
  <c r="D46" i="96"/>
  <c r="G50" i="63"/>
  <c r="I50" i="63" s="1"/>
  <c r="G50" i="60"/>
  <c r="I50" i="60" s="1"/>
  <c r="D49" i="76"/>
  <c r="E49" i="76" s="1"/>
  <c r="F46" i="95"/>
  <c r="H46" i="95" s="1"/>
  <c r="B46" i="95"/>
  <c r="H56" i="27"/>
  <c r="H54" i="22"/>
  <c r="I54" i="22" s="1"/>
  <c r="D55" i="22"/>
  <c r="E55" i="22" s="1"/>
  <c r="H54" i="17"/>
  <c r="I54" i="17" s="1"/>
  <c r="H51" i="57"/>
  <c r="I51" i="57" s="1"/>
  <c r="G50" i="61"/>
  <c r="I50" i="61" s="1"/>
  <c r="D51" i="61"/>
  <c r="E51" i="61" s="1"/>
  <c r="H53" i="44"/>
  <c r="I53" i="44" s="1"/>
  <c r="D54" i="44"/>
  <c r="E54" i="44" s="1"/>
  <c r="D48" i="81"/>
  <c r="E48" i="81" s="1"/>
  <c r="G45" i="96"/>
  <c r="B54" i="39"/>
  <c r="F54" i="39"/>
  <c r="H54" i="39" s="1"/>
  <c r="D55" i="43"/>
  <c r="E55" i="43" s="1"/>
  <c r="D57" i="70"/>
  <c r="E57" i="70" s="1"/>
  <c r="D49" i="79"/>
  <c r="E49" i="79" s="1"/>
  <c r="F56" i="30"/>
  <c r="B56" i="30"/>
  <c r="E49" i="78"/>
  <c r="D49" i="78"/>
  <c r="F57" i="31"/>
  <c r="B57" i="31"/>
  <c r="E55" i="41"/>
  <c r="D55" i="41"/>
  <c r="G55" i="18"/>
  <c r="I55" i="18" s="1"/>
  <c r="H53" i="74"/>
  <c r="I53" i="74" s="1"/>
  <c r="H48" i="79"/>
  <c r="B57" i="69"/>
  <c r="F57" i="69"/>
  <c r="D52" i="54"/>
  <c r="E52" i="54" s="1"/>
  <c r="G53" i="73"/>
  <c r="I53" i="73" s="1"/>
  <c r="D54" i="73"/>
  <c r="E54" i="73" s="1"/>
  <c r="E49" i="77"/>
  <c r="D49" i="77"/>
  <c r="B58" i="28"/>
  <c r="F58" i="28"/>
  <c r="G48" i="78"/>
  <c r="E47" i="89"/>
  <c r="D47" i="89"/>
  <c r="F51" i="64"/>
  <c r="H51" i="64" s="1"/>
  <c r="B51" i="64"/>
  <c r="G54" i="41"/>
  <c r="B56" i="71"/>
  <c r="F56" i="71"/>
  <c r="H56" i="71" s="1"/>
  <c r="H50" i="59"/>
  <c r="D51" i="63"/>
  <c r="E51" i="63" s="1"/>
  <c r="F50" i="68"/>
  <c r="H50" i="68" s="1"/>
  <c r="B50" i="68"/>
  <c r="F48" i="88"/>
  <c r="G48" i="88" s="1"/>
  <c r="B48" i="88"/>
  <c r="G54" i="43"/>
  <c r="G56" i="70"/>
  <c r="D51" i="60"/>
  <c r="E51" i="60" s="1"/>
  <c r="F56" i="34"/>
  <c r="G56" i="34" s="1"/>
  <c r="B56" i="34"/>
  <c r="H51" i="54"/>
  <c r="I51" i="54" s="1"/>
  <c r="H48" i="77"/>
  <c r="I48" i="77" s="1"/>
  <c r="H48" i="78"/>
  <c r="H55" i="32"/>
  <c r="I55" i="32" s="1"/>
  <c r="D56" i="32"/>
  <c r="E56" i="32" s="1"/>
  <c r="F55" i="19"/>
  <c r="G55" i="19" s="1"/>
  <c r="B55" i="19"/>
  <c r="H54" i="41"/>
  <c r="H54" i="21"/>
  <c r="I54" i="21" s="1"/>
  <c r="E55" i="21"/>
  <c r="D55" i="21"/>
  <c r="H54" i="43"/>
  <c r="H56" i="70"/>
  <c r="E54" i="74"/>
  <c r="D54" i="74"/>
  <c r="D55" i="17"/>
  <c r="E55" i="17" s="1"/>
  <c r="B53" i="45"/>
  <c r="F53" i="45"/>
  <c r="H53" i="45" s="1"/>
  <c r="G48" i="79"/>
  <c r="D52" i="57"/>
  <c r="E52" i="57" s="1"/>
  <c r="F55" i="3"/>
  <c r="H55" i="3" s="1"/>
  <c r="B55" i="3"/>
  <c r="G46" i="89"/>
  <c r="I46" i="89" s="1"/>
  <c r="F51" i="56"/>
  <c r="G51" i="56" s="1"/>
  <c r="B51" i="56"/>
  <c r="D57" i="29"/>
  <c r="E57" i="29" s="1"/>
  <c r="B47" i="83"/>
  <c r="F47" i="83"/>
  <c r="G46" i="92"/>
  <c r="I46" i="92" s="1"/>
  <c r="D47" i="92"/>
  <c r="E47" i="92"/>
  <c r="J134" i="31"/>
  <c r="J130" i="72"/>
  <c r="J135" i="69"/>
  <c r="J130" i="53"/>
  <c r="J127" i="79"/>
  <c r="J127" i="78"/>
  <c r="J129" i="64"/>
  <c r="J125" i="90"/>
  <c r="J125" i="84"/>
  <c r="J125" i="88"/>
  <c r="J134" i="32"/>
  <c r="J133" i="19"/>
  <c r="J128" i="68"/>
  <c r="J132" i="43"/>
  <c r="J133" i="34"/>
  <c r="J133" i="20"/>
  <c r="D56" i="18"/>
  <c r="E56" i="18" s="1"/>
  <c r="D51" i="59"/>
  <c r="E51" i="59" s="1"/>
  <c r="B47" i="26"/>
  <c r="F47" i="26"/>
  <c r="G47" i="26" s="1"/>
  <c r="B54" i="20"/>
  <c r="F54" i="20"/>
  <c r="H54" i="20" s="1"/>
  <c r="B48" i="33"/>
  <c r="J130" i="59"/>
  <c r="J134" i="18"/>
  <c r="J132" i="39"/>
  <c r="J126" i="85"/>
  <c r="J131" i="74"/>
  <c r="J129" i="60"/>
  <c r="J130" i="58"/>
  <c r="J128" i="66"/>
  <c r="B50" i="62"/>
  <c r="F50" i="62"/>
  <c r="H50" i="62" s="1"/>
  <c r="I47" i="33"/>
  <c r="I50" i="59"/>
  <c r="F46" i="13"/>
  <c r="G46" i="13" s="1"/>
  <c r="B46" i="13"/>
  <c r="B47" i="87"/>
  <c r="F47" i="87"/>
  <c r="G47" i="87" s="1"/>
  <c r="E48" i="33"/>
  <c r="F48" i="33" s="1"/>
  <c r="G131" i="58"/>
  <c r="D132" i="58"/>
  <c r="E132" i="58"/>
  <c r="B133" i="45"/>
  <c r="F133" i="45"/>
  <c r="G126" i="84"/>
  <c r="E127" i="84"/>
  <c r="D127" i="84"/>
  <c r="I126" i="91"/>
  <c r="H126" i="91"/>
  <c r="E132" i="72"/>
  <c r="D132" i="72"/>
  <c r="G131" i="72"/>
  <c r="G130" i="64"/>
  <c r="E131" i="64"/>
  <c r="D131" i="64"/>
  <c r="E134" i="39"/>
  <c r="G133" i="39"/>
  <c r="D134" i="39"/>
  <c r="E134" i="43"/>
  <c r="G133" i="43"/>
  <c r="D134" i="43"/>
  <c r="F135" i="22"/>
  <c r="B135" i="22"/>
  <c r="E133" i="74"/>
  <c r="D133" i="74"/>
  <c r="G132" i="74"/>
  <c r="D135" i="19"/>
  <c r="E135" i="19"/>
  <c r="G134" i="19"/>
  <c r="I127" i="81"/>
  <c r="H127" i="81"/>
  <c r="J128" i="67"/>
  <c r="J125" i="92"/>
  <c r="D127" i="90"/>
  <c r="E127" i="90"/>
  <c r="G126" i="90"/>
  <c r="J129" i="61"/>
  <c r="D129" i="78"/>
  <c r="E129" i="78"/>
  <c r="G128" i="78"/>
  <c r="D137" i="70"/>
  <c r="E137" i="70"/>
  <c r="G136" i="70"/>
  <c r="E130" i="66"/>
  <c r="D130" i="66"/>
  <c r="G129" i="66"/>
  <c r="H130" i="62"/>
  <c r="I130" i="62"/>
  <c r="J130" i="46"/>
  <c r="D137" i="30"/>
  <c r="G136" i="30"/>
  <c r="E137" i="30"/>
  <c r="E131" i="60"/>
  <c r="G130" i="60"/>
  <c r="D131" i="60"/>
  <c r="G131" i="46"/>
  <c r="D132" i="46"/>
  <c r="E132" i="46"/>
  <c r="G136" i="29"/>
  <c r="E137" i="29"/>
  <c r="D137" i="29"/>
  <c r="E128" i="85"/>
  <c r="G127" i="85"/>
  <c r="D128" i="85"/>
  <c r="B127" i="91"/>
  <c r="F127" i="91"/>
  <c r="H133" i="41"/>
  <c r="I133" i="41"/>
  <c r="D131" i="65"/>
  <c r="E131" i="65"/>
  <c r="G130" i="65"/>
  <c r="I133" i="73"/>
  <c r="H133" i="73"/>
  <c r="G135" i="31"/>
  <c r="E136" i="31"/>
  <c r="D136" i="31"/>
  <c r="G130" i="61"/>
  <c r="E131" i="61"/>
  <c r="D131" i="61"/>
  <c r="I134" i="22"/>
  <c r="H134" i="22"/>
  <c r="F127" i="89"/>
  <c r="B127" i="89"/>
  <c r="E137" i="27"/>
  <c r="G136" i="27"/>
  <c r="D137" i="27"/>
  <c r="G131" i="53"/>
  <c r="D132" i="53"/>
  <c r="E132" i="53"/>
  <c r="D127" i="88"/>
  <c r="G126" i="88"/>
  <c r="E127" i="88"/>
  <c r="F128" i="81"/>
  <c r="B128" i="81"/>
  <c r="G129" i="68"/>
  <c r="D130" i="68"/>
  <c r="E130" i="68"/>
  <c r="G136" i="69"/>
  <c r="D137" i="69"/>
  <c r="E137" i="69"/>
  <c r="J125" i="86"/>
  <c r="J129" i="63"/>
  <c r="I132" i="45"/>
  <c r="H132" i="45"/>
  <c r="B134" i="41"/>
  <c r="F134" i="41"/>
  <c r="F134" i="73"/>
  <c r="B134" i="73"/>
  <c r="E129" i="79"/>
  <c r="G128" i="79"/>
  <c r="D129" i="79"/>
  <c r="J135" i="29"/>
  <c r="J135" i="30"/>
  <c r="D135" i="20"/>
  <c r="E135" i="20"/>
  <c r="G134" i="20"/>
  <c r="J135" i="27"/>
  <c r="F131" i="62"/>
  <c r="B131" i="62"/>
  <c r="D127" i="86"/>
  <c r="G126" i="86"/>
  <c r="E127" i="86"/>
  <c r="G134" i="34"/>
  <c r="D135" i="34"/>
  <c r="E135" i="34"/>
  <c r="D136" i="32"/>
  <c r="E136" i="32"/>
  <c r="G135" i="32"/>
  <c r="H126" i="89"/>
  <c r="I126" i="89"/>
  <c r="J135" i="70"/>
  <c r="G126" i="92"/>
  <c r="E127" i="92"/>
  <c r="D127" i="92"/>
  <c r="E131" i="63"/>
  <c r="G130" i="63"/>
  <c r="D131" i="63"/>
  <c r="J129" i="65"/>
  <c r="J135" i="71"/>
  <c r="J131" i="57"/>
  <c r="E136" i="18"/>
  <c r="G135" i="18"/>
  <c r="D136" i="18"/>
  <c r="G131" i="59"/>
  <c r="E132" i="59"/>
  <c r="D132" i="59"/>
  <c r="J135" i="23"/>
  <c r="I132" i="56"/>
  <c r="H132" i="56"/>
  <c r="D137" i="23"/>
  <c r="E137" i="23"/>
  <c r="G136" i="23"/>
  <c r="F133" i="56"/>
  <c r="B133" i="56"/>
  <c r="J125" i="96"/>
  <c r="J125" i="87"/>
  <c r="J126" i="95"/>
  <c r="G132" i="57"/>
  <c r="D133" i="57"/>
  <c r="E133" i="57"/>
  <c r="J136" i="28"/>
  <c r="J133" i="3"/>
  <c r="G136" i="71"/>
  <c r="D137" i="71"/>
  <c r="E137" i="71"/>
  <c r="J134" i="17"/>
  <c r="J126" i="94"/>
  <c r="G135" i="17"/>
  <c r="D136" i="17"/>
  <c r="E136" i="17"/>
  <c r="I135" i="24"/>
  <c r="H135" i="24"/>
  <c r="I128" i="77"/>
  <c r="H128" i="77"/>
  <c r="I134" i="21"/>
  <c r="H134" i="21"/>
  <c r="D127" i="96"/>
  <c r="E127" i="96" s="1"/>
  <c r="G126" i="96"/>
  <c r="I131" i="54"/>
  <c r="H131" i="54"/>
  <c r="B126" i="33"/>
  <c r="F126" i="33"/>
  <c r="I131" i="55"/>
  <c r="H131" i="55"/>
  <c r="H128" i="75"/>
  <c r="I128" i="75"/>
  <c r="D130" i="67"/>
  <c r="G129" i="67"/>
  <c r="E130" i="67"/>
  <c r="J132" i="44"/>
  <c r="D134" i="44"/>
  <c r="G133" i="44"/>
  <c r="E134" i="44"/>
  <c r="H128" i="76"/>
  <c r="I128" i="76"/>
  <c r="H127" i="80"/>
  <c r="I127" i="80"/>
  <c r="D138" i="28"/>
  <c r="G137" i="28"/>
  <c r="E138" i="28"/>
  <c r="B132" i="54"/>
  <c r="F132" i="54"/>
  <c r="H125" i="33"/>
  <c r="I125" i="33"/>
  <c r="D135" i="3"/>
  <c r="G134" i="3"/>
  <c r="E135" i="3"/>
  <c r="H133" i="42"/>
  <c r="I133" i="42"/>
  <c r="G127" i="94"/>
  <c r="D128" i="94"/>
  <c r="E128" i="94" s="1"/>
  <c r="I125" i="13"/>
  <c r="H125" i="13"/>
  <c r="G127" i="95"/>
  <c r="D128" i="95"/>
  <c r="E128" i="95" s="1"/>
  <c r="F127" i="93"/>
  <c r="B127" i="93"/>
  <c r="G127" i="82"/>
  <c r="D128" i="82"/>
  <c r="E128" i="82"/>
  <c r="F132" i="55"/>
  <c r="B132" i="55"/>
  <c r="B134" i="42"/>
  <c r="F134" i="42"/>
  <c r="J126" i="82"/>
  <c r="B129" i="75"/>
  <c r="F129" i="75"/>
  <c r="I127" i="83"/>
  <c r="H127" i="83"/>
  <c r="B136" i="24"/>
  <c r="F136" i="24"/>
  <c r="F129" i="77"/>
  <c r="B129" i="77"/>
  <c r="B135" i="21"/>
  <c r="F135" i="21"/>
  <c r="F129" i="76"/>
  <c r="B129" i="76"/>
  <c r="B128" i="80"/>
  <c r="F128" i="80"/>
  <c r="H126" i="93"/>
  <c r="I126" i="93"/>
  <c r="D127" i="87"/>
  <c r="G126" i="87"/>
  <c r="E127" i="87"/>
  <c r="B126" i="13"/>
  <c r="F126" i="13"/>
  <c r="F128" i="83"/>
  <c r="B128" i="83"/>
  <c r="D47" i="25" l="1"/>
  <c r="G46" i="25"/>
  <c r="H46" i="25"/>
  <c r="J125" i="25"/>
  <c r="G126" i="25"/>
  <c r="D127" i="25"/>
  <c r="I48" i="78"/>
  <c r="H46" i="13"/>
  <c r="I46" i="13" s="1"/>
  <c r="G56" i="71"/>
  <c r="I56" i="71" s="1"/>
  <c r="E57" i="97"/>
  <c r="F57" i="97" s="1"/>
  <c r="B57" i="97"/>
  <c r="H56" i="97"/>
  <c r="I50" i="99"/>
  <c r="G56" i="97"/>
  <c r="B46" i="98"/>
  <c r="F46" i="98"/>
  <c r="H46" i="98" s="1"/>
  <c r="B51" i="99"/>
  <c r="F51" i="99"/>
  <c r="H51" i="99" s="1"/>
  <c r="J125" i="99"/>
  <c r="D127" i="99"/>
  <c r="G126" i="99"/>
  <c r="E127" i="99"/>
  <c r="J126" i="26"/>
  <c r="G127" i="26"/>
  <c r="D128" i="26"/>
  <c r="B128" i="26" s="1"/>
  <c r="I56" i="27"/>
  <c r="I126" i="97"/>
  <c r="H126" i="97"/>
  <c r="H126" i="98"/>
  <c r="I126" i="98"/>
  <c r="F127" i="97"/>
  <c r="B127" i="97"/>
  <c r="F127" i="98"/>
  <c r="B127" i="98"/>
  <c r="H48" i="85"/>
  <c r="I48" i="85" s="1"/>
  <c r="I45" i="96"/>
  <c r="I47" i="84"/>
  <c r="I48" i="80"/>
  <c r="B51" i="67"/>
  <c r="F51" i="67"/>
  <c r="H51" i="67" s="1"/>
  <c r="F52" i="46"/>
  <c r="G52" i="46" s="1"/>
  <c r="B52" i="46"/>
  <c r="G54" i="39"/>
  <c r="I54" i="39" s="1"/>
  <c r="F56" i="24"/>
  <c r="G56" i="24" s="1"/>
  <c r="B56" i="24"/>
  <c r="G50" i="62"/>
  <c r="I50" i="62" s="1"/>
  <c r="F47" i="94"/>
  <c r="H47" i="94" s="1"/>
  <c r="B47" i="94"/>
  <c r="H49" i="82"/>
  <c r="D50" i="82"/>
  <c r="E50" i="82"/>
  <c r="B49" i="80"/>
  <c r="F49" i="80"/>
  <c r="H48" i="88"/>
  <c r="I48" i="88" s="1"/>
  <c r="F46" i="93"/>
  <c r="G46" i="93" s="1"/>
  <c r="B46" i="93"/>
  <c r="G48" i="86"/>
  <c r="H48" i="86"/>
  <c r="D49" i="86"/>
  <c r="E49" i="86"/>
  <c r="I56" i="23"/>
  <c r="G49" i="82"/>
  <c r="F52" i="53"/>
  <c r="G52" i="53" s="1"/>
  <c r="B52" i="53"/>
  <c r="B51" i="66"/>
  <c r="F51" i="66"/>
  <c r="B48" i="84"/>
  <c r="F48" i="84"/>
  <c r="H48" i="84" s="1"/>
  <c r="D51" i="65"/>
  <c r="E51" i="65" s="1"/>
  <c r="B57" i="23"/>
  <c r="F57" i="23"/>
  <c r="H47" i="26"/>
  <c r="I47" i="26" s="1"/>
  <c r="I54" i="43"/>
  <c r="B49" i="90"/>
  <c r="F49" i="90"/>
  <c r="H49" i="90" s="1"/>
  <c r="G54" i="42"/>
  <c r="I54" i="42" s="1"/>
  <c r="D55" i="42"/>
  <c r="E55" i="42" s="1"/>
  <c r="G54" i="20"/>
  <c r="I54" i="20" s="1"/>
  <c r="D50" i="75"/>
  <c r="E50" i="75" s="1"/>
  <c r="D54" i="55"/>
  <c r="E54" i="55" s="1"/>
  <c r="G50" i="65"/>
  <c r="B48" i="91"/>
  <c r="F48" i="91"/>
  <c r="G48" i="91" s="1"/>
  <c r="G49" i="75"/>
  <c r="I49" i="75" s="1"/>
  <c r="G53" i="55"/>
  <c r="I53" i="55" s="1"/>
  <c r="H50" i="65"/>
  <c r="H53" i="58"/>
  <c r="D54" i="58"/>
  <c r="E54" i="58" s="1"/>
  <c r="G53" i="58"/>
  <c r="B55" i="22"/>
  <c r="F55" i="22"/>
  <c r="H55" i="22" s="1"/>
  <c r="B49" i="76"/>
  <c r="F49" i="76"/>
  <c r="H49" i="76" s="1"/>
  <c r="H55" i="19"/>
  <c r="I55" i="19" s="1"/>
  <c r="B54" i="44"/>
  <c r="F54" i="44"/>
  <c r="G54" i="44" s="1"/>
  <c r="B46" i="96"/>
  <c r="F46" i="96"/>
  <c r="H46" i="96" s="1"/>
  <c r="B57" i="27"/>
  <c r="F57" i="27"/>
  <c r="D47" i="95"/>
  <c r="E47" i="95"/>
  <c r="H47" i="87"/>
  <c r="I47" i="87" s="1"/>
  <c r="D55" i="39"/>
  <c r="E55" i="39" s="1"/>
  <c r="F48" i="81"/>
  <c r="G48" i="81" s="1"/>
  <c r="B48" i="81"/>
  <c r="F51" i="61"/>
  <c r="G51" i="61" s="1"/>
  <c r="B51" i="61"/>
  <c r="G46" i="95"/>
  <c r="I46" i="95" s="1"/>
  <c r="H52" i="72"/>
  <c r="I52" i="72" s="1"/>
  <c r="D53" i="72"/>
  <c r="E53" i="72" s="1"/>
  <c r="D49" i="85"/>
  <c r="E49" i="85"/>
  <c r="G58" i="28"/>
  <c r="D59" i="28"/>
  <c r="E59" i="28"/>
  <c r="D58" i="69"/>
  <c r="E58" i="69" s="1"/>
  <c r="D58" i="31"/>
  <c r="E58" i="31" s="1"/>
  <c r="B47" i="92"/>
  <c r="F47" i="92"/>
  <c r="G47" i="92" s="1"/>
  <c r="F55" i="17"/>
  <c r="C64" i="17"/>
  <c r="B55" i="17"/>
  <c r="B51" i="60"/>
  <c r="F51" i="60"/>
  <c r="G51" i="60" s="1"/>
  <c r="B51" i="63"/>
  <c r="F51" i="63"/>
  <c r="H51" i="63" s="1"/>
  <c r="D57" i="71"/>
  <c r="E57" i="71" s="1"/>
  <c r="H57" i="31"/>
  <c r="F49" i="78"/>
  <c r="B49" i="78"/>
  <c r="D57" i="30"/>
  <c r="E57" i="30" s="1"/>
  <c r="F57" i="70"/>
  <c r="G57" i="70" s="1"/>
  <c r="B57" i="70"/>
  <c r="G47" i="83"/>
  <c r="D48" i="83"/>
  <c r="E48" i="83" s="1"/>
  <c r="D52" i="64"/>
  <c r="E52" i="64"/>
  <c r="B52" i="54"/>
  <c r="F52" i="54"/>
  <c r="H52" i="54" s="1"/>
  <c r="F49" i="79"/>
  <c r="B49" i="79"/>
  <c r="H51" i="56"/>
  <c r="I51" i="56" s="1"/>
  <c r="D52" i="56"/>
  <c r="E52" i="56" s="1"/>
  <c r="D56" i="3"/>
  <c r="E56" i="3" s="1"/>
  <c r="B55" i="21"/>
  <c r="F55" i="21"/>
  <c r="H55" i="21" s="1"/>
  <c r="F56" i="32"/>
  <c r="H56" i="32" s="1"/>
  <c r="B56" i="32"/>
  <c r="D57" i="34"/>
  <c r="E57" i="34" s="1"/>
  <c r="I56" i="70"/>
  <c r="G51" i="64"/>
  <c r="I51" i="64" s="1"/>
  <c r="B49" i="77"/>
  <c r="F49" i="77"/>
  <c r="G49" i="77" s="1"/>
  <c r="B54" i="73"/>
  <c r="F54" i="73"/>
  <c r="H57" i="69"/>
  <c r="I48" i="79"/>
  <c r="H56" i="30"/>
  <c r="F47" i="89"/>
  <c r="H47" i="89" s="1"/>
  <c r="B47" i="89"/>
  <c r="F55" i="43"/>
  <c r="G55" i="43" s="1"/>
  <c r="B55" i="43"/>
  <c r="H47" i="83"/>
  <c r="B57" i="29"/>
  <c r="F57" i="29"/>
  <c r="H57" i="29" s="1"/>
  <c r="G55" i="3"/>
  <c r="I55" i="3" s="1"/>
  <c r="B52" i="57"/>
  <c r="F52" i="57"/>
  <c r="G52" i="57" s="1"/>
  <c r="G53" i="45"/>
  <c r="I53" i="45" s="1"/>
  <c r="D54" i="45"/>
  <c r="E54" i="45" s="1"/>
  <c r="F54" i="74"/>
  <c r="G54" i="74" s="1"/>
  <c r="B54" i="74"/>
  <c r="I54" i="41"/>
  <c r="D56" i="19"/>
  <c r="E56" i="19" s="1"/>
  <c r="H56" i="34"/>
  <c r="I56" i="34" s="1"/>
  <c r="D49" i="88"/>
  <c r="E49" i="88" s="1"/>
  <c r="G50" i="68"/>
  <c r="I50" i="68" s="1"/>
  <c r="D51" i="68"/>
  <c r="E51" i="68" s="1"/>
  <c r="H58" i="28"/>
  <c r="G57" i="69"/>
  <c r="B55" i="41"/>
  <c r="F55" i="41"/>
  <c r="G57" i="31"/>
  <c r="G56" i="30"/>
  <c r="J131" i="55"/>
  <c r="J132" i="45"/>
  <c r="J126" i="89"/>
  <c r="J131" i="54"/>
  <c r="D49" i="33"/>
  <c r="E49" i="33" s="1"/>
  <c r="G48" i="33"/>
  <c r="H48" i="33"/>
  <c r="B51" i="59"/>
  <c r="F51" i="59"/>
  <c r="H51" i="59" s="1"/>
  <c r="J125" i="33"/>
  <c r="E55" i="20"/>
  <c r="D55" i="20"/>
  <c r="D48" i="26"/>
  <c r="E48" i="26" s="1"/>
  <c r="D48" i="87"/>
  <c r="E48" i="87"/>
  <c r="F56" i="18"/>
  <c r="G56" i="18" s="1"/>
  <c r="B56" i="18"/>
  <c r="D47" i="13"/>
  <c r="E47" i="13" s="1"/>
  <c r="D51" i="62"/>
  <c r="E51" i="62" s="1"/>
  <c r="I134" i="34"/>
  <c r="H134" i="34"/>
  <c r="F129" i="79"/>
  <c r="B129" i="79"/>
  <c r="E135" i="73"/>
  <c r="D135" i="73"/>
  <c r="G134" i="73"/>
  <c r="F137" i="69"/>
  <c r="B137" i="69"/>
  <c r="H129" i="68"/>
  <c r="I129" i="68"/>
  <c r="H126" i="88"/>
  <c r="I126" i="88"/>
  <c r="I131" i="53"/>
  <c r="H131" i="53"/>
  <c r="B131" i="61"/>
  <c r="F131" i="61"/>
  <c r="I130" i="65"/>
  <c r="H130" i="65"/>
  <c r="H127" i="85"/>
  <c r="I127" i="85"/>
  <c r="I136" i="29"/>
  <c r="H136" i="29"/>
  <c r="F131" i="60"/>
  <c r="B131" i="60"/>
  <c r="I136" i="30"/>
  <c r="H136" i="30"/>
  <c r="I136" i="70"/>
  <c r="H136" i="70"/>
  <c r="B135" i="19"/>
  <c r="F135" i="19"/>
  <c r="B131" i="64"/>
  <c r="F131" i="64"/>
  <c r="F132" i="72"/>
  <c r="B132" i="72"/>
  <c r="F127" i="84"/>
  <c r="B127" i="84"/>
  <c r="J128" i="77"/>
  <c r="F127" i="92"/>
  <c r="B127" i="92"/>
  <c r="B136" i="32"/>
  <c r="F136" i="32"/>
  <c r="D132" i="62"/>
  <c r="E132" i="62"/>
  <c r="G131" i="62"/>
  <c r="B135" i="20"/>
  <c r="F135" i="20"/>
  <c r="H128" i="79"/>
  <c r="I128" i="79"/>
  <c r="G134" i="41"/>
  <c r="E135" i="41"/>
  <c r="D135" i="41"/>
  <c r="I136" i="69"/>
  <c r="H136" i="69"/>
  <c r="F127" i="88"/>
  <c r="B127" i="88"/>
  <c r="F137" i="27"/>
  <c r="B137" i="27"/>
  <c r="E128" i="89"/>
  <c r="G127" i="89"/>
  <c r="D128" i="89"/>
  <c r="H135" i="31"/>
  <c r="I135" i="31"/>
  <c r="G127" i="91"/>
  <c r="E128" i="91"/>
  <c r="D128" i="91"/>
  <c r="H130" i="60"/>
  <c r="I130" i="60"/>
  <c r="B137" i="30"/>
  <c r="F137" i="30"/>
  <c r="I129" i="66"/>
  <c r="H129" i="66"/>
  <c r="B129" i="78"/>
  <c r="F129" i="78"/>
  <c r="F127" i="90"/>
  <c r="B127" i="90"/>
  <c r="J127" i="81"/>
  <c r="I132" i="74"/>
  <c r="H132" i="74"/>
  <c r="E136" i="22"/>
  <c r="G135" i="22"/>
  <c r="D136" i="22"/>
  <c r="F134" i="39"/>
  <c r="B134" i="39"/>
  <c r="J132" i="56"/>
  <c r="B131" i="63"/>
  <c r="F131" i="63"/>
  <c r="H126" i="86"/>
  <c r="I126" i="86"/>
  <c r="E129" i="81"/>
  <c r="D129" i="81"/>
  <c r="G128" i="81"/>
  <c r="H136" i="27"/>
  <c r="I136" i="27"/>
  <c r="I130" i="61"/>
  <c r="H130" i="61"/>
  <c r="B131" i="65"/>
  <c r="F131" i="65"/>
  <c r="F137" i="29"/>
  <c r="B137" i="29"/>
  <c r="F132" i="46"/>
  <c r="B132" i="46"/>
  <c r="B130" i="66"/>
  <c r="F130" i="66"/>
  <c r="F137" i="70"/>
  <c r="B137" i="70"/>
  <c r="H134" i="19"/>
  <c r="I134" i="19"/>
  <c r="F133" i="74"/>
  <c r="B133" i="74"/>
  <c r="F134" i="43"/>
  <c r="B134" i="43"/>
  <c r="H133" i="39"/>
  <c r="I133" i="39"/>
  <c r="H130" i="64"/>
  <c r="I130" i="64"/>
  <c r="I126" i="84"/>
  <c r="H126" i="84"/>
  <c r="B132" i="58"/>
  <c r="F132" i="58"/>
  <c r="J135" i="24"/>
  <c r="H130" i="63"/>
  <c r="I130" i="63"/>
  <c r="I126" i="92"/>
  <c r="H126" i="92"/>
  <c r="I135" i="32"/>
  <c r="H135" i="32"/>
  <c r="B135" i="34"/>
  <c r="F135" i="34"/>
  <c r="B127" i="86"/>
  <c r="F127" i="86"/>
  <c r="H134" i="20"/>
  <c r="I134" i="20"/>
  <c r="B130" i="68"/>
  <c r="F130" i="68"/>
  <c r="B132" i="53"/>
  <c r="F132" i="53"/>
  <c r="J134" i="22"/>
  <c r="F136" i="31"/>
  <c r="B136" i="31"/>
  <c r="J133" i="73"/>
  <c r="J133" i="41"/>
  <c r="B128" i="85"/>
  <c r="F128" i="85"/>
  <c r="I131" i="46"/>
  <c r="H131" i="46"/>
  <c r="J130" i="62"/>
  <c r="I128" i="78"/>
  <c r="H128" i="78"/>
  <c r="H126" i="90"/>
  <c r="I126" i="90"/>
  <c r="I133" i="43"/>
  <c r="H133" i="43"/>
  <c r="I131" i="72"/>
  <c r="H131" i="72"/>
  <c r="J126" i="91"/>
  <c r="E134" i="45"/>
  <c r="D134" i="45"/>
  <c r="G133" i="45"/>
  <c r="H131" i="58"/>
  <c r="I131" i="58"/>
  <c r="J133" i="42"/>
  <c r="J127" i="80"/>
  <c r="J128" i="75"/>
  <c r="H136" i="23"/>
  <c r="I136" i="23"/>
  <c r="H131" i="59"/>
  <c r="I131" i="59"/>
  <c r="E134" i="56"/>
  <c r="D134" i="56"/>
  <c r="G133" i="56"/>
  <c r="F136" i="18"/>
  <c r="B136" i="18"/>
  <c r="F137" i="23"/>
  <c r="B137" i="23"/>
  <c r="B132" i="59"/>
  <c r="F132" i="59"/>
  <c r="H135" i="18"/>
  <c r="I135" i="18"/>
  <c r="B137" i="71"/>
  <c r="F137" i="71"/>
  <c r="I136" i="71"/>
  <c r="H136" i="71"/>
  <c r="J126" i="93"/>
  <c r="B133" i="57"/>
  <c r="F133" i="57"/>
  <c r="J125" i="13"/>
  <c r="I132" i="57"/>
  <c r="H132" i="57"/>
  <c r="G128" i="83"/>
  <c r="E129" i="83"/>
  <c r="D129" i="83"/>
  <c r="H126" i="87"/>
  <c r="I126" i="87"/>
  <c r="D130" i="75"/>
  <c r="E130" i="75"/>
  <c r="G129" i="75"/>
  <c r="E135" i="42"/>
  <c r="D135" i="42"/>
  <c r="G134" i="42"/>
  <c r="H137" i="28"/>
  <c r="I137" i="28"/>
  <c r="I133" i="44"/>
  <c r="H133" i="44"/>
  <c r="B130" i="67"/>
  <c r="F130" i="67"/>
  <c r="I126" i="96"/>
  <c r="H126" i="96"/>
  <c r="B127" i="87"/>
  <c r="F127" i="87"/>
  <c r="G128" i="80"/>
  <c r="E129" i="80"/>
  <c r="D129" i="80"/>
  <c r="G129" i="76"/>
  <c r="D130" i="76"/>
  <c r="E130" i="76"/>
  <c r="G129" i="77"/>
  <c r="D130" i="77"/>
  <c r="E130" i="77"/>
  <c r="G127" i="93"/>
  <c r="D128" i="93"/>
  <c r="E128" i="93" s="1"/>
  <c r="F128" i="94"/>
  <c r="B128" i="94"/>
  <c r="B138" i="28"/>
  <c r="F138" i="28"/>
  <c r="F134" i="44"/>
  <c r="B134" i="44"/>
  <c r="E136" i="21"/>
  <c r="G135" i="21"/>
  <c r="D136" i="21"/>
  <c r="D137" i="24"/>
  <c r="E137" i="24"/>
  <c r="G136" i="24"/>
  <c r="J127" i="83"/>
  <c r="D133" i="55"/>
  <c r="G132" i="55"/>
  <c r="E133" i="55"/>
  <c r="B128" i="82"/>
  <c r="F128" i="82"/>
  <c r="F128" i="95"/>
  <c r="B128" i="95"/>
  <c r="I127" i="94"/>
  <c r="H127" i="94"/>
  <c r="H134" i="3"/>
  <c r="I134" i="3"/>
  <c r="J128" i="76"/>
  <c r="G126" i="33"/>
  <c r="D127" i="33"/>
  <c r="E127" i="33" s="1"/>
  <c r="B127" i="96"/>
  <c r="F127" i="96"/>
  <c r="J134" i="21"/>
  <c r="F136" i="17"/>
  <c r="G126" i="13"/>
  <c r="D127" i="13"/>
  <c r="E127" i="13" s="1"/>
  <c r="I127" i="82"/>
  <c r="H127" i="82"/>
  <c r="I127" i="95"/>
  <c r="H127" i="95"/>
  <c r="F135" i="3"/>
  <c r="B135" i="3"/>
  <c r="D133" i="54"/>
  <c r="E133" i="54"/>
  <c r="G132" i="54"/>
  <c r="H129" i="67"/>
  <c r="I129" i="67"/>
  <c r="H135" i="17"/>
  <c r="I135" i="17"/>
  <c r="I46" i="25" l="1"/>
  <c r="B47" i="25"/>
  <c r="E47" i="25"/>
  <c r="F47" i="25" s="1"/>
  <c r="G51" i="99"/>
  <c r="I51" i="99" s="1"/>
  <c r="G46" i="98"/>
  <c r="I46" i="98" s="1"/>
  <c r="E127" i="25"/>
  <c r="F127" i="25" s="1"/>
  <c r="B127" i="25"/>
  <c r="I47" i="83"/>
  <c r="H126" i="25"/>
  <c r="I126" i="25"/>
  <c r="D58" i="97"/>
  <c r="B58" i="97" s="1"/>
  <c r="G57" i="97"/>
  <c r="E58" i="97"/>
  <c r="D52" i="99"/>
  <c r="E52" i="99"/>
  <c r="D47" i="98"/>
  <c r="E47" i="98"/>
  <c r="I56" i="97"/>
  <c r="H57" i="97"/>
  <c r="H126" i="99"/>
  <c r="I126" i="99"/>
  <c r="B127" i="99"/>
  <c r="F127" i="99"/>
  <c r="I50" i="65"/>
  <c r="I56" i="30"/>
  <c r="I58" i="28"/>
  <c r="E128" i="26"/>
  <c r="F128" i="26" s="1"/>
  <c r="G128" i="26" s="1"/>
  <c r="I128" i="26" s="1"/>
  <c r="H127" i="26"/>
  <c r="I127" i="26"/>
  <c r="J126" i="98"/>
  <c r="H56" i="24"/>
  <c r="I56" i="24" s="1"/>
  <c r="G55" i="21"/>
  <c r="I55" i="21" s="1"/>
  <c r="G127" i="98"/>
  <c r="D128" i="98"/>
  <c r="E128" i="98"/>
  <c r="G127" i="97"/>
  <c r="D128" i="97"/>
  <c r="E128" i="97"/>
  <c r="J126" i="97"/>
  <c r="G49" i="76"/>
  <c r="I49" i="76" s="1"/>
  <c r="G51" i="67"/>
  <c r="I51" i="67" s="1"/>
  <c r="D52" i="67"/>
  <c r="E52" i="67" s="1"/>
  <c r="H52" i="46"/>
  <c r="I52" i="46" s="1"/>
  <c r="D53" i="46"/>
  <c r="E53" i="46" s="1"/>
  <c r="G57" i="29"/>
  <c r="I57" i="29" s="1"/>
  <c r="D57" i="24"/>
  <c r="E57" i="24" s="1"/>
  <c r="G51" i="59"/>
  <c r="I51" i="59" s="1"/>
  <c r="H47" i="92"/>
  <c r="I47" i="92" s="1"/>
  <c r="G48" i="84"/>
  <c r="I48" i="84" s="1"/>
  <c r="I48" i="86"/>
  <c r="H46" i="93"/>
  <c r="I46" i="93" s="1"/>
  <c r="D47" i="93"/>
  <c r="E47" i="93" s="1"/>
  <c r="H49" i="80"/>
  <c r="D50" i="80"/>
  <c r="E50" i="80"/>
  <c r="B50" i="82"/>
  <c r="F50" i="82"/>
  <c r="H50" i="82" s="1"/>
  <c r="H52" i="57"/>
  <c r="I52" i="57" s="1"/>
  <c r="I49" i="82"/>
  <c r="D48" i="94"/>
  <c r="E48" i="94" s="1"/>
  <c r="I48" i="33"/>
  <c r="F49" i="86"/>
  <c r="B49" i="86"/>
  <c r="G49" i="80"/>
  <c r="G47" i="94"/>
  <c r="I47" i="94" s="1"/>
  <c r="F54" i="58"/>
  <c r="B54" i="58"/>
  <c r="B50" i="75"/>
  <c r="F50" i="75"/>
  <c r="G50" i="75" s="1"/>
  <c r="D49" i="91"/>
  <c r="E49" i="91"/>
  <c r="H48" i="91"/>
  <c r="I48" i="91" s="1"/>
  <c r="G51" i="66"/>
  <c r="D52" i="66"/>
  <c r="E52" i="66" s="1"/>
  <c r="H51" i="61"/>
  <c r="I51" i="61" s="1"/>
  <c r="F51" i="65"/>
  <c r="G51" i="65" s="1"/>
  <c r="B51" i="65"/>
  <c r="D49" i="84"/>
  <c r="E49" i="84"/>
  <c r="D53" i="53"/>
  <c r="E53" i="53" s="1"/>
  <c r="I53" i="58"/>
  <c r="B54" i="55"/>
  <c r="F54" i="55"/>
  <c r="B55" i="42"/>
  <c r="F55" i="42"/>
  <c r="G49" i="90"/>
  <c r="I49" i="90" s="1"/>
  <c r="E50" i="90"/>
  <c r="D50" i="90"/>
  <c r="H57" i="23"/>
  <c r="G57" i="23"/>
  <c r="D58" i="23"/>
  <c r="H51" i="66"/>
  <c r="H52" i="53"/>
  <c r="I52" i="53" s="1"/>
  <c r="F55" i="39"/>
  <c r="H55" i="39" s="1"/>
  <c r="B55" i="39"/>
  <c r="D55" i="44"/>
  <c r="E55" i="44" s="1"/>
  <c r="F53" i="72"/>
  <c r="G53" i="72" s="1"/>
  <c r="B53" i="72"/>
  <c r="H49" i="77"/>
  <c r="I49" i="77" s="1"/>
  <c r="D52" i="61"/>
  <c r="E52" i="61" s="1"/>
  <c r="H48" i="81"/>
  <c r="I48" i="81" s="1"/>
  <c r="D49" i="81"/>
  <c r="E49" i="81" s="1"/>
  <c r="F47" i="95"/>
  <c r="B47" i="95"/>
  <c r="G57" i="27"/>
  <c r="H57" i="27"/>
  <c r="D58" i="27"/>
  <c r="E58" i="27" s="1"/>
  <c r="G46" i="96"/>
  <c r="I46" i="96" s="1"/>
  <c r="E47" i="96"/>
  <c r="D47" i="96"/>
  <c r="H54" i="44"/>
  <c r="I54" i="44" s="1"/>
  <c r="D50" i="76"/>
  <c r="E50" i="76"/>
  <c r="B49" i="85"/>
  <c r="F49" i="85"/>
  <c r="G49" i="85" s="1"/>
  <c r="G55" i="22"/>
  <c r="I55" i="22" s="1"/>
  <c r="D56" i="22"/>
  <c r="E56" i="22" s="1"/>
  <c r="D56" i="41"/>
  <c r="E56" i="41" s="1"/>
  <c r="D50" i="79"/>
  <c r="E50" i="79" s="1"/>
  <c r="H56" i="18"/>
  <c r="I56" i="18" s="1"/>
  <c r="B49" i="88"/>
  <c r="F49" i="88"/>
  <c r="H49" i="88" s="1"/>
  <c r="B56" i="19"/>
  <c r="F56" i="19"/>
  <c r="H56" i="19" s="1"/>
  <c r="G56" i="32"/>
  <c r="I56" i="32" s="1"/>
  <c r="G49" i="79"/>
  <c r="F52" i="64"/>
  <c r="B52" i="64"/>
  <c r="B57" i="30"/>
  <c r="F57" i="30"/>
  <c r="H57" i="30" s="1"/>
  <c r="G49" i="78"/>
  <c r="D50" i="78"/>
  <c r="E50" i="78" s="1"/>
  <c r="G51" i="63"/>
  <c r="I51" i="63" s="1"/>
  <c r="D52" i="63"/>
  <c r="E52" i="63" s="1"/>
  <c r="F58" i="69"/>
  <c r="G58" i="69" s="1"/>
  <c r="B58" i="69"/>
  <c r="F54" i="45"/>
  <c r="G54" i="45" s="1"/>
  <c r="B54" i="45"/>
  <c r="D56" i="43"/>
  <c r="E56" i="43" s="1"/>
  <c r="H54" i="73"/>
  <c r="G54" i="73"/>
  <c r="D55" i="73"/>
  <c r="E55" i="73" s="1"/>
  <c r="D56" i="17"/>
  <c r="E56" i="17" s="1"/>
  <c r="H55" i="41"/>
  <c r="F51" i="68"/>
  <c r="B51" i="68"/>
  <c r="H54" i="74"/>
  <c r="I54" i="74" s="1"/>
  <c r="D55" i="74"/>
  <c r="E55" i="74" s="1"/>
  <c r="D58" i="29"/>
  <c r="E58" i="29" s="1"/>
  <c r="B56" i="3"/>
  <c r="F56" i="3"/>
  <c r="H56" i="3" s="1"/>
  <c r="B52" i="56"/>
  <c r="F52" i="56"/>
  <c r="H52" i="56" s="1"/>
  <c r="H49" i="79"/>
  <c r="G52" i="54"/>
  <c r="I52" i="54" s="1"/>
  <c r="D53" i="54"/>
  <c r="E53" i="54" s="1"/>
  <c r="I57" i="31"/>
  <c r="B57" i="71"/>
  <c r="F57" i="71"/>
  <c r="H57" i="71" s="1"/>
  <c r="H55" i="17"/>
  <c r="B58" i="31"/>
  <c r="F58" i="31"/>
  <c r="H58" i="31" s="1"/>
  <c r="D57" i="32"/>
  <c r="E57" i="32" s="1"/>
  <c r="B48" i="83"/>
  <c r="F48" i="83"/>
  <c r="G48" i="83" s="1"/>
  <c r="B59" i="28"/>
  <c r="F59" i="28"/>
  <c r="G59" i="28" s="1"/>
  <c r="G55" i="41"/>
  <c r="D53" i="57"/>
  <c r="E53" i="57" s="1"/>
  <c r="H55" i="43"/>
  <c r="I55" i="43" s="1"/>
  <c r="G47" i="89"/>
  <c r="I47" i="89" s="1"/>
  <c r="D48" i="89"/>
  <c r="E48" i="89" s="1"/>
  <c r="I57" i="69"/>
  <c r="D50" i="77"/>
  <c r="E50" i="77" s="1"/>
  <c r="B57" i="34"/>
  <c r="F57" i="34"/>
  <c r="G57" i="34" s="1"/>
  <c r="D56" i="21"/>
  <c r="E56" i="21"/>
  <c r="H57" i="70"/>
  <c r="I57" i="70" s="1"/>
  <c r="D58" i="70"/>
  <c r="E58" i="70" s="1"/>
  <c r="H49" i="78"/>
  <c r="H51" i="60"/>
  <c r="I51" i="60" s="1"/>
  <c r="D52" i="60"/>
  <c r="E52" i="60" s="1"/>
  <c r="G55" i="17"/>
  <c r="D48" i="92"/>
  <c r="E48" i="92"/>
  <c r="J133" i="43"/>
  <c r="J128" i="78"/>
  <c r="J126" i="92"/>
  <c r="J135" i="31"/>
  <c r="J133" i="39"/>
  <c r="J136" i="27"/>
  <c r="J136" i="69"/>
  <c r="J130" i="64"/>
  <c r="B48" i="87"/>
  <c r="F48" i="87"/>
  <c r="G48" i="87" s="1"/>
  <c r="B55" i="20"/>
  <c r="F55" i="20"/>
  <c r="H55" i="20" s="1"/>
  <c r="D52" i="59"/>
  <c r="E52" i="59" s="1"/>
  <c r="J134" i="19"/>
  <c r="J130" i="60"/>
  <c r="J136" i="70"/>
  <c r="F51" i="62"/>
  <c r="H51" i="62" s="1"/>
  <c r="B51" i="62"/>
  <c r="B47" i="13"/>
  <c r="F47" i="13"/>
  <c r="H47" i="13" s="1"/>
  <c r="J131" i="72"/>
  <c r="J135" i="32"/>
  <c r="J132" i="74"/>
  <c r="J136" i="30"/>
  <c r="J136" i="29"/>
  <c r="J130" i="65"/>
  <c r="J131" i="53"/>
  <c r="D57" i="18"/>
  <c r="E57" i="18" s="1"/>
  <c r="F48" i="26"/>
  <c r="H48" i="26" s="1"/>
  <c r="B48" i="26"/>
  <c r="B49" i="33"/>
  <c r="F49" i="33"/>
  <c r="G128" i="85"/>
  <c r="E129" i="85"/>
  <c r="D129" i="85"/>
  <c r="D133" i="58"/>
  <c r="E133" i="58"/>
  <c r="G132" i="58"/>
  <c r="E131" i="66"/>
  <c r="D131" i="66"/>
  <c r="G130" i="66"/>
  <c r="H128" i="81"/>
  <c r="I128" i="81"/>
  <c r="I127" i="91"/>
  <c r="H127" i="91"/>
  <c r="H127" i="89"/>
  <c r="I127" i="89"/>
  <c r="B135" i="41"/>
  <c r="F135" i="41"/>
  <c r="G127" i="84"/>
  <c r="E128" i="84"/>
  <c r="D128" i="84"/>
  <c r="D132" i="60"/>
  <c r="G131" i="60"/>
  <c r="E132" i="60"/>
  <c r="E138" i="69"/>
  <c r="G137" i="69"/>
  <c r="D138" i="69"/>
  <c r="J136" i="71"/>
  <c r="J135" i="18"/>
  <c r="J136" i="23"/>
  <c r="H133" i="45"/>
  <c r="I133" i="45"/>
  <c r="J126" i="90"/>
  <c r="G136" i="31"/>
  <c r="E137" i="31"/>
  <c r="D137" i="31"/>
  <c r="D131" i="68"/>
  <c r="E131" i="68"/>
  <c r="G130" i="68"/>
  <c r="E128" i="86"/>
  <c r="G127" i="86"/>
  <c r="D128" i="86"/>
  <c r="J130" i="63"/>
  <c r="G134" i="43"/>
  <c r="D135" i="43"/>
  <c r="E135" i="43"/>
  <c r="D138" i="29"/>
  <c r="E138" i="29"/>
  <c r="G137" i="29"/>
  <c r="J130" i="61"/>
  <c r="F129" i="81"/>
  <c r="B129" i="81"/>
  <c r="E132" i="63"/>
  <c r="G131" i="63"/>
  <c r="D132" i="63"/>
  <c r="D135" i="39"/>
  <c r="G134" i="39"/>
  <c r="E135" i="39"/>
  <c r="G127" i="90"/>
  <c r="E128" i="90"/>
  <c r="D128" i="90"/>
  <c r="J129" i="66"/>
  <c r="E128" i="88"/>
  <c r="D128" i="88"/>
  <c r="G127" i="88"/>
  <c r="G135" i="20"/>
  <c r="E136" i="20"/>
  <c r="D136" i="20"/>
  <c r="B132" i="62"/>
  <c r="F132" i="62"/>
  <c r="D128" i="92"/>
  <c r="G127" i="92"/>
  <c r="E128" i="92"/>
  <c r="E136" i="19"/>
  <c r="D136" i="19"/>
  <c r="G135" i="19"/>
  <c r="J129" i="68"/>
  <c r="H134" i="73"/>
  <c r="I134" i="73"/>
  <c r="D130" i="79"/>
  <c r="E130" i="79"/>
  <c r="G129" i="79"/>
  <c r="B134" i="45"/>
  <c r="F134" i="45"/>
  <c r="D132" i="65"/>
  <c r="G131" i="65"/>
  <c r="E132" i="65"/>
  <c r="B136" i="22"/>
  <c r="F136" i="22"/>
  <c r="D130" i="78"/>
  <c r="E130" i="78"/>
  <c r="G129" i="78"/>
  <c r="E138" i="30"/>
  <c r="G137" i="30"/>
  <c r="D138" i="30"/>
  <c r="B128" i="91"/>
  <c r="F128" i="91"/>
  <c r="H134" i="41"/>
  <c r="I134" i="41"/>
  <c r="G136" i="32"/>
  <c r="D137" i="32"/>
  <c r="E137" i="32"/>
  <c r="E133" i="72"/>
  <c r="D133" i="72"/>
  <c r="G132" i="72"/>
  <c r="B135" i="73"/>
  <c r="F135" i="73"/>
  <c r="J127" i="95"/>
  <c r="J133" i="44"/>
  <c r="J131" i="58"/>
  <c r="J131" i="46"/>
  <c r="E133" i="53"/>
  <c r="D133" i="53"/>
  <c r="G132" i="53"/>
  <c r="J134" i="20"/>
  <c r="D136" i="34"/>
  <c r="G135" i="34"/>
  <c r="E136" i="34"/>
  <c r="J126" i="84"/>
  <c r="G133" i="74"/>
  <c r="E134" i="74"/>
  <c r="D134" i="74"/>
  <c r="E138" i="70"/>
  <c r="D138" i="70"/>
  <c r="G137" i="70"/>
  <c r="G132" i="46"/>
  <c r="D133" i="46"/>
  <c r="E133" i="46"/>
  <c r="J126" i="86"/>
  <c r="I135" i="22"/>
  <c r="H135" i="22"/>
  <c r="F128" i="89"/>
  <c r="B128" i="89"/>
  <c r="E138" i="27"/>
  <c r="G137" i="27"/>
  <c r="D138" i="27"/>
  <c r="J128" i="79"/>
  <c r="I131" i="62"/>
  <c r="H131" i="62"/>
  <c r="D132" i="64"/>
  <c r="E132" i="64"/>
  <c r="G131" i="64"/>
  <c r="J127" i="85"/>
  <c r="E132" i="61"/>
  <c r="G131" i="61"/>
  <c r="D132" i="61"/>
  <c r="J126" i="88"/>
  <c r="J134" i="34"/>
  <c r="J135" i="17"/>
  <c r="E133" i="59"/>
  <c r="G132" i="59"/>
  <c r="D133" i="59"/>
  <c r="J131" i="59"/>
  <c r="E137" i="18"/>
  <c r="D137" i="18"/>
  <c r="G136" i="18"/>
  <c r="H133" i="56"/>
  <c r="I133" i="56"/>
  <c r="J132" i="57"/>
  <c r="E138" i="23"/>
  <c r="D138" i="23"/>
  <c r="G137" i="23"/>
  <c r="F134" i="56"/>
  <c r="B134" i="56"/>
  <c r="D134" i="57"/>
  <c r="G133" i="57"/>
  <c r="E134" i="57"/>
  <c r="E138" i="71"/>
  <c r="G137" i="71"/>
  <c r="D138" i="71"/>
  <c r="J126" i="87"/>
  <c r="J129" i="67"/>
  <c r="B133" i="54"/>
  <c r="F133" i="54"/>
  <c r="D136" i="3"/>
  <c r="G135" i="3"/>
  <c r="E136" i="3"/>
  <c r="J127" i="94"/>
  <c r="G128" i="82"/>
  <c r="D129" i="82"/>
  <c r="E129" i="82"/>
  <c r="H132" i="55"/>
  <c r="I132" i="55"/>
  <c r="I136" i="24"/>
  <c r="H136" i="24"/>
  <c r="H135" i="21"/>
  <c r="I135" i="21"/>
  <c r="G134" i="44"/>
  <c r="D135" i="44"/>
  <c r="E135" i="44"/>
  <c r="F130" i="76"/>
  <c r="B130" i="76"/>
  <c r="H128" i="80"/>
  <c r="I128" i="80"/>
  <c r="J126" i="96"/>
  <c r="D131" i="67"/>
  <c r="G130" i="67"/>
  <c r="E131" i="67"/>
  <c r="I129" i="75"/>
  <c r="H129" i="75"/>
  <c r="F129" i="83"/>
  <c r="B129" i="83"/>
  <c r="F127" i="13"/>
  <c r="B127" i="13"/>
  <c r="D128" i="96"/>
  <c r="G127" i="96"/>
  <c r="F127" i="33"/>
  <c r="B127" i="33"/>
  <c r="J134" i="3"/>
  <c r="G128" i="95"/>
  <c r="D129" i="95"/>
  <c r="E129" i="95" s="1"/>
  <c r="F133" i="55"/>
  <c r="B133" i="55"/>
  <c r="F130" i="77"/>
  <c r="B130" i="77"/>
  <c r="H129" i="76"/>
  <c r="I129" i="76"/>
  <c r="D128" i="87"/>
  <c r="G127" i="87"/>
  <c r="E128" i="87"/>
  <c r="J137" i="28"/>
  <c r="H132" i="54"/>
  <c r="I132" i="54"/>
  <c r="H126" i="13"/>
  <c r="I126" i="13"/>
  <c r="H126" i="33"/>
  <c r="I126" i="33"/>
  <c r="B137" i="24"/>
  <c r="F137" i="24"/>
  <c r="G128" i="94"/>
  <c r="D129" i="94"/>
  <c r="B128" i="93"/>
  <c r="F128" i="93"/>
  <c r="I129" i="77"/>
  <c r="H129" i="77"/>
  <c r="B129" i="80"/>
  <c r="F129" i="80"/>
  <c r="H134" i="42"/>
  <c r="I134" i="42"/>
  <c r="B130" i="75"/>
  <c r="F130" i="75"/>
  <c r="I128" i="83"/>
  <c r="H128" i="83"/>
  <c r="J127" i="82"/>
  <c r="D137" i="17"/>
  <c r="G136" i="17"/>
  <c r="E137" i="17"/>
  <c r="B136" i="21"/>
  <c r="F136" i="21"/>
  <c r="G138" i="28"/>
  <c r="D139" i="28"/>
  <c r="E139" i="28"/>
  <c r="H127" i="93"/>
  <c r="I127" i="93"/>
  <c r="F135" i="42"/>
  <c r="B135" i="42"/>
  <c r="G47" i="25" l="1"/>
  <c r="H47" i="25"/>
  <c r="D48" i="25"/>
  <c r="I49" i="79"/>
  <c r="I57" i="97"/>
  <c r="J126" i="25"/>
  <c r="F58" i="97"/>
  <c r="D59" i="97" s="1"/>
  <c r="E59" i="97" s="1"/>
  <c r="F59" i="97" s="1"/>
  <c r="D128" i="25"/>
  <c r="G127" i="25"/>
  <c r="J126" i="99"/>
  <c r="F52" i="99"/>
  <c r="G52" i="99" s="1"/>
  <c r="B52" i="99"/>
  <c r="F47" i="98"/>
  <c r="B47" i="98"/>
  <c r="G127" i="99"/>
  <c r="E128" i="99"/>
  <c r="D128" i="99"/>
  <c r="H128" i="26"/>
  <c r="J128" i="26" s="1"/>
  <c r="D129" i="26"/>
  <c r="B129" i="26" s="1"/>
  <c r="J127" i="26"/>
  <c r="B128" i="98"/>
  <c r="F128" i="98"/>
  <c r="H127" i="97"/>
  <c r="I127" i="97"/>
  <c r="B128" i="97"/>
  <c r="F128" i="97"/>
  <c r="H127" i="98"/>
  <c r="I127" i="98"/>
  <c r="B52" i="67"/>
  <c r="F52" i="67"/>
  <c r="H52" i="67" s="1"/>
  <c r="I51" i="66"/>
  <c r="H51" i="65"/>
  <c r="I51" i="65" s="1"/>
  <c r="B53" i="46"/>
  <c r="F53" i="46"/>
  <c r="G53" i="46" s="1"/>
  <c r="G58" i="31"/>
  <c r="I58" i="31" s="1"/>
  <c r="H59" i="28"/>
  <c r="I59" i="28" s="1"/>
  <c r="F57" i="24"/>
  <c r="H57" i="24" s="1"/>
  <c r="B57" i="24"/>
  <c r="G57" i="30"/>
  <c r="I57" i="30" s="1"/>
  <c r="G49" i="86"/>
  <c r="H49" i="86"/>
  <c r="E50" i="86"/>
  <c r="D50" i="86"/>
  <c r="B50" i="80"/>
  <c r="F50" i="80"/>
  <c r="G50" i="80" s="1"/>
  <c r="B47" i="93"/>
  <c r="F47" i="93"/>
  <c r="H47" i="93" s="1"/>
  <c r="G56" i="3"/>
  <c r="I56" i="3" s="1"/>
  <c r="I57" i="27"/>
  <c r="B48" i="94"/>
  <c r="F48" i="94"/>
  <c r="H48" i="94" s="1"/>
  <c r="G50" i="82"/>
  <c r="I50" i="82" s="1"/>
  <c r="D51" i="82"/>
  <c r="E51" i="82" s="1"/>
  <c r="I49" i="80"/>
  <c r="B50" i="90"/>
  <c r="F50" i="90"/>
  <c r="G50" i="90" s="1"/>
  <c r="D56" i="42"/>
  <c r="E56" i="42" s="1"/>
  <c r="G54" i="55"/>
  <c r="D55" i="55"/>
  <c r="E55" i="55" s="1"/>
  <c r="F53" i="53"/>
  <c r="H53" i="53" s="1"/>
  <c r="B53" i="53"/>
  <c r="E58" i="23"/>
  <c r="F58" i="23" s="1"/>
  <c r="B58" i="23"/>
  <c r="G55" i="42"/>
  <c r="D51" i="75"/>
  <c r="E51" i="75" s="1"/>
  <c r="H54" i="58"/>
  <c r="D55" i="58"/>
  <c r="E55" i="58" s="1"/>
  <c r="G54" i="58"/>
  <c r="H49" i="85"/>
  <c r="I49" i="85" s="1"/>
  <c r="I57" i="23"/>
  <c r="B49" i="84"/>
  <c r="F49" i="84"/>
  <c r="D52" i="65"/>
  <c r="E52" i="65" s="1"/>
  <c r="B52" i="66"/>
  <c r="F52" i="66"/>
  <c r="G52" i="66" s="1"/>
  <c r="H50" i="75"/>
  <c r="I50" i="75" s="1"/>
  <c r="H54" i="45"/>
  <c r="I54" i="45" s="1"/>
  <c r="H55" i="42"/>
  <c r="H54" i="55"/>
  <c r="B49" i="91"/>
  <c r="F49" i="91"/>
  <c r="B50" i="76"/>
  <c r="F50" i="76"/>
  <c r="H50" i="76" s="1"/>
  <c r="I49" i="78"/>
  <c r="H47" i="95"/>
  <c r="D48" i="95"/>
  <c r="E48" i="95" s="1"/>
  <c r="B49" i="81"/>
  <c r="F49" i="81"/>
  <c r="H49" i="81" s="1"/>
  <c r="F52" i="61"/>
  <c r="H52" i="61" s="1"/>
  <c r="B52" i="61"/>
  <c r="D54" i="72"/>
  <c r="E54" i="72" s="1"/>
  <c r="D56" i="39"/>
  <c r="E56" i="39"/>
  <c r="F56" i="22"/>
  <c r="G56" i="22" s="1"/>
  <c r="B56" i="22"/>
  <c r="F47" i="96"/>
  <c r="B47" i="96"/>
  <c r="G49" i="88"/>
  <c r="I49" i="88" s="1"/>
  <c r="E50" i="85"/>
  <c r="D50" i="85"/>
  <c r="B58" i="27"/>
  <c r="F58" i="27"/>
  <c r="G47" i="95"/>
  <c r="H53" i="72"/>
  <c r="I53" i="72" s="1"/>
  <c r="F55" i="44"/>
  <c r="H55" i="44" s="1"/>
  <c r="B55" i="44"/>
  <c r="G55" i="39"/>
  <c r="I55" i="39" s="1"/>
  <c r="I55" i="17"/>
  <c r="B48" i="92"/>
  <c r="F48" i="92"/>
  <c r="H48" i="92" s="1"/>
  <c r="F48" i="89"/>
  <c r="G48" i="89" s="1"/>
  <c r="B48" i="89"/>
  <c r="F55" i="74"/>
  <c r="G55" i="74" s="1"/>
  <c r="B55" i="74"/>
  <c r="D52" i="68"/>
  <c r="E52" i="68" s="1"/>
  <c r="B56" i="43"/>
  <c r="F56" i="43"/>
  <c r="G56" i="43" s="1"/>
  <c r="D53" i="64"/>
  <c r="E53" i="64" s="1"/>
  <c r="B52" i="60"/>
  <c r="F52" i="60"/>
  <c r="G52" i="60" s="1"/>
  <c r="D58" i="34"/>
  <c r="E58" i="34" s="1"/>
  <c r="B57" i="32"/>
  <c r="F57" i="32"/>
  <c r="G57" i="32" s="1"/>
  <c r="D58" i="71"/>
  <c r="E58" i="71" s="1"/>
  <c r="G51" i="68"/>
  <c r="C65" i="17"/>
  <c r="F56" i="17"/>
  <c r="B56" i="17"/>
  <c r="I54" i="73"/>
  <c r="G52" i="64"/>
  <c r="B56" i="41"/>
  <c r="F56" i="41"/>
  <c r="G56" i="41" s="1"/>
  <c r="B53" i="57"/>
  <c r="F53" i="57"/>
  <c r="H53" i="57" s="1"/>
  <c r="B58" i="70"/>
  <c r="F58" i="70"/>
  <c r="H58" i="70" s="1"/>
  <c r="F56" i="21"/>
  <c r="G56" i="21" s="1"/>
  <c r="B56" i="21"/>
  <c r="H48" i="83"/>
  <c r="I48" i="83" s="1"/>
  <c r="D49" i="83"/>
  <c r="E49" i="83"/>
  <c r="D59" i="31"/>
  <c r="E59" i="31" s="1"/>
  <c r="D53" i="56"/>
  <c r="E53" i="56"/>
  <c r="F58" i="29"/>
  <c r="B58" i="29"/>
  <c r="B50" i="78"/>
  <c r="F50" i="78"/>
  <c r="H50" i="78" s="1"/>
  <c r="G56" i="19"/>
  <c r="I56" i="19" s="1"/>
  <c r="D57" i="19"/>
  <c r="E57" i="19" s="1"/>
  <c r="D50" i="88"/>
  <c r="E50" i="88" s="1"/>
  <c r="F50" i="79"/>
  <c r="G50" i="79" s="1"/>
  <c r="B50" i="79"/>
  <c r="B50" i="77"/>
  <c r="F50" i="77"/>
  <c r="G50" i="77" s="1"/>
  <c r="F55" i="73"/>
  <c r="B55" i="73"/>
  <c r="D59" i="69"/>
  <c r="E59" i="69" s="1"/>
  <c r="H57" i="34"/>
  <c r="I57" i="34" s="1"/>
  <c r="D60" i="28"/>
  <c r="E60" i="28" s="1"/>
  <c r="G57" i="71"/>
  <c r="I57" i="71" s="1"/>
  <c r="B53" i="54"/>
  <c r="F53" i="54"/>
  <c r="G52" i="56"/>
  <c r="I52" i="56" s="1"/>
  <c r="D57" i="3"/>
  <c r="E57" i="3" s="1"/>
  <c r="H51" i="68"/>
  <c r="I55" i="41"/>
  <c r="D55" i="45"/>
  <c r="E55" i="45" s="1"/>
  <c r="H58" i="69"/>
  <c r="I58" i="69" s="1"/>
  <c r="F52" i="63"/>
  <c r="G52" i="63" s="1"/>
  <c r="B52" i="63"/>
  <c r="D58" i="30"/>
  <c r="E58" i="30" s="1"/>
  <c r="H52" i="64"/>
  <c r="J133" i="45"/>
  <c r="J127" i="89"/>
  <c r="J127" i="93"/>
  <c r="J127" i="91"/>
  <c r="J128" i="81"/>
  <c r="D48" i="13"/>
  <c r="E48" i="13" s="1"/>
  <c r="D50" i="33"/>
  <c r="F57" i="18"/>
  <c r="G57" i="18" s="1"/>
  <c r="B57" i="18"/>
  <c r="D52" i="62"/>
  <c r="E52" i="62" s="1"/>
  <c r="D56" i="20"/>
  <c r="E56" i="20" s="1"/>
  <c r="D49" i="87"/>
  <c r="E49" i="87" s="1"/>
  <c r="H49" i="33"/>
  <c r="D49" i="26"/>
  <c r="E49" i="26" s="1"/>
  <c r="G51" i="62"/>
  <c r="I51" i="62" s="1"/>
  <c r="B52" i="59"/>
  <c r="F52" i="59"/>
  <c r="H52" i="59" s="1"/>
  <c r="J134" i="41"/>
  <c r="J134" i="73"/>
  <c r="G49" i="33"/>
  <c r="G48" i="26"/>
  <c r="I48" i="26" s="1"/>
  <c r="G47" i="13"/>
  <c r="I47" i="13" s="1"/>
  <c r="G55" i="20"/>
  <c r="I55" i="20" s="1"/>
  <c r="H48" i="87"/>
  <c r="I48" i="87" s="1"/>
  <c r="B132" i="64"/>
  <c r="F132" i="64"/>
  <c r="B138" i="27"/>
  <c r="F138" i="27"/>
  <c r="D129" i="89"/>
  <c r="E129" i="89"/>
  <c r="G128" i="89"/>
  <c r="F138" i="70"/>
  <c r="B138" i="70"/>
  <c r="H133" i="74"/>
  <c r="I133" i="74"/>
  <c r="F136" i="34"/>
  <c r="B136" i="34"/>
  <c r="F133" i="72"/>
  <c r="B133" i="72"/>
  <c r="I136" i="32"/>
  <c r="H136" i="32"/>
  <c r="H129" i="78"/>
  <c r="I129" i="78"/>
  <c r="E135" i="45"/>
  <c r="G134" i="45"/>
  <c r="D135" i="45"/>
  <c r="B130" i="79"/>
  <c r="F130" i="79"/>
  <c r="H135" i="19"/>
  <c r="I135" i="19"/>
  <c r="I127" i="92"/>
  <c r="H127" i="92"/>
  <c r="B136" i="20"/>
  <c r="F136" i="20"/>
  <c r="F128" i="88"/>
  <c r="B128" i="88"/>
  <c r="F135" i="39"/>
  <c r="B135" i="39"/>
  <c r="I134" i="43"/>
  <c r="H134" i="43"/>
  <c r="B137" i="31"/>
  <c r="F137" i="31"/>
  <c r="F128" i="84"/>
  <c r="B128" i="84"/>
  <c r="F131" i="66"/>
  <c r="B131" i="66"/>
  <c r="F133" i="58"/>
  <c r="B133" i="58"/>
  <c r="I137" i="27"/>
  <c r="H137" i="27"/>
  <c r="F133" i="46"/>
  <c r="B133" i="46"/>
  <c r="E136" i="73"/>
  <c r="G135" i="73"/>
  <c r="D136" i="73"/>
  <c r="B138" i="30"/>
  <c r="F138" i="30"/>
  <c r="B136" i="19"/>
  <c r="F136" i="19"/>
  <c r="F128" i="92"/>
  <c r="B128" i="92"/>
  <c r="H127" i="90"/>
  <c r="I127" i="90"/>
  <c r="B132" i="63"/>
  <c r="F132" i="63"/>
  <c r="E130" i="81"/>
  <c r="G129" i="81"/>
  <c r="D130" i="81"/>
  <c r="F138" i="29"/>
  <c r="B138" i="29"/>
  <c r="H130" i="68"/>
  <c r="I130" i="68"/>
  <c r="B129" i="85"/>
  <c r="F129" i="85"/>
  <c r="B132" i="61"/>
  <c r="F132" i="61"/>
  <c r="I131" i="64"/>
  <c r="H131" i="64"/>
  <c r="J131" i="62"/>
  <c r="J135" i="22"/>
  <c r="I132" i="46"/>
  <c r="H132" i="46"/>
  <c r="B134" i="74"/>
  <c r="F134" i="74"/>
  <c r="H132" i="53"/>
  <c r="I132" i="53"/>
  <c r="H137" i="30"/>
  <c r="I137" i="30"/>
  <c r="F130" i="78"/>
  <c r="B130" i="78"/>
  <c r="H131" i="65"/>
  <c r="I131" i="65"/>
  <c r="H129" i="79"/>
  <c r="I129" i="79"/>
  <c r="E133" i="62"/>
  <c r="D133" i="62"/>
  <c r="G132" i="62"/>
  <c r="H135" i="20"/>
  <c r="I135" i="20"/>
  <c r="H131" i="63"/>
  <c r="I131" i="63"/>
  <c r="B128" i="86"/>
  <c r="F128" i="86"/>
  <c r="I136" i="31"/>
  <c r="H136" i="31"/>
  <c r="F138" i="69"/>
  <c r="B138" i="69"/>
  <c r="I131" i="60"/>
  <c r="H131" i="60"/>
  <c r="I127" i="84"/>
  <c r="H127" i="84"/>
  <c r="H132" i="58"/>
  <c r="I132" i="58"/>
  <c r="J133" i="56"/>
  <c r="H131" i="61"/>
  <c r="I131" i="61"/>
  <c r="H137" i="70"/>
  <c r="I137" i="70"/>
  <c r="H135" i="34"/>
  <c r="I135" i="34"/>
  <c r="B133" i="53"/>
  <c r="F133" i="53"/>
  <c r="H132" i="72"/>
  <c r="I132" i="72"/>
  <c r="B137" i="32"/>
  <c r="F137" i="32"/>
  <c r="D129" i="91"/>
  <c r="G128" i="91"/>
  <c r="E129" i="91"/>
  <c r="D137" i="22"/>
  <c r="G136" i="22"/>
  <c r="E137" i="22"/>
  <c r="B132" i="65"/>
  <c r="F132" i="65"/>
  <c r="I127" i="88"/>
  <c r="H127" i="88"/>
  <c r="B128" i="90"/>
  <c r="F128" i="90"/>
  <c r="I134" i="39"/>
  <c r="H134" i="39"/>
  <c r="H137" i="29"/>
  <c r="I137" i="29"/>
  <c r="B135" i="43"/>
  <c r="F135" i="43"/>
  <c r="I127" i="86"/>
  <c r="H127" i="86"/>
  <c r="F131" i="68"/>
  <c r="B131" i="68"/>
  <c r="I137" i="69"/>
  <c r="H137" i="69"/>
  <c r="F132" i="60"/>
  <c r="B132" i="60"/>
  <c r="G135" i="41"/>
  <c r="E136" i="41"/>
  <c r="D136" i="41"/>
  <c r="H130" i="66"/>
  <c r="I130" i="66"/>
  <c r="H128" i="85"/>
  <c r="I128" i="85"/>
  <c r="J129" i="76"/>
  <c r="J128" i="80"/>
  <c r="F138" i="23"/>
  <c r="B138" i="23"/>
  <c r="J135" i="21"/>
  <c r="J132" i="55"/>
  <c r="E135" i="56"/>
  <c r="G134" i="56"/>
  <c r="D135" i="56"/>
  <c r="H136" i="18"/>
  <c r="I136" i="18"/>
  <c r="F133" i="59"/>
  <c r="B133" i="59"/>
  <c r="I137" i="23"/>
  <c r="H137" i="23"/>
  <c r="B137" i="18"/>
  <c r="F137" i="18"/>
  <c r="I132" i="59"/>
  <c r="H132" i="59"/>
  <c r="J129" i="77"/>
  <c r="F138" i="71"/>
  <c r="B138" i="71"/>
  <c r="I133" i="57"/>
  <c r="H133" i="57"/>
  <c r="J134" i="42"/>
  <c r="J136" i="24"/>
  <c r="I137" i="71"/>
  <c r="H137" i="71"/>
  <c r="B134" i="57"/>
  <c r="F134" i="57"/>
  <c r="H138" i="28"/>
  <c r="I138" i="28"/>
  <c r="G130" i="75"/>
  <c r="D131" i="75"/>
  <c r="E131" i="75"/>
  <c r="B129" i="94"/>
  <c r="J126" i="33"/>
  <c r="J126" i="13"/>
  <c r="F128" i="87"/>
  <c r="B128" i="87"/>
  <c r="E131" i="77"/>
  <c r="G130" i="77"/>
  <c r="D131" i="77"/>
  <c r="B128" i="96"/>
  <c r="B131" i="67"/>
  <c r="F131" i="67"/>
  <c r="D131" i="76"/>
  <c r="E131" i="76"/>
  <c r="G130" i="76"/>
  <c r="F129" i="82"/>
  <c r="B129" i="82"/>
  <c r="E134" i="54"/>
  <c r="D134" i="54"/>
  <c r="G133" i="54"/>
  <c r="G136" i="21"/>
  <c r="D137" i="21"/>
  <c r="E137" i="21"/>
  <c r="J128" i="83"/>
  <c r="E130" i="80"/>
  <c r="D130" i="80"/>
  <c r="G129" i="80"/>
  <c r="G128" i="93"/>
  <c r="D129" i="93"/>
  <c r="E129" i="93" s="1"/>
  <c r="H128" i="94"/>
  <c r="I128" i="94"/>
  <c r="F129" i="95"/>
  <c r="B129" i="95"/>
  <c r="J129" i="75"/>
  <c r="H128" i="82"/>
  <c r="I128" i="82"/>
  <c r="H136" i="17"/>
  <c r="I136" i="17"/>
  <c r="H128" i="95"/>
  <c r="I128" i="95"/>
  <c r="E128" i="96"/>
  <c r="F128" i="96" s="1"/>
  <c r="G127" i="13"/>
  <c r="D128" i="13"/>
  <c r="E128" i="13" s="1"/>
  <c r="G129" i="83"/>
  <c r="D130" i="83"/>
  <c r="E130" i="83"/>
  <c r="F135" i="44"/>
  <c r="B135" i="44"/>
  <c r="I135" i="3"/>
  <c r="H135" i="3"/>
  <c r="E136" i="42"/>
  <c r="D136" i="42"/>
  <c r="G135" i="42"/>
  <c r="F139" i="28"/>
  <c r="B139" i="28"/>
  <c r="B137" i="17"/>
  <c r="F137" i="17"/>
  <c r="E129" i="94"/>
  <c r="F129" i="94" s="1"/>
  <c r="D138" i="24"/>
  <c r="G137" i="24"/>
  <c r="E138" i="24"/>
  <c r="J132" i="54"/>
  <c r="H127" i="87"/>
  <c r="I127" i="87"/>
  <c r="D134" i="55"/>
  <c r="E134" i="55"/>
  <c r="G133" i="55"/>
  <c r="G127" i="33"/>
  <c r="D128" i="33"/>
  <c r="E128" i="33" s="1"/>
  <c r="H127" i="96"/>
  <c r="I127" i="96"/>
  <c r="H130" i="67"/>
  <c r="I130" i="67"/>
  <c r="H134" i="44"/>
  <c r="I134" i="44"/>
  <c r="B136" i="3"/>
  <c r="F136" i="3"/>
  <c r="I47" i="25" l="1"/>
  <c r="E48" i="25"/>
  <c r="F48" i="25" s="1"/>
  <c r="B48" i="25"/>
  <c r="H58" i="97"/>
  <c r="G58" i="97"/>
  <c r="B59" i="97"/>
  <c r="D60" i="97"/>
  <c r="E60" i="97" s="1"/>
  <c r="F60" i="97" s="1"/>
  <c r="G59" i="97"/>
  <c r="H52" i="99"/>
  <c r="I52" i="99" s="1"/>
  <c r="H127" i="25"/>
  <c r="I127" i="25"/>
  <c r="B128" i="25"/>
  <c r="E128" i="25"/>
  <c r="F128" i="25" s="1"/>
  <c r="D48" i="98"/>
  <c r="E48" i="98"/>
  <c r="H47" i="98"/>
  <c r="G48" i="94"/>
  <c r="I48" i="94" s="1"/>
  <c r="G47" i="98"/>
  <c r="H59" i="97"/>
  <c r="D53" i="99"/>
  <c r="E53" i="99" s="1"/>
  <c r="B128" i="99"/>
  <c r="F128" i="99"/>
  <c r="H127" i="99"/>
  <c r="I127" i="99"/>
  <c r="E129" i="26"/>
  <c r="F129" i="26" s="1"/>
  <c r="G52" i="67"/>
  <c r="I52" i="67" s="1"/>
  <c r="J127" i="98"/>
  <c r="J127" i="97"/>
  <c r="I55" i="42"/>
  <c r="G128" i="97"/>
  <c r="D129" i="97"/>
  <c r="E129" i="97"/>
  <c r="G128" i="98"/>
  <c r="D129" i="98"/>
  <c r="E129" i="98"/>
  <c r="I49" i="86"/>
  <c r="D53" i="67"/>
  <c r="E53" i="67" s="1"/>
  <c r="G52" i="59"/>
  <c r="I52" i="59" s="1"/>
  <c r="I54" i="55"/>
  <c r="H53" i="46"/>
  <c r="I53" i="46" s="1"/>
  <c r="D54" i="46"/>
  <c r="E54" i="46" s="1"/>
  <c r="G57" i="24"/>
  <c r="I57" i="24" s="1"/>
  <c r="D58" i="24"/>
  <c r="E58" i="24" s="1"/>
  <c r="D48" i="93"/>
  <c r="E48" i="93" s="1"/>
  <c r="G49" i="81"/>
  <c r="I49" i="81" s="1"/>
  <c r="E49" i="94"/>
  <c r="D49" i="94"/>
  <c r="G47" i="93"/>
  <c r="I47" i="93" s="1"/>
  <c r="H50" i="80"/>
  <c r="I50" i="80" s="1"/>
  <c r="D51" i="80"/>
  <c r="E51" i="80" s="1"/>
  <c r="B50" i="86"/>
  <c r="F50" i="86"/>
  <c r="B51" i="82"/>
  <c r="F51" i="82"/>
  <c r="H51" i="82" s="1"/>
  <c r="H50" i="77"/>
  <c r="I50" i="77" s="1"/>
  <c r="G49" i="84"/>
  <c r="D50" i="84"/>
  <c r="E50" i="84" s="1"/>
  <c r="B51" i="75"/>
  <c r="F51" i="75"/>
  <c r="G51" i="75" s="1"/>
  <c r="G50" i="78"/>
  <c r="I50" i="78" s="1"/>
  <c r="F52" i="65"/>
  <c r="H52" i="65" s="1"/>
  <c r="B52" i="65"/>
  <c r="F55" i="58"/>
  <c r="G55" i="58" s="1"/>
  <c r="B55" i="58"/>
  <c r="G58" i="23"/>
  <c r="H58" i="23"/>
  <c r="D59" i="23"/>
  <c r="F55" i="55"/>
  <c r="G55" i="55" s="1"/>
  <c r="B55" i="55"/>
  <c r="H57" i="18"/>
  <c r="I57" i="18" s="1"/>
  <c r="H56" i="41"/>
  <c r="I56" i="41" s="1"/>
  <c r="G49" i="91"/>
  <c r="H49" i="91"/>
  <c r="D50" i="91"/>
  <c r="E50" i="91" s="1"/>
  <c r="I54" i="58"/>
  <c r="H50" i="90"/>
  <c r="I50" i="90" s="1"/>
  <c r="D51" i="90"/>
  <c r="E51" i="90" s="1"/>
  <c r="H52" i="63"/>
  <c r="I52" i="63" s="1"/>
  <c r="H52" i="66"/>
  <c r="I52" i="66" s="1"/>
  <c r="D53" i="66"/>
  <c r="E53" i="66" s="1"/>
  <c r="H49" i="84"/>
  <c r="G53" i="53"/>
  <c r="I53" i="53" s="1"/>
  <c r="D54" i="53"/>
  <c r="E54" i="53" s="1"/>
  <c r="B56" i="42"/>
  <c r="F56" i="42"/>
  <c r="G56" i="42" s="1"/>
  <c r="H47" i="96"/>
  <c r="E48" i="96"/>
  <c r="D48" i="96"/>
  <c r="F48" i="95"/>
  <c r="H48" i="95" s="1"/>
  <c r="B48" i="95"/>
  <c r="H56" i="21"/>
  <c r="I56" i="21" s="1"/>
  <c r="H57" i="32"/>
  <c r="I57" i="32" s="1"/>
  <c r="B50" i="85"/>
  <c r="F50" i="85"/>
  <c r="G50" i="76"/>
  <c r="I50" i="76" s="1"/>
  <c r="D51" i="76"/>
  <c r="E51" i="76" s="1"/>
  <c r="G58" i="27"/>
  <c r="D59" i="27"/>
  <c r="E59" i="27" s="1"/>
  <c r="H58" i="27"/>
  <c r="G47" i="96"/>
  <c r="D50" i="81"/>
  <c r="E50" i="81" s="1"/>
  <c r="I47" i="95"/>
  <c r="B54" i="72"/>
  <c r="F54" i="72"/>
  <c r="G54" i="72" s="1"/>
  <c r="G58" i="70"/>
  <c r="I58" i="70" s="1"/>
  <c r="G53" i="57"/>
  <c r="I53" i="57" s="1"/>
  <c r="G55" i="44"/>
  <c r="I55" i="44" s="1"/>
  <c r="D56" i="44"/>
  <c r="E56" i="44" s="1"/>
  <c r="H56" i="22"/>
  <c r="I56" i="22" s="1"/>
  <c r="D57" i="22"/>
  <c r="E57" i="22" s="1"/>
  <c r="B56" i="39"/>
  <c r="F56" i="39"/>
  <c r="G56" i="39" s="1"/>
  <c r="G52" i="61"/>
  <c r="I52" i="61" s="1"/>
  <c r="D53" i="61"/>
  <c r="E53" i="61" s="1"/>
  <c r="B57" i="3"/>
  <c r="F57" i="3"/>
  <c r="G57" i="3" s="1"/>
  <c r="G53" i="54"/>
  <c r="D54" i="54"/>
  <c r="E54" i="54" s="1"/>
  <c r="B50" i="88"/>
  <c r="F50" i="88"/>
  <c r="G50" i="88" s="1"/>
  <c r="D59" i="29"/>
  <c r="E59" i="29" s="1"/>
  <c r="G55" i="73"/>
  <c r="D56" i="73"/>
  <c r="E56" i="73" s="1"/>
  <c r="H50" i="79"/>
  <c r="I50" i="79" s="1"/>
  <c r="G58" i="29"/>
  <c r="D57" i="17"/>
  <c r="E57" i="17" s="1"/>
  <c r="F58" i="34"/>
  <c r="G58" i="34" s="1"/>
  <c r="B58" i="34"/>
  <c r="B53" i="64"/>
  <c r="F53" i="64"/>
  <c r="H53" i="64" s="1"/>
  <c r="B52" i="68"/>
  <c r="F52" i="68"/>
  <c r="H52" i="68" s="1"/>
  <c r="D49" i="92"/>
  <c r="E49" i="92"/>
  <c r="B55" i="45"/>
  <c r="F55" i="45"/>
  <c r="G55" i="45" s="1"/>
  <c r="F59" i="31"/>
  <c r="D60" i="31" s="1"/>
  <c r="B59" i="31"/>
  <c r="F58" i="30"/>
  <c r="G58" i="30" s="1"/>
  <c r="B58" i="30"/>
  <c r="D53" i="63"/>
  <c r="E53" i="63" s="1"/>
  <c r="B59" i="69"/>
  <c r="F59" i="69"/>
  <c r="G59" i="69" s="1"/>
  <c r="D51" i="77"/>
  <c r="E51" i="77" s="1"/>
  <c r="F57" i="19"/>
  <c r="H57" i="19" s="1"/>
  <c r="B57" i="19"/>
  <c r="D51" i="78"/>
  <c r="E51" i="78" s="1"/>
  <c r="H58" i="29"/>
  <c r="F53" i="56"/>
  <c r="H53" i="56" s="1"/>
  <c r="B53" i="56"/>
  <c r="D57" i="21"/>
  <c r="E57" i="21" s="1"/>
  <c r="H56" i="17"/>
  <c r="D58" i="32"/>
  <c r="E58" i="32" s="1"/>
  <c r="D56" i="74"/>
  <c r="E56" i="74" s="1"/>
  <c r="E49" i="89"/>
  <c r="D49" i="89"/>
  <c r="F60" i="28"/>
  <c r="D61" i="28" s="1"/>
  <c r="B60" i="28"/>
  <c r="D51" i="79"/>
  <c r="E51" i="79" s="1"/>
  <c r="F49" i="83"/>
  <c r="H49" i="83" s="1"/>
  <c r="B49" i="83"/>
  <c r="I52" i="64"/>
  <c r="I51" i="68"/>
  <c r="H53" i="54"/>
  <c r="D59" i="70"/>
  <c r="E59" i="70" s="1"/>
  <c r="D54" i="57"/>
  <c r="E54" i="57" s="1"/>
  <c r="D57" i="41"/>
  <c r="E57" i="41" s="1"/>
  <c r="G56" i="17"/>
  <c r="F58" i="71"/>
  <c r="D59" i="71" s="1"/>
  <c r="B58" i="71"/>
  <c r="H52" i="60"/>
  <c r="I52" i="60" s="1"/>
  <c r="D53" i="60"/>
  <c r="E53" i="60"/>
  <c r="H56" i="43"/>
  <c r="I56" i="43" s="1"/>
  <c r="D57" i="43"/>
  <c r="E57" i="43" s="1"/>
  <c r="H55" i="74"/>
  <c r="I55" i="74" s="1"/>
  <c r="H48" i="89"/>
  <c r="I48" i="89" s="1"/>
  <c r="G48" i="92"/>
  <c r="I48" i="92" s="1"/>
  <c r="H55" i="73"/>
  <c r="J128" i="85"/>
  <c r="J127" i="84"/>
  <c r="J137" i="69"/>
  <c r="B50" i="33"/>
  <c r="J137" i="29"/>
  <c r="J134" i="43"/>
  <c r="J127" i="92"/>
  <c r="J129" i="78"/>
  <c r="J133" i="74"/>
  <c r="D53" i="59"/>
  <c r="E53" i="59" s="1"/>
  <c r="J130" i="66"/>
  <c r="J129" i="79"/>
  <c r="J132" i="53"/>
  <c r="J135" i="19"/>
  <c r="B49" i="26"/>
  <c r="F49" i="26"/>
  <c r="H49" i="26" s="1"/>
  <c r="B52" i="62"/>
  <c r="F52" i="62"/>
  <c r="H52" i="62" s="1"/>
  <c r="F48" i="13"/>
  <c r="H48" i="13" s="1"/>
  <c r="B48" i="13"/>
  <c r="J132" i="59"/>
  <c r="J137" i="23"/>
  <c r="J134" i="39"/>
  <c r="J127" i="88"/>
  <c r="J131" i="60"/>
  <c r="J136" i="31"/>
  <c r="I49" i="33"/>
  <c r="B49" i="87"/>
  <c r="F49" i="87"/>
  <c r="G49" i="87" s="1"/>
  <c r="B56" i="20"/>
  <c r="F56" i="20"/>
  <c r="H56" i="20" s="1"/>
  <c r="D58" i="18"/>
  <c r="E58" i="18" s="1"/>
  <c r="E50" i="33"/>
  <c r="F50" i="33" s="1"/>
  <c r="B136" i="41"/>
  <c r="F136" i="41"/>
  <c r="D133" i="60"/>
  <c r="E133" i="60"/>
  <c r="G132" i="60"/>
  <c r="G131" i="68"/>
  <c r="D132" i="68"/>
  <c r="E132" i="68"/>
  <c r="H136" i="22"/>
  <c r="I136" i="22"/>
  <c r="B129" i="91"/>
  <c r="F129" i="91"/>
  <c r="B133" i="62"/>
  <c r="F133" i="62"/>
  <c r="J131" i="65"/>
  <c r="J137" i="30"/>
  <c r="G134" i="74"/>
  <c r="E135" i="74"/>
  <c r="D135" i="74"/>
  <c r="D133" i="61"/>
  <c r="G132" i="61"/>
  <c r="E133" i="61"/>
  <c r="J130" i="68"/>
  <c r="B130" i="81"/>
  <c r="F130" i="81"/>
  <c r="G128" i="92"/>
  <c r="D129" i="92"/>
  <c r="E129" i="92"/>
  <c r="G130" i="79"/>
  <c r="E131" i="79"/>
  <c r="D131" i="79"/>
  <c r="J136" i="32"/>
  <c r="G136" i="34"/>
  <c r="E137" i="34"/>
  <c r="D137" i="34"/>
  <c r="D139" i="70"/>
  <c r="E139" i="70"/>
  <c r="G138" i="70"/>
  <c r="E139" i="27"/>
  <c r="G138" i="27"/>
  <c r="D139" i="27"/>
  <c r="G128" i="90"/>
  <c r="D129" i="90"/>
  <c r="E129" i="90"/>
  <c r="E133" i="65"/>
  <c r="G132" i="65"/>
  <c r="D133" i="65"/>
  <c r="F137" i="22"/>
  <c r="B137" i="22"/>
  <c r="D138" i="32"/>
  <c r="G137" i="32"/>
  <c r="E138" i="32"/>
  <c r="D134" i="53"/>
  <c r="E134" i="53"/>
  <c r="G133" i="53"/>
  <c r="J137" i="70"/>
  <c r="G128" i="86"/>
  <c r="E129" i="86"/>
  <c r="D129" i="86"/>
  <c r="J135" i="20"/>
  <c r="I129" i="81"/>
  <c r="H129" i="81"/>
  <c r="J127" i="90"/>
  <c r="E137" i="19"/>
  <c r="G136" i="19"/>
  <c r="D137" i="19"/>
  <c r="F136" i="73"/>
  <c r="B136" i="73"/>
  <c r="D134" i="46"/>
  <c r="E134" i="46"/>
  <c r="G133" i="46"/>
  <c r="E134" i="58"/>
  <c r="G133" i="58"/>
  <c r="D134" i="58"/>
  <c r="E129" i="84"/>
  <c r="D129" i="84"/>
  <c r="G128" i="84"/>
  <c r="E129" i="88"/>
  <c r="D129" i="88"/>
  <c r="G128" i="88"/>
  <c r="I128" i="89"/>
  <c r="H128" i="89"/>
  <c r="I135" i="41"/>
  <c r="H135" i="41"/>
  <c r="J127" i="86"/>
  <c r="G138" i="69"/>
  <c r="D139" i="69"/>
  <c r="E139" i="69"/>
  <c r="G129" i="85"/>
  <c r="D130" i="85"/>
  <c r="E130" i="85"/>
  <c r="I135" i="73"/>
  <c r="H135" i="73"/>
  <c r="E138" i="31"/>
  <c r="G137" i="31"/>
  <c r="D138" i="31"/>
  <c r="G136" i="20"/>
  <c r="D137" i="20"/>
  <c r="E137" i="20"/>
  <c r="F135" i="45"/>
  <c r="B135" i="45"/>
  <c r="D134" i="72"/>
  <c r="G133" i="72"/>
  <c r="E134" i="72"/>
  <c r="E133" i="64"/>
  <c r="D133" i="64"/>
  <c r="G132" i="64"/>
  <c r="E136" i="43"/>
  <c r="D136" i="43"/>
  <c r="G135" i="43"/>
  <c r="I128" i="91"/>
  <c r="H128" i="91"/>
  <c r="J132" i="72"/>
  <c r="J135" i="34"/>
  <c r="J131" i="61"/>
  <c r="J132" i="58"/>
  <c r="J131" i="63"/>
  <c r="I132" i="62"/>
  <c r="H132" i="62"/>
  <c r="D131" i="78"/>
  <c r="E131" i="78"/>
  <c r="G130" i="78"/>
  <c r="J132" i="46"/>
  <c r="J131" i="64"/>
  <c r="D139" i="29"/>
  <c r="G138" i="29"/>
  <c r="E139" i="29"/>
  <c r="G132" i="63"/>
  <c r="E133" i="63"/>
  <c r="D133" i="63"/>
  <c r="G138" i="30"/>
  <c r="E139" i="30"/>
  <c r="D139" i="30"/>
  <c r="J137" i="27"/>
  <c r="D132" i="66"/>
  <c r="E132" i="66"/>
  <c r="G131" i="66"/>
  <c r="G135" i="39"/>
  <c r="E136" i="39"/>
  <c r="D136" i="39"/>
  <c r="H134" i="45"/>
  <c r="I134" i="45"/>
  <c r="B129" i="89"/>
  <c r="F129" i="89"/>
  <c r="J133" i="57"/>
  <c r="J136" i="18"/>
  <c r="H134" i="56"/>
  <c r="I134" i="56"/>
  <c r="J128" i="95"/>
  <c r="E138" i="18"/>
  <c r="D138" i="18"/>
  <c r="G137" i="18"/>
  <c r="G133" i="59"/>
  <c r="E134" i="59"/>
  <c r="D134" i="59"/>
  <c r="F135" i="56"/>
  <c r="B135" i="56"/>
  <c r="G138" i="23"/>
  <c r="D139" i="23"/>
  <c r="E139" i="23"/>
  <c r="J127" i="87"/>
  <c r="E135" i="57"/>
  <c r="D135" i="57"/>
  <c r="G134" i="57"/>
  <c r="E139" i="71"/>
  <c r="G138" i="71"/>
  <c r="D139" i="71"/>
  <c r="J134" i="44"/>
  <c r="J137" i="71"/>
  <c r="G128" i="96"/>
  <c r="D129" i="96"/>
  <c r="E129" i="96" s="1"/>
  <c r="D130" i="94"/>
  <c r="E130" i="94" s="1"/>
  <c r="G129" i="94"/>
  <c r="J127" i="96"/>
  <c r="H127" i="33"/>
  <c r="I127" i="33"/>
  <c r="I137" i="24"/>
  <c r="H137" i="24"/>
  <c r="I129" i="83"/>
  <c r="H129" i="83"/>
  <c r="J136" i="17"/>
  <c r="J128" i="82"/>
  <c r="I128" i="93"/>
  <c r="H128" i="93"/>
  <c r="F134" i="54"/>
  <c r="B134" i="54"/>
  <c r="F131" i="76"/>
  <c r="B131" i="76"/>
  <c r="I130" i="77"/>
  <c r="H130" i="77"/>
  <c r="B131" i="75"/>
  <c r="F131" i="75"/>
  <c r="G136" i="3"/>
  <c r="D137" i="3"/>
  <c r="E137" i="3"/>
  <c r="J130" i="67"/>
  <c r="I133" i="55"/>
  <c r="H133" i="55"/>
  <c r="B138" i="24"/>
  <c r="F138" i="24"/>
  <c r="G139" i="28"/>
  <c r="D140" i="28"/>
  <c r="E140" i="28"/>
  <c r="B128" i="13"/>
  <c r="F128" i="13"/>
  <c r="J128" i="94"/>
  <c r="G129" i="82"/>
  <c r="D130" i="82"/>
  <c r="E130" i="82"/>
  <c r="I130" i="75"/>
  <c r="H130" i="75"/>
  <c r="E138" i="17"/>
  <c r="G137" i="17"/>
  <c r="D138" i="17"/>
  <c r="H135" i="42"/>
  <c r="I135" i="42"/>
  <c r="I127" i="13"/>
  <c r="H127" i="13"/>
  <c r="I129" i="80"/>
  <c r="H129" i="80"/>
  <c r="F137" i="21"/>
  <c r="B137" i="21"/>
  <c r="I130" i="76"/>
  <c r="H130" i="76"/>
  <c r="F128" i="33"/>
  <c r="B128" i="33"/>
  <c r="B134" i="55"/>
  <c r="F134" i="55"/>
  <c r="B136" i="42"/>
  <c r="F136" i="42"/>
  <c r="J135" i="3"/>
  <c r="G135" i="44"/>
  <c r="D136" i="44"/>
  <c r="E136" i="44"/>
  <c r="F130" i="83"/>
  <c r="B130" i="83"/>
  <c r="D130" i="95"/>
  <c r="E130" i="95" s="1"/>
  <c r="G129" i="95"/>
  <c r="F129" i="93"/>
  <c r="B129" i="93"/>
  <c r="B130" i="80"/>
  <c r="F130" i="80"/>
  <c r="H136" i="21"/>
  <c r="I136" i="21"/>
  <c r="H133" i="54"/>
  <c r="I133" i="54"/>
  <c r="D132" i="67"/>
  <c r="G131" i="67"/>
  <c r="E132" i="67"/>
  <c r="B131" i="77"/>
  <c r="F131" i="77"/>
  <c r="D129" i="87"/>
  <c r="G128" i="87"/>
  <c r="E129" i="87"/>
  <c r="J138" i="28"/>
  <c r="H48" i="25" l="1"/>
  <c r="G48" i="25"/>
  <c r="D49" i="25"/>
  <c r="I59" i="97"/>
  <c r="I58" i="97"/>
  <c r="J127" i="99"/>
  <c r="J127" i="25"/>
  <c r="B60" i="97"/>
  <c r="I49" i="91"/>
  <c r="G128" i="25"/>
  <c r="D129" i="25"/>
  <c r="G48" i="13"/>
  <c r="I48" i="13" s="1"/>
  <c r="I47" i="98"/>
  <c r="D61" i="97"/>
  <c r="G60" i="97"/>
  <c r="H60" i="97"/>
  <c r="I49" i="84"/>
  <c r="F53" i="99"/>
  <c r="D54" i="99" s="1"/>
  <c r="B53" i="99"/>
  <c r="B48" i="98"/>
  <c r="F48" i="98"/>
  <c r="H48" i="98" s="1"/>
  <c r="I53" i="54"/>
  <c r="G128" i="99"/>
  <c r="E129" i="99"/>
  <c r="D129" i="99"/>
  <c r="G129" i="26"/>
  <c r="D130" i="26"/>
  <c r="G53" i="56"/>
  <c r="I53" i="56" s="1"/>
  <c r="H58" i="71"/>
  <c r="H128" i="98"/>
  <c r="I128" i="98"/>
  <c r="F129" i="97"/>
  <c r="B129" i="97"/>
  <c r="B129" i="98"/>
  <c r="F129" i="98"/>
  <c r="I128" i="97"/>
  <c r="H128" i="97"/>
  <c r="G52" i="68"/>
  <c r="I52" i="68" s="1"/>
  <c r="F53" i="67"/>
  <c r="G53" i="67" s="1"/>
  <c r="B53" i="67"/>
  <c r="H55" i="58"/>
  <c r="I55" i="58" s="1"/>
  <c r="F54" i="46"/>
  <c r="H54" i="46" s="1"/>
  <c r="B54" i="46"/>
  <c r="I58" i="29"/>
  <c r="I58" i="27"/>
  <c r="F58" i="24"/>
  <c r="G58" i="24" s="1"/>
  <c r="B58" i="24"/>
  <c r="H59" i="31"/>
  <c r="G53" i="64"/>
  <c r="I53" i="64" s="1"/>
  <c r="G51" i="82"/>
  <c r="I51" i="82" s="1"/>
  <c r="D52" i="82"/>
  <c r="E52" i="82" s="1"/>
  <c r="B49" i="94"/>
  <c r="F49" i="94"/>
  <c r="H49" i="94" s="1"/>
  <c r="F51" i="80"/>
  <c r="G51" i="80" s="1"/>
  <c r="B51" i="80"/>
  <c r="B48" i="93"/>
  <c r="F48" i="93"/>
  <c r="H48" i="93" s="1"/>
  <c r="I47" i="96"/>
  <c r="E51" i="86"/>
  <c r="G50" i="86"/>
  <c r="D51" i="86"/>
  <c r="H50" i="86"/>
  <c r="G58" i="71"/>
  <c r="H58" i="30"/>
  <c r="I58" i="30" s="1"/>
  <c r="H56" i="39"/>
  <c r="I56" i="39" s="1"/>
  <c r="F50" i="91"/>
  <c r="B50" i="91"/>
  <c r="I58" i="23"/>
  <c r="G52" i="65"/>
  <c r="I52" i="65" s="1"/>
  <c r="D53" i="65"/>
  <c r="E53" i="65" s="1"/>
  <c r="D52" i="75"/>
  <c r="E52" i="75" s="1"/>
  <c r="D57" i="42"/>
  <c r="E57" i="42" s="1"/>
  <c r="B54" i="53"/>
  <c r="F54" i="53"/>
  <c r="H54" i="53" s="1"/>
  <c r="B53" i="66"/>
  <c r="F53" i="66"/>
  <c r="B51" i="90"/>
  <c r="F51" i="90"/>
  <c r="G51" i="90" s="1"/>
  <c r="H55" i="55"/>
  <c r="I55" i="55" s="1"/>
  <c r="D56" i="55"/>
  <c r="E56" i="55" s="1"/>
  <c r="G48" i="95"/>
  <c r="I48" i="95" s="1"/>
  <c r="F50" i="84"/>
  <c r="B50" i="84"/>
  <c r="H56" i="42"/>
  <c r="I56" i="42" s="1"/>
  <c r="E59" i="23"/>
  <c r="F59" i="23" s="1"/>
  <c r="B59" i="23"/>
  <c r="D56" i="58"/>
  <c r="E56" i="58" s="1"/>
  <c r="H51" i="75"/>
  <c r="I51" i="75" s="1"/>
  <c r="G50" i="85"/>
  <c r="D51" i="85"/>
  <c r="E51" i="85" s="1"/>
  <c r="B48" i="96"/>
  <c r="F48" i="96"/>
  <c r="H48" i="96" s="1"/>
  <c r="G49" i="83"/>
  <c r="I49" i="83" s="1"/>
  <c r="B56" i="44"/>
  <c r="F56" i="44"/>
  <c r="H56" i="44" s="1"/>
  <c r="D55" i="72"/>
  <c r="E55" i="72" s="1"/>
  <c r="B51" i="76"/>
  <c r="F51" i="76"/>
  <c r="G51" i="76" s="1"/>
  <c r="F53" i="61"/>
  <c r="B53" i="61"/>
  <c r="B57" i="22"/>
  <c r="F57" i="22"/>
  <c r="H54" i="72"/>
  <c r="I54" i="72" s="1"/>
  <c r="B59" i="27"/>
  <c r="F59" i="27"/>
  <c r="H59" i="27" s="1"/>
  <c r="H50" i="85"/>
  <c r="D49" i="95"/>
  <c r="E49" i="95" s="1"/>
  <c r="H60" i="28"/>
  <c r="D57" i="39"/>
  <c r="E57" i="39" s="1"/>
  <c r="F50" i="81"/>
  <c r="G50" i="81" s="1"/>
  <c r="B50" i="81"/>
  <c r="I55" i="73"/>
  <c r="B57" i="41"/>
  <c r="F57" i="41"/>
  <c r="H57" i="41" s="1"/>
  <c r="F57" i="21"/>
  <c r="G57" i="21" s="1"/>
  <c r="B57" i="21"/>
  <c r="B53" i="63"/>
  <c r="F53" i="63"/>
  <c r="G52" i="62"/>
  <c r="I52" i="62" s="1"/>
  <c r="E59" i="71"/>
  <c r="F59" i="71" s="1"/>
  <c r="B59" i="71"/>
  <c r="F54" i="57"/>
  <c r="H54" i="57" s="1"/>
  <c r="B54" i="57"/>
  <c r="F59" i="70"/>
  <c r="D60" i="70" s="1"/>
  <c r="B59" i="70"/>
  <c r="E50" i="83"/>
  <c r="D50" i="83"/>
  <c r="B58" i="32"/>
  <c r="F58" i="32"/>
  <c r="B51" i="78"/>
  <c r="F51" i="78"/>
  <c r="D59" i="30"/>
  <c r="E59" i="30" s="1"/>
  <c r="H58" i="34"/>
  <c r="I58" i="34" s="1"/>
  <c r="D59" i="34"/>
  <c r="E59" i="34" s="1"/>
  <c r="D58" i="3"/>
  <c r="E58" i="3" s="1"/>
  <c r="B56" i="73"/>
  <c r="F56" i="73"/>
  <c r="G56" i="73" s="1"/>
  <c r="B57" i="43"/>
  <c r="F57" i="43"/>
  <c r="G57" i="43" s="1"/>
  <c r="F53" i="60"/>
  <c r="B53" i="60"/>
  <c r="E61" i="28"/>
  <c r="F61" i="28" s="1"/>
  <c r="B61" i="28"/>
  <c r="D58" i="19"/>
  <c r="E58" i="19" s="1"/>
  <c r="H59" i="69"/>
  <c r="I59" i="69" s="1"/>
  <c r="D60" i="69"/>
  <c r="E60" i="69" s="1"/>
  <c r="F60" i="69" s="1"/>
  <c r="E60" i="31"/>
  <c r="F60" i="31" s="1"/>
  <c r="G60" i="31" s="1"/>
  <c r="B60" i="31"/>
  <c r="D56" i="45"/>
  <c r="E56" i="45" s="1"/>
  <c r="B49" i="92"/>
  <c r="F49" i="92"/>
  <c r="F57" i="17"/>
  <c r="H57" i="17" s="1"/>
  <c r="C66" i="17"/>
  <c r="B57" i="17"/>
  <c r="H50" i="88"/>
  <c r="I50" i="88" s="1"/>
  <c r="D51" i="88"/>
  <c r="E51" i="88" s="1"/>
  <c r="F49" i="89"/>
  <c r="G49" i="89" s="1"/>
  <c r="B49" i="89"/>
  <c r="B54" i="54"/>
  <c r="F54" i="54"/>
  <c r="F51" i="79"/>
  <c r="B51" i="79"/>
  <c r="G60" i="28"/>
  <c r="F56" i="74"/>
  <c r="B56" i="74"/>
  <c r="I56" i="17"/>
  <c r="D54" i="56"/>
  <c r="E54" i="56" s="1"/>
  <c r="G57" i="19"/>
  <c r="I57" i="19" s="1"/>
  <c r="B51" i="77"/>
  <c r="F51" i="77"/>
  <c r="H51" i="77" s="1"/>
  <c r="G59" i="31"/>
  <c r="H55" i="45"/>
  <c r="I55" i="45" s="1"/>
  <c r="E53" i="68"/>
  <c r="D53" i="68"/>
  <c r="D54" i="64"/>
  <c r="E54" i="64"/>
  <c r="B59" i="29"/>
  <c r="F59" i="29"/>
  <c r="D60" i="29" s="1"/>
  <c r="H57" i="3"/>
  <c r="I57" i="3" s="1"/>
  <c r="J135" i="73"/>
  <c r="J129" i="80"/>
  <c r="J128" i="93"/>
  <c r="J129" i="83"/>
  <c r="J134" i="45"/>
  <c r="J134" i="56"/>
  <c r="D51" i="33"/>
  <c r="E51" i="33" s="1"/>
  <c r="G50" i="33"/>
  <c r="H50" i="33"/>
  <c r="J136" i="22"/>
  <c r="B58" i="18"/>
  <c r="F58" i="18"/>
  <c r="G56" i="20"/>
  <c r="I56" i="20" s="1"/>
  <c r="D49" i="13"/>
  <c r="E49" i="13" s="1"/>
  <c r="D53" i="62"/>
  <c r="E53" i="62" s="1"/>
  <c r="D50" i="87"/>
  <c r="E50" i="87" s="1"/>
  <c r="D50" i="26"/>
  <c r="E50" i="26" s="1"/>
  <c r="F53" i="59"/>
  <c r="G53" i="59" s="1"/>
  <c r="B53" i="59"/>
  <c r="D57" i="20"/>
  <c r="E57" i="20" s="1"/>
  <c r="J128" i="91"/>
  <c r="J135" i="41"/>
  <c r="H49" i="87"/>
  <c r="I49" i="87" s="1"/>
  <c r="G49" i="26"/>
  <c r="I49" i="26" s="1"/>
  <c r="J130" i="76"/>
  <c r="D130" i="89"/>
  <c r="G129" i="89"/>
  <c r="E130" i="89"/>
  <c r="F136" i="39"/>
  <c r="B136" i="39"/>
  <c r="H132" i="63"/>
  <c r="I132" i="63"/>
  <c r="F131" i="78"/>
  <c r="B131" i="78"/>
  <c r="D136" i="45"/>
  <c r="G135" i="45"/>
  <c r="E136" i="45"/>
  <c r="F138" i="31"/>
  <c r="B138" i="31"/>
  <c r="H128" i="88"/>
  <c r="I128" i="88"/>
  <c r="B129" i="84"/>
  <c r="F129" i="84"/>
  <c r="D138" i="22"/>
  <c r="E138" i="22"/>
  <c r="G137" i="22"/>
  <c r="I138" i="27"/>
  <c r="H138" i="27"/>
  <c r="F139" i="70"/>
  <c r="B139" i="70"/>
  <c r="B133" i="61"/>
  <c r="F133" i="61"/>
  <c r="E130" i="91"/>
  <c r="G129" i="91"/>
  <c r="D130" i="91"/>
  <c r="B132" i="66"/>
  <c r="F132" i="66"/>
  <c r="H138" i="30"/>
  <c r="I138" i="30"/>
  <c r="I132" i="64"/>
  <c r="H132" i="64"/>
  <c r="H133" i="72"/>
  <c r="I133" i="72"/>
  <c r="H137" i="31"/>
  <c r="I137" i="31"/>
  <c r="B139" i="69"/>
  <c r="F139" i="69"/>
  <c r="F129" i="88"/>
  <c r="B129" i="88"/>
  <c r="H133" i="46"/>
  <c r="I133" i="46"/>
  <c r="E137" i="73"/>
  <c r="D137" i="73"/>
  <c r="G136" i="73"/>
  <c r="B129" i="86"/>
  <c r="F129" i="86"/>
  <c r="H133" i="53"/>
  <c r="I133" i="53"/>
  <c r="I137" i="32"/>
  <c r="H137" i="32"/>
  <c r="B133" i="65"/>
  <c r="F133" i="65"/>
  <c r="B129" i="90"/>
  <c r="F129" i="90"/>
  <c r="F137" i="34"/>
  <c r="B137" i="34"/>
  <c r="B131" i="79"/>
  <c r="F131" i="79"/>
  <c r="B129" i="92"/>
  <c r="F129" i="92"/>
  <c r="B135" i="74"/>
  <c r="F135" i="74"/>
  <c r="F132" i="68"/>
  <c r="B132" i="68"/>
  <c r="B133" i="60"/>
  <c r="F133" i="60"/>
  <c r="I135" i="39"/>
  <c r="H135" i="39"/>
  <c r="F133" i="63"/>
  <c r="B133" i="63"/>
  <c r="H138" i="29"/>
  <c r="I138" i="29"/>
  <c r="I130" i="78"/>
  <c r="H130" i="78"/>
  <c r="J132" i="62"/>
  <c r="H135" i="43"/>
  <c r="I135" i="43"/>
  <c r="B133" i="64"/>
  <c r="F133" i="64"/>
  <c r="B134" i="72"/>
  <c r="F134" i="72"/>
  <c r="F137" i="20"/>
  <c r="B137" i="20"/>
  <c r="B130" i="85"/>
  <c r="F130" i="85"/>
  <c r="I138" i="69"/>
  <c r="H138" i="69"/>
  <c r="F134" i="58"/>
  <c r="B134" i="58"/>
  <c r="F137" i="19"/>
  <c r="B137" i="19"/>
  <c r="B138" i="32"/>
  <c r="F138" i="32"/>
  <c r="I132" i="65"/>
  <c r="H132" i="65"/>
  <c r="I128" i="90"/>
  <c r="H128" i="90"/>
  <c r="H138" i="70"/>
  <c r="I138" i="70"/>
  <c r="H128" i="92"/>
  <c r="I128" i="92"/>
  <c r="G133" i="62"/>
  <c r="E134" i="62"/>
  <c r="D134" i="62"/>
  <c r="I131" i="68"/>
  <c r="H131" i="68"/>
  <c r="E137" i="41"/>
  <c r="G136" i="41"/>
  <c r="D137" i="41"/>
  <c r="H131" i="66"/>
  <c r="I131" i="66"/>
  <c r="B139" i="30"/>
  <c r="F139" i="30"/>
  <c r="B139" i="29"/>
  <c r="F139" i="29"/>
  <c r="B136" i="43"/>
  <c r="F136" i="43"/>
  <c r="H136" i="20"/>
  <c r="I136" i="20"/>
  <c r="I129" i="85"/>
  <c r="H129" i="85"/>
  <c r="J128" i="89"/>
  <c r="I128" i="84"/>
  <c r="H128" i="84"/>
  <c r="I133" i="58"/>
  <c r="H133" i="58"/>
  <c r="F134" i="46"/>
  <c r="B134" i="46"/>
  <c r="I136" i="19"/>
  <c r="H136" i="19"/>
  <c r="J129" i="81"/>
  <c r="H128" i="86"/>
  <c r="I128" i="86"/>
  <c r="F134" i="53"/>
  <c r="B134" i="53"/>
  <c r="B139" i="27"/>
  <c r="F139" i="27"/>
  <c r="I136" i="34"/>
  <c r="H136" i="34"/>
  <c r="H130" i="79"/>
  <c r="I130" i="79"/>
  <c r="E131" i="81"/>
  <c r="G130" i="81"/>
  <c r="D131" i="81"/>
  <c r="H132" i="61"/>
  <c r="I132" i="61"/>
  <c r="H134" i="74"/>
  <c r="I134" i="74"/>
  <c r="H132" i="60"/>
  <c r="I132" i="60"/>
  <c r="J133" i="55"/>
  <c r="H138" i="23"/>
  <c r="I138" i="23"/>
  <c r="H133" i="59"/>
  <c r="I133" i="59"/>
  <c r="G135" i="56"/>
  <c r="D136" i="56"/>
  <c r="E136" i="56"/>
  <c r="H137" i="18"/>
  <c r="I137" i="18"/>
  <c r="F134" i="59"/>
  <c r="B134" i="59"/>
  <c r="B138" i="18"/>
  <c r="F138" i="18"/>
  <c r="F139" i="23"/>
  <c r="B139" i="23"/>
  <c r="J127" i="33"/>
  <c r="F139" i="71"/>
  <c r="B139" i="71"/>
  <c r="I138" i="71"/>
  <c r="H138" i="71"/>
  <c r="I134" i="57"/>
  <c r="H134" i="57"/>
  <c r="J130" i="77"/>
  <c r="J137" i="24"/>
  <c r="F135" i="57"/>
  <c r="B135" i="57"/>
  <c r="I128" i="87"/>
  <c r="H128" i="87"/>
  <c r="F132" i="67"/>
  <c r="B132" i="67"/>
  <c r="G129" i="93"/>
  <c r="D130" i="93"/>
  <c r="E130" i="93" s="1"/>
  <c r="B136" i="44"/>
  <c r="F136" i="44"/>
  <c r="D135" i="55"/>
  <c r="E135" i="55"/>
  <c r="G134" i="55"/>
  <c r="J127" i="13"/>
  <c r="H137" i="17"/>
  <c r="I137" i="17"/>
  <c r="H139" i="28"/>
  <c r="I139" i="28"/>
  <c r="B137" i="3"/>
  <c r="F137" i="3"/>
  <c r="E132" i="76"/>
  <c r="G131" i="76"/>
  <c r="D132" i="76"/>
  <c r="G134" i="54"/>
  <c r="E135" i="54"/>
  <c r="D135" i="54"/>
  <c r="B130" i="94"/>
  <c r="F130" i="94"/>
  <c r="H131" i="67"/>
  <c r="I131" i="67"/>
  <c r="B129" i="87"/>
  <c r="F129" i="87"/>
  <c r="J136" i="21"/>
  <c r="G130" i="80"/>
  <c r="D131" i="80"/>
  <c r="E131" i="80"/>
  <c r="I129" i="95"/>
  <c r="H129" i="95"/>
  <c r="H135" i="44"/>
  <c r="I135" i="44"/>
  <c r="J135" i="42"/>
  <c r="J130" i="75"/>
  <c r="F130" i="82"/>
  <c r="B130" i="82"/>
  <c r="D139" i="24"/>
  <c r="E139" i="24"/>
  <c r="G138" i="24"/>
  <c r="H136" i="3"/>
  <c r="I136" i="3"/>
  <c r="E132" i="75"/>
  <c r="D132" i="75"/>
  <c r="G131" i="75"/>
  <c r="F129" i="96"/>
  <c r="B129" i="96"/>
  <c r="D132" i="77"/>
  <c r="E132" i="77"/>
  <c r="G131" i="77"/>
  <c r="J133" i="54"/>
  <c r="G130" i="83"/>
  <c r="D131" i="83"/>
  <c r="E131" i="83"/>
  <c r="G137" i="21"/>
  <c r="E138" i="21"/>
  <c r="D138" i="21"/>
  <c r="H129" i="82"/>
  <c r="I129" i="82"/>
  <c r="H129" i="94"/>
  <c r="I129" i="94"/>
  <c r="I128" i="96"/>
  <c r="H128" i="96"/>
  <c r="B130" i="95"/>
  <c r="F130" i="95"/>
  <c r="G136" i="42"/>
  <c r="D137" i="42"/>
  <c r="E137" i="42"/>
  <c r="D129" i="33"/>
  <c r="E129" i="33" s="1"/>
  <c r="G128" i="33"/>
  <c r="F138" i="17"/>
  <c r="B138" i="17"/>
  <c r="D129" i="13"/>
  <c r="E129" i="13" s="1"/>
  <c r="G128" i="13"/>
  <c r="B140" i="28"/>
  <c r="F140" i="28"/>
  <c r="E49" i="25" l="1"/>
  <c r="F49" i="25" s="1"/>
  <c r="B49" i="25"/>
  <c r="I48" i="25"/>
  <c r="G48" i="98"/>
  <c r="I48" i="98" s="1"/>
  <c r="G54" i="46"/>
  <c r="E129" i="25"/>
  <c r="F129" i="25" s="1"/>
  <c r="B129" i="25"/>
  <c r="H128" i="25"/>
  <c r="I128" i="25"/>
  <c r="G53" i="99"/>
  <c r="I60" i="97"/>
  <c r="H53" i="99"/>
  <c r="D49" i="98"/>
  <c r="E49" i="98"/>
  <c r="E54" i="99"/>
  <c r="F54" i="99" s="1"/>
  <c r="D55" i="99" s="1"/>
  <c r="B54" i="99"/>
  <c r="E61" i="97"/>
  <c r="F61" i="97" s="1"/>
  <c r="B61" i="97"/>
  <c r="I59" i="31"/>
  <c r="F129" i="99"/>
  <c r="B129" i="99"/>
  <c r="H128" i="99"/>
  <c r="I128" i="99"/>
  <c r="G49" i="94"/>
  <c r="I49" i="94" s="1"/>
  <c r="E130" i="26"/>
  <c r="F130" i="26" s="1"/>
  <c r="B130" i="26"/>
  <c r="H129" i="26"/>
  <c r="I129" i="26"/>
  <c r="I58" i="71"/>
  <c r="J128" i="98"/>
  <c r="I60" i="28"/>
  <c r="I50" i="85"/>
  <c r="H57" i="21"/>
  <c r="I57" i="21" s="1"/>
  <c r="J128" i="97"/>
  <c r="G129" i="97"/>
  <c r="D130" i="97"/>
  <c r="E130" i="97"/>
  <c r="D130" i="98"/>
  <c r="G129" i="98"/>
  <c r="E130" i="98"/>
  <c r="H51" i="80"/>
  <c r="I51" i="80" s="1"/>
  <c r="H51" i="76"/>
  <c r="I51" i="76" s="1"/>
  <c r="H53" i="67"/>
  <c r="I53" i="67" s="1"/>
  <c r="D54" i="67"/>
  <c r="E54" i="67"/>
  <c r="I54" i="46"/>
  <c r="D55" i="46"/>
  <c r="E55" i="46" s="1"/>
  <c r="H58" i="24"/>
  <c r="I58" i="24" s="1"/>
  <c r="D59" i="24"/>
  <c r="F52" i="82"/>
  <c r="B52" i="82"/>
  <c r="D49" i="93"/>
  <c r="E49" i="93"/>
  <c r="I50" i="86"/>
  <c r="D50" i="94"/>
  <c r="E50" i="94"/>
  <c r="B51" i="86"/>
  <c r="F51" i="86"/>
  <c r="G48" i="93"/>
  <c r="I48" i="93" s="1"/>
  <c r="D52" i="80"/>
  <c r="E52" i="80"/>
  <c r="G59" i="23"/>
  <c r="D60" i="23"/>
  <c r="B60" i="23" s="1"/>
  <c r="H59" i="23"/>
  <c r="G57" i="17"/>
  <c r="I57" i="17" s="1"/>
  <c r="F56" i="58"/>
  <c r="B56" i="58"/>
  <c r="B56" i="55"/>
  <c r="F56" i="55"/>
  <c r="H56" i="55" s="1"/>
  <c r="G53" i="66"/>
  <c r="D54" i="66"/>
  <c r="E54" i="66" s="1"/>
  <c r="B52" i="75"/>
  <c r="F52" i="75"/>
  <c r="G52" i="75" s="1"/>
  <c r="H50" i="84"/>
  <c r="D51" i="84"/>
  <c r="E51" i="84" s="1"/>
  <c r="D52" i="90"/>
  <c r="E52" i="90"/>
  <c r="F53" i="65"/>
  <c r="B53" i="65"/>
  <c r="B57" i="42"/>
  <c r="F57" i="42"/>
  <c r="G50" i="91"/>
  <c r="D51" i="91"/>
  <c r="E51" i="91" s="1"/>
  <c r="H50" i="91"/>
  <c r="G50" i="84"/>
  <c r="H51" i="90"/>
  <c r="I51" i="90" s="1"/>
  <c r="H53" i="66"/>
  <c r="G54" i="53"/>
  <c r="I54" i="53" s="1"/>
  <c r="D55" i="53"/>
  <c r="E55" i="53" s="1"/>
  <c r="D58" i="22"/>
  <c r="D54" i="61"/>
  <c r="E54" i="61" s="1"/>
  <c r="H59" i="29"/>
  <c r="F49" i="95"/>
  <c r="B49" i="95"/>
  <c r="H57" i="22"/>
  <c r="G53" i="61"/>
  <c r="F55" i="72"/>
  <c r="G55" i="72" s="1"/>
  <c r="B55" i="72"/>
  <c r="D57" i="44"/>
  <c r="E57" i="44" s="1"/>
  <c r="F57" i="39"/>
  <c r="G57" i="39" s="1"/>
  <c r="B57" i="39"/>
  <c r="G57" i="22"/>
  <c r="E49" i="96"/>
  <c r="D49" i="96"/>
  <c r="F51" i="85"/>
  <c r="B51" i="85"/>
  <c r="H53" i="59"/>
  <c r="I53" i="59" s="1"/>
  <c r="H50" i="81"/>
  <c r="I50" i="81" s="1"/>
  <c r="D51" i="81"/>
  <c r="E51" i="81" s="1"/>
  <c r="D60" i="27"/>
  <c r="E60" i="27" s="1"/>
  <c r="G59" i="27"/>
  <c r="I59" i="27" s="1"/>
  <c r="H53" i="61"/>
  <c r="D52" i="76"/>
  <c r="E52" i="76" s="1"/>
  <c r="G56" i="44"/>
  <c r="I56" i="44" s="1"/>
  <c r="G48" i="96"/>
  <c r="I48" i="96" s="1"/>
  <c r="D62" i="28"/>
  <c r="H61" i="28"/>
  <c r="G61" i="28"/>
  <c r="H59" i="71"/>
  <c r="D60" i="71"/>
  <c r="E60" i="71" s="1"/>
  <c r="F60" i="71" s="1"/>
  <c r="G59" i="71"/>
  <c r="D55" i="54"/>
  <c r="E55" i="54" s="1"/>
  <c r="D50" i="92"/>
  <c r="E50" i="92" s="1"/>
  <c r="D54" i="60"/>
  <c r="E54" i="60" s="1"/>
  <c r="G51" i="78"/>
  <c r="D52" i="78"/>
  <c r="E52" i="78" s="1"/>
  <c r="G58" i="32"/>
  <c r="D59" i="32"/>
  <c r="E59" i="32" s="1"/>
  <c r="F59" i="32" s="1"/>
  <c r="D60" i="32" s="1"/>
  <c r="D52" i="77"/>
  <c r="E52" i="77" s="1"/>
  <c r="F54" i="56"/>
  <c r="G54" i="56" s="1"/>
  <c r="B54" i="56"/>
  <c r="H56" i="74"/>
  <c r="D57" i="74"/>
  <c r="E57" i="74" s="1"/>
  <c r="H51" i="79"/>
  <c r="D52" i="79"/>
  <c r="E52" i="79" s="1"/>
  <c r="D58" i="17"/>
  <c r="E58" i="17" s="1"/>
  <c r="F58" i="17" s="1"/>
  <c r="D59" i="17" s="1"/>
  <c r="B60" i="69"/>
  <c r="G60" i="69"/>
  <c r="H60" i="69"/>
  <c r="H53" i="60"/>
  <c r="E57" i="73"/>
  <c r="D57" i="73"/>
  <c r="B58" i="3"/>
  <c r="F58" i="3"/>
  <c r="D59" i="3" s="1"/>
  <c r="H51" i="78"/>
  <c r="I51" i="78" s="1"/>
  <c r="E60" i="70"/>
  <c r="F60" i="70" s="1"/>
  <c r="B60" i="70"/>
  <c r="H53" i="63"/>
  <c r="E54" i="63"/>
  <c r="D54" i="63"/>
  <c r="D58" i="41"/>
  <c r="E58" i="41" s="1"/>
  <c r="D61" i="69"/>
  <c r="E61" i="69" s="1"/>
  <c r="G59" i="29"/>
  <c r="F54" i="64"/>
  <c r="G54" i="64" s="1"/>
  <c r="B54" i="64"/>
  <c r="H54" i="54"/>
  <c r="H49" i="89"/>
  <c r="I49" i="89" s="1"/>
  <c r="D50" i="89"/>
  <c r="E50" i="89" s="1"/>
  <c r="F51" i="88"/>
  <c r="H51" i="88" s="1"/>
  <c r="B51" i="88"/>
  <c r="H49" i="92"/>
  <c r="G53" i="60"/>
  <c r="H57" i="43"/>
  <c r="I57" i="43" s="1"/>
  <c r="D58" i="43"/>
  <c r="E58" i="43" s="1"/>
  <c r="H56" i="73"/>
  <c r="I56" i="73" s="1"/>
  <c r="B50" i="83"/>
  <c r="F50" i="83"/>
  <c r="G59" i="70"/>
  <c r="G54" i="57"/>
  <c r="I54" i="57" s="1"/>
  <c r="D55" i="57"/>
  <c r="E55" i="57"/>
  <c r="G53" i="63"/>
  <c r="H60" i="31"/>
  <c r="I60" i="31" s="1"/>
  <c r="D61" i="31"/>
  <c r="E60" i="29"/>
  <c r="F60" i="29" s="1"/>
  <c r="B60" i="29"/>
  <c r="F53" i="68"/>
  <c r="B53" i="68"/>
  <c r="G51" i="77"/>
  <c r="I51" i="77" s="1"/>
  <c r="G56" i="74"/>
  <c r="G51" i="79"/>
  <c r="G54" i="54"/>
  <c r="G49" i="92"/>
  <c r="F56" i="45"/>
  <c r="G56" i="45" s="1"/>
  <c r="B56" i="45"/>
  <c r="B58" i="19"/>
  <c r="F58" i="19"/>
  <c r="H58" i="19" s="1"/>
  <c r="B59" i="34"/>
  <c r="F59" i="34"/>
  <c r="B59" i="30"/>
  <c r="F59" i="30"/>
  <c r="D60" i="30" s="1"/>
  <c r="H58" i="32"/>
  <c r="H59" i="70"/>
  <c r="D58" i="21"/>
  <c r="E58" i="21" s="1"/>
  <c r="G57" i="41"/>
  <c r="I57" i="41" s="1"/>
  <c r="J136" i="20"/>
  <c r="J138" i="70"/>
  <c r="J136" i="19"/>
  <c r="J132" i="64"/>
  <c r="J131" i="68"/>
  <c r="J130" i="78"/>
  <c r="J129" i="82"/>
  <c r="J134" i="74"/>
  <c r="J138" i="29"/>
  <c r="J133" i="53"/>
  <c r="J133" i="58"/>
  <c r="J137" i="32"/>
  <c r="J131" i="66"/>
  <c r="J132" i="63"/>
  <c r="J129" i="85"/>
  <c r="B57" i="20"/>
  <c r="F57" i="20"/>
  <c r="G57" i="20" s="1"/>
  <c r="B53" i="62"/>
  <c r="F53" i="62"/>
  <c r="H53" i="62" s="1"/>
  <c r="D59" i="18"/>
  <c r="E59" i="18" s="1"/>
  <c r="J128" i="96"/>
  <c r="J129" i="95"/>
  <c r="J134" i="57"/>
  <c r="D54" i="59"/>
  <c r="E54" i="59" s="1"/>
  <c r="B50" i="26"/>
  <c r="F50" i="26"/>
  <c r="G50" i="26" s="1"/>
  <c r="J137" i="17"/>
  <c r="F50" i="87"/>
  <c r="G50" i="87" s="1"/>
  <c r="B50" i="87"/>
  <c r="H58" i="18"/>
  <c r="F51" i="33"/>
  <c r="H51" i="33" s="1"/>
  <c r="B51" i="33"/>
  <c r="J138" i="23"/>
  <c r="J128" i="86"/>
  <c r="J128" i="92"/>
  <c r="J135" i="43"/>
  <c r="J133" i="46"/>
  <c r="J133" i="72"/>
  <c r="J138" i="30"/>
  <c r="B49" i="13"/>
  <c r="F49" i="13"/>
  <c r="G49" i="13" s="1"/>
  <c r="G58" i="18"/>
  <c r="I50" i="33"/>
  <c r="J132" i="60"/>
  <c r="J132" i="61"/>
  <c r="J136" i="34"/>
  <c r="G134" i="53"/>
  <c r="D135" i="53"/>
  <c r="E135" i="53"/>
  <c r="I133" i="62"/>
  <c r="H133" i="62"/>
  <c r="J132" i="65"/>
  <c r="G137" i="19"/>
  <c r="E138" i="19"/>
  <c r="D138" i="19"/>
  <c r="J138" i="69"/>
  <c r="E138" i="20"/>
  <c r="D138" i="20"/>
  <c r="G137" i="20"/>
  <c r="E134" i="60"/>
  <c r="G133" i="60"/>
  <c r="D134" i="60"/>
  <c r="D136" i="74"/>
  <c r="G135" i="74"/>
  <c r="E136" i="74"/>
  <c r="E132" i="79"/>
  <c r="D132" i="79"/>
  <c r="G131" i="79"/>
  <c r="G129" i="90"/>
  <c r="D130" i="90"/>
  <c r="E130" i="90"/>
  <c r="D130" i="86"/>
  <c r="G129" i="86"/>
  <c r="E130" i="86"/>
  <c r="G129" i="88"/>
  <c r="D130" i="88"/>
  <c r="E130" i="88"/>
  <c r="E134" i="61"/>
  <c r="D134" i="61"/>
  <c r="G133" i="61"/>
  <c r="F138" i="22"/>
  <c r="B138" i="22"/>
  <c r="H135" i="45"/>
  <c r="I135" i="45"/>
  <c r="J131" i="67"/>
  <c r="J137" i="18"/>
  <c r="J130" i="79"/>
  <c r="G139" i="27"/>
  <c r="D140" i="27"/>
  <c r="E140" i="27"/>
  <c r="D137" i="43"/>
  <c r="E137" i="43"/>
  <c r="G136" i="43"/>
  <c r="D140" i="30"/>
  <c r="E140" i="30" s="1"/>
  <c r="G139" i="30"/>
  <c r="F137" i="41"/>
  <c r="B137" i="41"/>
  <c r="G138" i="32"/>
  <c r="E139" i="32"/>
  <c r="D139" i="32"/>
  <c r="D131" i="85"/>
  <c r="E131" i="85"/>
  <c r="G130" i="85"/>
  <c r="E135" i="72"/>
  <c r="D135" i="72"/>
  <c r="G134" i="72"/>
  <c r="G133" i="63"/>
  <c r="E134" i="63"/>
  <c r="D134" i="63"/>
  <c r="G139" i="69"/>
  <c r="D140" i="69"/>
  <c r="E140" i="69"/>
  <c r="B130" i="91"/>
  <c r="F130" i="91"/>
  <c r="J138" i="27"/>
  <c r="D130" i="84"/>
  <c r="G129" i="84"/>
  <c r="E130" i="84"/>
  <c r="B136" i="45"/>
  <c r="F136" i="45"/>
  <c r="H129" i="89"/>
  <c r="I129" i="89"/>
  <c r="F131" i="81"/>
  <c r="B131" i="81"/>
  <c r="I136" i="41"/>
  <c r="H136" i="41"/>
  <c r="F134" i="62"/>
  <c r="B134" i="62"/>
  <c r="J128" i="90"/>
  <c r="E135" i="58"/>
  <c r="G134" i="58"/>
  <c r="D135" i="58"/>
  <c r="E130" i="92"/>
  <c r="G129" i="92"/>
  <c r="D130" i="92"/>
  <c r="G133" i="65"/>
  <c r="E134" i="65"/>
  <c r="D134" i="65"/>
  <c r="I136" i="73"/>
  <c r="H136" i="73"/>
  <c r="H129" i="91"/>
  <c r="I129" i="91"/>
  <c r="H137" i="22"/>
  <c r="I137" i="22"/>
  <c r="E139" i="31"/>
  <c r="D139" i="31"/>
  <c r="G138" i="31"/>
  <c r="B130" i="89"/>
  <c r="F130" i="89"/>
  <c r="I130" i="81"/>
  <c r="H130" i="81"/>
  <c r="D135" i="46"/>
  <c r="G134" i="46"/>
  <c r="E135" i="46"/>
  <c r="J128" i="84"/>
  <c r="G139" i="29"/>
  <c r="D140" i="29"/>
  <c r="E140" i="29"/>
  <c r="D134" i="64"/>
  <c r="G133" i="64"/>
  <c r="E134" i="64"/>
  <c r="J135" i="39"/>
  <c r="D133" i="68"/>
  <c r="E133" i="68"/>
  <c r="G132" i="68"/>
  <c r="E138" i="34"/>
  <c r="D138" i="34"/>
  <c r="G137" i="34"/>
  <c r="F137" i="73"/>
  <c r="B137" i="73"/>
  <c r="J137" i="31"/>
  <c r="G132" i="66"/>
  <c r="D133" i="66"/>
  <c r="E133" i="66"/>
  <c r="G139" i="70"/>
  <c r="D140" i="70"/>
  <c r="E140" i="70"/>
  <c r="J128" i="88"/>
  <c r="D132" i="78"/>
  <c r="E132" i="78"/>
  <c r="G131" i="78"/>
  <c r="E137" i="39"/>
  <c r="G136" i="39"/>
  <c r="D137" i="39"/>
  <c r="J135" i="44"/>
  <c r="E140" i="23"/>
  <c r="G139" i="23"/>
  <c r="D140" i="23"/>
  <c r="F136" i="56"/>
  <c r="B136" i="56"/>
  <c r="J133" i="59"/>
  <c r="I135" i="56"/>
  <c r="H135" i="56"/>
  <c r="J138" i="71"/>
  <c r="D135" i="59"/>
  <c r="G134" i="59"/>
  <c r="E135" i="59"/>
  <c r="J136" i="3"/>
  <c r="E139" i="18"/>
  <c r="D139" i="18"/>
  <c r="G138" i="18"/>
  <c r="J129" i="94"/>
  <c r="G135" i="57"/>
  <c r="D136" i="57"/>
  <c r="E136" i="57"/>
  <c r="J139" i="28"/>
  <c r="E140" i="71"/>
  <c r="D140" i="71"/>
  <c r="G139" i="71"/>
  <c r="H136" i="42"/>
  <c r="I136" i="42"/>
  <c r="F138" i="21"/>
  <c r="B138" i="21"/>
  <c r="F131" i="83"/>
  <c r="B131" i="83"/>
  <c r="D138" i="3"/>
  <c r="G137" i="3"/>
  <c r="E138" i="3"/>
  <c r="F135" i="55"/>
  <c r="B135" i="55"/>
  <c r="B130" i="93"/>
  <c r="F130" i="93"/>
  <c r="J128" i="87"/>
  <c r="H128" i="13"/>
  <c r="I128" i="13"/>
  <c r="I128" i="33"/>
  <c r="H128" i="33"/>
  <c r="G130" i="95"/>
  <c r="D131" i="95"/>
  <c r="E131" i="95" s="1"/>
  <c r="H130" i="83"/>
  <c r="I130" i="83"/>
  <c r="F132" i="77"/>
  <c r="B132" i="77"/>
  <c r="I131" i="75"/>
  <c r="H131" i="75"/>
  <c r="I138" i="24"/>
  <c r="H138" i="24"/>
  <c r="G130" i="82"/>
  <c r="D131" i="82"/>
  <c r="E131" i="82"/>
  <c r="B131" i="80"/>
  <c r="F131" i="80"/>
  <c r="H134" i="54"/>
  <c r="I134" i="54"/>
  <c r="D137" i="44"/>
  <c r="G136" i="44"/>
  <c r="E137" i="44"/>
  <c r="H129" i="93"/>
  <c r="I129" i="93"/>
  <c r="H137" i="21"/>
  <c r="I137" i="21"/>
  <c r="B132" i="75"/>
  <c r="F132" i="75"/>
  <c r="I130" i="80"/>
  <c r="H130" i="80"/>
  <c r="D130" i="87"/>
  <c r="G129" i="87"/>
  <c r="E130" i="87"/>
  <c r="D131" i="94"/>
  <c r="G130" i="94"/>
  <c r="F132" i="76"/>
  <c r="B132" i="76"/>
  <c r="I134" i="55"/>
  <c r="H134" i="55"/>
  <c r="D141" i="28"/>
  <c r="G140" i="28"/>
  <c r="E141" i="28"/>
  <c r="B129" i="13"/>
  <c r="F129" i="13"/>
  <c r="E139" i="17"/>
  <c r="D139" i="17"/>
  <c r="G138" i="17"/>
  <c r="B129" i="33"/>
  <c r="F129" i="33"/>
  <c r="F137" i="42"/>
  <c r="B137" i="42"/>
  <c r="H131" i="77"/>
  <c r="I131" i="77"/>
  <c r="D130" i="96"/>
  <c r="E130" i="96" s="1"/>
  <c r="G129" i="96"/>
  <c r="B139" i="24"/>
  <c r="F139" i="24"/>
  <c r="F135" i="54"/>
  <c r="B135" i="54"/>
  <c r="H131" i="76"/>
  <c r="I131" i="76"/>
  <c r="D133" i="67"/>
  <c r="G132" i="67"/>
  <c r="E133" i="67"/>
  <c r="H49" i="25" l="1"/>
  <c r="G49" i="25"/>
  <c r="D50" i="25"/>
  <c r="D130" i="25"/>
  <c r="G129" i="25"/>
  <c r="I53" i="99"/>
  <c r="J128" i="25"/>
  <c r="I53" i="66"/>
  <c r="D62" i="97"/>
  <c r="E62" i="97" s="1"/>
  <c r="F62" i="97" s="1"/>
  <c r="D63" i="97" s="1"/>
  <c r="G61" i="97"/>
  <c r="H61" i="97"/>
  <c r="E55" i="99"/>
  <c r="F55" i="99" s="1"/>
  <c r="D56" i="99" s="1"/>
  <c r="B55" i="99"/>
  <c r="H54" i="99"/>
  <c r="G54" i="99"/>
  <c r="B49" i="98"/>
  <c r="F49" i="98"/>
  <c r="G49" i="98" s="1"/>
  <c r="I59" i="29"/>
  <c r="I50" i="91"/>
  <c r="J128" i="99"/>
  <c r="E130" i="99"/>
  <c r="D130" i="99"/>
  <c r="G129" i="99"/>
  <c r="J129" i="26"/>
  <c r="D131" i="26"/>
  <c r="G130" i="26"/>
  <c r="H54" i="56"/>
  <c r="I54" i="56" s="1"/>
  <c r="I56" i="74"/>
  <c r="I50" i="84"/>
  <c r="I59" i="23"/>
  <c r="G58" i="19"/>
  <c r="I58" i="19" s="1"/>
  <c r="B130" i="97"/>
  <c r="F130" i="97"/>
  <c r="H129" i="98"/>
  <c r="I129" i="98"/>
  <c r="H129" i="97"/>
  <c r="I129" i="97"/>
  <c r="F130" i="98"/>
  <c r="B130" i="98"/>
  <c r="I59" i="70"/>
  <c r="I60" i="69"/>
  <c r="B54" i="67"/>
  <c r="F54" i="67"/>
  <c r="H54" i="67" s="1"/>
  <c r="F55" i="46"/>
  <c r="G55" i="46" s="1"/>
  <c r="B55" i="46"/>
  <c r="E59" i="24"/>
  <c r="F59" i="24" s="1"/>
  <c r="G59" i="24" s="1"/>
  <c r="B59" i="24"/>
  <c r="I57" i="22"/>
  <c r="D53" i="82"/>
  <c r="E53" i="82" s="1"/>
  <c r="B52" i="80"/>
  <c r="F52" i="80"/>
  <c r="H52" i="82"/>
  <c r="B50" i="94"/>
  <c r="F50" i="94"/>
  <c r="H50" i="94" s="1"/>
  <c r="B49" i="93"/>
  <c r="F49" i="93"/>
  <c r="G49" i="93" s="1"/>
  <c r="G52" i="82"/>
  <c r="H51" i="86"/>
  <c r="G51" i="86"/>
  <c r="D52" i="86"/>
  <c r="E52" i="86" s="1"/>
  <c r="B51" i="91"/>
  <c r="F51" i="91"/>
  <c r="H51" i="91" s="1"/>
  <c r="D58" i="42"/>
  <c r="E58" i="42" s="1"/>
  <c r="F54" i="66"/>
  <c r="G54" i="66" s="1"/>
  <c r="B54" i="66"/>
  <c r="E60" i="23"/>
  <c r="F60" i="23" s="1"/>
  <c r="B55" i="53"/>
  <c r="F55" i="53"/>
  <c r="G55" i="53" s="1"/>
  <c r="G53" i="65"/>
  <c r="D54" i="65"/>
  <c r="E54" i="65" s="1"/>
  <c r="B51" i="84"/>
  <c r="F51" i="84"/>
  <c r="G51" i="84" s="1"/>
  <c r="D53" i="75"/>
  <c r="E53" i="75"/>
  <c r="H57" i="42"/>
  <c r="H56" i="58"/>
  <c r="D57" i="58"/>
  <c r="E57" i="58" s="1"/>
  <c r="G56" i="58"/>
  <c r="H50" i="87"/>
  <c r="I50" i="87" s="1"/>
  <c r="G53" i="62"/>
  <c r="I53" i="62" s="1"/>
  <c r="H54" i="64"/>
  <c r="I54" i="64" s="1"/>
  <c r="G57" i="42"/>
  <c r="H53" i="65"/>
  <c r="B52" i="90"/>
  <c r="F52" i="90"/>
  <c r="H52" i="90" s="1"/>
  <c r="H52" i="75"/>
  <c r="I52" i="75" s="1"/>
  <c r="G56" i="55"/>
  <c r="I56" i="55" s="1"/>
  <c r="D57" i="55"/>
  <c r="E57" i="55" s="1"/>
  <c r="F52" i="76"/>
  <c r="G52" i="76" s="1"/>
  <c r="B52" i="76"/>
  <c r="D50" i="95"/>
  <c r="E50" i="95" s="1"/>
  <c r="I51" i="79"/>
  <c r="B60" i="27"/>
  <c r="F60" i="27"/>
  <c r="H51" i="85"/>
  <c r="D52" i="85"/>
  <c r="E52" i="85" s="1"/>
  <c r="H57" i="39"/>
  <c r="I57" i="39" s="1"/>
  <c r="B57" i="44"/>
  <c r="F57" i="44"/>
  <c r="G57" i="44" s="1"/>
  <c r="D56" i="72"/>
  <c r="E56" i="72" s="1"/>
  <c r="G49" i="95"/>
  <c r="F54" i="61"/>
  <c r="H54" i="61" s="1"/>
  <c r="B54" i="61"/>
  <c r="B51" i="81"/>
  <c r="F51" i="81"/>
  <c r="G51" i="81" s="1"/>
  <c r="B49" i="96"/>
  <c r="F49" i="96"/>
  <c r="G49" i="96" s="1"/>
  <c r="H49" i="95"/>
  <c r="B58" i="22"/>
  <c r="D58" i="39"/>
  <c r="E58" i="39" s="1"/>
  <c r="G59" i="30"/>
  <c r="G51" i="85"/>
  <c r="H55" i="72"/>
  <c r="I55" i="72" s="1"/>
  <c r="I53" i="61"/>
  <c r="E58" i="22"/>
  <c r="F58" i="22" s="1"/>
  <c r="D61" i="71"/>
  <c r="E61" i="71" s="1"/>
  <c r="F61" i="71" s="1"/>
  <c r="D62" i="71" s="1"/>
  <c r="G60" i="70"/>
  <c r="D61" i="70"/>
  <c r="H60" i="70"/>
  <c r="E60" i="32"/>
  <c r="F60" i="32" s="1"/>
  <c r="H60" i="32" s="1"/>
  <c r="B60" i="32"/>
  <c r="H60" i="29"/>
  <c r="D61" i="29"/>
  <c r="G60" i="29"/>
  <c r="D60" i="34"/>
  <c r="B55" i="57"/>
  <c r="F55" i="57"/>
  <c r="H55" i="57" s="1"/>
  <c r="D51" i="83"/>
  <c r="E51" i="83" s="1"/>
  <c r="E59" i="17"/>
  <c r="F59" i="17" s="1"/>
  <c r="B59" i="17"/>
  <c r="E60" i="30"/>
  <c r="F60" i="30" s="1"/>
  <c r="B60" i="30"/>
  <c r="D59" i="19"/>
  <c r="E59" i="19" s="1"/>
  <c r="H56" i="45"/>
  <c r="I56" i="45" s="1"/>
  <c r="D57" i="45"/>
  <c r="E57" i="45" s="1"/>
  <c r="B61" i="31"/>
  <c r="I49" i="92"/>
  <c r="B54" i="63"/>
  <c r="F54" i="63"/>
  <c r="G54" i="63" s="1"/>
  <c r="I53" i="60"/>
  <c r="C67" i="17"/>
  <c r="C68" i="17" s="1"/>
  <c r="B58" i="17"/>
  <c r="H58" i="17"/>
  <c r="G58" i="17"/>
  <c r="B52" i="79"/>
  <c r="F52" i="79"/>
  <c r="G52" i="79" s="1"/>
  <c r="D55" i="56"/>
  <c r="E55" i="56" s="1"/>
  <c r="B54" i="60"/>
  <c r="F54" i="60"/>
  <c r="G54" i="60" s="1"/>
  <c r="F55" i="54"/>
  <c r="G55" i="54" s="1"/>
  <c r="B55" i="54"/>
  <c r="I59" i="71"/>
  <c r="H53" i="68"/>
  <c r="D54" i="68"/>
  <c r="E54" i="68"/>
  <c r="F58" i="43"/>
  <c r="B58" i="43"/>
  <c r="B58" i="41"/>
  <c r="F58" i="41"/>
  <c r="G58" i="41" s="1"/>
  <c r="H57" i="20"/>
  <c r="I57" i="20" s="1"/>
  <c r="I58" i="32"/>
  <c r="H59" i="34"/>
  <c r="E61" i="31"/>
  <c r="F61" i="31" s="1"/>
  <c r="H61" i="31" s="1"/>
  <c r="H50" i="83"/>
  <c r="G51" i="88"/>
  <c r="I51" i="88" s="1"/>
  <c r="D52" i="88"/>
  <c r="E52" i="88" s="1"/>
  <c r="I54" i="54"/>
  <c r="B61" i="69"/>
  <c r="F61" i="69"/>
  <c r="G61" i="69" s="1"/>
  <c r="H58" i="3"/>
  <c r="F57" i="73"/>
  <c r="B57" i="73"/>
  <c r="F52" i="78"/>
  <c r="H52" i="78" s="1"/>
  <c r="B52" i="78"/>
  <c r="I61" i="28"/>
  <c r="B50" i="89"/>
  <c r="F50" i="89"/>
  <c r="G50" i="89" s="1"/>
  <c r="E59" i="3"/>
  <c r="F59" i="3" s="1"/>
  <c r="B59" i="3"/>
  <c r="B58" i="21"/>
  <c r="F58" i="21"/>
  <c r="G58" i="21" s="1"/>
  <c r="H59" i="30"/>
  <c r="G59" i="34"/>
  <c r="G53" i="68"/>
  <c r="G50" i="83"/>
  <c r="D55" i="64"/>
  <c r="E55" i="64" s="1"/>
  <c r="I53" i="63"/>
  <c r="G58" i="3"/>
  <c r="F57" i="74"/>
  <c r="G57" i="74" s="1"/>
  <c r="B57" i="74"/>
  <c r="F52" i="77"/>
  <c r="G52" i="77" s="1"/>
  <c r="B52" i="77"/>
  <c r="B59" i="32"/>
  <c r="G59" i="32"/>
  <c r="H59" i="32"/>
  <c r="B50" i="92"/>
  <c r="F50" i="92"/>
  <c r="B60" i="71"/>
  <c r="G60" i="71"/>
  <c r="H60" i="71"/>
  <c r="E62" i="28"/>
  <c r="F62" i="28" s="1"/>
  <c r="D63" i="28" s="1"/>
  <c r="B62" i="28"/>
  <c r="J136" i="41"/>
  <c r="J137" i="21"/>
  <c r="J131" i="75"/>
  <c r="J136" i="73"/>
  <c r="J131" i="77"/>
  <c r="D50" i="13"/>
  <c r="G51" i="33"/>
  <c r="I51" i="33" s="1"/>
  <c r="I58" i="18"/>
  <c r="D51" i="87"/>
  <c r="E51" i="87"/>
  <c r="H50" i="26"/>
  <c r="I50" i="26" s="1"/>
  <c r="D58" i="20"/>
  <c r="E58" i="20" s="1"/>
  <c r="F54" i="59"/>
  <c r="H54" i="59" s="1"/>
  <c r="B54" i="59"/>
  <c r="J130" i="81"/>
  <c r="J155" i="81" s="1"/>
  <c r="H49" i="13"/>
  <c r="I49" i="13" s="1"/>
  <c r="D54" i="62"/>
  <c r="E54" i="62" s="1"/>
  <c r="D52" i="33"/>
  <c r="E52" i="33" s="1"/>
  <c r="D51" i="26"/>
  <c r="E51" i="26" s="1"/>
  <c r="B59" i="18"/>
  <c r="F59" i="18"/>
  <c r="H59" i="18" s="1"/>
  <c r="F139" i="31"/>
  <c r="B139" i="31"/>
  <c r="J129" i="91"/>
  <c r="B134" i="65"/>
  <c r="F134" i="65"/>
  <c r="H129" i="92"/>
  <c r="I129" i="92"/>
  <c r="J129" i="89"/>
  <c r="D131" i="91"/>
  <c r="G130" i="91"/>
  <c r="E131" i="91"/>
  <c r="I139" i="69"/>
  <c r="H139" i="69"/>
  <c r="H134" i="72"/>
  <c r="I134" i="72"/>
  <c r="H138" i="32"/>
  <c r="I138" i="32"/>
  <c r="I139" i="30"/>
  <c r="H139" i="30"/>
  <c r="B137" i="43"/>
  <c r="F137" i="43"/>
  <c r="B134" i="61"/>
  <c r="F134" i="61"/>
  <c r="I129" i="88"/>
  <c r="H129" i="88"/>
  <c r="B132" i="79"/>
  <c r="F132" i="79"/>
  <c r="B136" i="74"/>
  <c r="F136" i="74"/>
  <c r="H137" i="20"/>
  <c r="I137" i="20"/>
  <c r="F138" i="19"/>
  <c r="B138" i="19"/>
  <c r="I134" i="53"/>
  <c r="H134" i="53"/>
  <c r="I131" i="78"/>
  <c r="H131" i="78"/>
  <c r="B133" i="66"/>
  <c r="F133" i="66"/>
  <c r="G137" i="73"/>
  <c r="E138" i="73"/>
  <c r="D138" i="73"/>
  <c r="I132" i="68"/>
  <c r="H132" i="68"/>
  <c r="F140" i="29"/>
  <c r="B140" i="29"/>
  <c r="H134" i="46"/>
  <c r="I134" i="46"/>
  <c r="G130" i="89"/>
  <c r="E131" i="89"/>
  <c r="D131" i="89"/>
  <c r="I129" i="84"/>
  <c r="H129" i="84"/>
  <c r="B134" i="63"/>
  <c r="F134" i="63"/>
  <c r="F135" i="72"/>
  <c r="B135" i="72"/>
  <c r="B131" i="85"/>
  <c r="F131" i="85"/>
  <c r="B140" i="30"/>
  <c r="F140" i="30"/>
  <c r="F130" i="90"/>
  <c r="B130" i="90"/>
  <c r="B134" i="60"/>
  <c r="F134" i="60"/>
  <c r="B138" i="20"/>
  <c r="F138" i="20"/>
  <c r="J133" i="62"/>
  <c r="J135" i="56"/>
  <c r="F137" i="39"/>
  <c r="B137" i="39"/>
  <c r="B140" i="70"/>
  <c r="F140" i="70"/>
  <c r="H132" i="66"/>
  <c r="I132" i="66"/>
  <c r="H137" i="34"/>
  <c r="I137" i="34"/>
  <c r="H133" i="64"/>
  <c r="I133" i="64"/>
  <c r="I139" i="29"/>
  <c r="H139" i="29"/>
  <c r="B135" i="46"/>
  <c r="F135" i="46"/>
  <c r="J137" i="22"/>
  <c r="I133" i="65"/>
  <c r="H133" i="65"/>
  <c r="F135" i="58"/>
  <c r="B135" i="58"/>
  <c r="E137" i="45"/>
  <c r="G136" i="45"/>
  <c r="D137" i="45"/>
  <c r="F130" i="84"/>
  <c r="B130" i="84"/>
  <c r="F139" i="32"/>
  <c r="B139" i="32"/>
  <c r="D138" i="41"/>
  <c r="G137" i="41"/>
  <c r="E138" i="41"/>
  <c r="I136" i="43"/>
  <c r="H136" i="43"/>
  <c r="F140" i="27"/>
  <c r="B140" i="27"/>
  <c r="D139" i="22"/>
  <c r="E139" i="22"/>
  <c r="G138" i="22"/>
  <c r="I129" i="86"/>
  <c r="H129" i="86"/>
  <c r="H129" i="90"/>
  <c r="I129" i="90"/>
  <c r="I133" i="60"/>
  <c r="H133" i="60"/>
  <c r="H137" i="19"/>
  <c r="I137" i="19"/>
  <c r="J128" i="13"/>
  <c r="H136" i="39"/>
  <c r="I136" i="39"/>
  <c r="F132" i="78"/>
  <c r="B132" i="78"/>
  <c r="H139" i="70"/>
  <c r="I139" i="70"/>
  <c r="F138" i="34"/>
  <c r="B138" i="34"/>
  <c r="F133" i="68"/>
  <c r="B133" i="68"/>
  <c r="F134" i="64"/>
  <c r="B134" i="64"/>
  <c r="H138" i="31"/>
  <c r="I138" i="31"/>
  <c r="F130" i="92"/>
  <c r="B130" i="92"/>
  <c r="H134" i="58"/>
  <c r="I134" i="58"/>
  <c r="D135" i="62"/>
  <c r="G134" i="62"/>
  <c r="E135" i="62"/>
  <c r="D132" i="81"/>
  <c r="E132" i="81"/>
  <c r="G131" i="81"/>
  <c r="F140" i="69"/>
  <c r="B140" i="69"/>
  <c r="I133" i="63"/>
  <c r="H133" i="63"/>
  <c r="H130" i="85"/>
  <c r="I130" i="85"/>
  <c r="I139" i="27"/>
  <c r="H139" i="27"/>
  <c r="J135" i="45"/>
  <c r="H133" i="61"/>
  <c r="I133" i="61"/>
  <c r="F130" i="88"/>
  <c r="B130" i="88"/>
  <c r="B130" i="86"/>
  <c r="F130" i="86"/>
  <c r="I131" i="79"/>
  <c r="H131" i="79"/>
  <c r="H135" i="74"/>
  <c r="I135" i="74"/>
  <c r="B135" i="53"/>
  <c r="F135" i="53"/>
  <c r="J136" i="42"/>
  <c r="H134" i="59"/>
  <c r="I134" i="59"/>
  <c r="H138" i="18"/>
  <c r="I138" i="18"/>
  <c r="F135" i="59"/>
  <c r="B135" i="59"/>
  <c r="D137" i="56"/>
  <c r="E137" i="56"/>
  <c r="G136" i="56"/>
  <c r="J131" i="76"/>
  <c r="B139" i="18"/>
  <c r="F139" i="18"/>
  <c r="F140" i="23"/>
  <c r="B140" i="23"/>
  <c r="H139" i="23"/>
  <c r="I139" i="23"/>
  <c r="I139" i="71"/>
  <c r="H139" i="71"/>
  <c r="F140" i="71"/>
  <c r="B140" i="71"/>
  <c r="B136" i="57"/>
  <c r="F136" i="57"/>
  <c r="H135" i="57"/>
  <c r="I135" i="57"/>
  <c r="H129" i="96"/>
  <c r="I129" i="96"/>
  <c r="B131" i="94"/>
  <c r="B137" i="44"/>
  <c r="F137" i="44"/>
  <c r="I137" i="3"/>
  <c r="H137" i="3"/>
  <c r="G131" i="83"/>
  <c r="D132" i="83"/>
  <c r="E132" i="83"/>
  <c r="H132" i="67"/>
  <c r="I132" i="67"/>
  <c r="J130" i="80"/>
  <c r="J155" i="80" s="1"/>
  <c r="J138" i="24"/>
  <c r="E133" i="77"/>
  <c r="D133" i="77"/>
  <c r="G132" i="77"/>
  <c r="F131" i="95"/>
  <c r="B131" i="95"/>
  <c r="J128" i="33"/>
  <c r="F138" i="3"/>
  <c r="B138" i="3"/>
  <c r="F133" i="67"/>
  <c r="B133" i="67"/>
  <c r="E140" i="24"/>
  <c r="G139" i="24"/>
  <c r="D140" i="24"/>
  <c r="F130" i="96"/>
  <c r="B130" i="96"/>
  <c r="G137" i="42"/>
  <c r="D138" i="42"/>
  <c r="E138" i="42"/>
  <c r="I138" i="17"/>
  <c r="H138" i="17"/>
  <c r="I140" i="28"/>
  <c r="H140" i="28"/>
  <c r="J134" i="55"/>
  <c r="I130" i="94"/>
  <c r="H130" i="94"/>
  <c r="I129" i="87"/>
  <c r="H129" i="87"/>
  <c r="J129" i="93"/>
  <c r="J134" i="54"/>
  <c r="G131" i="80"/>
  <c r="D132" i="80"/>
  <c r="E132" i="80"/>
  <c r="B131" i="82"/>
  <c r="F131" i="82"/>
  <c r="J130" i="83"/>
  <c r="J155" i="83" s="1"/>
  <c r="H130" i="95"/>
  <c r="I130" i="95"/>
  <c r="D131" i="93"/>
  <c r="E131" i="93" s="1"/>
  <c r="G130" i="93"/>
  <c r="E136" i="54"/>
  <c r="D136" i="54"/>
  <c r="G135" i="54"/>
  <c r="G129" i="33"/>
  <c r="D130" i="33"/>
  <c r="E130" i="33" s="1"/>
  <c r="F139" i="17"/>
  <c r="B139" i="17"/>
  <c r="G129" i="13"/>
  <c r="D130" i="13"/>
  <c r="E130" i="13" s="1"/>
  <c r="B141" i="28"/>
  <c r="F141" i="28"/>
  <c r="G132" i="76"/>
  <c r="D133" i="76"/>
  <c r="E133" i="76"/>
  <c r="E131" i="94"/>
  <c r="F131" i="94" s="1"/>
  <c r="F130" i="87"/>
  <c r="B130" i="87"/>
  <c r="G132" i="75"/>
  <c r="D133" i="75"/>
  <c r="E133" i="75"/>
  <c r="H136" i="44"/>
  <c r="I136" i="44"/>
  <c r="H130" i="82"/>
  <c r="I130" i="82"/>
  <c r="E136" i="55"/>
  <c r="D136" i="55"/>
  <c r="G135" i="55"/>
  <c r="D139" i="21"/>
  <c r="E139" i="21"/>
  <c r="G138" i="21"/>
  <c r="E50" i="25" l="1"/>
  <c r="F50" i="25" s="1"/>
  <c r="B50" i="25"/>
  <c r="I49" i="25"/>
  <c r="I129" i="25"/>
  <c r="H129" i="25"/>
  <c r="E130" i="25"/>
  <c r="F130" i="25" s="1"/>
  <c r="B130" i="25"/>
  <c r="H49" i="98"/>
  <c r="I49" i="98" s="1"/>
  <c r="I54" i="99"/>
  <c r="I61" i="97"/>
  <c r="G55" i="99"/>
  <c r="E56" i="99"/>
  <c r="F56" i="99" s="1"/>
  <c r="B56" i="99"/>
  <c r="E63" i="97"/>
  <c r="F63" i="97" s="1"/>
  <c r="D64" i="97" s="1"/>
  <c r="B63" i="97"/>
  <c r="D50" i="98"/>
  <c r="E50" i="98"/>
  <c r="H55" i="99"/>
  <c r="B62" i="97"/>
  <c r="G62" i="97"/>
  <c r="H62" i="97"/>
  <c r="J129" i="98"/>
  <c r="I129" i="99"/>
  <c r="H129" i="99"/>
  <c r="F130" i="99"/>
  <c r="B130" i="99"/>
  <c r="H49" i="93"/>
  <c r="I130" i="26"/>
  <c r="H130" i="26"/>
  <c r="E131" i="26"/>
  <c r="F131" i="26" s="1"/>
  <c r="B131" i="26"/>
  <c r="H61" i="69"/>
  <c r="I61" i="69" s="1"/>
  <c r="H55" i="53"/>
  <c r="I55" i="53" s="1"/>
  <c r="I53" i="65"/>
  <c r="D131" i="98"/>
  <c r="G130" i="98"/>
  <c r="E131" i="98"/>
  <c r="J129" i="97"/>
  <c r="G130" i="97"/>
  <c r="D131" i="97"/>
  <c r="E131" i="97"/>
  <c r="H51" i="84"/>
  <c r="I51" i="84" s="1"/>
  <c r="I51" i="86"/>
  <c r="G54" i="67"/>
  <c r="I54" i="67" s="1"/>
  <c r="D55" i="67"/>
  <c r="E55" i="67" s="1"/>
  <c r="H55" i="46"/>
  <c r="I55" i="46" s="1"/>
  <c r="D56" i="46"/>
  <c r="E56" i="46" s="1"/>
  <c r="H57" i="44"/>
  <c r="I57" i="44" s="1"/>
  <c r="I59" i="30"/>
  <c r="H59" i="24"/>
  <c r="I59" i="24" s="1"/>
  <c r="D60" i="24"/>
  <c r="I56" i="58"/>
  <c r="B52" i="86"/>
  <c r="F52" i="86"/>
  <c r="I49" i="93"/>
  <c r="I52" i="82"/>
  <c r="I57" i="42"/>
  <c r="D53" i="80"/>
  <c r="E53" i="80" s="1"/>
  <c r="B53" i="82"/>
  <c r="F53" i="82"/>
  <c r="G53" i="82" s="1"/>
  <c r="I60" i="29"/>
  <c r="D50" i="93"/>
  <c r="E50" i="93" s="1"/>
  <c r="G50" i="94"/>
  <c r="I50" i="94" s="1"/>
  <c r="D51" i="94"/>
  <c r="E51" i="94" s="1"/>
  <c r="H52" i="80"/>
  <c r="G52" i="80"/>
  <c r="F57" i="58"/>
  <c r="G57" i="58" s="1"/>
  <c r="B57" i="58"/>
  <c r="D61" i="23"/>
  <c r="H60" i="23"/>
  <c r="G60" i="23"/>
  <c r="H57" i="74"/>
  <c r="I57" i="74" s="1"/>
  <c r="H50" i="89"/>
  <c r="I50" i="89" s="1"/>
  <c r="G55" i="57"/>
  <c r="I55" i="57" s="1"/>
  <c r="I51" i="85"/>
  <c r="B57" i="55"/>
  <c r="F57" i="55"/>
  <c r="G57" i="55" s="1"/>
  <c r="G52" i="90"/>
  <c r="I52" i="90" s="1"/>
  <c r="D53" i="90"/>
  <c r="E53" i="90"/>
  <c r="D52" i="84"/>
  <c r="E52" i="84" s="1"/>
  <c r="F58" i="42"/>
  <c r="G58" i="42" s="1"/>
  <c r="B58" i="42"/>
  <c r="H58" i="21"/>
  <c r="I58" i="21" s="1"/>
  <c r="G54" i="61"/>
  <c r="I54" i="61" s="1"/>
  <c r="B53" i="75"/>
  <c r="F53" i="75"/>
  <c r="D56" i="53"/>
  <c r="E56" i="53" s="1"/>
  <c r="G51" i="91"/>
  <c r="I51" i="91" s="1"/>
  <c r="D52" i="91"/>
  <c r="E52" i="91" s="1"/>
  <c r="F54" i="65"/>
  <c r="G54" i="65" s="1"/>
  <c r="B54" i="65"/>
  <c r="H54" i="66"/>
  <c r="I54" i="66" s="1"/>
  <c r="D55" i="66"/>
  <c r="E55" i="66" s="1"/>
  <c r="H58" i="22"/>
  <c r="D59" i="22"/>
  <c r="G58" i="22"/>
  <c r="I49" i="95"/>
  <c r="B58" i="39"/>
  <c r="F58" i="39"/>
  <c r="H58" i="39" s="1"/>
  <c r="H51" i="81"/>
  <c r="I51" i="81" s="1"/>
  <c r="D52" i="81"/>
  <c r="E52" i="81" s="1"/>
  <c r="D58" i="44"/>
  <c r="E58" i="44" s="1"/>
  <c r="G60" i="27"/>
  <c r="D61" i="27"/>
  <c r="E61" i="27" s="1"/>
  <c r="H60" i="27"/>
  <c r="H49" i="96"/>
  <c r="I49" i="96" s="1"/>
  <c r="E50" i="96"/>
  <c r="D50" i="96"/>
  <c r="F56" i="72"/>
  <c r="H56" i="72" s="1"/>
  <c r="B56" i="72"/>
  <c r="B50" i="95"/>
  <c r="F50" i="95"/>
  <c r="G50" i="95" s="1"/>
  <c r="D55" i="61"/>
  <c r="E55" i="61" s="1"/>
  <c r="B52" i="85"/>
  <c r="F52" i="85"/>
  <c r="H52" i="85" s="1"/>
  <c r="H52" i="76"/>
  <c r="I52" i="76" s="1"/>
  <c r="D53" i="76"/>
  <c r="E53" i="76" s="1"/>
  <c r="I58" i="17"/>
  <c r="D60" i="3"/>
  <c r="G59" i="3"/>
  <c r="H59" i="3"/>
  <c r="D60" i="17"/>
  <c r="G59" i="17"/>
  <c r="H59" i="17"/>
  <c r="H60" i="30"/>
  <c r="D61" i="30"/>
  <c r="G60" i="30"/>
  <c r="H50" i="92"/>
  <c r="D51" i="92"/>
  <c r="E51" i="92" s="1"/>
  <c r="D58" i="73"/>
  <c r="E58" i="73" s="1"/>
  <c r="H57" i="73"/>
  <c r="G57" i="73"/>
  <c r="B60" i="34"/>
  <c r="G62" i="28"/>
  <c r="G50" i="92"/>
  <c r="H52" i="77"/>
  <c r="I52" i="77" s="1"/>
  <c r="D53" i="77"/>
  <c r="E53" i="77" s="1"/>
  <c r="D58" i="74"/>
  <c r="E58" i="74" s="1"/>
  <c r="D59" i="21"/>
  <c r="E59" i="21" s="1"/>
  <c r="I58" i="3"/>
  <c r="D62" i="69"/>
  <c r="E62" i="69" s="1"/>
  <c r="F62" i="69" s="1"/>
  <c r="I50" i="83"/>
  <c r="D56" i="54"/>
  <c r="E56" i="54" s="1"/>
  <c r="F55" i="56"/>
  <c r="G55" i="56" s="1"/>
  <c r="B55" i="56"/>
  <c r="H54" i="63"/>
  <c r="I54" i="63" s="1"/>
  <c r="E60" i="34"/>
  <c r="F60" i="34" s="1"/>
  <c r="E62" i="71"/>
  <c r="F62" i="71" s="1"/>
  <c r="B62" i="71"/>
  <c r="E63" i="28"/>
  <c r="F63" i="28" s="1"/>
  <c r="B63" i="28"/>
  <c r="H58" i="43"/>
  <c r="D59" i="43"/>
  <c r="D62" i="31"/>
  <c r="B61" i="29"/>
  <c r="G54" i="59"/>
  <c r="I54" i="59" s="1"/>
  <c r="H62" i="28"/>
  <c r="I60" i="71"/>
  <c r="B55" i="64"/>
  <c r="F55" i="64"/>
  <c r="G55" i="64" s="1"/>
  <c r="D51" i="89"/>
  <c r="E51" i="89" s="1"/>
  <c r="G52" i="78"/>
  <c r="I52" i="78" s="1"/>
  <c r="D53" i="78"/>
  <c r="E53" i="78" s="1"/>
  <c r="G58" i="43"/>
  <c r="B54" i="68"/>
  <c r="F54" i="68"/>
  <c r="G54" i="68" s="1"/>
  <c r="H55" i="54"/>
  <c r="I55" i="54" s="1"/>
  <c r="B59" i="19"/>
  <c r="F59" i="19"/>
  <c r="H59" i="19" s="1"/>
  <c r="D56" i="57"/>
  <c r="E56" i="57" s="1"/>
  <c r="I60" i="70"/>
  <c r="B61" i="71"/>
  <c r="H61" i="71"/>
  <c r="G61" i="71"/>
  <c r="B52" i="88"/>
  <c r="F52" i="88"/>
  <c r="G52" i="88" s="1"/>
  <c r="I59" i="32"/>
  <c r="I59" i="34"/>
  <c r="H58" i="41"/>
  <c r="I58" i="41" s="1"/>
  <c r="D59" i="41"/>
  <c r="E59" i="41" s="1"/>
  <c r="I53" i="68"/>
  <c r="H54" i="60"/>
  <c r="I54" i="60" s="1"/>
  <c r="D55" i="60"/>
  <c r="E55" i="60" s="1"/>
  <c r="H52" i="79"/>
  <c r="I52" i="79" s="1"/>
  <c r="D53" i="79"/>
  <c r="E53" i="79" s="1"/>
  <c r="D55" i="63"/>
  <c r="E55" i="63" s="1"/>
  <c r="G61" i="31"/>
  <c r="I61" i="31" s="1"/>
  <c r="B57" i="45"/>
  <c r="F57" i="45"/>
  <c r="G57" i="45" s="1"/>
  <c r="B51" i="83"/>
  <c r="F51" i="83"/>
  <c r="E61" i="29"/>
  <c r="F61" i="29" s="1"/>
  <c r="D62" i="29" s="1"/>
  <c r="G60" i="32"/>
  <c r="I60" i="32" s="1"/>
  <c r="D61" i="32"/>
  <c r="E61" i="70"/>
  <c r="F61" i="70" s="1"/>
  <c r="B61" i="70"/>
  <c r="J140" i="28"/>
  <c r="J137" i="20"/>
  <c r="J134" i="59"/>
  <c r="J137" i="34"/>
  <c r="J129" i="84"/>
  <c r="J134" i="72"/>
  <c r="J129" i="92"/>
  <c r="J131" i="78"/>
  <c r="J134" i="46"/>
  <c r="J136" i="43"/>
  <c r="J133" i="64"/>
  <c r="J129" i="88"/>
  <c r="J137" i="19"/>
  <c r="J132" i="66"/>
  <c r="J139" i="69"/>
  <c r="J138" i="18"/>
  <c r="J129" i="90"/>
  <c r="B51" i="26"/>
  <c r="F51" i="26"/>
  <c r="G51" i="26" s="1"/>
  <c r="B58" i="20"/>
  <c r="F58" i="20"/>
  <c r="G58" i="20" s="1"/>
  <c r="B50" i="13"/>
  <c r="J130" i="82"/>
  <c r="J155" i="82" s="1"/>
  <c r="D60" i="18"/>
  <c r="E60" i="18" s="1"/>
  <c r="B51" i="87"/>
  <c r="F51" i="87"/>
  <c r="G51" i="87" s="1"/>
  <c r="J135" i="74"/>
  <c r="J133" i="61"/>
  <c r="J139" i="27"/>
  <c r="J133" i="63"/>
  <c r="G59" i="18"/>
  <c r="I59" i="18" s="1"/>
  <c r="B52" i="33"/>
  <c r="F52" i="33"/>
  <c r="H52" i="33" s="1"/>
  <c r="F54" i="62"/>
  <c r="G54" i="62" s="1"/>
  <c r="B54" i="62"/>
  <c r="D55" i="59"/>
  <c r="E55" i="59" s="1"/>
  <c r="E50" i="13"/>
  <c r="F50" i="13" s="1"/>
  <c r="G135" i="53"/>
  <c r="E136" i="53"/>
  <c r="D136" i="53"/>
  <c r="G140" i="69"/>
  <c r="E141" i="69"/>
  <c r="D141" i="69"/>
  <c r="E134" i="68"/>
  <c r="D134" i="68"/>
  <c r="G133" i="68"/>
  <c r="F139" i="22"/>
  <c r="B139" i="22"/>
  <c r="F137" i="45"/>
  <c r="B137" i="45"/>
  <c r="E136" i="58"/>
  <c r="D136" i="58"/>
  <c r="G135" i="58"/>
  <c r="E136" i="46"/>
  <c r="D136" i="46"/>
  <c r="G135" i="46"/>
  <c r="D136" i="72"/>
  <c r="E136" i="72"/>
  <c r="G135" i="72"/>
  <c r="H137" i="73"/>
  <c r="I137" i="73"/>
  <c r="D139" i="19"/>
  <c r="E139" i="19"/>
  <c r="G138" i="19"/>
  <c r="J139" i="23"/>
  <c r="J131" i="79"/>
  <c r="D131" i="88"/>
  <c r="E131" i="88"/>
  <c r="G130" i="88"/>
  <c r="I131" i="81"/>
  <c r="H131" i="81"/>
  <c r="I134" i="62"/>
  <c r="H134" i="62"/>
  <c r="J133" i="60"/>
  <c r="J129" i="86"/>
  <c r="D140" i="32"/>
  <c r="E140" i="32" s="1"/>
  <c r="G139" i="32"/>
  <c r="H136" i="45"/>
  <c r="I136" i="45"/>
  <c r="E138" i="39"/>
  <c r="G137" i="39"/>
  <c r="D138" i="39"/>
  <c r="E139" i="20"/>
  <c r="G138" i="20"/>
  <c r="D139" i="20"/>
  <c r="G131" i="85"/>
  <c r="D132" i="85"/>
  <c r="E132" i="85"/>
  <c r="E135" i="63"/>
  <c r="D135" i="63"/>
  <c r="G134" i="63"/>
  <c r="B131" i="89"/>
  <c r="F131" i="89"/>
  <c r="J132" i="68"/>
  <c r="E134" i="66"/>
  <c r="D134" i="66"/>
  <c r="G133" i="66"/>
  <c r="E133" i="79"/>
  <c r="G132" i="79"/>
  <c r="D133" i="79"/>
  <c r="G134" i="61"/>
  <c r="D135" i="61"/>
  <c r="E135" i="61"/>
  <c r="D131" i="86"/>
  <c r="G130" i="86"/>
  <c r="E131" i="86"/>
  <c r="B135" i="62"/>
  <c r="F135" i="62"/>
  <c r="D131" i="92"/>
  <c r="G130" i="92"/>
  <c r="E131" i="92"/>
  <c r="E135" i="64"/>
  <c r="D135" i="64"/>
  <c r="G134" i="64"/>
  <c r="E139" i="34"/>
  <c r="D139" i="34"/>
  <c r="G138" i="34"/>
  <c r="G132" i="78"/>
  <c r="E133" i="78"/>
  <c r="D133" i="78"/>
  <c r="H138" i="22"/>
  <c r="I138" i="22"/>
  <c r="G140" i="27"/>
  <c r="D141" i="27"/>
  <c r="E141" i="27"/>
  <c r="I137" i="41"/>
  <c r="H137" i="41"/>
  <c r="J133" i="65"/>
  <c r="G140" i="70"/>
  <c r="E141" i="70"/>
  <c r="D141" i="70"/>
  <c r="E131" i="90"/>
  <c r="D131" i="90"/>
  <c r="G130" i="90"/>
  <c r="F138" i="73"/>
  <c r="B138" i="73"/>
  <c r="J134" i="53"/>
  <c r="J139" i="30"/>
  <c r="H130" i="91"/>
  <c r="I130" i="91"/>
  <c r="J130" i="85"/>
  <c r="J155" i="85" s="1"/>
  <c r="F132" i="81"/>
  <c r="B132" i="81"/>
  <c r="J134" i="58"/>
  <c r="J138" i="31"/>
  <c r="J139" i="70"/>
  <c r="J136" i="39"/>
  <c r="F138" i="41"/>
  <c r="B138" i="41"/>
  <c r="D131" i="84"/>
  <c r="E131" i="84"/>
  <c r="G130" i="84"/>
  <c r="J139" i="29"/>
  <c r="D135" i="60"/>
  <c r="E135" i="60"/>
  <c r="G134" i="60"/>
  <c r="D141" i="30"/>
  <c r="E141" i="30" s="1"/>
  <c r="G140" i="30"/>
  <c r="H130" i="89"/>
  <c r="I130" i="89"/>
  <c r="D141" i="29"/>
  <c r="E141" i="29" s="1"/>
  <c r="G140" i="29"/>
  <c r="G136" i="74"/>
  <c r="E137" i="74"/>
  <c r="D137" i="74"/>
  <c r="G137" i="43"/>
  <c r="E138" i="43"/>
  <c r="D138" i="43"/>
  <c r="J138" i="32"/>
  <c r="F131" i="91"/>
  <c r="B131" i="91"/>
  <c r="G134" i="65"/>
  <c r="D135" i="65"/>
  <c r="E135" i="65"/>
  <c r="E140" i="31"/>
  <c r="G139" i="31"/>
  <c r="D140" i="31"/>
  <c r="H136" i="56"/>
  <c r="I136" i="56"/>
  <c r="D141" i="23"/>
  <c r="E141" i="23" s="1"/>
  <c r="G140" i="23"/>
  <c r="G139" i="18"/>
  <c r="D140" i="18"/>
  <c r="E140" i="18"/>
  <c r="J137" i="3"/>
  <c r="F137" i="56"/>
  <c r="B137" i="56"/>
  <c r="E136" i="59"/>
  <c r="D136" i="59"/>
  <c r="G135" i="59"/>
  <c r="J136" i="44"/>
  <c r="J138" i="17"/>
  <c r="E141" i="71"/>
  <c r="G140" i="71"/>
  <c r="D141" i="71"/>
  <c r="J135" i="57"/>
  <c r="J139" i="71"/>
  <c r="J129" i="87"/>
  <c r="D137" i="57"/>
  <c r="G136" i="57"/>
  <c r="E137" i="57"/>
  <c r="G131" i="94"/>
  <c r="D132" i="94"/>
  <c r="I135" i="55"/>
  <c r="H135" i="55"/>
  <c r="H132" i="75"/>
  <c r="I132" i="75"/>
  <c r="B133" i="76"/>
  <c r="F133" i="76"/>
  <c r="F131" i="93"/>
  <c r="B131" i="93"/>
  <c r="B132" i="80"/>
  <c r="F132" i="80"/>
  <c r="J130" i="94"/>
  <c r="J155" i="94" s="1"/>
  <c r="G130" i="96"/>
  <c r="D131" i="96"/>
  <c r="E131" i="96" s="1"/>
  <c r="G138" i="3"/>
  <c r="D139" i="3"/>
  <c r="E139" i="3"/>
  <c r="G131" i="95"/>
  <c r="D132" i="95"/>
  <c r="E132" i="95" s="1"/>
  <c r="H132" i="77"/>
  <c r="I132" i="77"/>
  <c r="B132" i="83"/>
  <c r="F132" i="83"/>
  <c r="J129" i="96"/>
  <c r="B130" i="13"/>
  <c r="F130" i="13"/>
  <c r="B136" i="55"/>
  <c r="F136" i="55"/>
  <c r="H138" i="21"/>
  <c r="I138" i="21"/>
  <c r="D131" i="87"/>
  <c r="G130" i="87"/>
  <c r="E131" i="87"/>
  <c r="I132" i="76"/>
  <c r="H132" i="76"/>
  <c r="D142" i="28"/>
  <c r="G141" i="28"/>
  <c r="E142" i="28"/>
  <c r="I129" i="13"/>
  <c r="H129" i="13"/>
  <c r="F130" i="33"/>
  <c r="B130" i="33"/>
  <c r="J130" i="95"/>
  <c r="J155" i="95" s="1"/>
  <c r="G131" i="82"/>
  <c r="D132" i="82"/>
  <c r="E132" i="82"/>
  <c r="I131" i="80"/>
  <c r="H131" i="80"/>
  <c r="F138" i="42"/>
  <c r="B138" i="42"/>
  <c r="F140" i="24"/>
  <c r="B140" i="24"/>
  <c r="F133" i="77"/>
  <c r="B133" i="77"/>
  <c r="H131" i="83"/>
  <c r="I131" i="83"/>
  <c r="F133" i="75"/>
  <c r="B133" i="75"/>
  <c r="I129" i="33"/>
  <c r="H129" i="33"/>
  <c r="I135" i="54"/>
  <c r="H135" i="54"/>
  <c r="H130" i="93"/>
  <c r="I130" i="93"/>
  <c r="H137" i="42"/>
  <c r="I137" i="42"/>
  <c r="I139" i="24"/>
  <c r="H139" i="24"/>
  <c r="D138" i="44"/>
  <c r="G137" i="44"/>
  <c r="E138" i="44"/>
  <c r="F139" i="21"/>
  <c r="B139" i="21"/>
  <c r="G139" i="17"/>
  <c r="D140" i="17"/>
  <c r="E140" i="17" s="1"/>
  <c r="F136" i="54"/>
  <c r="B136" i="54"/>
  <c r="G133" i="67"/>
  <c r="D134" i="67"/>
  <c r="E134" i="67"/>
  <c r="J132" i="67"/>
  <c r="H50" i="25" l="1"/>
  <c r="D51" i="25"/>
  <c r="B51" i="25" s="1"/>
  <c r="G50" i="25"/>
  <c r="G63" i="97"/>
  <c r="D131" i="25"/>
  <c r="G130" i="25"/>
  <c r="J129" i="25"/>
  <c r="I55" i="99"/>
  <c r="I62" i="97"/>
  <c r="D57" i="99"/>
  <c r="G56" i="99"/>
  <c r="H56" i="99"/>
  <c r="E64" i="97"/>
  <c r="F64" i="97" s="1"/>
  <c r="B64" i="97"/>
  <c r="B50" i="98"/>
  <c r="F50" i="98"/>
  <c r="G50" i="98" s="1"/>
  <c r="H63" i="97"/>
  <c r="D131" i="99"/>
  <c r="G130" i="99"/>
  <c r="E131" i="99"/>
  <c r="J129" i="99"/>
  <c r="G131" i="26"/>
  <c r="D132" i="26"/>
  <c r="J130" i="26"/>
  <c r="I58" i="43"/>
  <c r="B131" i="97"/>
  <c r="F131" i="97"/>
  <c r="H130" i="98"/>
  <c r="I130" i="98"/>
  <c r="H130" i="97"/>
  <c r="I130" i="97"/>
  <c r="B131" i="98"/>
  <c r="F131" i="98"/>
  <c r="B55" i="67"/>
  <c r="F55" i="67"/>
  <c r="H55" i="67" s="1"/>
  <c r="F56" i="46"/>
  <c r="G56" i="46" s="1"/>
  <c r="B56" i="46"/>
  <c r="E60" i="24"/>
  <c r="F60" i="24" s="1"/>
  <c r="G60" i="24" s="1"/>
  <c r="B60" i="24"/>
  <c r="G52" i="33"/>
  <c r="I52" i="33" s="1"/>
  <c r="G58" i="39"/>
  <c r="I58" i="39" s="1"/>
  <c r="B53" i="80"/>
  <c r="F53" i="80"/>
  <c r="G53" i="80" s="1"/>
  <c r="I60" i="23"/>
  <c r="I52" i="80"/>
  <c r="H53" i="82"/>
  <c r="I53" i="82" s="1"/>
  <c r="D54" i="82"/>
  <c r="E54" i="82" s="1"/>
  <c r="B51" i="94"/>
  <c r="F51" i="94"/>
  <c r="H51" i="94" s="1"/>
  <c r="B50" i="93"/>
  <c r="F50" i="93"/>
  <c r="G50" i="93" s="1"/>
  <c r="G52" i="86"/>
  <c r="D53" i="86"/>
  <c r="E53" i="86" s="1"/>
  <c r="H52" i="86"/>
  <c r="B52" i="84"/>
  <c r="F52" i="84"/>
  <c r="H52" i="84" s="1"/>
  <c r="G56" i="72"/>
  <c r="I56" i="72" s="1"/>
  <c r="B56" i="53"/>
  <c r="F56" i="53"/>
  <c r="H57" i="55"/>
  <c r="I57" i="55" s="1"/>
  <c r="D58" i="55"/>
  <c r="E58" i="55" s="1"/>
  <c r="E61" i="23"/>
  <c r="F61" i="23" s="1"/>
  <c r="H61" i="23" s="1"/>
  <c r="B61" i="23"/>
  <c r="H57" i="58"/>
  <c r="I57" i="58" s="1"/>
  <c r="D58" i="58"/>
  <c r="E58" i="58" s="1"/>
  <c r="D55" i="65"/>
  <c r="E55" i="65" s="1"/>
  <c r="H54" i="65"/>
  <c r="I54" i="65" s="1"/>
  <c r="H58" i="42"/>
  <c r="I58" i="42" s="1"/>
  <c r="D59" i="42"/>
  <c r="E59" i="42" s="1"/>
  <c r="F59" i="42" s="1"/>
  <c r="B53" i="90"/>
  <c r="F53" i="90"/>
  <c r="G53" i="75"/>
  <c r="D54" i="75"/>
  <c r="E54" i="75" s="1"/>
  <c r="I58" i="22"/>
  <c r="B55" i="66"/>
  <c r="F55" i="66"/>
  <c r="G55" i="66" s="1"/>
  <c r="F52" i="91"/>
  <c r="B52" i="91"/>
  <c r="H53" i="75"/>
  <c r="H62" i="71"/>
  <c r="G62" i="71"/>
  <c r="H54" i="68"/>
  <c r="I54" i="68" s="1"/>
  <c r="F50" i="96"/>
  <c r="G50" i="96" s="1"/>
  <c r="B50" i="96"/>
  <c r="F58" i="44"/>
  <c r="H58" i="44" s="1"/>
  <c r="B58" i="44"/>
  <c r="H58" i="20"/>
  <c r="I58" i="20" s="1"/>
  <c r="H55" i="64"/>
  <c r="I55" i="64" s="1"/>
  <c r="H61" i="29"/>
  <c r="F53" i="76"/>
  <c r="H53" i="76" s="1"/>
  <c r="B53" i="76"/>
  <c r="G52" i="85"/>
  <c r="I52" i="85" s="1"/>
  <c r="D53" i="85"/>
  <c r="E53" i="85" s="1"/>
  <c r="F55" i="61"/>
  <c r="G55" i="61" s="1"/>
  <c r="B55" i="61"/>
  <c r="I60" i="27"/>
  <c r="B52" i="81"/>
  <c r="F52" i="81"/>
  <c r="H52" i="81" s="1"/>
  <c r="E59" i="22"/>
  <c r="F59" i="22" s="1"/>
  <c r="H59" i="22" s="1"/>
  <c r="B59" i="22"/>
  <c r="H50" i="95"/>
  <c r="I50" i="95" s="1"/>
  <c r="D51" i="95"/>
  <c r="E51" i="95" s="1"/>
  <c r="D57" i="72"/>
  <c r="E57" i="72" s="1"/>
  <c r="F61" i="27"/>
  <c r="G61" i="27" s="1"/>
  <c r="B61" i="27"/>
  <c r="D59" i="39"/>
  <c r="I50" i="92"/>
  <c r="I60" i="30"/>
  <c r="I59" i="17"/>
  <c r="I59" i="3"/>
  <c r="I62" i="28"/>
  <c r="G60" i="34"/>
  <c r="D61" i="34"/>
  <c r="E61" i="34" s="1"/>
  <c r="H60" i="34"/>
  <c r="H61" i="70"/>
  <c r="D62" i="70"/>
  <c r="G61" i="70"/>
  <c r="D52" i="83"/>
  <c r="E52" i="83" s="1"/>
  <c r="B62" i="31"/>
  <c r="B59" i="21"/>
  <c r="F59" i="21"/>
  <c r="G59" i="21" s="1"/>
  <c r="B61" i="30"/>
  <c r="E61" i="32"/>
  <c r="F61" i="32" s="1"/>
  <c r="B61" i="32"/>
  <c r="H57" i="45"/>
  <c r="I57" i="45" s="1"/>
  <c r="D58" i="45"/>
  <c r="E58" i="45" s="1"/>
  <c r="F55" i="63"/>
  <c r="G55" i="63" s="1"/>
  <c r="B55" i="63"/>
  <c r="B53" i="78"/>
  <c r="F53" i="78"/>
  <c r="G53" i="78" s="1"/>
  <c r="G61" i="29"/>
  <c r="B59" i="43"/>
  <c r="G63" i="28"/>
  <c r="D64" i="28"/>
  <c r="F58" i="74"/>
  <c r="G58" i="74" s="1"/>
  <c r="B58" i="74"/>
  <c r="I57" i="73"/>
  <c r="G51" i="83"/>
  <c r="B55" i="60"/>
  <c r="F55" i="60"/>
  <c r="G55" i="60" s="1"/>
  <c r="B59" i="41"/>
  <c r="F59" i="41"/>
  <c r="H59" i="41" s="1"/>
  <c r="H52" i="88"/>
  <c r="I52" i="88" s="1"/>
  <c r="D53" i="88"/>
  <c r="E53" i="88" s="1"/>
  <c r="B56" i="57"/>
  <c r="F56" i="57"/>
  <c r="G56" i="57" s="1"/>
  <c r="D60" i="19"/>
  <c r="E60" i="19" s="1"/>
  <c r="D56" i="64"/>
  <c r="E56" i="64" s="1"/>
  <c r="E59" i="43"/>
  <c r="F59" i="43" s="1"/>
  <c r="E56" i="56"/>
  <c r="D56" i="56"/>
  <c r="D63" i="69"/>
  <c r="E63" i="69" s="1"/>
  <c r="F58" i="73"/>
  <c r="D59" i="73" s="1"/>
  <c r="E59" i="73" s="1"/>
  <c r="B58" i="73"/>
  <c r="F51" i="92"/>
  <c r="G51" i="92" s="1"/>
  <c r="B51" i="92"/>
  <c r="E60" i="17"/>
  <c r="F60" i="17" s="1"/>
  <c r="C69" i="17"/>
  <c r="B60" i="17"/>
  <c r="F56" i="54"/>
  <c r="B56" i="54"/>
  <c r="E62" i="29"/>
  <c r="F62" i="29" s="1"/>
  <c r="D63" i="29" s="1"/>
  <c r="B62" i="29"/>
  <c r="H51" i="83"/>
  <c r="B53" i="79"/>
  <c r="F53" i="79"/>
  <c r="H53" i="79" s="1"/>
  <c r="I61" i="71"/>
  <c r="G59" i="19"/>
  <c r="I59" i="19" s="1"/>
  <c r="D55" i="68"/>
  <c r="E55" i="68"/>
  <c r="B51" i="89"/>
  <c r="F51" i="89"/>
  <c r="E62" i="31"/>
  <c r="F62" i="31" s="1"/>
  <c r="G62" i="31" s="1"/>
  <c r="H63" i="28"/>
  <c r="D63" i="71"/>
  <c r="E63" i="71" s="1"/>
  <c r="H55" i="56"/>
  <c r="I55" i="56" s="1"/>
  <c r="B62" i="69"/>
  <c r="G62" i="69"/>
  <c r="H62" i="69"/>
  <c r="B53" i="77"/>
  <c r="F53" i="77"/>
  <c r="H53" i="77" s="1"/>
  <c r="E61" i="30"/>
  <c r="F61" i="30" s="1"/>
  <c r="E60" i="3"/>
  <c r="F60" i="3" s="1"/>
  <c r="B60" i="3"/>
  <c r="J130" i="91"/>
  <c r="J155" i="91" s="1"/>
  <c r="J136" i="45"/>
  <c r="J137" i="73"/>
  <c r="D51" i="13"/>
  <c r="H50" i="13"/>
  <c r="G50" i="13"/>
  <c r="D52" i="26"/>
  <c r="H54" i="62"/>
  <c r="I54" i="62" s="1"/>
  <c r="F55" i="59"/>
  <c r="H55" i="59" s="1"/>
  <c r="B55" i="59"/>
  <c r="B60" i="18"/>
  <c r="F60" i="18"/>
  <c r="G60" i="18" s="1"/>
  <c r="D59" i="20"/>
  <c r="H51" i="26"/>
  <c r="I51" i="26" s="1"/>
  <c r="D55" i="62"/>
  <c r="E55" i="62" s="1"/>
  <c r="D52" i="87"/>
  <c r="E52" i="87" s="1"/>
  <c r="J137" i="41"/>
  <c r="J138" i="22"/>
  <c r="D53" i="33"/>
  <c r="E53" i="33" s="1"/>
  <c r="H51" i="87"/>
  <c r="I51" i="87" s="1"/>
  <c r="G131" i="91"/>
  <c r="E132" i="91"/>
  <c r="D132" i="91"/>
  <c r="I137" i="43"/>
  <c r="H137" i="43"/>
  <c r="I140" i="29"/>
  <c r="H140" i="29"/>
  <c r="H134" i="60"/>
  <c r="I134" i="60"/>
  <c r="H130" i="84"/>
  <c r="I130" i="84"/>
  <c r="D139" i="41"/>
  <c r="E139" i="41"/>
  <c r="G138" i="41"/>
  <c r="F141" i="27"/>
  <c r="B141" i="27"/>
  <c r="F133" i="78"/>
  <c r="B133" i="78"/>
  <c r="B139" i="34"/>
  <c r="F139" i="34"/>
  <c r="E136" i="62"/>
  <c r="D136" i="62"/>
  <c r="G135" i="62"/>
  <c r="B131" i="86"/>
  <c r="F131" i="86"/>
  <c r="B133" i="79"/>
  <c r="F133" i="79"/>
  <c r="B134" i="66"/>
  <c r="F134" i="66"/>
  <c r="I138" i="20"/>
  <c r="H138" i="20"/>
  <c r="F140" i="32"/>
  <c r="B140" i="32"/>
  <c r="H130" i="88"/>
  <c r="I130" i="88"/>
  <c r="F136" i="72"/>
  <c r="B136" i="72"/>
  <c r="I135" i="58"/>
  <c r="H135" i="58"/>
  <c r="G137" i="45"/>
  <c r="D138" i="45"/>
  <c r="E138" i="45"/>
  <c r="F134" i="68"/>
  <c r="B134" i="68"/>
  <c r="I140" i="69"/>
  <c r="H140" i="69"/>
  <c r="J135" i="55"/>
  <c r="J136" i="56"/>
  <c r="F140" i="31"/>
  <c r="B140" i="31"/>
  <c r="F135" i="65"/>
  <c r="B135" i="65"/>
  <c r="B137" i="74"/>
  <c r="F137" i="74"/>
  <c r="I140" i="30"/>
  <c r="H140" i="30"/>
  <c r="D139" i="73"/>
  <c r="E139" i="73"/>
  <c r="G138" i="73"/>
  <c r="F141" i="70"/>
  <c r="B141" i="70"/>
  <c r="I140" i="27"/>
  <c r="H140" i="27"/>
  <c r="H132" i="79"/>
  <c r="I132" i="79"/>
  <c r="H134" i="63"/>
  <c r="I134" i="63"/>
  <c r="B132" i="85"/>
  <c r="F132" i="85"/>
  <c r="J134" i="62"/>
  <c r="I138" i="19"/>
  <c r="H138" i="19"/>
  <c r="I135" i="46"/>
  <c r="H135" i="46"/>
  <c r="F136" i="58"/>
  <c r="B136" i="58"/>
  <c r="B136" i="53"/>
  <c r="F136" i="53"/>
  <c r="H139" i="31"/>
  <c r="I139" i="31"/>
  <c r="I134" i="65"/>
  <c r="H134" i="65"/>
  <c r="B138" i="43"/>
  <c r="F138" i="43"/>
  <c r="B141" i="29"/>
  <c r="F141" i="29"/>
  <c r="F135" i="60"/>
  <c r="B135" i="60"/>
  <c r="B131" i="84"/>
  <c r="F131" i="84"/>
  <c r="D133" i="81"/>
  <c r="E133" i="81"/>
  <c r="G132" i="81"/>
  <c r="I130" i="90"/>
  <c r="H130" i="90"/>
  <c r="I132" i="78"/>
  <c r="H132" i="78"/>
  <c r="I134" i="64"/>
  <c r="H134" i="64"/>
  <c r="I130" i="92"/>
  <c r="H130" i="92"/>
  <c r="F135" i="61"/>
  <c r="B135" i="61"/>
  <c r="F135" i="63"/>
  <c r="B135" i="63"/>
  <c r="H131" i="85"/>
  <c r="I131" i="85"/>
  <c r="B138" i="39"/>
  <c r="F138" i="39"/>
  <c r="F131" i="88"/>
  <c r="B131" i="88"/>
  <c r="I135" i="72"/>
  <c r="H135" i="72"/>
  <c r="F136" i="46"/>
  <c r="B136" i="46"/>
  <c r="D140" i="22"/>
  <c r="E140" i="22" s="1"/>
  <c r="G139" i="22"/>
  <c r="F141" i="69"/>
  <c r="B141" i="69"/>
  <c r="I136" i="74"/>
  <c r="H136" i="74"/>
  <c r="J130" i="89"/>
  <c r="J155" i="89" s="1"/>
  <c r="B141" i="30"/>
  <c r="F141" i="30"/>
  <c r="B131" i="90"/>
  <c r="F131" i="90"/>
  <c r="H140" i="70"/>
  <c r="I140" i="70"/>
  <c r="I138" i="34"/>
  <c r="H138" i="34"/>
  <c r="F135" i="64"/>
  <c r="B135" i="64"/>
  <c r="B131" i="92"/>
  <c r="F131" i="92"/>
  <c r="I130" i="86"/>
  <c r="H130" i="86"/>
  <c r="H134" i="61"/>
  <c r="I134" i="61"/>
  <c r="I133" i="66"/>
  <c r="H133" i="66"/>
  <c r="G131" i="89"/>
  <c r="D132" i="89"/>
  <c r="E132" i="89"/>
  <c r="B139" i="20"/>
  <c r="F139" i="20"/>
  <c r="H137" i="39"/>
  <c r="I137" i="39"/>
  <c r="H139" i="32"/>
  <c r="I139" i="32"/>
  <c r="B139" i="19"/>
  <c r="F139" i="19"/>
  <c r="H133" i="68"/>
  <c r="I133" i="68"/>
  <c r="I135" i="53"/>
  <c r="H135" i="53"/>
  <c r="J137" i="42"/>
  <c r="G137" i="56"/>
  <c r="E138" i="56"/>
  <c r="D138" i="56"/>
  <c r="J132" i="77"/>
  <c r="H140" i="23"/>
  <c r="I140" i="23"/>
  <c r="I135" i="59"/>
  <c r="H135" i="59"/>
  <c r="F140" i="18"/>
  <c r="B140" i="18"/>
  <c r="B141" i="23"/>
  <c r="F141" i="23"/>
  <c r="J129" i="13"/>
  <c r="F136" i="59"/>
  <c r="B136" i="59"/>
  <c r="I139" i="18"/>
  <c r="H139" i="18"/>
  <c r="B141" i="71"/>
  <c r="F141" i="71"/>
  <c r="J139" i="24"/>
  <c r="J135" i="54"/>
  <c r="J132" i="76"/>
  <c r="I140" i="71"/>
  <c r="H140" i="71"/>
  <c r="I136" i="57"/>
  <c r="H136" i="57"/>
  <c r="B137" i="57"/>
  <c r="F137" i="57"/>
  <c r="F140" i="17"/>
  <c r="B140" i="17"/>
  <c r="E140" i="21"/>
  <c r="G139" i="21"/>
  <c r="D140" i="21"/>
  <c r="I137" i="44"/>
  <c r="H137" i="44"/>
  <c r="G133" i="75"/>
  <c r="E134" i="75"/>
  <c r="D134" i="75"/>
  <c r="E139" i="42"/>
  <c r="D139" i="42"/>
  <c r="G138" i="42"/>
  <c r="F131" i="87"/>
  <c r="B131" i="87"/>
  <c r="B132" i="95"/>
  <c r="F132" i="95"/>
  <c r="I130" i="96"/>
  <c r="H130" i="96"/>
  <c r="F134" i="67"/>
  <c r="B134" i="67"/>
  <c r="F138" i="44"/>
  <c r="B138" i="44"/>
  <c r="E137" i="55"/>
  <c r="G136" i="55"/>
  <c r="D137" i="55"/>
  <c r="D133" i="83"/>
  <c r="G132" i="83"/>
  <c r="E133" i="83"/>
  <c r="H131" i="95"/>
  <c r="I131" i="95"/>
  <c r="B139" i="3"/>
  <c r="F139" i="3"/>
  <c r="G132" i="80"/>
  <c r="D133" i="80"/>
  <c r="E133" i="80"/>
  <c r="G131" i="93"/>
  <c r="D132" i="93"/>
  <c r="B132" i="94"/>
  <c r="H133" i="67"/>
  <c r="I133" i="67"/>
  <c r="I139" i="17"/>
  <c r="H139" i="17"/>
  <c r="J129" i="33"/>
  <c r="G133" i="77"/>
  <c r="E134" i="77"/>
  <c r="D134" i="77"/>
  <c r="D141" i="24"/>
  <c r="E141" i="24" s="1"/>
  <c r="G140" i="24"/>
  <c r="F132" i="82"/>
  <c r="B132" i="82"/>
  <c r="G130" i="33"/>
  <c r="D131" i="33"/>
  <c r="E131" i="33" s="1"/>
  <c r="H141" i="28"/>
  <c r="I141" i="28"/>
  <c r="I138" i="3"/>
  <c r="H138" i="3"/>
  <c r="G133" i="76"/>
  <c r="E134" i="76"/>
  <c r="D134" i="76"/>
  <c r="J132" i="75"/>
  <c r="H131" i="94"/>
  <c r="I131" i="94"/>
  <c r="D137" i="54"/>
  <c r="G136" i="54"/>
  <c r="E137" i="54"/>
  <c r="J130" i="93"/>
  <c r="J155" i="93" s="1"/>
  <c r="H131" i="82"/>
  <c r="I131" i="82"/>
  <c r="B142" i="28"/>
  <c r="F142" i="28"/>
  <c r="I130" i="87"/>
  <c r="H130" i="87"/>
  <c r="J138" i="21"/>
  <c r="G130" i="13"/>
  <c r="D131" i="13"/>
  <c r="E131" i="13" s="1"/>
  <c r="F131" i="96"/>
  <c r="B131" i="96"/>
  <c r="E132" i="94"/>
  <c r="F132" i="94" s="1"/>
  <c r="E51" i="25" l="1"/>
  <c r="F51" i="25" s="1"/>
  <c r="H51" i="25" s="1"/>
  <c r="I50" i="25"/>
  <c r="I63" i="97"/>
  <c r="H50" i="98"/>
  <c r="I50" i="98" s="1"/>
  <c r="H130" i="25"/>
  <c r="I130" i="25"/>
  <c r="E131" i="25"/>
  <c r="F131" i="25" s="1"/>
  <c r="B131" i="25"/>
  <c r="I56" i="99"/>
  <c r="D65" i="97"/>
  <c r="G64" i="97"/>
  <c r="H64" i="97"/>
  <c r="D51" i="98"/>
  <c r="E57" i="99"/>
  <c r="F57" i="99" s="1"/>
  <c r="D58" i="99" s="1"/>
  <c r="B57" i="99"/>
  <c r="I62" i="71"/>
  <c r="H130" i="99"/>
  <c r="I130" i="99"/>
  <c r="J130" i="99" s="1"/>
  <c r="J155" i="99" s="1"/>
  <c r="B131" i="99"/>
  <c r="F131" i="99"/>
  <c r="H50" i="93"/>
  <c r="I50" i="93" s="1"/>
  <c r="H51" i="92"/>
  <c r="I51" i="92" s="1"/>
  <c r="J130" i="98"/>
  <c r="J155" i="98" s="1"/>
  <c r="E132" i="26"/>
  <c r="F132" i="26" s="1"/>
  <c r="B132" i="26"/>
  <c r="I131" i="26"/>
  <c r="H131" i="26"/>
  <c r="F59" i="73"/>
  <c r="H59" i="73" s="1"/>
  <c r="B59" i="73"/>
  <c r="H53" i="80"/>
  <c r="I53" i="80" s="1"/>
  <c r="I53" i="75"/>
  <c r="I61" i="29"/>
  <c r="I63" i="28"/>
  <c r="J130" i="97"/>
  <c r="J155" i="97" s="1"/>
  <c r="D132" i="98"/>
  <c r="G131" i="98"/>
  <c r="E132" i="98"/>
  <c r="D132" i="97"/>
  <c r="G131" i="97"/>
  <c r="E132" i="97"/>
  <c r="J134" i="61"/>
  <c r="I51" i="83"/>
  <c r="G55" i="67"/>
  <c r="I55" i="67" s="1"/>
  <c r="D56" i="67"/>
  <c r="E56" i="67" s="1"/>
  <c r="H56" i="46"/>
  <c r="I56" i="46" s="1"/>
  <c r="D57" i="46"/>
  <c r="E57" i="46" s="1"/>
  <c r="H60" i="24"/>
  <c r="I60" i="24" s="1"/>
  <c r="D61" i="24"/>
  <c r="B54" i="82"/>
  <c r="F54" i="82"/>
  <c r="G54" i="82" s="1"/>
  <c r="G53" i="79"/>
  <c r="I53" i="79" s="1"/>
  <c r="I52" i="86"/>
  <c r="E51" i="93"/>
  <c r="D51" i="93"/>
  <c r="G51" i="94"/>
  <c r="I51" i="94" s="1"/>
  <c r="D52" i="94"/>
  <c r="E52" i="94" s="1"/>
  <c r="D54" i="80"/>
  <c r="E54" i="80" s="1"/>
  <c r="H55" i="61"/>
  <c r="I55" i="61" s="1"/>
  <c r="B53" i="86"/>
  <c r="F53" i="86"/>
  <c r="G53" i="86" s="1"/>
  <c r="D60" i="42"/>
  <c r="E60" i="42" s="1"/>
  <c r="F60" i="42" s="1"/>
  <c r="H56" i="53"/>
  <c r="D57" i="53"/>
  <c r="E57" i="53" s="1"/>
  <c r="G52" i="91"/>
  <c r="D53" i="91"/>
  <c r="E53" i="91" s="1"/>
  <c r="D56" i="66"/>
  <c r="E56" i="66" s="1"/>
  <c r="F54" i="75"/>
  <c r="G54" i="75" s="1"/>
  <c r="B54" i="75"/>
  <c r="B59" i="42"/>
  <c r="G59" i="42"/>
  <c r="H59" i="42"/>
  <c r="D54" i="90"/>
  <c r="E54" i="90" s="1"/>
  <c r="D53" i="84"/>
  <c r="E53" i="84" s="1"/>
  <c r="I62" i="69"/>
  <c r="H52" i="91"/>
  <c r="G53" i="90"/>
  <c r="G61" i="23"/>
  <c r="I61" i="23" s="1"/>
  <c r="D62" i="23"/>
  <c r="B58" i="55"/>
  <c r="F58" i="55"/>
  <c r="D59" i="55" s="1"/>
  <c r="H55" i="66"/>
  <c r="I55" i="66" s="1"/>
  <c r="H53" i="90"/>
  <c r="F55" i="65"/>
  <c r="G55" i="65" s="1"/>
  <c r="B55" i="65"/>
  <c r="B58" i="58"/>
  <c r="F58" i="58"/>
  <c r="G58" i="58" s="1"/>
  <c r="G56" i="53"/>
  <c r="G52" i="84"/>
  <c r="I52" i="84" s="1"/>
  <c r="B59" i="39"/>
  <c r="G59" i="22"/>
  <c r="I59" i="22" s="1"/>
  <c r="D59" i="44"/>
  <c r="E59" i="44" s="1"/>
  <c r="H62" i="31"/>
  <c r="I62" i="31" s="1"/>
  <c r="F57" i="72"/>
  <c r="H57" i="72" s="1"/>
  <c r="B57" i="72"/>
  <c r="G52" i="81"/>
  <c r="I52" i="81" s="1"/>
  <c r="D53" i="81"/>
  <c r="E53" i="81"/>
  <c r="F51" i="95"/>
  <c r="H51" i="95" s="1"/>
  <c r="B51" i="95"/>
  <c r="D60" i="22"/>
  <c r="E60" i="22" s="1"/>
  <c r="F60" i="22" s="1"/>
  <c r="D54" i="76"/>
  <c r="E54" i="76" s="1"/>
  <c r="G58" i="73"/>
  <c r="E59" i="39"/>
  <c r="F59" i="39" s="1"/>
  <c r="D60" i="39" s="1"/>
  <c r="H61" i="27"/>
  <c r="I61" i="27" s="1"/>
  <c r="D62" i="27"/>
  <c r="D56" i="61"/>
  <c r="E56" i="61"/>
  <c r="F53" i="85"/>
  <c r="G53" i="85" s="1"/>
  <c r="B53" i="85"/>
  <c r="G53" i="76"/>
  <c r="I53" i="76" s="1"/>
  <c r="G58" i="44"/>
  <c r="I58" i="44" s="1"/>
  <c r="H50" i="96"/>
  <c r="I50" i="96" s="1"/>
  <c r="D51" i="96"/>
  <c r="E51" i="96" s="1"/>
  <c r="I60" i="34"/>
  <c r="G59" i="43"/>
  <c r="D60" i="43"/>
  <c r="E60" i="43" s="1"/>
  <c r="F60" i="43" s="1"/>
  <c r="H59" i="43"/>
  <c r="H60" i="3"/>
  <c r="D61" i="3"/>
  <c r="E61" i="3" s="1"/>
  <c r="F61" i="3" s="1"/>
  <c r="G60" i="3"/>
  <c r="D61" i="17"/>
  <c r="G60" i="17"/>
  <c r="H60" i="17"/>
  <c r="G61" i="32"/>
  <c r="D62" i="32"/>
  <c r="H61" i="32"/>
  <c r="H56" i="54"/>
  <c r="D57" i="54"/>
  <c r="E57" i="54" s="1"/>
  <c r="H60" i="18"/>
  <c r="I60" i="18" s="1"/>
  <c r="D62" i="30"/>
  <c r="E62" i="30" s="1"/>
  <c r="F55" i="68"/>
  <c r="B55" i="68"/>
  <c r="E63" i="29"/>
  <c r="F63" i="29" s="1"/>
  <c r="B63" i="29"/>
  <c r="B63" i="69"/>
  <c r="F63" i="69"/>
  <c r="G63" i="69" s="1"/>
  <c r="D57" i="57"/>
  <c r="E57" i="57" s="1"/>
  <c r="B53" i="88"/>
  <c r="F53" i="88"/>
  <c r="D56" i="63"/>
  <c r="E56" i="63"/>
  <c r="F52" i="83"/>
  <c r="H52" i="83" s="1"/>
  <c r="B52" i="83"/>
  <c r="D52" i="89"/>
  <c r="E52" i="89" s="1"/>
  <c r="H58" i="74"/>
  <c r="I58" i="74" s="1"/>
  <c r="D59" i="74"/>
  <c r="E59" i="74" s="1"/>
  <c r="F59" i="74" s="1"/>
  <c r="B62" i="70"/>
  <c r="D63" i="31"/>
  <c r="E63" i="31" s="1"/>
  <c r="H51" i="89"/>
  <c r="D54" i="79"/>
  <c r="E54" i="79" s="1"/>
  <c r="G62" i="29"/>
  <c r="G56" i="54"/>
  <c r="B56" i="56"/>
  <c r="F56" i="56"/>
  <c r="B56" i="64"/>
  <c r="F56" i="64"/>
  <c r="B60" i="19"/>
  <c r="F60" i="19"/>
  <c r="H60" i="19" s="1"/>
  <c r="H55" i="60"/>
  <c r="I55" i="60" s="1"/>
  <c r="D56" i="60"/>
  <c r="E56" i="60" s="1"/>
  <c r="H55" i="63"/>
  <c r="I55" i="63" s="1"/>
  <c r="H61" i="30"/>
  <c r="H59" i="21"/>
  <c r="I59" i="21" s="1"/>
  <c r="D60" i="21"/>
  <c r="I61" i="70"/>
  <c r="F61" i="34"/>
  <c r="H61" i="34" s="1"/>
  <c r="B61" i="34"/>
  <c r="B64" i="28"/>
  <c r="D54" i="78"/>
  <c r="E54" i="78"/>
  <c r="G53" i="77"/>
  <c r="I53" i="77" s="1"/>
  <c r="D54" i="77"/>
  <c r="E54" i="77" s="1"/>
  <c r="B63" i="71"/>
  <c r="F63" i="71"/>
  <c r="G63" i="71" s="1"/>
  <c r="G51" i="89"/>
  <c r="H62" i="29"/>
  <c r="D52" i="92"/>
  <c r="E52" i="92" s="1"/>
  <c r="H58" i="73"/>
  <c r="H56" i="57"/>
  <c r="I56" i="57" s="1"/>
  <c r="G59" i="41"/>
  <c r="I59" i="41" s="1"/>
  <c r="D60" i="41"/>
  <c r="E60" i="41" s="1"/>
  <c r="E64" i="28"/>
  <c r="F64" i="28" s="1"/>
  <c r="D65" i="28" s="1"/>
  <c r="H53" i="78"/>
  <c r="I53" i="78" s="1"/>
  <c r="F58" i="45"/>
  <c r="H58" i="45" s="1"/>
  <c r="B58" i="45"/>
  <c r="G61" i="30"/>
  <c r="E62" i="70"/>
  <c r="F62" i="70" s="1"/>
  <c r="J139" i="18"/>
  <c r="J135" i="53"/>
  <c r="J134" i="63"/>
  <c r="J138" i="19"/>
  <c r="J140" i="30"/>
  <c r="J130" i="88"/>
  <c r="J155" i="88" s="1"/>
  <c r="J130" i="84"/>
  <c r="J155" i="84" s="1"/>
  <c r="J140" i="70"/>
  <c r="J136" i="74"/>
  <c r="J134" i="65"/>
  <c r="J135" i="46"/>
  <c r="J132" i="79"/>
  <c r="J134" i="60"/>
  <c r="J140" i="69"/>
  <c r="J135" i="59"/>
  <c r="B59" i="20"/>
  <c r="B52" i="26"/>
  <c r="B52" i="87"/>
  <c r="F52" i="87"/>
  <c r="G52" i="87" s="1"/>
  <c r="E59" i="20"/>
  <c r="F59" i="20" s="1"/>
  <c r="G55" i="59"/>
  <c r="I55" i="59" s="1"/>
  <c r="I50" i="13"/>
  <c r="F53" i="33"/>
  <c r="G53" i="33" s="1"/>
  <c r="B53" i="33"/>
  <c r="D61" i="18"/>
  <c r="E61" i="18" s="1"/>
  <c r="B51" i="13"/>
  <c r="F55" i="62"/>
  <c r="G55" i="62" s="1"/>
  <c r="B55" i="62"/>
  <c r="E56" i="59"/>
  <c r="D56" i="59"/>
  <c r="E52" i="26"/>
  <c r="F52" i="26" s="1"/>
  <c r="E51" i="13"/>
  <c r="F51" i="13" s="1"/>
  <c r="F132" i="89"/>
  <c r="B132" i="89"/>
  <c r="G131" i="92"/>
  <c r="E132" i="92"/>
  <c r="D132" i="92"/>
  <c r="G131" i="90"/>
  <c r="D132" i="90"/>
  <c r="E132" i="90"/>
  <c r="D142" i="69"/>
  <c r="E142" i="69"/>
  <c r="G141" i="69"/>
  <c r="B133" i="81"/>
  <c r="F133" i="81"/>
  <c r="E136" i="60"/>
  <c r="D136" i="60"/>
  <c r="G135" i="60"/>
  <c r="D137" i="58"/>
  <c r="G136" i="58"/>
  <c r="E137" i="58"/>
  <c r="H138" i="73"/>
  <c r="I138" i="73"/>
  <c r="G135" i="65"/>
  <c r="E136" i="65"/>
  <c r="D136" i="65"/>
  <c r="E135" i="68"/>
  <c r="G134" i="68"/>
  <c r="D135" i="68"/>
  <c r="G133" i="79"/>
  <c r="D134" i="79"/>
  <c r="E134" i="79"/>
  <c r="I135" i="62"/>
  <c r="H135" i="62"/>
  <c r="D142" i="27"/>
  <c r="E142" i="27" s="1"/>
  <c r="G141" i="27"/>
  <c r="F132" i="91"/>
  <c r="B132" i="91"/>
  <c r="J133" i="68"/>
  <c r="J139" i="32"/>
  <c r="G139" i="20"/>
  <c r="E140" i="20"/>
  <c r="D140" i="20"/>
  <c r="H131" i="89"/>
  <c r="I131" i="89"/>
  <c r="J138" i="34"/>
  <c r="H139" i="22"/>
  <c r="I139" i="22"/>
  <c r="G136" i="46"/>
  <c r="D137" i="46"/>
  <c r="E137" i="46"/>
  <c r="G131" i="88"/>
  <c r="E132" i="88"/>
  <c r="D132" i="88"/>
  <c r="D136" i="61"/>
  <c r="E136" i="61"/>
  <c r="G135" i="61"/>
  <c r="J134" i="64"/>
  <c r="J130" i="90"/>
  <c r="J155" i="90" s="1"/>
  <c r="E132" i="84"/>
  <c r="G131" i="84"/>
  <c r="D132" i="84"/>
  <c r="G141" i="29"/>
  <c r="D142" i="29"/>
  <c r="E142" i="29" s="1"/>
  <c r="D137" i="53"/>
  <c r="E137" i="53"/>
  <c r="G136" i="53"/>
  <c r="J140" i="27"/>
  <c r="E138" i="74"/>
  <c r="G137" i="74"/>
  <c r="D138" i="74"/>
  <c r="J135" i="58"/>
  <c r="J138" i="20"/>
  <c r="B136" i="62"/>
  <c r="F136" i="62"/>
  <c r="I138" i="41"/>
  <c r="H138" i="41"/>
  <c r="J140" i="29"/>
  <c r="D142" i="30"/>
  <c r="E142" i="30" s="1"/>
  <c r="G141" i="30"/>
  <c r="B140" i="22"/>
  <c r="F140" i="22"/>
  <c r="E139" i="39"/>
  <c r="G138" i="39"/>
  <c r="D139" i="39"/>
  <c r="I132" i="81"/>
  <c r="H132" i="81"/>
  <c r="E133" i="85"/>
  <c r="D133" i="85"/>
  <c r="G132" i="85"/>
  <c r="B139" i="73"/>
  <c r="F139" i="73"/>
  <c r="E141" i="31"/>
  <c r="G140" i="31"/>
  <c r="D141" i="31"/>
  <c r="B138" i="45"/>
  <c r="F138" i="45"/>
  <c r="E135" i="66"/>
  <c r="D135" i="66"/>
  <c r="G134" i="66"/>
  <c r="G131" i="86"/>
  <c r="E132" i="86"/>
  <c r="D132" i="86"/>
  <c r="E134" i="78"/>
  <c r="D134" i="78"/>
  <c r="G133" i="78"/>
  <c r="I131" i="91"/>
  <c r="H131" i="91"/>
  <c r="D140" i="19"/>
  <c r="E140" i="19" s="1"/>
  <c r="G139" i="19"/>
  <c r="J137" i="39"/>
  <c r="J133" i="66"/>
  <c r="J130" i="86"/>
  <c r="J155" i="86" s="1"/>
  <c r="D136" i="64"/>
  <c r="E136" i="64"/>
  <c r="G135" i="64"/>
  <c r="J135" i="72"/>
  <c r="D136" i="63"/>
  <c r="G135" i="63"/>
  <c r="E136" i="63"/>
  <c r="J130" i="92"/>
  <c r="J155" i="92" s="1"/>
  <c r="J132" i="78"/>
  <c r="D139" i="43"/>
  <c r="E139" i="43"/>
  <c r="G138" i="43"/>
  <c r="J139" i="31"/>
  <c r="D142" i="70"/>
  <c r="E142" i="70"/>
  <c r="G141" i="70"/>
  <c r="H137" i="45"/>
  <c r="I137" i="45"/>
  <c r="D137" i="72"/>
  <c r="G136" i="72"/>
  <c r="E137" i="72"/>
  <c r="G140" i="32"/>
  <c r="D141" i="32"/>
  <c r="E141" i="32" s="1"/>
  <c r="D140" i="34"/>
  <c r="E140" i="34" s="1"/>
  <c r="G139" i="34"/>
  <c r="B139" i="41"/>
  <c r="F139" i="41"/>
  <c r="J137" i="43"/>
  <c r="G140" i="18"/>
  <c r="D141" i="18"/>
  <c r="E141" i="18" s="1"/>
  <c r="D137" i="59"/>
  <c r="G136" i="59"/>
  <c r="E137" i="59"/>
  <c r="D142" i="23"/>
  <c r="E142" i="23" s="1"/>
  <c r="G141" i="23"/>
  <c r="H137" i="56"/>
  <c r="I137" i="56"/>
  <c r="J130" i="87"/>
  <c r="J155" i="87" s="1"/>
  <c r="J140" i="23"/>
  <c r="F138" i="56"/>
  <c r="B138" i="56"/>
  <c r="J140" i="71"/>
  <c r="D138" i="57"/>
  <c r="E138" i="57"/>
  <c r="G137" i="57"/>
  <c r="J136" i="57"/>
  <c r="D142" i="71"/>
  <c r="E142" i="71"/>
  <c r="G141" i="71"/>
  <c r="D133" i="94"/>
  <c r="E133" i="94" s="1"/>
  <c r="G132" i="94"/>
  <c r="B137" i="54"/>
  <c r="F137" i="54"/>
  <c r="H133" i="76"/>
  <c r="I133" i="76"/>
  <c r="B141" i="24"/>
  <c r="F141" i="24"/>
  <c r="I133" i="77"/>
  <c r="H133" i="77"/>
  <c r="B132" i="93"/>
  <c r="H132" i="80"/>
  <c r="I132" i="80"/>
  <c r="B133" i="83"/>
  <c r="F133" i="83"/>
  <c r="G131" i="87"/>
  <c r="D132" i="87"/>
  <c r="E132" i="87"/>
  <c r="F139" i="42"/>
  <c r="B139" i="42"/>
  <c r="G131" i="96"/>
  <c r="D132" i="96"/>
  <c r="B131" i="13"/>
  <c r="F131" i="13"/>
  <c r="J138" i="3"/>
  <c r="J141" i="28"/>
  <c r="I130" i="33"/>
  <c r="H130" i="33"/>
  <c r="D133" i="82"/>
  <c r="G132" i="82"/>
  <c r="E133" i="82"/>
  <c r="H131" i="93"/>
  <c r="I131" i="93"/>
  <c r="D140" i="3"/>
  <c r="G139" i="3"/>
  <c r="E140" i="3"/>
  <c r="B137" i="55"/>
  <c r="F137" i="55"/>
  <c r="B134" i="75"/>
  <c r="F134" i="75"/>
  <c r="F134" i="76"/>
  <c r="B134" i="76"/>
  <c r="I140" i="24"/>
  <c r="H140" i="24"/>
  <c r="F134" i="77"/>
  <c r="B134" i="77"/>
  <c r="J139" i="17"/>
  <c r="I136" i="55"/>
  <c r="H136" i="55"/>
  <c r="D139" i="44"/>
  <c r="G138" i="44"/>
  <c r="E139" i="44"/>
  <c r="D135" i="67"/>
  <c r="G134" i="67"/>
  <c r="E135" i="67"/>
  <c r="D133" i="95"/>
  <c r="G132" i="95"/>
  <c r="J137" i="44"/>
  <c r="F140" i="21"/>
  <c r="B140" i="21"/>
  <c r="G140" i="17"/>
  <c r="D141" i="17"/>
  <c r="E141" i="17" s="1"/>
  <c r="I130" i="13"/>
  <c r="H130" i="13"/>
  <c r="G142" i="28"/>
  <c r="D143" i="28"/>
  <c r="E143" i="28" s="1"/>
  <c r="H136" i="54"/>
  <c r="I136" i="54"/>
  <c r="B131" i="33"/>
  <c r="F131" i="33"/>
  <c r="J133" i="67"/>
  <c r="E132" i="93"/>
  <c r="F132" i="93" s="1"/>
  <c r="B133" i="80"/>
  <c r="F133" i="80"/>
  <c r="I132" i="83"/>
  <c r="H132" i="83"/>
  <c r="J130" i="96"/>
  <c r="J155" i="96" s="1"/>
  <c r="I138" i="42"/>
  <c r="H138" i="42"/>
  <c r="I133" i="75"/>
  <c r="H133" i="75"/>
  <c r="H139" i="21"/>
  <c r="I139" i="21"/>
  <c r="G51" i="25" l="1"/>
  <c r="I51" i="25" s="1"/>
  <c r="D52" i="25"/>
  <c r="D60" i="73"/>
  <c r="E60" i="73" s="1"/>
  <c r="G59" i="73"/>
  <c r="I59" i="73" s="1"/>
  <c r="J130" i="25"/>
  <c r="D132" i="25"/>
  <c r="B132" i="25" s="1"/>
  <c r="G131" i="25"/>
  <c r="I64" i="97"/>
  <c r="B51" i="98"/>
  <c r="E58" i="99"/>
  <c r="F58" i="99" s="1"/>
  <c r="D59" i="99" s="1"/>
  <c r="B58" i="99"/>
  <c r="H57" i="99"/>
  <c r="G57" i="99"/>
  <c r="E51" i="98"/>
  <c r="F51" i="98" s="1"/>
  <c r="E65" i="97"/>
  <c r="F65" i="97" s="1"/>
  <c r="B65" i="97"/>
  <c r="I58" i="73"/>
  <c r="D132" i="99"/>
  <c r="G131" i="99"/>
  <c r="E132" i="99"/>
  <c r="J131" i="26"/>
  <c r="G132" i="26"/>
  <c r="D133" i="26"/>
  <c r="I52" i="91"/>
  <c r="I56" i="53"/>
  <c r="B132" i="97"/>
  <c r="F132" i="97"/>
  <c r="H131" i="98"/>
  <c r="I131" i="98"/>
  <c r="I131" i="97"/>
  <c r="H131" i="97"/>
  <c r="B132" i="98"/>
  <c r="F132" i="98"/>
  <c r="F56" i="67"/>
  <c r="G56" i="67" s="1"/>
  <c r="B56" i="67"/>
  <c r="G58" i="55"/>
  <c r="H58" i="55"/>
  <c r="B57" i="46"/>
  <c r="F57" i="46"/>
  <c r="H57" i="46" s="1"/>
  <c r="E61" i="24"/>
  <c r="F61" i="24" s="1"/>
  <c r="G61" i="24" s="1"/>
  <c r="B61" i="24"/>
  <c r="D54" i="86"/>
  <c r="E54" i="86" s="1"/>
  <c r="H53" i="86"/>
  <c r="I53" i="86" s="1"/>
  <c r="B51" i="93"/>
  <c r="F51" i="93"/>
  <c r="G51" i="93" s="1"/>
  <c r="D55" i="82"/>
  <c r="E55" i="82" s="1"/>
  <c r="B52" i="94"/>
  <c r="F52" i="94"/>
  <c r="H52" i="94" s="1"/>
  <c r="F54" i="80"/>
  <c r="B54" i="80"/>
  <c r="H63" i="69"/>
  <c r="I63" i="69" s="1"/>
  <c r="H54" i="82"/>
  <c r="I54" i="82" s="1"/>
  <c r="D61" i="42"/>
  <c r="E61" i="42" s="1"/>
  <c r="F61" i="42" s="1"/>
  <c r="B57" i="53"/>
  <c r="F57" i="53"/>
  <c r="G57" i="53" s="1"/>
  <c r="B62" i="23"/>
  <c r="B54" i="90"/>
  <c r="F54" i="90"/>
  <c r="H54" i="90" s="1"/>
  <c r="D55" i="75"/>
  <c r="E55" i="75" s="1"/>
  <c r="G51" i="95"/>
  <c r="I51" i="95" s="1"/>
  <c r="H58" i="58"/>
  <c r="I58" i="58" s="1"/>
  <c r="D59" i="58"/>
  <c r="E59" i="58" s="1"/>
  <c r="H55" i="65"/>
  <c r="I55" i="65" s="1"/>
  <c r="D56" i="65"/>
  <c r="E56" i="65" s="1"/>
  <c r="E59" i="55"/>
  <c r="F59" i="55" s="1"/>
  <c r="D60" i="55" s="1"/>
  <c r="B59" i="55"/>
  <c r="E62" i="23"/>
  <c r="F62" i="23" s="1"/>
  <c r="D63" i="23" s="1"/>
  <c r="H54" i="75"/>
  <c r="I54" i="75" s="1"/>
  <c r="F53" i="84"/>
  <c r="G53" i="84" s="1"/>
  <c r="B53" i="84"/>
  <c r="F53" i="91"/>
  <c r="B53" i="91"/>
  <c r="I51" i="89"/>
  <c r="I59" i="43"/>
  <c r="I53" i="90"/>
  <c r="I59" i="42"/>
  <c r="F56" i="66"/>
  <c r="H56" i="66" s="1"/>
  <c r="B56" i="66"/>
  <c r="B60" i="42"/>
  <c r="G60" i="42"/>
  <c r="H60" i="42"/>
  <c r="D61" i="22"/>
  <c r="E61" i="22" s="1"/>
  <c r="F61" i="22" s="1"/>
  <c r="H63" i="71"/>
  <c r="I63" i="71" s="1"/>
  <c r="H53" i="85"/>
  <c r="I53" i="85" s="1"/>
  <c r="D54" i="85"/>
  <c r="E54" i="85" s="1"/>
  <c r="E60" i="39"/>
  <c r="F60" i="39" s="1"/>
  <c r="G60" i="39" s="1"/>
  <c r="B60" i="39"/>
  <c r="B54" i="76"/>
  <c r="F54" i="76"/>
  <c r="G54" i="76" s="1"/>
  <c r="G57" i="72"/>
  <c r="I57" i="72" s="1"/>
  <c r="D58" i="72"/>
  <c r="E58" i="72" s="1"/>
  <c r="H59" i="39"/>
  <c r="G59" i="39"/>
  <c r="B53" i="81"/>
  <c r="F53" i="81"/>
  <c r="G53" i="81" s="1"/>
  <c r="F51" i="96"/>
  <c r="B51" i="96"/>
  <c r="B56" i="61"/>
  <c r="F56" i="61"/>
  <c r="H56" i="61" s="1"/>
  <c r="B62" i="27"/>
  <c r="E62" i="27"/>
  <c r="F62" i="27" s="1"/>
  <c r="B60" i="22"/>
  <c r="G60" i="22"/>
  <c r="H60" i="22"/>
  <c r="D52" i="95"/>
  <c r="E52" i="95" s="1"/>
  <c r="B59" i="44"/>
  <c r="F59" i="44"/>
  <c r="G59" i="44" s="1"/>
  <c r="I60" i="3"/>
  <c r="I62" i="29"/>
  <c r="I56" i="54"/>
  <c r="D64" i="29"/>
  <c r="G63" i="29"/>
  <c r="H63" i="29"/>
  <c r="D61" i="43"/>
  <c r="E61" i="43" s="1"/>
  <c r="D63" i="70"/>
  <c r="E63" i="70" s="1"/>
  <c r="H62" i="70"/>
  <c r="G62" i="70"/>
  <c r="D60" i="74"/>
  <c r="E60" i="74" s="1"/>
  <c r="F60" i="74" s="1"/>
  <c r="B60" i="21"/>
  <c r="D57" i="56"/>
  <c r="E57" i="56" s="1"/>
  <c r="F56" i="63"/>
  <c r="G56" i="63" s="1"/>
  <c r="B56" i="63"/>
  <c r="D62" i="3"/>
  <c r="E62" i="3" s="1"/>
  <c r="F62" i="3" s="1"/>
  <c r="H64" i="28"/>
  <c r="D62" i="34"/>
  <c r="G61" i="34"/>
  <c r="I61" i="34" s="1"/>
  <c r="E60" i="21"/>
  <c r="F60" i="21" s="1"/>
  <c r="F56" i="60"/>
  <c r="G56" i="60" s="1"/>
  <c r="B56" i="60"/>
  <c r="B57" i="54"/>
  <c r="F57" i="54"/>
  <c r="G57" i="54" s="1"/>
  <c r="B61" i="3"/>
  <c r="H61" i="3"/>
  <c r="G61" i="3"/>
  <c r="F54" i="78"/>
  <c r="H54" i="78" s="1"/>
  <c r="B54" i="78"/>
  <c r="D61" i="19"/>
  <c r="E61" i="19" s="1"/>
  <c r="F61" i="19" s="1"/>
  <c r="G56" i="64"/>
  <c r="D57" i="64"/>
  <c r="E57" i="64" s="1"/>
  <c r="D53" i="83"/>
  <c r="E53" i="83" s="1"/>
  <c r="H53" i="88"/>
  <c r="D54" i="88"/>
  <c r="E54" i="88" s="1"/>
  <c r="D56" i="68"/>
  <c r="E56" i="68" s="1"/>
  <c r="C70" i="17"/>
  <c r="B61" i="17"/>
  <c r="G58" i="45"/>
  <c r="I58" i="45" s="1"/>
  <c r="D59" i="45"/>
  <c r="E59" i="45" s="1"/>
  <c r="B52" i="92"/>
  <c r="F52" i="92"/>
  <c r="F54" i="77"/>
  <c r="H54" i="77" s="1"/>
  <c r="B54" i="77"/>
  <c r="G64" i="28"/>
  <c r="H56" i="56"/>
  <c r="B52" i="89"/>
  <c r="F52" i="89"/>
  <c r="H52" i="89" s="1"/>
  <c r="G52" i="83"/>
  <c r="I52" i="83" s="1"/>
  <c r="G53" i="88"/>
  <c r="D64" i="69"/>
  <c r="G55" i="68"/>
  <c r="F62" i="30"/>
  <c r="B62" i="30"/>
  <c r="I61" i="32"/>
  <c r="I60" i="17"/>
  <c r="B60" i="43"/>
  <c r="G60" i="43"/>
  <c r="H60" i="43"/>
  <c r="E65" i="28"/>
  <c r="F65" i="28" s="1"/>
  <c r="B65" i="28"/>
  <c r="B60" i="41"/>
  <c r="F60" i="41"/>
  <c r="G60" i="41" s="1"/>
  <c r="D64" i="71"/>
  <c r="I61" i="30"/>
  <c r="G60" i="19"/>
  <c r="I60" i="19" s="1"/>
  <c r="H56" i="64"/>
  <c r="G56" i="56"/>
  <c r="F54" i="79"/>
  <c r="G54" i="79" s="1"/>
  <c r="B54" i="79"/>
  <c r="B63" i="31"/>
  <c r="F63" i="31"/>
  <c r="D64" i="31" s="1"/>
  <c r="B59" i="74"/>
  <c r="H59" i="74"/>
  <c r="G59" i="74"/>
  <c r="F57" i="57"/>
  <c r="G57" i="57" s="1"/>
  <c r="B57" i="57"/>
  <c r="H55" i="68"/>
  <c r="E62" i="32"/>
  <c r="F62" i="32" s="1"/>
  <c r="B62" i="32"/>
  <c r="E61" i="17"/>
  <c r="F61" i="17" s="1"/>
  <c r="G61" i="17" s="1"/>
  <c r="J138" i="73"/>
  <c r="J130" i="33"/>
  <c r="J139" i="22"/>
  <c r="J135" i="62"/>
  <c r="D52" i="13"/>
  <c r="E52" i="13" s="1"/>
  <c r="G51" i="13"/>
  <c r="H51" i="13"/>
  <c r="D60" i="20"/>
  <c r="E60" i="20" s="1"/>
  <c r="H59" i="20"/>
  <c r="G59" i="20"/>
  <c r="D53" i="26"/>
  <c r="E53" i="26" s="1"/>
  <c r="H52" i="26"/>
  <c r="G52" i="26"/>
  <c r="J138" i="41"/>
  <c r="F56" i="59"/>
  <c r="G56" i="59" s="1"/>
  <c r="B56" i="59"/>
  <c r="F61" i="18"/>
  <c r="G61" i="18" s="1"/>
  <c r="B61" i="18"/>
  <c r="D56" i="62"/>
  <c r="E56" i="62" s="1"/>
  <c r="D54" i="33"/>
  <c r="E54" i="33" s="1"/>
  <c r="D53" i="87"/>
  <c r="E53" i="87" s="1"/>
  <c r="H55" i="62"/>
  <c r="I55" i="62" s="1"/>
  <c r="H53" i="33"/>
  <c r="I53" i="33" s="1"/>
  <c r="H52" i="87"/>
  <c r="I52" i="87" s="1"/>
  <c r="F60" i="73"/>
  <c r="H60" i="73" s="1"/>
  <c r="B60" i="73"/>
  <c r="F142" i="29"/>
  <c r="B142" i="29"/>
  <c r="H131" i="84"/>
  <c r="I131" i="84"/>
  <c r="H135" i="61"/>
  <c r="I135" i="61"/>
  <c r="I136" i="46"/>
  <c r="H136" i="46"/>
  <c r="I139" i="20"/>
  <c r="H139" i="20"/>
  <c r="G132" i="91"/>
  <c r="E133" i="91"/>
  <c r="D133" i="91"/>
  <c r="I133" i="79"/>
  <c r="H133" i="79"/>
  <c r="B136" i="65"/>
  <c r="F136" i="65"/>
  <c r="I135" i="60"/>
  <c r="H135" i="60"/>
  <c r="F140" i="34"/>
  <c r="B140" i="34"/>
  <c r="B136" i="64"/>
  <c r="F136" i="64"/>
  <c r="I139" i="19"/>
  <c r="H139" i="19"/>
  <c r="B135" i="66"/>
  <c r="F135" i="66"/>
  <c r="B141" i="32"/>
  <c r="F141" i="32"/>
  <c r="H136" i="72"/>
  <c r="I136" i="72"/>
  <c r="I141" i="70"/>
  <c r="H141" i="70"/>
  <c r="I138" i="43"/>
  <c r="H138" i="43"/>
  <c r="I133" i="78"/>
  <c r="H133" i="78"/>
  <c r="I140" i="31"/>
  <c r="H140" i="31"/>
  <c r="H132" i="85"/>
  <c r="I132" i="85"/>
  <c r="D141" i="22"/>
  <c r="E141" i="22" s="1"/>
  <c r="G140" i="22"/>
  <c r="B142" i="30"/>
  <c r="F142" i="30"/>
  <c r="E137" i="62"/>
  <c r="G136" i="62"/>
  <c r="D137" i="62"/>
  <c r="F138" i="74"/>
  <c r="B138" i="74"/>
  <c r="I136" i="53"/>
  <c r="H136" i="53"/>
  <c r="I141" i="29"/>
  <c r="H141" i="29"/>
  <c r="H131" i="88"/>
  <c r="I131" i="88"/>
  <c r="I141" i="27"/>
  <c r="H141" i="27"/>
  <c r="F135" i="68"/>
  <c r="B135" i="68"/>
  <c r="F136" i="60"/>
  <c r="B136" i="60"/>
  <c r="I141" i="69"/>
  <c r="H141" i="69"/>
  <c r="F132" i="90"/>
  <c r="B132" i="90"/>
  <c r="I131" i="92"/>
  <c r="H131" i="92"/>
  <c r="D140" i="41"/>
  <c r="E140" i="41" s="1"/>
  <c r="G139" i="41"/>
  <c r="B136" i="63"/>
  <c r="F136" i="63"/>
  <c r="F132" i="86"/>
  <c r="B132" i="86"/>
  <c r="F141" i="31"/>
  <c r="B141" i="31"/>
  <c r="B137" i="72"/>
  <c r="F137" i="72"/>
  <c r="H135" i="64"/>
  <c r="I135" i="64"/>
  <c r="F140" i="19"/>
  <c r="B140" i="19"/>
  <c r="B134" i="78"/>
  <c r="F134" i="78"/>
  <c r="H131" i="86"/>
  <c r="I131" i="86"/>
  <c r="D139" i="45"/>
  <c r="E139" i="45"/>
  <c r="G138" i="45"/>
  <c r="F133" i="85"/>
  <c r="B133" i="85"/>
  <c r="F139" i="39"/>
  <c r="B139" i="39"/>
  <c r="H137" i="74"/>
  <c r="I137" i="74"/>
  <c r="B136" i="61"/>
  <c r="F136" i="61"/>
  <c r="F140" i="20"/>
  <c r="B140" i="20"/>
  <c r="I134" i="68"/>
  <c r="H134" i="68"/>
  <c r="H135" i="65"/>
  <c r="I135" i="65"/>
  <c r="H136" i="58"/>
  <c r="I136" i="58"/>
  <c r="H131" i="90"/>
  <c r="I131" i="90"/>
  <c r="J133" i="76"/>
  <c r="H139" i="34"/>
  <c r="I139" i="34"/>
  <c r="H140" i="32"/>
  <c r="I140" i="32"/>
  <c r="J137" i="45"/>
  <c r="F142" i="70"/>
  <c r="B142" i="70"/>
  <c r="B139" i="43"/>
  <c r="F139" i="43"/>
  <c r="I135" i="63"/>
  <c r="H135" i="63"/>
  <c r="H134" i="66"/>
  <c r="I134" i="66"/>
  <c r="E140" i="73"/>
  <c r="D140" i="73"/>
  <c r="G139" i="73"/>
  <c r="I138" i="39"/>
  <c r="H138" i="39"/>
  <c r="I141" i="30"/>
  <c r="H141" i="30"/>
  <c r="F137" i="53"/>
  <c r="B137" i="53"/>
  <c r="B132" i="84"/>
  <c r="F132" i="84"/>
  <c r="F132" i="88"/>
  <c r="B132" i="88"/>
  <c r="F137" i="46"/>
  <c r="B137" i="46"/>
  <c r="F142" i="27"/>
  <c r="B142" i="27"/>
  <c r="B134" i="79"/>
  <c r="F134" i="79"/>
  <c r="F137" i="58"/>
  <c r="B137" i="58"/>
  <c r="D134" i="81"/>
  <c r="E134" i="81"/>
  <c r="G133" i="81"/>
  <c r="B142" i="69"/>
  <c r="F142" i="69"/>
  <c r="B132" i="92"/>
  <c r="F132" i="92"/>
  <c r="D133" i="89"/>
  <c r="G132" i="89"/>
  <c r="E133" i="89"/>
  <c r="J139" i="21"/>
  <c r="J133" i="77"/>
  <c r="E139" i="56"/>
  <c r="G138" i="56"/>
  <c r="D139" i="56"/>
  <c r="J137" i="56"/>
  <c r="H141" i="23"/>
  <c r="I141" i="23"/>
  <c r="H136" i="59"/>
  <c r="I136" i="59"/>
  <c r="B141" i="18"/>
  <c r="F141" i="18"/>
  <c r="F137" i="59"/>
  <c r="B137" i="59"/>
  <c r="F142" i="23"/>
  <c r="B142" i="23"/>
  <c r="I140" i="18"/>
  <c r="H140" i="18"/>
  <c r="J136" i="54"/>
  <c r="H141" i="71"/>
  <c r="I141" i="71"/>
  <c r="H137" i="57"/>
  <c r="I137" i="57"/>
  <c r="J140" i="24"/>
  <c r="B142" i="71"/>
  <c r="F142" i="71"/>
  <c r="J138" i="42"/>
  <c r="J130" i="13"/>
  <c r="J155" i="13" s="1"/>
  <c r="J136" i="55"/>
  <c r="F138" i="57"/>
  <c r="B138" i="57"/>
  <c r="D133" i="93"/>
  <c r="E133" i="93" s="1"/>
  <c r="G132" i="93"/>
  <c r="F141" i="17"/>
  <c r="B141" i="17"/>
  <c r="D141" i="21"/>
  <c r="G140" i="21"/>
  <c r="E141" i="21"/>
  <c r="B133" i="95"/>
  <c r="G134" i="76"/>
  <c r="E135" i="76"/>
  <c r="D135" i="76"/>
  <c r="E134" i="80"/>
  <c r="G133" i="80"/>
  <c r="D134" i="80"/>
  <c r="G131" i="33"/>
  <c r="D132" i="33"/>
  <c r="E132" i="33" s="1"/>
  <c r="F143" i="28"/>
  <c r="B143" i="28"/>
  <c r="H140" i="17"/>
  <c r="I140" i="17"/>
  <c r="H138" i="44"/>
  <c r="I138" i="44"/>
  <c r="E138" i="55"/>
  <c r="D138" i="55"/>
  <c r="G137" i="55"/>
  <c r="H139" i="3"/>
  <c r="I139" i="3"/>
  <c r="B132" i="96"/>
  <c r="E134" i="83"/>
  <c r="G133" i="83"/>
  <c r="D134" i="83"/>
  <c r="I132" i="94"/>
  <c r="H132" i="94"/>
  <c r="I142" i="28"/>
  <c r="H142" i="28"/>
  <c r="I132" i="95"/>
  <c r="H132" i="95"/>
  <c r="I134" i="67"/>
  <c r="H134" i="67"/>
  <c r="F139" i="44"/>
  <c r="B139" i="44"/>
  <c r="G134" i="77"/>
  <c r="E135" i="77"/>
  <c r="D135" i="77"/>
  <c r="B140" i="3"/>
  <c r="F140" i="3"/>
  <c r="H132" i="82"/>
  <c r="I132" i="82"/>
  <c r="D132" i="13"/>
  <c r="E132" i="13" s="1"/>
  <c r="G131" i="13"/>
  <c r="I131" i="96"/>
  <c r="H131" i="96"/>
  <c r="G139" i="42"/>
  <c r="D140" i="42"/>
  <c r="E140" i="42" s="1"/>
  <c r="B132" i="87"/>
  <c r="F132" i="87"/>
  <c r="G141" i="24"/>
  <c r="D142" i="24"/>
  <c r="E142" i="24" s="1"/>
  <c r="D138" i="54"/>
  <c r="G137" i="54"/>
  <c r="E138" i="54"/>
  <c r="J133" i="75"/>
  <c r="E133" i="95"/>
  <c r="F133" i="95" s="1"/>
  <c r="B135" i="67"/>
  <c r="F135" i="67"/>
  <c r="G134" i="75"/>
  <c r="D135" i="75"/>
  <c r="E135" i="75"/>
  <c r="B133" i="82"/>
  <c r="F133" i="82"/>
  <c r="E132" i="96"/>
  <c r="F132" i="96" s="1"/>
  <c r="I131" i="87"/>
  <c r="H131" i="87"/>
  <c r="B133" i="94"/>
  <c r="F133" i="94"/>
  <c r="E52" i="25" l="1"/>
  <c r="F52" i="25" s="1"/>
  <c r="B52" i="25"/>
  <c r="H52" i="25"/>
  <c r="E132" i="25"/>
  <c r="F132" i="25" s="1"/>
  <c r="D66" i="97"/>
  <c r="B66" i="97" s="1"/>
  <c r="G65" i="97"/>
  <c r="I131" i="25"/>
  <c r="H131" i="25"/>
  <c r="I57" i="99"/>
  <c r="I58" i="55"/>
  <c r="G58" i="99"/>
  <c r="D52" i="98"/>
  <c r="E52" i="98" s="1"/>
  <c r="G51" i="98"/>
  <c r="H51" i="98"/>
  <c r="E59" i="99"/>
  <c r="F59" i="99" s="1"/>
  <c r="D60" i="99" s="1"/>
  <c r="B59" i="99"/>
  <c r="H65" i="97"/>
  <c r="H58" i="99"/>
  <c r="H131" i="99"/>
  <c r="I131" i="99"/>
  <c r="B132" i="99"/>
  <c r="F132" i="99"/>
  <c r="B133" i="26"/>
  <c r="E133" i="26"/>
  <c r="F133" i="26" s="1"/>
  <c r="H132" i="26"/>
  <c r="I132" i="26"/>
  <c r="G57" i="46"/>
  <c r="I57" i="46" s="1"/>
  <c r="I55" i="68"/>
  <c r="G56" i="61"/>
  <c r="I56" i="61" s="1"/>
  <c r="I60" i="22"/>
  <c r="D133" i="98"/>
  <c r="G132" i="98"/>
  <c r="E133" i="98"/>
  <c r="D133" i="97"/>
  <c r="E133" i="97" s="1"/>
  <c r="G132" i="97"/>
  <c r="G54" i="90"/>
  <c r="I54" i="90" s="1"/>
  <c r="H56" i="67"/>
  <c r="I56" i="67" s="1"/>
  <c r="D57" i="67"/>
  <c r="E57" i="67" s="1"/>
  <c r="H59" i="55"/>
  <c r="D58" i="46"/>
  <c r="E58" i="46" s="1"/>
  <c r="F58" i="46" s="1"/>
  <c r="D59" i="46" s="1"/>
  <c r="I60" i="42"/>
  <c r="I59" i="39"/>
  <c r="D62" i="24"/>
  <c r="E62" i="24" s="1"/>
  <c r="F62" i="24" s="1"/>
  <c r="H61" i="24"/>
  <c r="I61" i="24" s="1"/>
  <c r="F55" i="82"/>
  <c r="G55" i="82" s="1"/>
  <c r="B55" i="82"/>
  <c r="H62" i="23"/>
  <c r="G54" i="80"/>
  <c r="D55" i="80"/>
  <c r="E55" i="80" s="1"/>
  <c r="G52" i="94"/>
  <c r="I52" i="94" s="1"/>
  <c r="D53" i="94"/>
  <c r="E53" i="94" s="1"/>
  <c r="H63" i="31"/>
  <c r="H54" i="80"/>
  <c r="H51" i="93"/>
  <c r="I51" i="93" s="1"/>
  <c r="D52" i="93"/>
  <c r="E52" i="93" s="1"/>
  <c r="F54" i="86"/>
  <c r="B54" i="86"/>
  <c r="D62" i="42"/>
  <c r="G56" i="66"/>
  <c r="I56" i="66" s="1"/>
  <c r="D57" i="66"/>
  <c r="E57" i="66" s="1"/>
  <c r="G59" i="55"/>
  <c r="G62" i="23"/>
  <c r="H57" i="53"/>
  <c r="I57" i="53" s="1"/>
  <c r="D58" i="53"/>
  <c r="D54" i="91"/>
  <c r="E54" i="91" s="1"/>
  <c r="F56" i="65"/>
  <c r="G56" i="65" s="1"/>
  <c r="B56" i="65"/>
  <c r="E63" i="23"/>
  <c r="F63" i="23" s="1"/>
  <c r="B63" i="23"/>
  <c r="E60" i="55"/>
  <c r="F60" i="55" s="1"/>
  <c r="B60" i="55"/>
  <c r="D55" i="90"/>
  <c r="E55" i="90" s="1"/>
  <c r="B61" i="42"/>
  <c r="H61" i="42"/>
  <c r="G61" i="42"/>
  <c r="F59" i="58"/>
  <c r="B59" i="58"/>
  <c r="H53" i="84"/>
  <c r="I53" i="84" s="1"/>
  <c r="D54" i="84"/>
  <c r="E54" i="84"/>
  <c r="F55" i="75"/>
  <c r="B55" i="75"/>
  <c r="H53" i="91"/>
  <c r="G53" i="91"/>
  <c r="H51" i="96"/>
  <c r="D52" i="96"/>
  <c r="E52" i="96" s="1"/>
  <c r="G63" i="31"/>
  <c r="G54" i="78"/>
  <c r="I54" i="78" s="1"/>
  <c r="H56" i="63"/>
  <c r="I56" i="63" s="1"/>
  <c r="F58" i="72"/>
  <c r="G58" i="72" s="1"/>
  <c r="B58" i="72"/>
  <c r="H54" i="76"/>
  <c r="I54" i="76" s="1"/>
  <c r="D55" i="76"/>
  <c r="E55" i="76" s="1"/>
  <c r="B54" i="85"/>
  <c r="F54" i="85"/>
  <c r="G54" i="85" s="1"/>
  <c r="H59" i="44"/>
  <c r="I59" i="44" s="1"/>
  <c r="D60" i="44"/>
  <c r="F52" i="95"/>
  <c r="B52" i="95"/>
  <c r="D57" i="61"/>
  <c r="E57" i="61" s="1"/>
  <c r="G51" i="96"/>
  <c r="I51" i="96" s="1"/>
  <c r="H53" i="81"/>
  <c r="I53" i="81" s="1"/>
  <c r="D54" i="81"/>
  <c r="E54" i="81" s="1"/>
  <c r="D61" i="39"/>
  <c r="D62" i="22"/>
  <c r="H61" i="18"/>
  <c r="I61" i="18" s="1"/>
  <c r="I63" i="29"/>
  <c r="D63" i="27"/>
  <c r="H62" i="27"/>
  <c r="G62" i="27"/>
  <c r="H60" i="39"/>
  <c r="I60" i="39" s="1"/>
  <c r="B61" i="22"/>
  <c r="H61" i="22"/>
  <c r="G61" i="22"/>
  <c r="I56" i="64"/>
  <c r="I59" i="74"/>
  <c r="I60" i="43"/>
  <c r="I53" i="88"/>
  <c r="D62" i="19"/>
  <c r="E62" i="19" s="1"/>
  <c r="D63" i="32"/>
  <c r="G62" i="32"/>
  <c r="H62" i="32"/>
  <c r="H60" i="21"/>
  <c r="D61" i="21"/>
  <c r="G60" i="21"/>
  <c r="D53" i="92"/>
  <c r="E53" i="92"/>
  <c r="H61" i="17"/>
  <c r="I61" i="17" s="1"/>
  <c r="E62" i="34"/>
  <c r="F62" i="34" s="1"/>
  <c r="B62" i="34"/>
  <c r="D58" i="57"/>
  <c r="E58" i="57" s="1"/>
  <c r="D61" i="41"/>
  <c r="E61" i="41" s="1"/>
  <c r="F61" i="41" s="1"/>
  <c r="G62" i="30"/>
  <c r="D63" i="30"/>
  <c r="I56" i="56"/>
  <c r="I61" i="3"/>
  <c r="H56" i="60"/>
  <c r="I56" i="60" s="1"/>
  <c r="B62" i="3"/>
  <c r="H62" i="3"/>
  <c r="G62" i="3"/>
  <c r="B60" i="74"/>
  <c r="G60" i="74"/>
  <c r="H60" i="74"/>
  <c r="F63" i="70"/>
  <c r="H63" i="70" s="1"/>
  <c r="B63" i="70"/>
  <c r="G65" i="28"/>
  <c r="D66" i="28"/>
  <c r="B56" i="68"/>
  <c r="F56" i="68"/>
  <c r="G56" i="68" s="1"/>
  <c r="D63" i="3"/>
  <c r="E63" i="3" s="1"/>
  <c r="F63" i="3" s="1"/>
  <c r="D64" i="3" s="1"/>
  <c r="B57" i="56"/>
  <c r="F57" i="56"/>
  <c r="D61" i="74"/>
  <c r="E61" i="74" s="1"/>
  <c r="F61" i="74" s="1"/>
  <c r="G60" i="73"/>
  <c r="I60" i="73" s="1"/>
  <c r="B64" i="71"/>
  <c r="H60" i="41"/>
  <c r="I60" i="41" s="1"/>
  <c r="H65" i="28"/>
  <c r="G54" i="77"/>
  <c r="I54" i="77" s="1"/>
  <c r="D55" i="77"/>
  <c r="E55" i="77" s="1"/>
  <c r="H52" i="92"/>
  <c r="B53" i="83"/>
  <c r="F53" i="83"/>
  <c r="G53" i="83" s="1"/>
  <c r="I64" i="28"/>
  <c r="E64" i="29"/>
  <c r="F64" i="29" s="1"/>
  <c r="B64" i="29"/>
  <c r="D62" i="17"/>
  <c r="E62" i="17" s="1"/>
  <c r="F62" i="17" s="1"/>
  <c r="B64" i="69"/>
  <c r="B59" i="45"/>
  <c r="F59" i="45"/>
  <c r="G59" i="45" s="1"/>
  <c r="F57" i="64"/>
  <c r="G57" i="64" s="1"/>
  <c r="B57" i="64"/>
  <c r="D58" i="54"/>
  <c r="E58" i="54" s="1"/>
  <c r="D57" i="60"/>
  <c r="E57" i="60" s="1"/>
  <c r="I51" i="13"/>
  <c r="H57" i="57"/>
  <c r="I57" i="57" s="1"/>
  <c r="E64" i="31"/>
  <c r="F64" i="31" s="1"/>
  <c r="B64" i="31"/>
  <c r="H54" i="79"/>
  <c r="I54" i="79" s="1"/>
  <c r="D55" i="79"/>
  <c r="E55" i="79" s="1"/>
  <c r="E64" i="71"/>
  <c r="F64" i="71" s="1"/>
  <c r="H62" i="30"/>
  <c r="E64" i="69"/>
  <c r="F64" i="69" s="1"/>
  <c r="G52" i="89"/>
  <c r="I52" i="89" s="1"/>
  <c r="E53" i="89"/>
  <c r="D53" i="89"/>
  <c r="G52" i="92"/>
  <c r="F54" i="88"/>
  <c r="G54" i="88" s="1"/>
  <c r="B54" i="88"/>
  <c r="B61" i="19"/>
  <c r="G61" i="19"/>
  <c r="H61" i="19"/>
  <c r="D55" i="78"/>
  <c r="E55" i="78" s="1"/>
  <c r="H57" i="54"/>
  <c r="I57" i="54" s="1"/>
  <c r="D57" i="63"/>
  <c r="E57" i="63" s="1"/>
  <c r="I62" i="70"/>
  <c r="F61" i="43"/>
  <c r="H61" i="43" s="1"/>
  <c r="B61" i="43"/>
  <c r="J141" i="30"/>
  <c r="J134" i="67"/>
  <c r="J142" i="28"/>
  <c r="J135" i="63"/>
  <c r="J139" i="34"/>
  <c r="J141" i="69"/>
  <c r="J136" i="53"/>
  <c r="J133" i="78"/>
  <c r="J141" i="70"/>
  <c r="J139" i="19"/>
  <c r="D61" i="73"/>
  <c r="B54" i="33"/>
  <c r="F54" i="33"/>
  <c r="G54" i="33" s="1"/>
  <c r="B60" i="20"/>
  <c r="F60" i="20"/>
  <c r="G60" i="20" s="1"/>
  <c r="J134" i="66"/>
  <c r="J136" i="58"/>
  <c r="J136" i="72"/>
  <c r="F56" i="62"/>
  <c r="G56" i="62" s="1"/>
  <c r="B56" i="62"/>
  <c r="D62" i="18"/>
  <c r="D57" i="59"/>
  <c r="E57" i="59" s="1"/>
  <c r="I52" i="26"/>
  <c r="J135" i="64"/>
  <c r="J135" i="61"/>
  <c r="H56" i="59"/>
  <c r="I56" i="59" s="1"/>
  <c r="I59" i="20"/>
  <c r="B52" i="13"/>
  <c r="F52" i="13"/>
  <c r="G52" i="13" s="1"/>
  <c r="B53" i="87"/>
  <c r="F53" i="87"/>
  <c r="F53" i="26"/>
  <c r="G53" i="26" s="1"/>
  <c r="B53" i="26"/>
  <c r="E138" i="72"/>
  <c r="G137" i="72"/>
  <c r="D138" i="72"/>
  <c r="H139" i="41"/>
  <c r="I139" i="41"/>
  <c r="H140" i="22"/>
  <c r="I140" i="22"/>
  <c r="J140" i="18"/>
  <c r="G132" i="92"/>
  <c r="D133" i="92"/>
  <c r="E133" i="92"/>
  <c r="I133" i="81"/>
  <c r="H133" i="81"/>
  <c r="E138" i="58"/>
  <c r="D138" i="58"/>
  <c r="G137" i="58"/>
  <c r="G142" i="27"/>
  <c r="D143" i="27"/>
  <c r="B143" i="27" s="1"/>
  <c r="G132" i="88"/>
  <c r="E133" i="88"/>
  <c r="D133" i="88"/>
  <c r="D138" i="53"/>
  <c r="G137" i="53"/>
  <c r="E138" i="53"/>
  <c r="J138" i="39"/>
  <c r="D140" i="43"/>
  <c r="E140" i="43" s="1"/>
  <c r="G139" i="43"/>
  <c r="E137" i="61"/>
  <c r="D137" i="61"/>
  <c r="G136" i="61"/>
  <c r="I138" i="45"/>
  <c r="H138" i="45"/>
  <c r="D141" i="19"/>
  <c r="E141" i="19" s="1"/>
  <c r="G140" i="19"/>
  <c r="G132" i="86"/>
  <c r="E133" i="86"/>
  <c r="D133" i="86"/>
  <c r="F140" i="41"/>
  <c r="B140" i="41"/>
  <c r="G135" i="66"/>
  <c r="D136" i="66"/>
  <c r="E136" i="66"/>
  <c r="E137" i="64"/>
  <c r="G136" i="64"/>
  <c r="D137" i="64"/>
  <c r="I132" i="91"/>
  <c r="H132" i="91"/>
  <c r="J136" i="46"/>
  <c r="F133" i="89"/>
  <c r="B133" i="89"/>
  <c r="G140" i="20"/>
  <c r="D141" i="20"/>
  <c r="E141" i="20" s="1"/>
  <c r="G134" i="79"/>
  <c r="E135" i="79"/>
  <c r="D135" i="79"/>
  <c r="D133" i="84"/>
  <c r="G132" i="84"/>
  <c r="E133" i="84"/>
  <c r="H139" i="73"/>
  <c r="I139" i="73"/>
  <c r="J140" i="32"/>
  <c r="J134" i="68"/>
  <c r="G139" i="39"/>
  <c r="D140" i="39"/>
  <c r="E140" i="39" s="1"/>
  <c r="E135" i="78"/>
  <c r="G134" i="78"/>
  <c r="D135" i="78"/>
  <c r="G136" i="63"/>
  <c r="E137" i="63"/>
  <c r="D137" i="63"/>
  <c r="G132" i="90"/>
  <c r="D133" i="90"/>
  <c r="E133" i="90"/>
  <c r="G136" i="60"/>
  <c r="D137" i="60"/>
  <c r="E137" i="60"/>
  <c r="J141" i="27"/>
  <c r="J141" i="29"/>
  <c r="G138" i="74"/>
  <c r="D139" i="74"/>
  <c r="E139" i="74"/>
  <c r="D143" i="30"/>
  <c r="G142" i="30"/>
  <c r="F141" i="22"/>
  <c r="B141" i="22"/>
  <c r="J140" i="31"/>
  <c r="J138" i="43"/>
  <c r="J135" i="60"/>
  <c r="J133" i="79"/>
  <c r="D143" i="70"/>
  <c r="G142" i="70"/>
  <c r="E143" i="70"/>
  <c r="D134" i="85"/>
  <c r="E134" i="85"/>
  <c r="G133" i="85"/>
  <c r="D136" i="68"/>
  <c r="G135" i="68"/>
  <c r="E136" i="68"/>
  <c r="H136" i="62"/>
  <c r="I136" i="62"/>
  <c r="D141" i="34"/>
  <c r="E141" i="34" s="1"/>
  <c r="G140" i="34"/>
  <c r="H132" i="89"/>
  <c r="I132" i="89"/>
  <c r="D143" i="69"/>
  <c r="E143" i="69"/>
  <c r="G142" i="69"/>
  <c r="B134" i="81"/>
  <c r="F134" i="81"/>
  <c r="E138" i="46"/>
  <c r="G137" i="46"/>
  <c r="D138" i="46"/>
  <c r="F140" i="73"/>
  <c r="B140" i="73"/>
  <c r="J135" i="65"/>
  <c r="J137" i="74"/>
  <c r="F139" i="45"/>
  <c r="B139" i="45"/>
  <c r="G141" i="31"/>
  <c r="D142" i="31"/>
  <c r="E142" i="31" s="1"/>
  <c r="B137" i="62"/>
  <c r="F137" i="62"/>
  <c r="D142" i="32"/>
  <c r="E142" i="32" s="1"/>
  <c r="G141" i="32"/>
  <c r="D137" i="65"/>
  <c r="G136" i="65"/>
  <c r="E137" i="65"/>
  <c r="B133" i="91"/>
  <c r="F133" i="91"/>
  <c r="J139" i="20"/>
  <c r="D143" i="29"/>
  <c r="E143" i="29" s="1"/>
  <c r="G142" i="29"/>
  <c r="G142" i="23"/>
  <c r="D143" i="23"/>
  <c r="E143" i="23" s="1"/>
  <c r="J141" i="71"/>
  <c r="D138" i="59"/>
  <c r="E138" i="59"/>
  <c r="G137" i="59"/>
  <c r="G141" i="18"/>
  <c r="D142" i="18"/>
  <c r="E142" i="18" s="1"/>
  <c r="J141" i="23"/>
  <c r="F139" i="56"/>
  <c r="B139" i="56"/>
  <c r="J136" i="59"/>
  <c r="H138" i="56"/>
  <c r="I138" i="56"/>
  <c r="J140" i="17"/>
  <c r="J137" i="57"/>
  <c r="E139" i="57"/>
  <c r="G138" i="57"/>
  <c r="D139" i="57"/>
  <c r="G142" i="71"/>
  <c r="D143" i="71"/>
  <c r="E143" i="71"/>
  <c r="G133" i="95"/>
  <c r="D134" i="95"/>
  <c r="G132" i="96"/>
  <c r="D133" i="96"/>
  <c r="B142" i="24"/>
  <c r="F142" i="24"/>
  <c r="F140" i="42"/>
  <c r="B140" i="42"/>
  <c r="I134" i="77"/>
  <c r="H134" i="77"/>
  <c r="J138" i="44"/>
  <c r="F134" i="80"/>
  <c r="B134" i="80"/>
  <c r="F135" i="75"/>
  <c r="B135" i="75"/>
  <c r="G133" i="94"/>
  <c r="D134" i="94"/>
  <c r="E134" i="94" s="1"/>
  <c r="D136" i="67"/>
  <c r="G135" i="67"/>
  <c r="E136" i="67"/>
  <c r="H137" i="54"/>
  <c r="I137" i="54"/>
  <c r="H141" i="24"/>
  <c r="I141" i="24"/>
  <c r="I139" i="42"/>
  <c r="H139" i="42"/>
  <c r="B132" i="13"/>
  <c r="F132" i="13"/>
  <c r="B134" i="83"/>
  <c r="F134" i="83"/>
  <c r="F132" i="33"/>
  <c r="B132" i="33"/>
  <c r="I133" i="80"/>
  <c r="H133" i="80"/>
  <c r="I134" i="76"/>
  <c r="H134" i="76"/>
  <c r="G141" i="17"/>
  <c r="D142" i="17"/>
  <c r="E142" i="17" s="1"/>
  <c r="H132" i="93"/>
  <c r="I132" i="93"/>
  <c r="G133" i="82"/>
  <c r="D134" i="82"/>
  <c r="E134" i="82"/>
  <c r="F138" i="54"/>
  <c r="B138" i="54"/>
  <c r="D133" i="87"/>
  <c r="G132" i="87"/>
  <c r="E133" i="87"/>
  <c r="D141" i="3"/>
  <c r="E141" i="3" s="1"/>
  <c r="G140" i="3"/>
  <c r="B135" i="77"/>
  <c r="F135" i="77"/>
  <c r="H133" i="83"/>
  <c r="I133" i="83"/>
  <c r="J139" i="3"/>
  <c r="H137" i="55"/>
  <c r="I137" i="55"/>
  <c r="G143" i="28"/>
  <c r="D144" i="28"/>
  <c r="E144" i="28" s="1"/>
  <c r="H140" i="21"/>
  <c r="I140" i="21"/>
  <c r="H134" i="75"/>
  <c r="I134" i="75"/>
  <c r="I131" i="13"/>
  <c r="H131" i="13"/>
  <c r="G139" i="44"/>
  <c r="D140" i="44"/>
  <c r="E140" i="44"/>
  <c r="B138" i="55"/>
  <c r="F138" i="55"/>
  <c r="H131" i="33"/>
  <c r="I131" i="33"/>
  <c r="B135" i="76"/>
  <c r="F135" i="76"/>
  <c r="F141" i="21"/>
  <c r="B141" i="21"/>
  <c r="B133" i="93"/>
  <c r="F133" i="93"/>
  <c r="G52" i="25" l="1"/>
  <c r="I52" i="25" s="1"/>
  <c r="D53" i="25"/>
  <c r="E66" i="97"/>
  <c r="F66" i="97" s="1"/>
  <c r="G66" i="97" s="1"/>
  <c r="I65" i="97"/>
  <c r="D133" i="25"/>
  <c r="G132" i="25"/>
  <c r="I51" i="98"/>
  <c r="J131" i="25"/>
  <c r="J132" i="26"/>
  <c r="I58" i="99"/>
  <c r="E60" i="99"/>
  <c r="F60" i="99" s="1"/>
  <c r="D61" i="99" s="1"/>
  <c r="B60" i="99"/>
  <c r="H59" i="99"/>
  <c r="G59" i="99"/>
  <c r="F52" i="98"/>
  <c r="H52" i="98" s="1"/>
  <c r="B52" i="98"/>
  <c r="E133" i="99"/>
  <c r="D133" i="99"/>
  <c r="G132" i="99"/>
  <c r="D134" i="26"/>
  <c r="G133" i="26"/>
  <c r="G61" i="43"/>
  <c r="I65" i="28"/>
  <c r="I59" i="55"/>
  <c r="I63" i="31"/>
  <c r="B133" i="97"/>
  <c r="F133" i="97"/>
  <c r="H132" i="98"/>
  <c r="I132" i="98"/>
  <c r="I132" i="97"/>
  <c r="H132" i="97"/>
  <c r="F133" i="98"/>
  <c r="B133" i="98"/>
  <c r="I54" i="80"/>
  <c r="B57" i="67"/>
  <c r="F57" i="67"/>
  <c r="H57" i="67" s="1"/>
  <c r="H56" i="65"/>
  <c r="I56" i="65" s="1"/>
  <c r="E59" i="46"/>
  <c r="F59" i="46" s="1"/>
  <c r="G59" i="46" s="1"/>
  <c r="B59" i="46"/>
  <c r="B58" i="46"/>
  <c r="H58" i="46"/>
  <c r="G58" i="46"/>
  <c r="D63" i="24"/>
  <c r="E63" i="24" s="1"/>
  <c r="F63" i="24" s="1"/>
  <c r="B62" i="24"/>
  <c r="H62" i="24"/>
  <c r="G62" i="24"/>
  <c r="I62" i="23"/>
  <c r="F52" i="93"/>
  <c r="G52" i="93" s="1"/>
  <c r="B52" i="93"/>
  <c r="B53" i="94"/>
  <c r="F53" i="94"/>
  <c r="G53" i="94" s="1"/>
  <c r="F55" i="80"/>
  <c r="G55" i="80" s="1"/>
  <c r="B55" i="80"/>
  <c r="I61" i="22"/>
  <c r="H55" i="82"/>
  <c r="I55" i="82" s="1"/>
  <c r="D56" i="82"/>
  <c r="E56" i="82" s="1"/>
  <c r="G54" i="86"/>
  <c r="D55" i="86"/>
  <c r="H54" i="86"/>
  <c r="E55" i="86"/>
  <c r="F54" i="91"/>
  <c r="G54" i="91" s="1"/>
  <c r="B54" i="91"/>
  <c r="I53" i="91"/>
  <c r="D56" i="75"/>
  <c r="E56" i="75" s="1"/>
  <c r="F55" i="90"/>
  <c r="G55" i="90" s="1"/>
  <c r="B55" i="90"/>
  <c r="H60" i="55"/>
  <c r="D61" i="55"/>
  <c r="B62" i="42"/>
  <c r="D60" i="58"/>
  <c r="E60" i="58" s="1"/>
  <c r="F60" i="58" s="1"/>
  <c r="G59" i="58"/>
  <c r="H59" i="58"/>
  <c r="H63" i="23"/>
  <c r="D64" i="23"/>
  <c r="H55" i="75"/>
  <c r="E58" i="53"/>
  <c r="F58" i="53" s="1"/>
  <c r="B58" i="53"/>
  <c r="F57" i="66"/>
  <c r="G57" i="66" s="1"/>
  <c r="B57" i="66"/>
  <c r="E62" i="42"/>
  <c r="F62" i="42" s="1"/>
  <c r="D63" i="42" s="1"/>
  <c r="G55" i="75"/>
  <c r="B54" i="84"/>
  <c r="F54" i="84"/>
  <c r="I61" i="42"/>
  <c r="G60" i="55"/>
  <c r="G63" i="23"/>
  <c r="D57" i="65"/>
  <c r="E57" i="65" s="1"/>
  <c r="D63" i="34"/>
  <c r="H62" i="34"/>
  <c r="D53" i="95"/>
  <c r="E53" i="95" s="1"/>
  <c r="I62" i="27"/>
  <c r="B61" i="39"/>
  <c r="H52" i="95"/>
  <c r="B60" i="44"/>
  <c r="D55" i="85"/>
  <c r="E55" i="85"/>
  <c r="H54" i="88"/>
  <c r="I54" i="88" s="1"/>
  <c r="E63" i="27"/>
  <c r="F63" i="27" s="1"/>
  <c r="B63" i="27"/>
  <c r="E61" i="39"/>
  <c r="F61" i="39" s="1"/>
  <c r="H61" i="39" s="1"/>
  <c r="G52" i="95"/>
  <c r="E60" i="44"/>
  <c r="F60" i="44" s="1"/>
  <c r="B62" i="22"/>
  <c r="D59" i="72"/>
  <c r="E62" i="22"/>
  <c r="F62" i="22" s="1"/>
  <c r="F54" i="81"/>
  <c r="B54" i="81"/>
  <c r="B57" i="61"/>
  <c r="F57" i="61"/>
  <c r="G57" i="61" s="1"/>
  <c r="H54" i="85"/>
  <c r="I54" i="85" s="1"/>
  <c r="F55" i="76"/>
  <c r="G55" i="76" s="1"/>
  <c r="B55" i="76"/>
  <c r="H58" i="72"/>
  <c r="I58" i="72" s="1"/>
  <c r="B52" i="96"/>
  <c r="F52" i="96"/>
  <c r="H52" i="96" s="1"/>
  <c r="I62" i="3"/>
  <c r="I61" i="19"/>
  <c r="I60" i="74"/>
  <c r="I62" i="32"/>
  <c r="G64" i="69"/>
  <c r="D65" i="69"/>
  <c r="E65" i="69" s="1"/>
  <c r="H64" i="69"/>
  <c r="D65" i="71"/>
  <c r="G64" i="71"/>
  <c r="H64" i="71"/>
  <c r="D65" i="29"/>
  <c r="E65" i="29" s="1"/>
  <c r="F65" i="29" s="1"/>
  <c r="D66" i="29" s="1"/>
  <c r="F53" i="92"/>
  <c r="G53" i="92" s="1"/>
  <c r="B53" i="92"/>
  <c r="B57" i="63"/>
  <c r="F57" i="63"/>
  <c r="H57" i="63" s="1"/>
  <c r="B53" i="89"/>
  <c r="F53" i="89"/>
  <c r="H53" i="89" s="1"/>
  <c r="G64" i="29"/>
  <c r="B63" i="3"/>
  <c r="G63" i="3"/>
  <c r="H63" i="3"/>
  <c r="D64" i="70"/>
  <c r="E64" i="70" s="1"/>
  <c r="F64" i="70" s="1"/>
  <c r="D65" i="70" s="1"/>
  <c r="B58" i="57"/>
  <c r="F58" i="57"/>
  <c r="H58" i="57" s="1"/>
  <c r="F62" i="19"/>
  <c r="G62" i="19" s="1"/>
  <c r="B62" i="19"/>
  <c r="D58" i="56"/>
  <c r="E58" i="56" s="1"/>
  <c r="I61" i="43"/>
  <c r="D55" i="88"/>
  <c r="E55" i="88" s="1"/>
  <c r="I62" i="30"/>
  <c r="H64" i="31"/>
  <c r="G64" i="31"/>
  <c r="D65" i="31"/>
  <c r="F58" i="54"/>
  <c r="H58" i="54" s="1"/>
  <c r="B58" i="54"/>
  <c r="D58" i="64"/>
  <c r="E58" i="64" s="1"/>
  <c r="D63" i="17"/>
  <c r="E63" i="17" s="1"/>
  <c r="F63" i="17" s="1"/>
  <c r="D64" i="17" s="1"/>
  <c r="H64" i="29"/>
  <c r="D54" i="83"/>
  <c r="E54" i="83"/>
  <c r="I52" i="92"/>
  <c r="D62" i="74"/>
  <c r="H57" i="56"/>
  <c r="E66" i="28"/>
  <c r="F66" i="28" s="1"/>
  <c r="D67" i="28" s="1"/>
  <c r="B66" i="28"/>
  <c r="D62" i="41"/>
  <c r="E62" i="41" s="1"/>
  <c r="G62" i="34"/>
  <c r="E61" i="21"/>
  <c r="F61" i="21" s="1"/>
  <c r="B61" i="21"/>
  <c r="E63" i="32"/>
  <c r="F63" i="32" s="1"/>
  <c r="G63" i="32" s="1"/>
  <c r="B63" i="32"/>
  <c r="B57" i="60"/>
  <c r="F57" i="60"/>
  <c r="G57" i="60" s="1"/>
  <c r="D60" i="45"/>
  <c r="E64" i="3"/>
  <c r="F64" i="3" s="1"/>
  <c r="B64" i="3"/>
  <c r="E63" i="30"/>
  <c r="F63" i="30" s="1"/>
  <c r="B63" i="30"/>
  <c r="H52" i="13"/>
  <c r="I52" i="13" s="1"/>
  <c r="H56" i="62"/>
  <c r="I56" i="62" s="1"/>
  <c r="D62" i="43"/>
  <c r="E62" i="43" s="1"/>
  <c r="F55" i="78"/>
  <c r="G55" i="78" s="1"/>
  <c r="B55" i="78"/>
  <c r="B55" i="79"/>
  <c r="F55" i="79"/>
  <c r="G55" i="79" s="1"/>
  <c r="H57" i="64"/>
  <c r="I57" i="64" s="1"/>
  <c r="H59" i="45"/>
  <c r="I59" i="45" s="1"/>
  <c r="B62" i="17"/>
  <c r="C71" i="17"/>
  <c r="H62" i="17"/>
  <c r="G62" i="17"/>
  <c r="H53" i="83"/>
  <c r="I53" i="83" s="1"/>
  <c r="F55" i="77"/>
  <c r="H55" i="77" s="1"/>
  <c r="B55" i="77"/>
  <c r="B61" i="74"/>
  <c r="H61" i="74"/>
  <c r="G61" i="74"/>
  <c r="G57" i="56"/>
  <c r="H56" i="68"/>
  <c r="I56" i="68" s="1"/>
  <c r="D57" i="68"/>
  <c r="E57" i="68" s="1"/>
  <c r="G63" i="70"/>
  <c r="I63" i="70" s="1"/>
  <c r="B61" i="41"/>
  <c r="H61" i="41"/>
  <c r="G61" i="41"/>
  <c r="I60" i="21"/>
  <c r="J141" i="24"/>
  <c r="E143" i="27"/>
  <c r="F143" i="27" s="1"/>
  <c r="J140" i="22"/>
  <c r="J140" i="21"/>
  <c r="J138" i="56"/>
  <c r="J139" i="73"/>
  <c r="E54" i="87"/>
  <c r="D54" i="87"/>
  <c r="B62" i="18"/>
  <c r="D61" i="20"/>
  <c r="H54" i="33"/>
  <c r="I54" i="33" s="1"/>
  <c r="B57" i="59"/>
  <c r="F57" i="59"/>
  <c r="H57" i="59" s="1"/>
  <c r="D54" i="26"/>
  <c r="E54" i="26" s="1"/>
  <c r="G53" i="87"/>
  <c r="D53" i="13"/>
  <c r="E53" i="13" s="1"/>
  <c r="E62" i="18"/>
  <c r="F62" i="18" s="1"/>
  <c r="H60" i="20"/>
  <c r="I60" i="20" s="1"/>
  <c r="B61" i="73"/>
  <c r="J134" i="76"/>
  <c r="H53" i="26"/>
  <c r="I53" i="26" s="1"/>
  <c r="H53" i="87"/>
  <c r="D57" i="62"/>
  <c r="E57" i="62" s="1"/>
  <c r="E61" i="73"/>
  <c r="F61" i="73" s="1"/>
  <c r="D55" i="33"/>
  <c r="E55" i="33" s="1"/>
  <c r="F137" i="60"/>
  <c r="B137" i="60"/>
  <c r="I132" i="90"/>
  <c r="H132" i="90"/>
  <c r="H139" i="39"/>
  <c r="I139" i="39"/>
  <c r="F137" i="64"/>
  <c r="B137" i="64"/>
  <c r="I141" i="32"/>
  <c r="H141" i="32"/>
  <c r="D140" i="45"/>
  <c r="E140" i="45" s="1"/>
  <c r="G139" i="45"/>
  <c r="G140" i="73"/>
  <c r="E141" i="73"/>
  <c r="D141" i="73"/>
  <c r="D135" i="81"/>
  <c r="E135" i="81"/>
  <c r="G134" i="81"/>
  <c r="B143" i="69"/>
  <c r="F143" i="69"/>
  <c r="F143" i="70"/>
  <c r="B143" i="70"/>
  <c r="E143" i="30"/>
  <c r="F143" i="30" s="1"/>
  <c r="B143" i="30"/>
  <c r="I136" i="60"/>
  <c r="H136" i="60"/>
  <c r="B137" i="63"/>
  <c r="F137" i="63"/>
  <c r="H134" i="78"/>
  <c r="I134" i="78"/>
  <c r="B135" i="79"/>
  <c r="F135" i="79"/>
  <c r="F141" i="20"/>
  <c r="B141" i="20"/>
  <c r="I136" i="64"/>
  <c r="H136" i="64"/>
  <c r="H135" i="66"/>
  <c r="I135" i="66"/>
  <c r="F141" i="19"/>
  <c r="B141" i="19"/>
  <c r="F137" i="61"/>
  <c r="B137" i="61"/>
  <c r="F140" i="43"/>
  <c r="B140" i="43"/>
  <c r="B138" i="53"/>
  <c r="F138" i="53"/>
  <c r="F138" i="58"/>
  <c r="B138" i="58"/>
  <c r="B138" i="72"/>
  <c r="F138" i="72"/>
  <c r="F143" i="29"/>
  <c r="B143" i="29"/>
  <c r="H142" i="70"/>
  <c r="I142" i="70"/>
  <c r="F135" i="78"/>
  <c r="B135" i="78"/>
  <c r="B136" i="66"/>
  <c r="F136" i="66"/>
  <c r="I132" i="88"/>
  <c r="H132" i="88"/>
  <c r="H136" i="65"/>
  <c r="I136" i="65"/>
  <c r="F142" i="32"/>
  <c r="B142" i="32"/>
  <c r="B142" i="31"/>
  <c r="F142" i="31"/>
  <c r="B138" i="46"/>
  <c r="F138" i="46"/>
  <c r="F141" i="34"/>
  <c r="B141" i="34"/>
  <c r="H135" i="68"/>
  <c r="I135" i="68"/>
  <c r="B134" i="85"/>
  <c r="F134" i="85"/>
  <c r="H140" i="20"/>
  <c r="I140" i="20"/>
  <c r="H132" i="86"/>
  <c r="I132" i="86"/>
  <c r="B133" i="88"/>
  <c r="F133" i="88"/>
  <c r="B133" i="92"/>
  <c r="F133" i="92"/>
  <c r="I137" i="72"/>
  <c r="H137" i="72"/>
  <c r="I140" i="34"/>
  <c r="H140" i="34"/>
  <c r="H133" i="85"/>
  <c r="I133" i="85"/>
  <c r="H142" i="30"/>
  <c r="I142" i="30"/>
  <c r="H138" i="74"/>
  <c r="I138" i="74"/>
  <c r="F133" i="84"/>
  <c r="B133" i="84"/>
  <c r="E134" i="89"/>
  <c r="D134" i="89"/>
  <c r="G133" i="89"/>
  <c r="B133" i="86"/>
  <c r="F133" i="86"/>
  <c r="H136" i="61"/>
  <c r="I136" i="61"/>
  <c r="I137" i="53"/>
  <c r="H137" i="53"/>
  <c r="I137" i="58"/>
  <c r="H137" i="58"/>
  <c r="I142" i="29"/>
  <c r="H142" i="29"/>
  <c r="E134" i="91"/>
  <c r="G133" i="91"/>
  <c r="D134" i="91"/>
  <c r="F137" i="65"/>
  <c r="B137" i="65"/>
  <c r="D138" i="62"/>
  <c r="G137" i="62"/>
  <c r="E138" i="62"/>
  <c r="H141" i="31"/>
  <c r="I141" i="31"/>
  <c r="H137" i="46"/>
  <c r="I137" i="46"/>
  <c r="I142" i="69"/>
  <c r="H142" i="69"/>
  <c r="J136" i="62"/>
  <c r="F136" i="68"/>
  <c r="B136" i="68"/>
  <c r="D142" i="22"/>
  <c r="E142" i="22" s="1"/>
  <c r="G141" i="22"/>
  <c r="B139" i="74"/>
  <c r="F139" i="74"/>
  <c r="F133" i="90"/>
  <c r="B133" i="90"/>
  <c r="I136" i="63"/>
  <c r="H136" i="63"/>
  <c r="B140" i="39"/>
  <c r="F140" i="39"/>
  <c r="I132" i="84"/>
  <c r="H132" i="84"/>
  <c r="H134" i="79"/>
  <c r="I134" i="79"/>
  <c r="G140" i="41"/>
  <c r="D141" i="41"/>
  <c r="E141" i="41" s="1"/>
  <c r="I140" i="19"/>
  <c r="H140" i="19"/>
  <c r="J138" i="45"/>
  <c r="H139" i="43"/>
  <c r="I139" i="43"/>
  <c r="I142" i="27"/>
  <c r="H142" i="27"/>
  <c r="I132" i="92"/>
  <c r="H132" i="92"/>
  <c r="J139" i="41"/>
  <c r="I141" i="18"/>
  <c r="H141" i="18"/>
  <c r="F138" i="59"/>
  <c r="B138" i="59"/>
  <c r="J137" i="55"/>
  <c r="H137" i="59"/>
  <c r="I137" i="59"/>
  <c r="B143" i="23"/>
  <c r="F143" i="23"/>
  <c r="D140" i="56"/>
  <c r="E140" i="56" s="1"/>
  <c r="G139" i="56"/>
  <c r="F142" i="18"/>
  <c r="B142" i="18"/>
  <c r="I142" i="23"/>
  <c r="H142" i="23"/>
  <c r="J137" i="54"/>
  <c r="I142" i="71"/>
  <c r="H142" i="71"/>
  <c r="F139" i="57"/>
  <c r="B139" i="57"/>
  <c r="I138" i="57"/>
  <c r="H138" i="57"/>
  <c r="J134" i="77"/>
  <c r="F143" i="71"/>
  <c r="B143" i="71"/>
  <c r="E136" i="76"/>
  <c r="D136" i="76"/>
  <c r="G135" i="76"/>
  <c r="E139" i="55"/>
  <c r="D139" i="55"/>
  <c r="G138" i="55"/>
  <c r="J134" i="75"/>
  <c r="B144" i="28"/>
  <c r="F144" i="28"/>
  <c r="G138" i="54"/>
  <c r="E139" i="54"/>
  <c r="D139" i="54"/>
  <c r="F142" i="17"/>
  <c r="B142" i="17"/>
  <c r="D135" i="80"/>
  <c r="E135" i="80"/>
  <c r="G134" i="80"/>
  <c r="B133" i="96"/>
  <c r="F140" i="44"/>
  <c r="B140" i="44"/>
  <c r="I143" i="28"/>
  <c r="H143" i="28"/>
  <c r="D136" i="77"/>
  <c r="G135" i="77"/>
  <c r="E136" i="77"/>
  <c r="I132" i="87"/>
  <c r="H132" i="87"/>
  <c r="F134" i="82"/>
  <c r="B134" i="82"/>
  <c r="H141" i="17"/>
  <c r="I141" i="17"/>
  <c r="G132" i="33"/>
  <c r="D133" i="33"/>
  <c r="E133" i="33" s="1"/>
  <c r="E136" i="75"/>
  <c r="G135" i="75"/>
  <c r="D136" i="75"/>
  <c r="H132" i="96"/>
  <c r="I132" i="96"/>
  <c r="B134" i="95"/>
  <c r="J131" i="33"/>
  <c r="H139" i="44"/>
  <c r="I139" i="44"/>
  <c r="H140" i="3"/>
  <c r="I140" i="3"/>
  <c r="B133" i="87"/>
  <c r="F133" i="87"/>
  <c r="H133" i="82"/>
  <c r="I133" i="82"/>
  <c r="J139" i="42"/>
  <c r="I135" i="67"/>
  <c r="H135" i="67"/>
  <c r="F134" i="94"/>
  <c r="B134" i="94"/>
  <c r="G140" i="42"/>
  <c r="D141" i="42"/>
  <c r="E141" i="42" s="1"/>
  <c r="H133" i="95"/>
  <c r="I133" i="95"/>
  <c r="G133" i="93"/>
  <c r="D134" i="93"/>
  <c r="G141" i="21"/>
  <c r="D142" i="21"/>
  <c r="E142" i="21" s="1"/>
  <c r="B141" i="3"/>
  <c r="F141" i="3"/>
  <c r="E135" i="83"/>
  <c r="D135" i="83"/>
  <c r="G134" i="83"/>
  <c r="D133" i="13"/>
  <c r="E133" i="13" s="1"/>
  <c r="G132" i="13"/>
  <c r="F136" i="67"/>
  <c r="B136" i="67"/>
  <c r="H133" i="94"/>
  <c r="I133" i="94"/>
  <c r="G142" i="24"/>
  <c r="D143" i="24"/>
  <c r="E133" i="96"/>
  <c r="F133" i="96" s="1"/>
  <c r="E134" i="95"/>
  <c r="F134" i="95" s="1"/>
  <c r="E53" i="25" l="1"/>
  <c r="F53" i="25" s="1"/>
  <c r="G53" i="25" s="1"/>
  <c r="B53" i="25"/>
  <c r="H66" i="97"/>
  <c r="I66" i="97" s="1"/>
  <c r="D67" i="97"/>
  <c r="E67" i="97" s="1"/>
  <c r="F67" i="97" s="1"/>
  <c r="D68" i="97" s="1"/>
  <c r="B68" i="97" s="1"/>
  <c r="H132" i="25"/>
  <c r="I132" i="25"/>
  <c r="J132" i="25" s="1"/>
  <c r="E133" i="25"/>
  <c r="F133" i="25" s="1"/>
  <c r="B133" i="25"/>
  <c r="G60" i="99"/>
  <c r="I59" i="99"/>
  <c r="D53" i="98"/>
  <c r="E53" i="98"/>
  <c r="E61" i="99"/>
  <c r="F61" i="99" s="1"/>
  <c r="B61" i="99"/>
  <c r="G52" i="98"/>
  <c r="I52" i="98" s="1"/>
  <c r="H60" i="99"/>
  <c r="H132" i="99"/>
  <c r="I132" i="99"/>
  <c r="F133" i="99"/>
  <c r="B133" i="99"/>
  <c r="H53" i="94"/>
  <c r="I53" i="94" s="1"/>
  <c r="I133" i="26"/>
  <c r="H133" i="26"/>
  <c r="B134" i="26"/>
  <c r="E134" i="26"/>
  <c r="F134" i="26" s="1"/>
  <c r="I63" i="23"/>
  <c r="I62" i="34"/>
  <c r="H52" i="93"/>
  <c r="I52" i="93" s="1"/>
  <c r="I58" i="46"/>
  <c r="I62" i="24"/>
  <c r="G133" i="98"/>
  <c r="D134" i="98"/>
  <c r="E134" i="98"/>
  <c r="D134" i="97"/>
  <c r="E134" i="97" s="1"/>
  <c r="G133" i="97"/>
  <c r="G143" i="27"/>
  <c r="H143" i="27" s="1"/>
  <c r="D144" i="27"/>
  <c r="B144" i="27" s="1"/>
  <c r="I54" i="86"/>
  <c r="G57" i="67"/>
  <c r="I57" i="67" s="1"/>
  <c r="D58" i="67"/>
  <c r="H57" i="60"/>
  <c r="I57" i="60" s="1"/>
  <c r="D60" i="46"/>
  <c r="E60" i="46" s="1"/>
  <c r="F60" i="46" s="1"/>
  <c r="H59" i="46"/>
  <c r="I59" i="46" s="1"/>
  <c r="D64" i="24"/>
  <c r="B64" i="24" s="1"/>
  <c r="B63" i="24"/>
  <c r="G63" i="24"/>
  <c r="H63" i="24"/>
  <c r="H57" i="66"/>
  <c r="I57" i="66" s="1"/>
  <c r="F56" i="82"/>
  <c r="G56" i="82" s="1"/>
  <c r="B56" i="82"/>
  <c r="B55" i="86"/>
  <c r="F55" i="86"/>
  <c r="D56" i="80"/>
  <c r="E56" i="80" s="1"/>
  <c r="D54" i="94"/>
  <c r="E54" i="94"/>
  <c r="G57" i="59"/>
  <c r="I57" i="59" s="1"/>
  <c r="H55" i="79"/>
  <c r="I55" i="79" s="1"/>
  <c r="H55" i="80"/>
  <c r="I55" i="80" s="1"/>
  <c r="D53" i="93"/>
  <c r="E53" i="93" s="1"/>
  <c r="G58" i="53"/>
  <c r="D59" i="53"/>
  <c r="E59" i="53" s="1"/>
  <c r="H58" i="53"/>
  <c r="D61" i="58"/>
  <c r="B61" i="58" s="1"/>
  <c r="H62" i="42"/>
  <c r="E61" i="55"/>
  <c r="F61" i="55" s="1"/>
  <c r="B61" i="55"/>
  <c r="H55" i="90"/>
  <c r="I55" i="90" s="1"/>
  <c r="D56" i="90"/>
  <c r="E56" i="90"/>
  <c r="G55" i="77"/>
  <c r="I55" i="77" s="1"/>
  <c r="G58" i="57"/>
  <c r="I58" i="57" s="1"/>
  <c r="I55" i="75"/>
  <c r="I59" i="58"/>
  <c r="G62" i="42"/>
  <c r="I60" i="55"/>
  <c r="G54" i="84"/>
  <c r="D55" i="84"/>
  <c r="E55" i="84"/>
  <c r="B60" i="58"/>
  <c r="H60" i="58"/>
  <c r="G60" i="58"/>
  <c r="I64" i="29"/>
  <c r="F57" i="65"/>
  <c r="D58" i="65" s="1"/>
  <c r="B57" i="65"/>
  <c r="H54" i="84"/>
  <c r="E63" i="42"/>
  <c r="F63" i="42" s="1"/>
  <c r="G63" i="42" s="1"/>
  <c r="B63" i="42"/>
  <c r="D58" i="66"/>
  <c r="E58" i="66" s="1"/>
  <c r="E64" i="23"/>
  <c r="F64" i="23" s="1"/>
  <c r="B64" i="23"/>
  <c r="B56" i="75"/>
  <c r="F56" i="75"/>
  <c r="G56" i="75" s="1"/>
  <c r="H54" i="91"/>
  <c r="I54" i="91" s="1"/>
  <c r="D55" i="91"/>
  <c r="E55" i="91" s="1"/>
  <c r="D61" i="44"/>
  <c r="E61" i="44" s="1"/>
  <c r="H60" i="44"/>
  <c r="G60" i="44"/>
  <c r="G53" i="89"/>
  <c r="I53" i="89" s="1"/>
  <c r="H55" i="76"/>
  <c r="I55" i="76" s="1"/>
  <c r="D56" i="76"/>
  <c r="E56" i="76" s="1"/>
  <c r="D63" i="22"/>
  <c r="E63" i="22" s="1"/>
  <c r="F63" i="22" s="1"/>
  <c r="G62" i="22"/>
  <c r="F55" i="85"/>
  <c r="H55" i="85" s="1"/>
  <c r="B55" i="85"/>
  <c r="G61" i="39"/>
  <c r="I61" i="39" s="1"/>
  <c r="D62" i="39"/>
  <c r="E62" i="39" s="1"/>
  <c r="H54" i="81"/>
  <c r="D55" i="81"/>
  <c r="E55" i="81" s="1"/>
  <c r="G57" i="63"/>
  <c r="I57" i="63" s="1"/>
  <c r="G54" i="81"/>
  <c r="H62" i="22"/>
  <c r="I52" i="95"/>
  <c r="B59" i="72"/>
  <c r="B53" i="95"/>
  <c r="F53" i="95"/>
  <c r="H53" i="95" s="1"/>
  <c r="I63" i="3"/>
  <c r="I64" i="71"/>
  <c r="G52" i="96"/>
  <c r="I52" i="96" s="1"/>
  <c r="D53" i="96"/>
  <c r="E53" i="96" s="1"/>
  <c r="H57" i="61"/>
  <c r="I57" i="61" s="1"/>
  <c r="D58" i="61"/>
  <c r="E58" i="61" s="1"/>
  <c r="E59" i="72"/>
  <c r="F59" i="72" s="1"/>
  <c r="H63" i="27"/>
  <c r="D64" i="27"/>
  <c r="G63" i="27"/>
  <c r="E63" i="34"/>
  <c r="F63" i="34" s="1"/>
  <c r="B63" i="34"/>
  <c r="I53" i="87"/>
  <c r="I61" i="41"/>
  <c r="I61" i="74"/>
  <c r="I62" i="17"/>
  <c r="I64" i="31"/>
  <c r="I64" i="69"/>
  <c r="D64" i="30"/>
  <c r="E64" i="30" s="1"/>
  <c r="H63" i="30"/>
  <c r="G63" i="30"/>
  <c r="D62" i="21"/>
  <c r="H61" i="21"/>
  <c r="G61" i="21"/>
  <c r="E64" i="17"/>
  <c r="F64" i="17" s="1"/>
  <c r="B64" i="17"/>
  <c r="B60" i="45"/>
  <c r="E67" i="28"/>
  <c r="F67" i="28" s="1"/>
  <c r="B67" i="28"/>
  <c r="E65" i="31"/>
  <c r="F65" i="31" s="1"/>
  <c r="B65" i="31"/>
  <c r="D56" i="77"/>
  <c r="E56" i="77" s="1"/>
  <c r="D56" i="79"/>
  <c r="E56" i="79" s="1"/>
  <c r="B55" i="88"/>
  <c r="F55" i="88"/>
  <c r="H55" i="88" s="1"/>
  <c r="F58" i="56"/>
  <c r="B58" i="56"/>
  <c r="D59" i="57"/>
  <c r="E59" i="57" s="1"/>
  <c r="F59" i="57" s="1"/>
  <c r="D54" i="89"/>
  <c r="E54" i="89" s="1"/>
  <c r="B62" i="74"/>
  <c r="D58" i="60"/>
  <c r="E58" i="60" s="1"/>
  <c r="G66" i="28"/>
  <c r="I57" i="56"/>
  <c r="C72" i="17"/>
  <c r="B63" i="17"/>
  <c r="G63" i="17"/>
  <c r="H63" i="17"/>
  <c r="E65" i="70"/>
  <c r="F65" i="70" s="1"/>
  <c r="B65" i="70"/>
  <c r="D58" i="63"/>
  <c r="E58" i="63" s="1"/>
  <c r="D54" i="92"/>
  <c r="E54" i="92" s="1"/>
  <c r="E66" i="29"/>
  <c r="F66" i="29" s="1"/>
  <c r="B66" i="29"/>
  <c r="B65" i="71"/>
  <c r="F65" i="69"/>
  <c r="D66" i="69" s="1"/>
  <c r="B65" i="69"/>
  <c r="H55" i="78"/>
  <c r="I55" i="78" s="1"/>
  <c r="D56" i="78"/>
  <c r="E56" i="78" s="1"/>
  <c r="H64" i="3"/>
  <c r="D65" i="3"/>
  <c r="E65" i="3" s="1"/>
  <c r="F65" i="3" s="1"/>
  <c r="D66" i="3" s="1"/>
  <c r="B57" i="68"/>
  <c r="F57" i="68"/>
  <c r="G57" i="68" s="1"/>
  <c r="B62" i="43"/>
  <c r="F62" i="43"/>
  <c r="G62" i="43" s="1"/>
  <c r="G64" i="3"/>
  <c r="E60" i="45"/>
  <c r="F60" i="45" s="1"/>
  <c r="H63" i="32"/>
  <c r="I63" i="32" s="1"/>
  <c r="D64" i="32"/>
  <c r="F62" i="41"/>
  <c r="G62" i="41" s="1"/>
  <c r="B62" i="41"/>
  <c r="H66" i="28"/>
  <c r="E62" i="74"/>
  <c r="F62" i="74" s="1"/>
  <c r="F54" i="83"/>
  <c r="H54" i="83" s="1"/>
  <c r="B54" i="83"/>
  <c r="F58" i="64"/>
  <c r="D59" i="64" s="1"/>
  <c r="B58" i="64"/>
  <c r="G58" i="54"/>
  <c r="I58" i="54" s="1"/>
  <c r="D59" i="54"/>
  <c r="E59" i="54" s="1"/>
  <c r="H62" i="19"/>
  <c r="I62" i="19" s="1"/>
  <c r="D63" i="19"/>
  <c r="E63" i="19" s="1"/>
  <c r="B64" i="70"/>
  <c r="H64" i="70"/>
  <c r="G64" i="70"/>
  <c r="H53" i="92"/>
  <c r="I53" i="92" s="1"/>
  <c r="B65" i="29"/>
  <c r="G65" i="29"/>
  <c r="H65" i="29"/>
  <c r="E65" i="71"/>
  <c r="F65" i="71" s="1"/>
  <c r="J139" i="39"/>
  <c r="J140" i="34"/>
  <c r="J136" i="64"/>
  <c r="J137" i="59"/>
  <c r="J141" i="31"/>
  <c r="D62" i="73"/>
  <c r="G61" i="73"/>
  <c r="H61" i="73"/>
  <c r="D63" i="18"/>
  <c r="E63" i="18" s="1"/>
  <c r="G62" i="18"/>
  <c r="H62" i="18"/>
  <c r="D58" i="59"/>
  <c r="E58" i="59" s="1"/>
  <c r="J142" i="29"/>
  <c r="J137" i="58"/>
  <c r="J138" i="74"/>
  <c r="J140" i="20"/>
  <c r="J135" i="68"/>
  <c r="J135" i="66"/>
  <c r="J134" i="78"/>
  <c r="F55" i="33"/>
  <c r="H55" i="33" s="1"/>
  <c r="B55" i="33"/>
  <c r="B54" i="26"/>
  <c r="F54" i="26"/>
  <c r="G54" i="26" s="1"/>
  <c r="B61" i="20"/>
  <c r="B54" i="87"/>
  <c r="F54" i="87"/>
  <c r="H54" i="87" s="1"/>
  <c r="J136" i="65"/>
  <c r="B57" i="62"/>
  <c r="F57" i="62"/>
  <c r="H57" i="62" s="1"/>
  <c r="F53" i="13"/>
  <c r="G53" i="13" s="1"/>
  <c r="B53" i="13"/>
  <c r="E61" i="20"/>
  <c r="F61" i="20" s="1"/>
  <c r="D144" i="30"/>
  <c r="B144" i="30" s="1"/>
  <c r="G143" i="30"/>
  <c r="F134" i="91"/>
  <c r="B134" i="91"/>
  <c r="G133" i="88"/>
  <c r="D134" i="88"/>
  <c r="E134" i="88"/>
  <c r="G138" i="53"/>
  <c r="D139" i="53"/>
  <c r="E139" i="53"/>
  <c r="J138" i="57"/>
  <c r="H140" i="41"/>
  <c r="I140" i="41"/>
  <c r="G139" i="74"/>
  <c r="E140" i="74"/>
  <c r="D140" i="74"/>
  <c r="F138" i="62"/>
  <c r="B138" i="62"/>
  <c r="H133" i="91"/>
  <c r="I133" i="91"/>
  <c r="E134" i="86"/>
  <c r="G133" i="86"/>
  <c r="D134" i="86"/>
  <c r="J137" i="72"/>
  <c r="D143" i="32"/>
  <c r="E143" i="32" s="1"/>
  <c r="G142" i="32"/>
  <c r="E136" i="78"/>
  <c r="G135" i="78"/>
  <c r="D136" i="78"/>
  <c r="D144" i="29"/>
  <c r="E144" i="29" s="1"/>
  <c r="G143" i="29"/>
  <c r="G138" i="58"/>
  <c r="E139" i="58"/>
  <c r="D139" i="58"/>
  <c r="E138" i="61"/>
  <c r="G137" i="61"/>
  <c r="D138" i="61"/>
  <c r="D142" i="20"/>
  <c r="E142" i="20" s="1"/>
  <c r="G141" i="20"/>
  <c r="J136" i="60"/>
  <c r="H134" i="81"/>
  <c r="I134" i="81"/>
  <c r="F140" i="45"/>
  <c r="B140" i="45"/>
  <c r="D138" i="64"/>
  <c r="E138" i="64"/>
  <c r="G137" i="64"/>
  <c r="B142" i="22"/>
  <c r="F142" i="22"/>
  <c r="H137" i="62"/>
  <c r="I137" i="62"/>
  <c r="B141" i="73"/>
  <c r="F141" i="73"/>
  <c r="J142" i="27"/>
  <c r="J136" i="63"/>
  <c r="J142" i="69"/>
  <c r="J137" i="53"/>
  <c r="J142" i="30"/>
  <c r="D134" i="92"/>
  <c r="G133" i="92"/>
  <c r="E134" i="92"/>
  <c r="D135" i="85"/>
  <c r="G134" i="85"/>
  <c r="E135" i="85"/>
  <c r="G142" i="31"/>
  <c r="D143" i="31"/>
  <c r="E143" i="31" s="1"/>
  <c r="E137" i="66"/>
  <c r="G136" i="66"/>
  <c r="D137" i="66"/>
  <c r="J142" i="70"/>
  <c r="E139" i="72"/>
  <c r="G138" i="72"/>
  <c r="D139" i="72"/>
  <c r="D136" i="79"/>
  <c r="G135" i="79"/>
  <c r="E136" i="79"/>
  <c r="E138" i="63"/>
  <c r="D138" i="63"/>
  <c r="G137" i="63"/>
  <c r="D144" i="70"/>
  <c r="G143" i="70"/>
  <c r="E144" i="70"/>
  <c r="I140" i="73"/>
  <c r="H140" i="73"/>
  <c r="B141" i="41"/>
  <c r="F141" i="41"/>
  <c r="G133" i="90"/>
  <c r="D134" i="90"/>
  <c r="E134" i="90"/>
  <c r="F134" i="89"/>
  <c r="B134" i="89"/>
  <c r="G138" i="46"/>
  <c r="E139" i="46"/>
  <c r="D139" i="46"/>
  <c r="J142" i="71"/>
  <c r="J139" i="43"/>
  <c r="J140" i="19"/>
  <c r="J134" i="79"/>
  <c r="D141" i="39"/>
  <c r="E141" i="39" s="1"/>
  <c r="G140" i="39"/>
  <c r="I141" i="22"/>
  <c r="H141" i="22"/>
  <c r="D137" i="68"/>
  <c r="E137" i="68"/>
  <c r="G136" i="68"/>
  <c r="J137" i="46"/>
  <c r="G137" i="65"/>
  <c r="D138" i="65"/>
  <c r="E138" i="65"/>
  <c r="J136" i="61"/>
  <c r="I133" i="89"/>
  <c r="H133" i="89"/>
  <c r="E134" i="84"/>
  <c r="D134" i="84"/>
  <c r="G133" i="84"/>
  <c r="D142" i="34"/>
  <c r="E142" i="34" s="1"/>
  <c r="G141" i="34"/>
  <c r="G140" i="43"/>
  <c r="D141" i="43"/>
  <c r="E141" i="43" s="1"/>
  <c r="D142" i="19"/>
  <c r="E142" i="19" s="1"/>
  <c r="G141" i="19"/>
  <c r="D144" i="69"/>
  <c r="E144" i="69"/>
  <c r="G143" i="69"/>
  <c r="F135" i="81"/>
  <c r="B135" i="81"/>
  <c r="I139" i="45"/>
  <c r="H139" i="45"/>
  <c r="J141" i="32"/>
  <c r="E138" i="60"/>
  <c r="D138" i="60"/>
  <c r="G137" i="60"/>
  <c r="J139" i="44"/>
  <c r="F140" i="56"/>
  <c r="B140" i="56"/>
  <c r="J142" i="23"/>
  <c r="G142" i="18"/>
  <c r="D143" i="18"/>
  <c r="G138" i="59"/>
  <c r="E139" i="59"/>
  <c r="D139" i="59"/>
  <c r="D144" i="23"/>
  <c r="E144" i="23" s="1"/>
  <c r="G143" i="23"/>
  <c r="I139" i="56"/>
  <c r="H139" i="56"/>
  <c r="J141" i="18"/>
  <c r="E144" i="71"/>
  <c r="G143" i="71"/>
  <c r="D144" i="71"/>
  <c r="G139" i="57"/>
  <c r="D140" i="57"/>
  <c r="E140" i="57" s="1"/>
  <c r="G134" i="95"/>
  <c r="D135" i="95"/>
  <c r="E135" i="95" s="1"/>
  <c r="D134" i="96"/>
  <c r="G133" i="96"/>
  <c r="B143" i="24"/>
  <c r="I134" i="83"/>
  <c r="H134" i="83"/>
  <c r="E143" i="24"/>
  <c r="F143" i="24" s="1"/>
  <c r="B135" i="83"/>
  <c r="F135" i="83"/>
  <c r="I141" i="21"/>
  <c r="H141" i="21"/>
  <c r="I133" i="93"/>
  <c r="H133" i="93"/>
  <c r="H132" i="33"/>
  <c r="I132" i="33"/>
  <c r="G134" i="82"/>
  <c r="D135" i="82"/>
  <c r="E135" i="82"/>
  <c r="J143" i="28"/>
  <c r="I134" i="80"/>
  <c r="H134" i="80"/>
  <c r="D145" i="28"/>
  <c r="E145" i="28" s="1"/>
  <c r="G144" i="28"/>
  <c r="H135" i="76"/>
  <c r="I135" i="76"/>
  <c r="F133" i="13"/>
  <c r="B133" i="13"/>
  <c r="I142" i="24"/>
  <c r="H142" i="24"/>
  <c r="D137" i="67"/>
  <c r="G136" i="67"/>
  <c r="E137" i="67"/>
  <c r="B141" i="42"/>
  <c r="F141" i="42"/>
  <c r="D135" i="94"/>
  <c r="E135" i="94" s="1"/>
  <c r="G134" i="94"/>
  <c r="J140" i="3"/>
  <c r="J141" i="17"/>
  <c r="I135" i="77"/>
  <c r="H135" i="77"/>
  <c r="G140" i="44"/>
  <c r="D141" i="44"/>
  <c r="E141" i="44" s="1"/>
  <c r="H138" i="54"/>
  <c r="I138" i="54"/>
  <c r="I138" i="55"/>
  <c r="H138" i="55"/>
  <c r="F136" i="76"/>
  <c r="B136" i="76"/>
  <c r="I132" i="13"/>
  <c r="H132" i="13"/>
  <c r="B134" i="93"/>
  <c r="H140" i="42"/>
  <c r="I140" i="42"/>
  <c r="F136" i="75"/>
  <c r="B136" i="75"/>
  <c r="F136" i="77"/>
  <c r="B136" i="77"/>
  <c r="F135" i="80"/>
  <c r="B135" i="80"/>
  <c r="F139" i="55"/>
  <c r="B139" i="55"/>
  <c r="G141" i="3"/>
  <c r="D142" i="3"/>
  <c r="E142" i="3" s="1"/>
  <c r="B142" i="21"/>
  <c r="F142" i="21"/>
  <c r="E134" i="93"/>
  <c r="F134" i="93" s="1"/>
  <c r="J135" i="67"/>
  <c r="D134" i="87"/>
  <c r="G133" i="87"/>
  <c r="E134" i="87"/>
  <c r="I135" i="75"/>
  <c r="H135" i="75"/>
  <c r="F133" i="33"/>
  <c r="B133" i="33"/>
  <c r="D143" i="17"/>
  <c r="G142" i="17"/>
  <c r="B139" i="54"/>
  <c r="F139" i="54"/>
  <c r="D54" i="25" l="1"/>
  <c r="H53" i="25"/>
  <c r="I53" i="25" s="1"/>
  <c r="H67" i="97"/>
  <c r="G67" i="97"/>
  <c r="B67" i="97"/>
  <c r="E68" i="97"/>
  <c r="F68" i="97" s="1"/>
  <c r="D69" i="97" s="1"/>
  <c r="E69" i="97" s="1"/>
  <c r="F69" i="97" s="1"/>
  <c r="D134" i="25"/>
  <c r="G133" i="25"/>
  <c r="I60" i="99"/>
  <c r="I66" i="28"/>
  <c r="D62" i="99"/>
  <c r="G61" i="99"/>
  <c r="H61" i="99"/>
  <c r="B53" i="98"/>
  <c r="F53" i="98"/>
  <c r="H53" i="98" s="1"/>
  <c r="G133" i="99"/>
  <c r="E134" i="99"/>
  <c r="D134" i="99"/>
  <c r="E144" i="27"/>
  <c r="F144" i="27" s="1"/>
  <c r="D135" i="26"/>
  <c r="B135" i="26" s="1"/>
  <c r="G134" i="26"/>
  <c r="J133" i="26"/>
  <c r="I63" i="24"/>
  <c r="I62" i="22"/>
  <c r="I143" i="27"/>
  <c r="J143" i="27" s="1"/>
  <c r="F134" i="97"/>
  <c r="B134" i="97"/>
  <c r="B134" i="98"/>
  <c r="F134" i="98"/>
  <c r="H133" i="97"/>
  <c r="I133" i="97"/>
  <c r="H133" i="98"/>
  <c r="I133" i="98"/>
  <c r="E58" i="67"/>
  <c r="F58" i="67" s="1"/>
  <c r="H58" i="67" s="1"/>
  <c r="B58" i="67"/>
  <c r="H57" i="65"/>
  <c r="G57" i="65"/>
  <c r="E61" i="58"/>
  <c r="F61" i="58" s="1"/>
  <c r="I58" i="53"/>
  <c r="D61" i="46"/>
  <c r="E61" i="46" s="1"/>
  <c r="F61" i="46" s="1"/>
  <c r="B60" i="46"/>
  <c r="H60" i="46"/>
  <c r="G60" i="46"/>
  <c r="E64" i="24"/>
  <c r="F64" i="24" s="1"/>
  <c r="I54" i="81"/>
  <c r="I60" i="44"/>
  <c r="B53" i="93"/>
  <c r="F53" i="93"/>
  <c r="H53" i="93" s="1"/>
  <c r="H58" i="64"/>
  <c r="F54" i="94"/>
  <c r="B54" i="94"/>
  <c r="G55" i="86"/>
  <c r="D56" i="86"/>
  <c r="E56" i="86" s="1"/>
  <c r="H55" i="86"/>
  <c r="H56" i="82"/>
  <c r="I56" i="82" s="1"/>
  <c r="D57" i="82"/>
  <c r="E57" i="82" s="1"/>
  <c r="B56" i="80"/>
  <c r="F56" i="80"/>
  <c r="H64" i="23"/>
  <c r="D65" i="23"/>
  <c r="G64" i="23"/>
  <c r="D62" i="55"/>
  <c r="G61" i="55"/>
  <c r="H61" i="55"/>
  <c r="G55" i="88"/>
  <c r="I55" i="88" s="1"/>
  <c r="B55" i="91"/>
  <c r="F55" i="91"/>
  <c r="D57" i="75"/>
  <c r="E57" i="75" s="1"/>
  <c r="B58" i="66"/>
  <c r="F58" i="66"/>
  <c r="H58" i="66" s="1"/>
  <c r="H63" i="42"/>
  <c r="I63" i="42" s="1"/>
  <c r="D64" i="42"/>
  <c r="B55" i="84"/>
  <c r="F55" i="84"/>
  <c r="H55" i="84" s="1"/>
  <c r="I62" i="42"/>
  <c r="H54" i="26"/>
  <c r="I54" i="26" s="1"/>
  <c r="G58" i="64"/>
  <c r="I63" i="27"/>
  <c r="I60" i="58"/>
  <c r="B56" i="90"/>
  <c r="F56" i="90"/>
  <c r="G56" i="90" s="1"/>
  <c r="F59" i="53"/>
  <c r="D60" i="53" s="1"/>
  <c r="B59" i="53"/>
  <c r="I64" i="3"/>
  <c r="H56" i="75"/>
  <c r="I56" i="75" s="1"/>
  <c r="I54" i="84"/>
  <c r="E58" i="65"/>
  <c r="F58" i="65" s="1"/>
  <c r="B58" i="65"/>
  <c r="G65" i="31"/>
  <c r="H65" i="31"/>
  <c r="D64" i="22"/>
  <c r="H59" i="72"/>
  <c r="D60" i="72"/>
  <c r="E60" i="72" s="1"/>
  <c r="F60" i="72" s="1"/>
  <c r="F55" i="81"/>
  <c r="G55" i="81" s="1"/>
  <c r="B55" i="81"/>
  <c r="I63" i="17"/>
  <c r="F62" i="39"/>
  <c r="G62" i="39" s="1"/>
  <c r="B62" i="39"/>
  <c r="G65" i="69"/>
  <c r="E64" i="27"/>
  <c r="F64" i="27" s="1"/>
  <c r="B64" i="27"/>
  <c r="G53" i="95"/>
  <c r="I53" i="95" s="1"/>
  <c r="D54" i="95"/>
  <c r="E54" i="95" s="1"/>
  <c r="G59" i="72"/>
  <c r="D56" i="85"/>
  <c r="E56" i="85" s="1"/>
  <c r="B63" i="22"/>
  <c r="G63" i="22"/>
  <c r="H63" i="22"/>
  <c r="H63" i="34"/>
  <c r="D64" i="34"/>
  <c r="G63" i="34"/>
  <c r="F58" i="61"/>
  <c r="H58" i="61" s="1"/>
  <c r="B58" i="61"/>
  <c r="F53" i="96"/>
  <c r="B53" i="96"/>
  <c r="G55" i="85"/>
  <c r="I55" i="85" s="1"/>
  <c r="B56" i="76"/>
  <c r="F56" i="76"/>
  <c r="G56" i="76" s="1"/>
  <c r="B61" i="44"/>
  <c r="F61" i="44"/>
  <c r="G61" i="44" s="1"/>
  <c r="I61" i="73"/>
  <c r="I61" i="21"/>
  <c r="D66" i="71"/>
  <c r="G65" i="71"/>
  <c r="H65" i="71"/>
  <c r="D66" i="70"/>
  <c r="H65" i="70"/>
  <c r="G65" i="70"/>
  <c r="E66" i="3"/>
  <c r="F66" i="3" s="1"/>
  <c r="H66" i="3" s="1"/>
  <c r="B66" i="3"/>
  <c r="G60" i="45"/>
  <c r="D61" i="45"/>
  <c r="E61" i="45" s="1"/>
  <c r="H60" i="45"/>
  <c r="B64" i="32"/>
  <c r="H66" i="29"/>
  <c r="D67" i="29"/>
  <c r="D63" i="74"/>
  <c r="E63" i="74" s="1"/>
  <c r="D60" i="57"/>
  <c r="G58" i="56"/>
  <c r="D59" i="56"/>
  <c r="F56" i="77"/>
  <c r="H56" i="77" s="1"/>
  <c r="B56" i="77"/>
  <c r="H67" i="28"/>
  <c r="D68" i="28"/>
  <c r="E68" i="28" s="1"/>
  <c r="D65" i="17"/>
  <c r="E65" i="17" s="1"/>
  <c r="B62" i="21"/>
  <c r="H53" i="13"/>
  <c r="I53" i="13" s="1"/>
  <c r="G55" i="33"/>
  <c r="I55" i="33" s="1"/>
  <c r="I65" i="29"/>
  <c r="E59" i="64"/>
  <c r="F59" i="64" s="1"/>
  <c r="B59" i="64"/>
  <c r="F58" i="63"/>
  <c r="G58" i="63" s="1"/>
  <c r="B58" i="63"/>
  <c r="B59" i="57"/>
  <c r="H59" i="57"/>
  <c r="G59" i="57"/>
  <c r="G67" i="28"/>
  <c r="H64" i="17"/>
  <c r="I63" i="30"/>
  <c r="D55" i="83"/>
  <c r="E55" i="83" s="1"/>
  <c r="B63" i="19"/>
  <c r="F63" i="19"/>
  <c r="G63" i="19" s="1"/>
  <c r="G54" i="83"/>
  <c r="I54" i="83" s="1"/>
  <c r="H62" i="41"/>
  <c r="I62" i="41" s="1"/>
  <c r="D63" i="41"/>
  <c r="H62" i="43"/>
  <c r="I62" i="43" s="1"/>
  <c r="D63" i="43"/>
  <c r="E63" i="43" s="1"/>
  <c r="H57" i="68"/>
  <c r="I57" i="68" s="1"/>
  <c r="D58" i="68"/>
  <c r="E58" i="68" s="1"/>
  <c r="B65" i="3"/>
  <c r="G65" i="3"/>
  <c r="H65" i="3"/>
  <c r="E66" i="69"/>
  <c r="F66" i="69" s="1"/>
  <c r="H66" i="69" s="1"/>
  <c r="B66" i="69"/>
  <c r="H62" i="74"/>
  <c r="H58" i="56"/>
  <c r="F56" i="79"/>
  <c r="H56" i="79" s="1"/>
  <c r="B56" i="79"/>
  <c r="F56" i="78"/>
  <c r="H56" i="78" s="1"/>
  <c r="B56" i="78"/>
  <c r="I64" i="70"/>
  <c r="F59" i="54"/>
  <c r="H59" i="54" s="1"/>
  <c r="B59" i="54"/>
  <c r="E64" i="32"/>
  <c r="F64" i="32" s="1"/>
  <c r="D65" i="32" s="1"/>
  <c r="H65" i="69"/>
  <c r="G66" i="29"/>
  <c r="B54" i="92"/>
  <c r="F54" i="92"/>
  <c r="G54" i="92" s="1"/>
  <c r="B58" i="60"/>
  <c r="F58" i="60"/>
  <c r="D59" i="60" s="1"/>
  <c r="G62" i="74"/>
  <c r="B54" i="89"/>
  <c r="F54" i="89"/>
  <c r="D56" i="88"/>
  <c r="E56" i="88" s="1"/>
  <c r="D66" i="31"/>
  <c r="E66" i="31" s="1"/>
  <c r="G64" i="17"/>
  <c r="E62" i="21"/>
  <c r="F62" i="21" s="1"/>
  <c r="F64" i="30"/>
  <c r="H64" i="30" s="1"/>
  <c r="B64" i="30"/>
  <c r="G144" i="27"/>
  <c r="D145" i="27"/>
  <c r="J137" i="62"/>
  <c r="D62" i="20"/>
  <c r="E62" i="20" s="1"/>
  <c r="H61" i="20"/>
  <c r="G61" i="20"/>
  <c r="D54" i="13"/>
  <c r="E54" i="13" s="1"/>
  <c r="G57" i="62"/>
  <c r="I57" i="62" s="1"/>
  <c r="D55" i="87"/>
  <c r="E55" i="87"/>
  <c r="F63" i="18"/>
  <c r="H63" i="18" s="1"/>
  <c r="B63" i="18"/>
  <c r="J139" i="56"/>
  <c r="J140" i="73"/>
  <c r="D58" i="62"/>
  <c r="E58" i="62" s="1"/>
  <c r="B58" i="59"/>
  <c r="F58" i="59"/>
  <c r="G58" i="59" s="1"/>
  <c r="B62" i="73"/>
  <c r="J141" i="21"/>
  <c r="E144" i="30"/>
  <c r="F144" i="30" s="1"/>
  <c r="G144" i="30" s="1"/>
  <c r="G54" i="87"/>
  <c r="I54" i="87" s="1"/>
  <c r="D55" i="26"/>
  <c r="E55" i="26" s="1"/>
  <c r="D56" i="33"/>
  <c r="E56" i="33" s="1"/>
  <c r="I62" i="18"/>
  <c r="E62" i="73"/>
  <c r="F62" i="73" s="1"/>
  <c r="I137" i="63"/>
  <c r="H137" i="63"/>
  <c r="I133" i="92"/>
  <c r="H133" i="92"/>
  <c r="B134" i="86"/>
  <c r="F134" i="86"/>
  <c r="I137" i="60"/>
  <c r="H137" i="60"/>
  <c r="H143" i="69"/>
  <c r="I143" i="69"/>
  <c r="I141" i="19"/>
  <c r="H141" i="19"/>
  <c r="I140" i="43"/>
  <c r="H140" i="43"/>
  <c r="I141" i="34"/>
  <c r="H141" i="34"/>
  <c r="I136" i="68"/>
  <c r="H136" i="68"/>
  <c r="J141" i="22"/>
  <c r="B139" i="46"/>
  <c r="F139" i="46"/>
  <c r="E135" i="89"/>
  <c r="G134" i="89"/>
  <c r="D135" i="89"/>
  <c r="D142" i="41"/>
  <c r="E142" i="41" s="1"/>
  <c r="G141" i="41"/>
  <c r="F138" i="63"/>
  <c r="B138" i="63"/>
  <c r="F136" i="79"/>
  <c r="B136" i="79"/>
  <c r="F143" i="31"/>
  <c r="B143" i="31"/>
  <c r="I134" i="85"/>
  <c r="H134" i="85"/>
  <c r="F134" i="92"/>
  <c r="B134" i="92"/>
  <c r="I137" i="64"/>
  <c r="H137" i="64"/>
  <c r="G140" i="45"/>
  <c r="D141" i="45"/>
  <c r="E141" i="45" s="1"/>
  <c r="H141" i="20"/>
  <c r="I141" i="20"/>
  <c r="I137" i="61"/>
  <c r="H137" i="61"/>
  <c r="H138" i="58"/>
  <c r="I138" i="58"/>
  <c r="B136" i="78"/>
  <c r="F136" i="78"/>
  <c r="B143" i="32"/>
  <c r="F143" i="32"/>
  <c r="H133" i="86"/>
  <c r="I133" i="86"/>
  <c r="I139" i="74"/>
  <c r="H139" i="74"/>
  <c r="B134" i="88"/>
  <c r="F134" i="88"/>
  <c r="D136" i="81"/>
  <c r="E136" i="81"/>
  <c r="G135" i="81"/>
  <c r="F141" i="39"/>
  <c r="B141" i="39"/>
  <c r="H135" i="79"/>
  <c r="I135" i="79"/>
  <c r="F144" i="29"/>
  <c r="B144" i="29"/>
  <c r="I142" i="32"/>
  <c r="H142" i="32"/>
  <c r="J132" i="33"/>
  <c r="F138" i="60"/>
  <c r="B138" i="60"/>
  <c r="J139" i="45"/>
  <c r="B142" i="19"/>
  <c r="F142" i="19"/>
  <c r="B142" i="34"/>
  <c r="F142" i="34"/>
  <c r="F138" i="65"/>
  <c r="B138" i="65"/>
  <c r="H143" i="70"/>
  <c r="I143" i="70"/>
  <c r="B139" i="72"/>
  <c r="F139" i="72"/>
  <c r="F137" i="66"/>
  <c r="B137" i="66"/>
  <c r="I142" i="31"/>
  <c r="H142" i="31"/>
  <c r="B135" i="85"/>
  <c r="F135" i="85"/>
  <c r="B142" i="20"/>
  <c r="F142" i="20"/>
  <c r="H135" i="78"/>
  <c r="I135" i="78"/>
  <c r="G138" i="62"/>
  <c r="D139" i="62"/>
  <c r="E139" i="62"/>
  <c r="J140" i="41"/>
  <c r="F139" i="53"/>
  <c r="B139" i="53"/>
  <c r="I133" i="88"/>
  <c r="H133" i="88"/>
  <c r="I143" i="30"/>
  <c r="H143" i="30"/>
  <c r="B134" i="84"/>
  <c r="F134" i="84"/>
  <c r="I133" i="90"/>
  <c r="H133" i="90"/>
  <c r="F138" i="61"/>
  <c r="B138" i="61"/>
  <c r="G134" i="91"/>
  <c r="E135" i="91"/>
  <c r="D135" i="91"/>
  <c r="J140" i="42"/>
  <c r="F144" i="69"/>
  <c r="B144" i="69"/>
  <c r="B141" i="43"/>
  <c r="F141" i="43"/>
  <c r="H133" i="84"/>
  <c r="I133" i="84"/>
  <c r="I137" i="65"/>
  <c r="H137" i="65"/>
  <c r="F137" i="68"/>
  <c r="B137" i="68"/>
  <c r="H140" i="39"/>
  <c r="I140" i="39"/>
  <c r="I138" i="46"/>
  <c r="H138" i="46"/>
  <c r="F134" i="90"/>
  <c r="B134" i="90"/>
  <c r="B144" i="70"/>
  <c r="F144" i="70"/>
  <c r="I138" i="72"/>
  <c r="H138" i="72"/>
  <c r="I136" i="66"/>
  <c r="H136" i="66"/>
  <c r="D142" i="73"/>
  <c r="E142" i="73"/>
  <c r="G141" i="73"/>
  <c r="G142" i="22"/>
  <c r="D143" i="22"/>
  <c r="B138" i="64"/>
  <c r="F138" i="64"/>
  <c r="F139" i="58"/>
  <c r="B139" i="58"/>
  <c r="I143" i="29"/>
  <c r="H143" i="29"/>
  <c r="F140" i="74"/>
  <c r="B140" i="74"/>
  <c r="I138" i="53"/>
  <c r="H138" i="53"/>
  <c r="B144" i="23"/>
  <c r="F144" i="23"/>
  <c r="I138" i="59"/>
  <c r="H138" i="59"/>
  <c r="I143" i="23"/>
  <c r="H143" i="23"/>
  <c r="F139" i="59"/>
  <c r="B139" i="59"/>
  <c r="E143" i="18"/>
  <c r="F143" i="18" s="1"/>
  <c r="B143" i="18"/>
  <c r="D141" i="56"/>
  <c r="E141" i="56" s="1"/>
  <c r="G140" i="56"/>
  <c r="I142" i="18"/>
  <c r="H142" i="18"/>
  <c r="F140" i="57"/>
  <c r="B140" i="57"/>
  <c r="J135" i="77"/>
  <c r="J142" i="24"/>
  <c r="J135" i="76"/>
  <c r="H139" i="57"/>
  <c r="I139" i="57"/>
  <c r="F144" i="71"/>
  <c r="B144" i="71"/>
  <c r="J138" i="54"/>
  <c r="H143" i="71"/>
  <c r="I143" i="71"/>
  <c r="D144" i="24"/>
  <c r="G143" i="24"/>
  <c r="G134" i="93"/>
  <c r="D135" i="93"/>
  <c r="E135" i="93" s="1"/>
  <c r="F134" i="87"/>
  <c r="B134" i="87"/>
  <c r="B142" i="3"/>
  <c r="F142" i="3"/>
  <c r="E140" i="55"/>
  <c r="D140" i="55"/>
  <c r="G139" i="55"/>
  <c r="D134" i="13"/>
  <c r="E134" i="13" s="1"/>
  <c r="G133" i="13"/>
  <c r="G135" i="83"/>
  <c r="D136" i="83"/>
  <c r="E136" i="83"/>
  <c r="B134" i="96"/>
  <c r="B143" i="17"/>
  <c r="G133" i="33"/>
  <c r="D134" i="33"/>
  <c r="J135" i="75"/>
  <c r="I141" i="3"/>
  <c r="H141" i="3"/>
  <c r="E137" i="77"/>
  <c r="D137" i="77"/>
  <c r="G136" i="77"/>
  <c r="E137" i="75"/>
  <c r="G136" i="75"/>
  <c r="D137" i="75"/>
  <c r="J138" i="55"/>
  <c r="B141" i="44"/>
  <c r="F141" i="44"/>
  <c r="H134" i="94"/>
  <c r="I134" i="94"/>
  <c r="I144" i="28"/>
  <c r="H144" i="28"/>
  <c r="E140" i="54"/>
  <c r="G139" i="54"/>
  <c r="D140" i="54"/>
  <c r="I142" i="17"/>
  <c r="H142" i="17"/>
  <c r="D136" i="80"/>
  <c r="G135" i="80"/>
  <c r="E136" i="80"/>
  <c r="H140" i="44"/>
  <c r="I140" i="44"/>
  <c r="I136" i="67"/>
  <c r="H136" i="67"/>
  <c r="F145" i="28"/>
  <c r="B145" i="28"/>
  <c r="F135" i="82"/>
  <c r="B135" i="82"/>
  <c r="H133" i="96"/>
  <c r="I133" i="96"/>
  <c r="F135" i="95"/>
  <c r="B135" i="95"/>
  <c r="E143" i="17"/>
  <c r="F143" i="17" s="1"/>
  <c r="H133" i="87"/>
  <c r="I133" i="87"/>
  <c r="D143" i="21"/>
  <c r="E143" i="21" s="1"/>
  <c r="G142" i="21"/>
  <c r="D137" i="76"/>
  <c r="G136" i="76"/>
  <c r="E137" i="76"/>
  <c r="F135" i="94"/>
  <c r="B135" i="94"/>
  <c r="G141" i="42"/>
  <c r="D142" i="42"/>
  <c r="E142" i="42" s="1"/>
  <c r="B137" i="67"/>
  <c r="F137" i="67"/>
  <c r="I134" i="82"/>
  <c r="H134" i="82"/>
  <c r="E134" i="96"/>
  <c r="F134" i="96" s="1"/>
  <c r="I134" i="95"/>
  <c r="H134" i="95"/>
  <c r="I67" i="97" l="1"/>
  <c r="B54" i="25"/>
  <c r="E54" i="25"/>
  <c r="F54" i="25" s="1"/>
  <c r="H68" i="97"/>
  <c r="B69" i="97"/>
  <c r="G68" i="97"/>
  <c r="G53" i="98"/>
  <c r="I53" i="98" s="1"/>
  <c r="H133" i="25"/>
  <c r="I133" i="25"/>
  <c r="B134" i="25"/>
  <c r="E134" i="25"/>
  <c r="F134" i="25" s="1"/>
  <c r="I58" i="64"/>
  <c r="E135" i="26"/>
  <c r="F135" i="26" s="1"/>
  <c r="D136" i="26" s="1"/>
  <c r="B136" i="26" s="1"/>
  <c r="I61" i="99"/>
  <c r="D70" i="97"/>
  <c r="G69" i="97"/>
  <c r="H69" i="97"/>
  <c r="D54" i="98"/>
  <c r="E62" i="99"/>
  <c r="F62" i="99" s="1"/>
  <c r="D63" i="99" s="1"/>
  <c r="B62" i="99"/>
  <c r="B134" i="99"/>
  <c r="F134" i="99"/>
  <c r="I133" i="99"/>
  <c r="H133" i="99"/>
  <c r="I134" i="26"/>
  <c r="H134" i="26"/>
  <c r="I60" i="46"/>
  <c r="I59" i="72"/>
  <c r="I57" i="65"/>
  <c r="I65" i="31"/>
  <c r="D135" i="98"/>
  <c r="G134" i="98"/>
  <c r="E135" i="98"/>
  <c r="D135" i="97"/>
  <c r="E135" i="97" s="1"/>
  <c r="G134" i="97"/>
  <c r="G53" i="93"/>
  <c r="I53" i="93" s="1"/>
  <c r="H56" i="76"/>
  <c r="I56" i="76" s="1"/>
  <c r="I65" i="69"/>
  <c r="G58" i="67"/>
  <c r="I58" i="67" s="1"/>
  <c r="D59" i="67"/>
  <c r="E59" i="67" s="1"/>
  <c r="D62" i="58"/>
  <c r="E62" i="58" s="1"/>
  <c r="F62" i="58" s="1"/>
  <c r="H61" i="58"/>
  <c r="G61" i="58"/>
  <c r="G61" i="46"/>
  <c r="D62" i="46"/>
  <c r="B62" i="46" s="1"/>
  <c r="B61" i="46"/>
  <c r="H61" i="46"/>
  <c r="D65" i="24"/>
  <c r="H64" i="24"/>
  <c r="G64" i="24"/>
  <c r="G56" i="80"/>
  <c r="D57" i="80"/>
  <c r="E57" i="80" s="1"/>
  <c r="F56" i="86"/>
  <c r="B56" i="86"/>
  <c r="H54" i="94"/>
  <c r="D55" i="94"/>
  <c r="E55" i="94" s="1"/>
  <c r="G64" i="30"/>
  <c r="I64" i="30" s="1"/>
  <c r="G59" i="54"/>
  <c r="I59" i="54" s="1"/>
  <c r="I61" i="55"/>
  <c r="H56" i="80"/>
  <c r="I55" i="86"/>
  <c r="G54" i="94"/>
  <c r="I66" i="29"/>
  <c r="I63" i="34"/>
  <c r="B57" i="82"/>
  <c r="F57" i="82"/>
  <c r="G57" i="82" s="1"/>
  <c r="D54" i="93"/>
  <c r="E54" i="93" s="1"/>
  <c r="D59" i="65"/>
  <c r="E59" i="65" s="1"/>
  <c r="F59" i="65" s="1"/>
  <c r="G58" i="65"/>
  <c r="H58" i="65"/>
  <c r="E62" i="55"/>
  <c r="F62" i="55" s="1"/>
  <c r="B62" i="55"/>
  <c r="H63" i="19"/>
  <c r="I63" i="19" s="1"/>
  <c r="E60" i="53"/>
  <c r="F60" i="53" s="1"/>
  <c r="B60" i="53"/>
  <c r="G55" i="84"/>
  <c r="I55" i="84" s="1"/>
  <c r="D56" i="84"/>
  <c r="E56" i="84" s="1"/>
  <c r="B57" i="75"/>
  <c r="F57" i="75"/>
  <c r="G66" i="3"/>
  <c r="I66" i="3" s="1"/>
  <c r="H59" i="53"/>
  <c r="G58" i="66"/>
  <c r="I58" i="66" s="1"/>
  <c r="D59" i="66"/>
  <c r="D56" i="91"/>
  <c r="E56" i="91" s="1"/>
  <c r="G55" i="91"/>
  <c r="H55" i="91"/>
  <c r="E65" i="23"/>
  <c r="F65" i="23" s="1"/>
  <c r="B65" i="23"/>
  <c r="G59" i="53"/>
  <c r="H56" i="90"/>
  <c r="I56" i="90" s="1"/>
  <c r="D57" i="90"/>
  <c r="E57" i="90" s="1"/>
  <c r="E64" i="42"/>
  <c r="F64" i="42" s="1"/>
  <c r="B64" i="42"/>
  <c r="I64" i="23"/>
  <c r="H60" i="72"/>
  <c r="D61" i="72"/>
  <c r="E61" i="72" s="1"/>
  <c r="F61" i="72" s="1"/>
  <c r="G64" i="27"/>
  <c r="D65" i="27"/>
  <c r="H64" i="27"/>
  <c r="B64" i="22"/>
  <c r="D62" i="44"/>
  <c r="E62" i="44" s="1"/>
  <c r="F62" i="44" s="1"/>
  <c r="G53" i="96"/>
  <c r="D54" i="96"/>
  <c r="E54" i="96" s="1"/>
  <c r="D59" i="61"/>
  <c r="E59" i="61" s="1"/>
  <c r="F59" i="61" s="1"/>
  <c r="E64" i="34"/>
  <c r="F64" i="34" s="1"/>
  <c r="B64" i="34"/>
  <c r="B54" i="95"/>
  <c r="F54" i="95"/>
  <c r="G54" i="95" s="1"/>
  <c r="E64" i="22"/>
  <c r="F64" i="22" s="1"/>
  <c r="D65" i="22" s="1"/>
  <c r="D63" i="39"/>
  <c r="B60" i="72"/>
  <c r="G60" i="72"/>
  <c r="H55" i="81"/>
  <c r="I55" i="81" s="1"/>
  <c r="D56" i="81"/>
  <c r="E56" i="81" s="1"/>
  <c r="I58" i="56"/>
  <c r="H61" i="44"/>
  <c r="I61" i="44" s="1"/>
  <c r="D57" i="76"/>
  <c r="E57" i="76" s="1"/>
  <c r="H53" i="96"/>
  <c r="G58" i="61"/>
  <c r="I58" i="61" s="1"/>
  <c r="I63" i="22"/>
  <c r="F56" i="85"/>
  <c r="B56" i="85"/>
  <c r="H62" i="39"/>
  <c r="I62" i="39" s="1"/>
  <c r="I62" i="74"/>
  <c r="I59" i="57"/>
  <c r="H59" i="64"/>
  <c r="D60" i="64"/>
  <c r="G59" i="64"/>
  <c r="D63" i="21"/>
  <c r="H62" i="21"/>
  <c r="G62" i="21"/>
  <c r="D55" i="89"/>
  <c r="E55" i="89" s="1"/>
  <c r="E67" i="29"/>
  <c r="F67" i="29" s="1"/>
  <c r="B67" i="29"/>
  <c r="G58" i="60"/>
  <c r="G56" i="79"/>
  <c r="I56" i="79" s="1"/>
  <c r="D57" i="79"/>
  <c r="E57" i="79" s="1"/>
  <c r="B58" i="68"/>
  <c r="F58" i="68"/>
  <c r="G58" i="68" s="1"/>
  <c r="B55" i="83"/>
  <c r="F55" i="83"/>
  <c r="F65" i="17"/>
  <c r="B65" i="17"/>
  <c r="E59" i="56"/>
  <c r="F59" i="56" s="1"/>
  <c r="B59" i="56"/>
  <c r="I60" i="45"/>
  <c r="I65" i="70"/>
  <c r="I65" i="71"/>
  <c r="F56" i="88"/>
  <c r="H56" i="88" s="1"/>
  <c r="B56" i="88"/>
  <c r="D57" i="78"/>
  <c r="E57" i="78" s="1"/>
  <c r="D67" i="69"/>
  <c r="E67" i="69" s="1"/>
  <c r="B60" i="57"/>
  <c r="D145" i="30"/>
  <c r="B145" i="30" s="1"/>
  <c r="D65" i="30"/>
  <c r="E65" i="30" s="1"/>
  <c r="F66" i="31"/>
  <c r="B66" i="31"/>
  <c r="G54" i="89"/>
  <c r="I65" i="3"/>
  <c r="F63" i="74"/>
  <c r="B63" i="74"/>
  <c r="H64" i="32"/>
  <c r="D67" i="3"/>
  <c r="E66" i="70"/>
  <c r="F66" i="70" s="1"/>
  <c r="B66" i="70"/>
  <c r="B66" i="71"/>
  <c r="E59" i="60"/>
  <c r="F59" i="60" s="1"/>
  <c r="G59" i="60" s="1"/>
  <c r="B59" i="60"/>
  <c r="B63" i="43"/>
  <c r="F63" i="43"/>
  <c r="H58" i="63"/>
  <c r="I58" i="63" s="1"/>
  <c r="D59" i="63"/>
  <c r="E59" i="63" s="1"/>
  <c r="I67" i="28"/>
  <c r="H54" i="89"/>
  <c r="H58" i="60"/>
  <c r="H54" i="92"/>
  <c r="I54" i="92" s="1"/>
  <c r="D55" i="92"/>
  <c r="E55" i="92" s="1"/>
  <c r="E65" i="32"/>
  <c r="F65" i="32" s="1"/>
  <c r="D66" i="32" s="1"/>
  <c r="B65" i="32"/>
  <c r="D60" i="54"/>
  <c r="E60" i="54" s="1"/>
  <c r="G56" i="78"/>
  <c r="I56" i="78" s="1"/>
  <c r="G66" i="69"/>
  <c r="I66" i="69" s="1"/>
  <c r="E63" i="41"/>
  <c r="F63" i="41" s="1"/>
  <c r="B63" i="41"/>
  <c r="D64" i="19"/>
  <c r="I64" i="17"/>
  <c r="B68" i="28"/>
  <c r="F68" i="28"/>
  <c r="G56" i="77"/>
  <c r="I56" i="77" s="1"/>
  <c r="D57" i="77"/>
  <c r="E57" i="77" s="1"/>
  <c r="E60" i="57"/>
  <c r="F60" i="57" s="1"/>
  <c r="G64" i="32"/>
  <c r="B61" i="45"/>
  <c r="F61" i="45"/>
  <c r="H61" i="45" s="1"/>
  <c r="E66" i="71"/>
  <c r="F66" i="71" s="1"/>
  <c r="E145" i="27"/>
  <c r="F145" i="27" s="1"/>
  <c r="B145" i="27"/>
  <c r="H144" i="27"/>
  <c r="I144" i="27"/>
  <c r="J135" i="78"/>
  <c r="J143" i="70"/>
  <c r="J138" i="58"/>
  <c r="J141" i="20"/>
  <c r="J143" i="69"/>
  <c r="D63" i="73"/>
  <c r="G62" i="73"/>
  <c r="H62" i="73"/>
  <c r="J143" i="23"/>
  <c r="J138" i="53"/>
  <c r="J143" i="29"/>
  <c r="J136" i="68"/>
  <c r="J140" i="43"/>
  <c r="B56" i="33"/>
  <c r="F56" i="33"/>
  <c r="D64" i="18"/>
  <c r="J137" i="65"/>
  <c r="H58" i="59"/>
  <c r="I58" i="59" s="1"/>
  <c r="I61" i="20"/>
  <c r="J135" i="79"/>
  <c r="B58" i="62"/>
  <c r="F58" i="62"/>
  <c r="G58" i="62" s="1"/>
  <c r="G63" i="18"/>
  <c r="I63" i="18" s="1"/>
  <c r="F55" i="87"/>
  <c r="G55" i="87" s="1"/>
  <c r="B55" i="87"/>
  <c r="B54" i="13"/>
  <c r="F54" i="13"/>
  <c r="H54" i="13" s="1"/>
  <c r="F55" i="26"/>
  <c r="B55" i="26"/>
  <c r="D59" i="59"/>
  <c r="E59" i="59" s="1"/>
  <c r="F62" i="20"/>
  <c r="B62" i="20"/>
  <c r="I142" i="22"/>
  <c r="H142" i="22"/>
  <c r="D145" i="70"/>
  <c r="G144" i="70"/>
  <c r="E145" i="70"/>
  <c r="J143" i="71"/>
  <c r="E139" i="64"/>
  <c r="G138" i="64"/>
  <c r="D139" i="64"/>
  <c r="I141" i="73"/>
  <c r="H141" i="73"/>
  <c r="J136" i="66"/>
  <c r="J138" i="46"/>
  <c r="E138" i="68"/>
  <c r="D138" i="68"/>
  <c r="G137" i="68"/>
  <c r="E145" i="69"/>
  <c r="G144" i="69"/>
  <c r="D145" i="69"/>
  <c r="I134" i="91"/>
  <c r="H134" i="91"/>
  <c r="J143" i="30"/>
  <c r="G139" i="53"/>
  <c r="D140" i="53"/>
  <c r="E140" i="53" s="1"/>
  <c r="H138" i="62"/>
  <c r="I138" i="62"/>
  <c r="J142" i="31"/>
  <c r="D139" i="65"/>
  <c r="G138" i="65"/>
  <c r="E139" i="65"/>
  <c r="G142" i="19"/>
  <c r="D143" i="19"/>
  <c r="E143" i="19" s="1"/>
  <c r="D139" i="60"/>
  <c r="E139" i="60"/>
  <c r="G138" i="60"/>
  <c r="J142" i="32"/>
  <c r="H144" i="30"/>
  <c r="I144" i="30"/>
  <c r="J139" i="74"/>
  <c r="I141" i="41"/>
  <c r="H141" i="41"/>
  <c r="I134" i="89"/>
  <c r="H134" i="89"/>
  <c r="J141" i="34"/>
  <c r="J141" i="19"/>
  <c r="J137" i="60"/>
  <c r="D140" i="58"/>
  <c r="E140" i="58"/>
  <c r="G139" i="58"/>
  <c r="B139" i="62"/>
  <c r="F139" i="62"/>
  <c r="H135" i="81"/>
  <c r="I135" i="81"/>
  <c r="G134" i="92"/>
  <c r="D135" i="92"/>
  <c r="E135" i="92"/>
  <c r="G143" i="31"/>
  <c r="D144" i="31"/>
  <c r="E144" i="31" s="1"/>
  <c r="D139" i="63"/>
  <c r="G138" i="63"/>
  <c r="E139" i="63"/>
  <c r="J140" i="39"/>
  <c r="D142" i="43"/>
  <c r="E142" i="43" s="1"/>
  <c r="G141" i="43"/>
  <c r="D135" i="84"/>
  <c r="G134" i="84"/>
  <c r="E135" i="84"/>
  <c r="E136" i="85"/>
  <c r="D136" i="85"/>
  <c r="G135" i="85"/>
  <c r="G142" i="34"/>
  <c r="D143" i="34"/>
  <c r="E143" i="34" s="1"/>
  <c r="F136" i="81"/>
  <c r="B136" i="81"/>
  <c r="G134" i="88"/>
  <c r="E135" i="88"/>
  <c r="D135" i="88"/>
  <c r="G136" i="78"/>
  <c r="D137" i="78"/>
  <c r="E137" i="78"/>
  <c r="F141" i="45"/>
  <c r="B141" i="45"/>
  <c r="J137" i="64"/>
  <c r="D137" i="79"/>
  <c r="G136" i="79"/>
  <c r="E137" i="79"/>
  <c r="E135" i="86"/>
  <c r="G134" i="86"/>
  <c r="D135" i="86"/>
  <c r="D141" i="74"/>
  <c r="E141" i="74"/>
  <c r="G140" i="74"/>
  <c r="G142" i="20"/>
  <c r="D143" i="20"/>
  <c r="B143" i="20" s="1"/>
  <c r="G139" i="72"/>
  <c r="E140" i="72"/>
  <c r="D140" i="72"/>
  <c r="D144" i="32"/>
  <c r="G143" i="32"/>
  <c r="B135" i="89"/>
  <c r="F135" i="89"/>
  <c r="J141" i="3"/>
  <c r="E143" i="22"/>
  <c r="F143" i="22" s="1"/>
  <c r="B143" i="22"/>
  <c r="F142" i="73"/>
  <c r="B142" i="73"/>
  <c r="J138" i="72"/>
  <c r="D135" i="90"/>
  <c r="G134" i="90"/>
  <c r="E135" i="90"/>
  <c r="F135" i="91"/>
  <c r="B135" i="91"/>
  <c r="D139" i="61"/>
  <c r="E139" i="61"/>
  <c r="G138" i="61"/>
  <c r="E138" i="66"/>
  <c r="G137" i="66"/>
  <c r="D138" i="66"/>
  <c r="G144" i="29"/>
  <c r="D145" i="29"/>
  <c r="G141" i="39"/>
  <c r="D142" i="39"/>
  <c r="E142" i="39" s="1"/>
  <c r="J137" i="61"/>
  <c r="H140" i="45"/>
  <c r="I140" i="45"/>
  <c r="B142" i="41"/>
  <c r="F142" i="41"/>
  <c r="G139" i="46"/>
  <c r="D140" i="46"/>
  <c r="E140" i="46" s="1"/>
  <c r="J137" i="63"/>
  <c r="J142" i="18"/>
  <c r="H140" i="56"/>
  <c r="I140" i="56"/>
  <c r="J138" i="59"/>
  <c r="F141" i="56"/>
  <c r="B141" i="56"/>
  <c r="G139" i="59"/>
  <c r="D140" i="59"/>
  <c r="E140" i="59" s="1"/>
  <c r="D145" i="23"/>
  <c r="G144" i="23"/>
  <c r="G143" i="18"/>
  <c r="D144" i="18"/>
  <c r="J136" i="67"/>
  <c r="J144" i="28"/>
  <c r="D145" i="71"/>
  <c r="E145" i="71"/>
  <c r="G144" i="71"/>
  <c r="J139" i="57"/>
  <c r="J142" i="17"/>
  <c r="G140" i="57"/>
  <c r="D141" i="57"/>
  <c r="E141" i="57" s="1"/>
  <c r="G134" i="96"/>
  <c r="D135" i="96"/>
  <c r="E135" i="96" s="1"/>
  <c r="G143" i="17"/>
  <c r="D144" i="17"/>
  <c r="D138" i="67"/>
  <c r="G137" i="67"/>
  <c r="E138" i="67"/>
  <c r="G135" i="94"/>
  <c r="D136" i="94"/>
  <c r="E136" i="94" s="1"/>
  <c r="H136" i="76"/>
  <c r="I136" i="76"/>
  <c r="H142" i="21"/>
  <c r="I142" i="21"/>
  <c r="D146" i="28"/>
  <c r="G145" i="28"/>
  <c r="F140" i="54"/>
  <c r="B140" i="54"/>
  <c r="F137" i="75"/>
  <c r="B137" i="75"/>
  <c r="B137" i="77"/>
  <c r="F137" i="77"/>
  <c r="B134" i="33"/>
  <c r="G134" i="87"/>
  <c r="D135" i="87"/>
  <c r="E135" i="87"/>
  <c r="B144" i="24"/>
  <c r="F142" i="42"/>
  <c r="B142" i="42"/>
  <c r="F137" i="76"/>
  <c r="B137" i="76"/>
  <c r="F143" i="21"/>
  <c r="B143" i="21"/>
  <c r="G135" i="95"/>
  <c r="D136" i="95"/>
  <c r="H139" i="54"/>
  <c r="I139" i="54"/>
  <c r="G141" i="44"/>
  <c r="D142" i="44"/>
  <c r="E142" i="44" s="1"/>
  <c r="I136" i="75"/>
  <c r="H136" i="75"/>
  <c r="H133" i="33"/>
  <c r="I133" i="33"/>
  <c r="B136" i="83"/>
  <c r="F136" i="83"/>
  <c r="F134" i="13"/>
  <c r="B134" i="13"/>
  <c r="F135" i="93"/>
  <c r="B135" i="93"/>
  <c r="H141" i="42"/>
  <c r="I141" i="42"/>
  <c r="H135" i="80"/>
  <c r="I135" i="80"/>
  <c r="H135" i="83"/>
  <c r="I135" i="83"/>
  <c r="I139" i="55"/>
  <c r="H139" i="55"/>
  <c r="I134" i="93"/>
  <c r="H134" i="93"/>
  <c r="E144" i="24"/>
  <c r="F144" i="24" s="1"/>
  <c r="D136" i="82"/>
  <c r="G135" i="82"/>
  <c r="E136" i="82"/>
  <c r="J140" i="44"/>
  <c r="F136" i="80"/>
  <c r="B136" i="80"/>
  <c r="I136" i="77"/>
  <c r="H136" i="77"/>
  <c r="E134" i="33"/>
  <c r="F134" i="33" s="1"/>
  <c r="H133" i="13"/>
  <c r="I133" i="13"/>
  <c r="F140" i="55"/>
  <c r="B140" i="55"/>
  <c r="D143" i="3"/>
  <c r="E143" i="3" s="1"/>
  <c r="G142" i="3"/>
  <c r="I143" i="24"/>
  <c r="H143" i="24"/>
  <c r="I68" i="97" l="1"/>
  <c r="H54" i="25"/>
  <c r="G54" i="25"/>
  <c r="D55" i="25"/>
  <c r="J133" i="25"/>
  <c r="D135" i="25"/>
  <c r="G134" i="25"/>
  <c r="G135" i="26"/>
  <c r="E136" i="26"/>
  <c r="F136" i="26" s="1"/>
  <c r="D137" i="26" s="1"/>
  <c r="I69" i="97"/>
  <c r="B54" i="98"/>
  <c r="E63" i="99"/>
  <c r="F63" i="99" s="1"/>
  <c r="G63" i="99" s="1"/>
  <c r="B63" i="99"/>
  <c r="H62" i="99"/>
  <c r="G62" i="99"/>
  <c r="E54" i="98"/>
  <c r="F54" i="98" s="1"/>
  <c r="E70" i="97"/>
  <c r="F70" i="97" s="1"/>
  <c r="G70" i="97" s="1"/>
  <c r="B70" i="97"/>
  <c r="D135" i="99"/>
  <c r="G134" i="99"/>
  <c r="E135" i="99"/>
  <c r="I55" i="91"/>
  <c r="J134" i="26"/>
  <c r="I64" i="27"/>
  <c r="I56" i="80"/>
  <c r="D63" i="58"/>
  <c r="B63" i="58" s="1"/>
  <c r="I61" i="58"/>
  <c r="I61" i="46"/>
  <c r="F135" i="97"/>
  <c r="B135" i="97"/>
  <c r="H134" i="98"/>
  <c r="I134" i="98"/>
  <c r="H134" i="97"/>
  <c r="I134" i="97"/>
  <c r="B135" i="98"/>
  <c r="F135" i="98"/>
  <c r="E145" i="30"/>
  <c r="F145" i="30" s="1"/>
  <c r="G145" i="30" s="1"/>
  <c r="I54" i="89"/>
  <c r="B59" i="67"/>
  <c r="F59" i="67"/>
  <c r="H59" i="67" s="1"/>
  <c r="B62" i="58"/>
  <c r="G62" i="58"/>
  <c r="H62" i="58"/>
  <c r="E62" i="46"/>
  <c r="F62" i="46" s="1"/>
  <c r="I64" i="24"/>
  <c r="E65" i="24"/>
  <c r="F65" i="24" s="1"/>
  <c r="B65" i="24"/>
  <c r="D65" i="42"/>
  <c r="E65" i="42" s="1"/>
  <c r="F65" i="42" s="1"/>
  <c r="H65" i="42" s="1"/>
  <c r="G64" i="42"/>
  <c r="I54" i="94"/>
  <c r="F57" i="80"/>
  <c r="B57" i="80"/>
  <c r="D58" i="82"/>
  <c r="E58" i="82" s="1"/>
  <c r="F58" i="82" s="1"/>
  <c r="I59" i="64"/>
  <c r="I58" i="65"/>
  <c r="F54" i="93"/>
  <c r="H54" i="93" s="1"/>
  <c r="B54" i="93"/>
  <c r="H57" i="82"/>
  <c r="I57" i="82" s="1"/>
  <c r="B55" i="94"/>
  <c r="F55" i="94"/>
  <c r="G55" i="94" s="1"/>
  <c r="G56" i="86"/>
  <c r="D57" i="86"/>
  <c r="E57" i="86" s="1"/>
  <c r="H56" i="86"/>
  <c r="H62" i="55"/>
  <c r="D63" i="55"/>
  <c r="G62" i="55"/>
  <c r="G65" i="23"/>
  <c r="D66" i="23"/>
  <c r="E66" i="23" s="1"/>
  <c r="F66" i="23" s="1"/>
  <c r="D67" i="23" s="1"/>
  <c r="H65" i="23"/>
  <c r="D60" i="65"/>
  <c r="B60" i="65" s="1"/>
  <c r="E59" i="66"/>
  <c r="F59" i="66" s="1"/>
  <c r="B59" i="66"/>
  <c r="D58" i="75"/>
  <c r="E58" i="75" s="1"/>
  <c r="F58" i="75" s="1"/>
  <c r="D59" i="75" s="1"/>
  <c r="F56" i="84"/>
  <c r="B56" i="84"/>
  <c r="D61" i="53"/>
  <c r="E61" i="53" s="1"/>
  <c r="F61" i="53" s="1"/>
  <c r="B57" i="90"/>
  <c r="F57" i="90"/>
  <c r="H57" i="90" s="1"/>
  <c r="H57" i="75"/>
  <c r="H60" i="53"/>
  <c r="H64" i="42"/>
  <c r="B56" i="91"/>
  <c r="F56" i="91"/>
  <c r="I59" i="53"/>
  <c r="G57" i="75"/>
  <c r="G60" i="53"/>
  <c r="B59" i="65"/>
  <c r="H59" i="65"/>
  <c r="G59" i="65"/>
  <c r="D63" i="44"/>
  <c r="E63" i="44" s="1"/>
  <c r="G56" i="85"/>
  <c r="D57" i="85"/>
  <c r="E57" i="85" s="1"/>
  <c r="B63" i="39"/>
  <c r="G64" i="34"/>
  <c r="D65" i="34"/>
  <c r="H64" i="34"/>
  <c r="D60" i="61"/>
  <c r="E60" i="61" s="1"/>
  <c r="E65" i="27"/>
  <c r="F65" i="27" s="1"/>
  <c r="B65" i="27"/>
  <c r="H56" i="85"/>
  <c r="I53" i="96"/>
  <c r="I60" i="72"/>
  <c r="H54" i="95"/>
  <c r="I54" i="95" s="1"/>
  <c r="D55" i="95"/>
  <c r="E55" i="95" s="1"/>
  <c r="B59" i="61"/>
  <c r="H59" i="61"/>
  <c r="G59" i="61"/>
  <c r="G64" i="22"/>
  <c r="F57" i="76"/>
  <c r="H57" i="76" s="1"/>
  <c r="B57" i="76"/>
  <c r="E65" i="22"/>
  <c r="F65" i="22" s="1"/>
  <c r="B65" i="22"/>
  <c r="H64" i="22"/>
  <c r="D62" i="72"/>
  <c r="F56" i="81"/>
  <c r="G56" i="81" s="1"/>
  <c r="B56" i="81"/>
  <c r="E63" i="39"/>
  <c r="F63" i="39" s="1"/>
  <c r="B54" i="96"/>
  <c r="F54" i="96"/>
  <c r="H54" i="96" s="1"/>
  <c r="B62" i="44"/>
  <c r="G62" i="44"/>
  <c r="H62" i="44"/>
  <c r="B61" i="72"/>
  <c r="G61" i="72"/>
  <c r="H61" i="72"/>
  <c r="I58" i="60"/>
  <c r="G60" i="57"/>
  <c r="D61" i="57"/>
  <c r="H60" i="57"/>
  <c r="H59" i="56"/>
  <c r="D60" i="56"/>
  <c r="E60" i="56" s="1"/>
  <c r="F60" i="56" s="1"/>
  <c r="D61" i="56" s="1"/>
  <c r="G59" i="56"/>
  <c r="H66" i="71"/>
  <c r="D67" i="71"/>
  <c r="E67" i="71" s="1"/>
  <c r="F67" i="71" s="1"/>
  <c r="G66" i="71"/>
  <c r="D67" i="70"/>
  <c r="H66" i="70"/>
  <c r="G66" i="70"/>
  <c r="H63" i="41"/>
  <c r="D64" i="41"/>
  <c r="E64" i="41" s="1"/>
  <c r="G63" i="41"/>
  <c r="D68" i="29"/>
  <c r="H67" i="29"/>
  <c r="G67" i="29"/>
  <c r="E66" i="32"/>
  <c r="F66" i="32" s="1"/>
  <c r="B66" i="32"/>
  <c r="F59" i="63"/>
  <c r="B59" i="63"/>
  <c r="B67" i="3"/>
  <c r="H63" i="74"/>
  <c r="D64" i="74"/>
  <c r="F57" i="78"/>
  <c r="H57" i="78" s="1"/>
  <c r="B57" i="78"/>
  <c r="D56" i="83"/>
  <c r="E56" i="83" s="1"/>
  <c r="F57" i="79"/>
  <c r="G57" i="79" s="1"/>
  <c r="B57" i="79"/>
  <c r="H55" i="87"/>
  <c r="I55" i="87" s="1"/>
  <c r="I64" i="32"/>
  <c r="D67" i="31"/>
  <c r="E67" i="31" s="1"/>
  <c r="H66" i="31"/>
  <c r="D59" i="68"/>
  <c r="E59" i="68" s="1"/>
  <c r="I62" i="21"/>
  <c r="E60" i="64"/>
  <c r="F60" i="64" s="1"/>
  <c r="B60" i="64"/>
  <c r="B64" i="19"/>
  <c r="B55" i="92"/>
  <c r="F55" i="92"/>
  <c r="G55" i="92" s="1"/>
  <c r="D64" i="43"/>
  <c r="E64" i="43" s="1"/>
  <c r="D60" i="60"/>
  <c r="E60" i="60" s="1"/>
  <c r="I62" i="73"/>
  <c r="G61" i="45"/>
  <c r="I61" i="45" s="1"/>
  <c r="D62" i="45"/>
  <c r="G68" i="28"/>
  <c r="D69" i="28"/>
  <c r="H68" i="28"/>
  <c r="B60" i="54"/>
  <c r="F60" i="54"/>
  <c r="D61" i="54" s="1"/>
  <c r="G65" i="32"/>
  <c r="H63" i="43"/>
  <c r="H59" i="60"/>
  <c r="I59" i="60" s="1"/>
  <c r="G63" i="74"/>
  <c r="G66" i="31"/>
  <c r="F67" i="69"/>
  <c r="D68" i="69" s="1"/>
  <c r="B67" i="69"/>
  <c r="H65" i="17"/>
  <c r="D66" i="17"/>
  <c r="G55" i="83"/>
  <c r="F55" i="89"/>
  <c r="B55" i="89"/>
  <c r="E63" i="21"/>
  <c r="F63" i="21" s="1"/>
  <c r="B63" i="21"/>
  <c r="B57" i="77"/>
  <c r="F57" i="77"/>
  <c r="H57" i="77" s="1"/>
  <c r="E64" i="19"/>
  <c r="F64" i="19" s="1"/>
  <c r="H65" i="32"/>
  <c r="G63" i="43"/>
  <c r="E67" i="3"/>
  <c r="F67" i="3" s="1"/>
  <c r="D68" i="3" s="1"/>
  <c r="F65" i="30"/>
  <c r="D66" i="30" s="1"/>
  <c r="B65" i="30"/>
  <c r="G56" i="88"/>
  <c r="I56" i="88" s="1"/>
  <c r="D57" i="88"/>
  <c r="E57" i="88" s="1"/>
  <c r="G65" i="17"/>
  <c r="H55" i="83"/>
  <c r="H58" i="68"/>
  <c r="I58" i="68" s="1"/>
  <c r="E143" i="20"/>
  <c r="F143" i="20" s="1"/>
  <c r="D146" i="27"/>
  <c r="G145" i="27"/>
  <c r="J144" i="27"/>
  <c r="J138" i="62"/>
  <c r="J133" i="33"/>
  <c r="D63" i="20"/>
  <c r="E63" i="20" s="1"/>
  <c r="D57" i="33"/>
  <c r="E57" i="33" s="1"/>
  <c r="B63" i="73"/>
  <c r="J144" i="30"/>
  <c r="D59" i="62"/>
  <c r="E63" i="73"/>
  <c r="F63" i="73" s="1"/>
  <c r="D56" i="26"/>
  <c r="E56" i="26" s="1"/>
  <c r="B64" i="18"/>
  <c r="J140" i="45"/>
  <c r="G62" i="20"/>
  <c r="G55" i="26"/>
  <c r="D55" i="13"/>
  <c r="H56" i="33"/>
  <c r="H62" i="20"/>
  <c r="F59" i="59"/>
  <c r="B59" i="59"/>
  <c r="H55" i="26"/>
  <c r="G54" i="13"/>
  <c r="I54" i="13" s="1"/>
  <c r="D56" i="87"/>
  <c r="E56" i="87" s="1"/>
  <c r="H58" i="62"/>
  <c r="I58" i="62" s="1"/>
  <c r="E64" i="18"/>
  <c r="F64" i="18" s="1"/>
  <c r="G56" i="33"/>
  <c r="B140" i="46"/>
  <c r="F140" i="46"/>
  <c r="B140" i="72"/>
  <c r="F140" i="72"/>
  <c r="B144" i="31"/>
  <c r="F144" i="31"/>
  <c r="I138" i="64"/>
  <c r="H138" i="64"/>
  <c r="H139" i="46"/>
  <c r="I139" i="46"/>
  <c r="H144" i="29"/>
  <c r="I144" i="29"/>
  <c r="I138" i="61"/>
  <c r="H138" i="61"/>
  <c r="G135" i="91"/>
  <c r="D136" i="91"/>
  <c r="E136" i="91"/>
  <c r="D144" i="22"/>
  <c r="G143" i="22"/>
  <c r="I142" i="20"/>
  <c r="H142" i="20"/>
  <c r="F135" i="86"/>
  <c r="B135" i="86"/>
  <c r="H136" i="79"/>
  <c r="I136" i="79"/>
  <c r="D142" i="45"/>
  <c r="E142" i="45" s="1"/>
  <c r="G141" i="45"/>
  <c r="F135" i="88"/>
  <c r="B135" i="88"/>
  <c r="G136" i="81"/>
  <c r="D137" i="81"/>
  <c r="E137" i="81"/>
  <c r="H135" i="85"/>
  <c r="I135" i="85"/>
  <c r="H134" i="84"/>
  <c r="I134" i="84"/>
  <c r="H138" i="63"/>
  <c r="I138" i="63"/>
  <c r="I143" i="31"/>
  <c r="H143" i="31"/>
  <c r="H139" i="58"/>
  <c r="I139" i="58"/>
  <c r="F139" i="60"/>
  <c r="B139" i="60"/>
  <c r="F145" i="69"/>
  <c r="B145" i="69"/>
  <c r="F138" i="68"/>
  <c r="B138" i="68"/>
  <c r="B145" i="70"/>
  <c r="F145" i="70"/>
  <c r="B145" i="29"/>
  <c r="E145" i="29"/>
  <c r="F145" i="29" s="1"/>
  <c r="B142" i="43"/>
  <c r="F142" i="43"/>
  <c r="I142" i="19"/>
  <c r="H142" i="19"/>
  <c r="H144" i="70"/>
  <c r="I144" i="70"/>
  <c r="J139" i="55"/>
  <c r="B142" i="39"/>
  <c r="F142" i="39"/>
  <c r="B138" i="66"/>
  <c r="F138" i="66"/>
  <c r="I143" i="32"/>
  <c r="H143" i="32"/>
  <c r="I139" i="72"/>
  <c r="H139" i="72"/>
  <c r="I140" i="74"/>
  <c r="H140" i="74"/>
  <c r="I134" i="86"/>
  <c r="H134" i="86"/>
  <c r="F137" i="79"/>
  <c r="B137" i="79"/>
  <c r="B143" i="34"/>
  <c r="F143" i="34"/>
  <c r="F136" i="85"/>
  <c r="B136" i="85"/>
  <c r="B135" i="84"/>
  <c r="F135" i="84"/>
  <c r="B139" i="63"/>
  <c r="F139" i="63"/>
  <c r="J141" i="41"/>
  <c r="B143" i="19"/>
  <c r="F143" i="19"/>
  <c r="I138" i="65"/>
  <c r="H138" i="65"/>
  <c r="I144" i="69"/>
  <c r="H144" i="69"/>
  <c r="J141" i="73"/>
  <c r="B135" i="90"/>
  <c r="F135" i="90"/>
  <c r="D136" i="89"/>
  <c r="E136" i="89"/>
  <c r="G135" i="89"/>
  <c r="F141" i="74"/>
  <c r="B141" i="74"/>
  <c r="H136" i="78"/>
  <c r="I136" i="78"/>
  <c r="H134" i="92"/>
  <c r="I134" i="92"/>
  <c r="I139" i="53"/>
  <c r="H139" i="53"/>
  <c r="I137" i="68"/>
  <c r="H137" i="68"/>
  <c r="D143" i="41"/>
  <c r="B143" i="41" s="1"/>
  <c r="G142" i="41"/>
  <c r="I141" i="39"/>
  <c r="H141" i="39"/>
  <c r="I137" i="66"/>
  <c r="H137" i="66"/>
  <c r="B139" i="61"/>
  <c r="F139" i="61"/>
  <c r="H134" i="90"/>
  <c r="I134" i="90"/>
  <c r="G142" i="73"/>
  <c r="D143" i="73"/>
  <c r="E143" i="73"/>
  <c r="E144" i="32"/>
  <c r="F144" i="32" s="1"/>
  <c r="B144" i="32"/>
  <c r="F137" i="78"/>
  <c r="B137" i="78"/>
  <c r="I134" i="88"/>
  <c r="H134" i="88"/>
  <c r="I142" i="34"/>
  <c r="H142" i="34"/>
  <c r="H141" i="43"/>
  <c r="I141" i="43"/>
  <c r="B135" i="92"/>
  <c r="F135" i="92"/>
  <c r="D140" i="62"/>
  <c r="E140" i="62" s="1"/>
  <c r="G139" i="62"/>
  <c r="F140" i="58"/>
  <c r="B140" i="58"/>
  <c r="I138" i="60"/>
  <c r="H138" i="60"/>
  <c r="B139" i="65"/>
  <c r="F139" i="65"/>
  <c r="B140" i="53"/>
  <c r="F140" i="53"/>
  <c r="B139" i="64"/>
  <c r="F139" i="64"/>
  <c r="J142" i="22"/>
  <c r="E144" i="18"/>
  <c r="F144" i="18" s="1"/>
  <c r="B144" i="18"/>
  <c r="E145" i="23"/>
  <c r="F145" i="23" s="1"/>
  <c r="B145" i="23"/>
  <c r="H139" i="59"/>
  <c r="I139" i="59"/>
  <c r="J140" i="56"/>
  <c r="I143" i="18"/>
  <c r="H143" i="18"/>
  <c r="B140" i="59"/>
  <c r="F140" i="59"/>
  <c r="D142" i="56"/>
  <c r="E142" i="56" s="1"/>
  <c r="G141" i="56"/>
  <c r="J142" i="21"/>
  <c r="I144" i="23"/>
  <c r="H144" i="23"/>
  <c r="J139" i="54"/>
  <c r="I140" i="57"/>
  <c r="H140" i="57"/>
  <c r="F145" i="71"/>
  <c r="B145" i="71"/>
  <c r="F141" i="57"/>
  <c r="B141" i="57"/>
  <c r="J143" i="24"/>
  <c r="I144" i="71"/>
  <c r="H144" i="71"/>
  <c r="G144" i="24"/>
  <c r="D145" i="24"/>
  <c r="E145" i="24" s="1"/>
  <c r="G134" i="33"/>
  <c r="D135" i="33"/>
  <c r="E135" i="33" s="1"/>
  <c r="D137" i="80"/>
  <c r="E137" i="80"/>
  <c r="G136" i="80"/>
  <c r="F136" i="82"/>
  <c r="B136" i="82"/>
  <c r="B142" i="44"/>
  <c r="F142" i="44"/>
  <c r="B136" i="95"/>
  <c r="D141" i="54"/>
  <c r="E141" i="54" s="1"/>
  <c r="G140" i="54"/>
  <c r="B146" i="28"/>
  <c r="H137" i="67"/>
  <c r="I137" i="67"/>
  <c r="B144" i="17"/>
  <c r="H142" i="3"/>
  <c r="I142" i="3"/>
  <c r="J136" i="77"/>
  <c r="J136" i="75"/>
  <c r="I141" i="44"/>
  <c r="H141" i="44"/>
  <c r="I135" i="95"/>
  <c r="H135" i="95"/>
  <c r="D144" i="21"/>
  <c r="E144" i="21" s="1"/>
  <c r="G143" i="21"/>
  <c r="E138" i="76"/>
  <c r="G137" i="76"/>
  <c r="D138" i="76"/>
  <c r="G142" i="42"/>
  <c r="D143" i="42"/>
  <c r="E143" i="42" s="1"/>
  <c r="F135" i="87"/>
  <c r="B135" i="87"/>
  <c r="B136" i="94"/>
  <c r="F136" i="94"/>
  <c r="F138" i="67"/>
  <c r="B138" i="67"/>
  <c r="I143" i="17"/>
  <c r="H143" i="17"/>
  <c r="G140" i="55"/>
  <c r="D141" i="55"/>
  <c r="E141" i="55" s="1"/>
  <c r="F143" i="3"/>
  <c r="B143" i="3"/>
  <c r="J141" i="42"/>
  <c r="D137" i="83"/>
  <c r="G136" i="83"/>
  <c r="E137" i="83"/>
  <c r="H134" i="87"/>
  <c r="I134" i="87"/>
  <c r="G137" i="75"/>
  <c r="D138" i="75"/>
  <c r="E138" i="75"/>
  <c r="E146" i="28"/>
  <c r="F146" i="28" s="1"/>
  <c r="J136" i="76"/>
  <c r="I135" i="94"/>
  <c r="H135" i="94"/>
  <c r="E144" i="17"/>
  <c r="F144" i="17" s="1"/>
  <c r="F135" i="96"/>
  <c r="B135" i="96"/>
  <c r="I135" i="82"/>
  <c r="H135" i="82"/>
  <c r="G135" i="93"/>
  <c r="D136" i="93"/>
  <c r="E136" i="93" s="1"/>
  <c r="G134" i="13"/>
  <c r="D135" i="13"/>
  <c r="E135" i="13" s="1"/>
  <c r="E136" i="95"/>
  <c r="F136" i="95" s="1"/>
  <c r="D138" i="77"/>
  <c r="G137" i="77"/>
  <c r="E138" i="77"/>
  <c r="I145" i="28"/>
  <c r="H145" i="28"/>
  <c r="H134" i="96"/>
  <c r="I134" i="96"/>
  <c r="B55" i="25" l="1"/>
  <c r="E55" i="25"/>
  <c r="F55" i="25" s="1"/>
  <c r="G55" i="25" s="1"/>
  <c r="I54" i="25"/>
  <c r="D146" i="30"/>
  <c r="B146" i="30" s="1"/>
  <c r="G136" i="26"/>
  <c r="H136" i="26" s="1"/>
  <c r="I134" i="25"/>
  <c r="H134" i="25"/>
  <c r="E135" i="25"/>
  <c r="F135" i="25" s="1"/>
  <c r="B135" i="25"/>
  <c r="H135" i="26"/>
  <c r="I135" i="26"/>
  <c r="D55" i="98"/>
  <c r="E55" i="98"/>
  <c r="G54" i="98"/>
  <c r="H54" i="98"/>
  <c r="D71" i="97"/>
  <c r="E71" i="97" s="1"/>
  <c r="F71" i="97" s="1"/>
  <c r="D72" i="97" s="1"/>
  <c r="D64" i="99"/>
  <c r="E64" i="99" s="1"/>
  <c r="F64" i="99" s="1"/>
  <c r="D65" i="99" s="1"/>
  <c r="G57" i="90"/>
  <c r="I57" i="90" s="1"/>
  <c r="I62" i="99"/>
  <c r="H70" i="97"/>
  <c r="I70" i="97" s="1"/>
  <c r="H63" i="99"/>
  <c r="I63" i="99" s="1"/>
  <c r="I134" i="99"/>
  <c r="H134" i="99"/>
  <c r="B135" i="99"/>
  <c r="F135" i="99"/>
  <c r="E63" i="58"/>
  <c r="F63" i="58" s="1"/>
  <c r="I65" i="23"/>
  <c r="G59" i="67"/>
  <c r="I59" i="67" s="1"/>
  <c r="I62" i="58"/>
  <c r="I64" i="42"/>
  <c r="D136" i="98"/>
  <c r="G135" i="98"/>
  <c r="E136" i="98"/>
  <c r="D136" i="97"/>
  <c r="E136" i="97" s="1"/>
  <c r="G135" i="97"/>
  <c r="D60" i="67"/>
  <c r="E60" i="67" s="1"/>
  <c r="F60" i="67" s="1"/>
  <c r="I60" i="57"/>
  <c r="D63" i="46"/>
  <c r="E63" i="46" s="1"/>
  <c r="F63" i="46" s="1"/>
  <c r="G62" i="46"/>
  <c r="H62" i="46"/>
  <c r="B65" i="42"/>
  <c r="H65" i="24"/>
  <c r="D66" i="24"/>
  <c r="G65" i="24"/>
  <c r="D66" i="27"/>
  <c r="B66" i="27" s="1"/>
  <c r="H55" i="94"/>
  <c r="I55" i="94" s="1"/>
  <c r="D55" i="93"/>
  <c r="E55" i="93" s="1"/>
  <c r="D59" i="82"/>
  <c r="E59" i="82" s="1"/>
  <c r="F59" i="82" s="1"/>
  <c r="G57" i="80"/>
  <c r="D58" i="80"/>
  <c r="G67" i="69"/>
  <c r="I61" i="72"/>
  <c r="I56" i="86"/>
  <c r="G54" i="93"/>
  <c r="I54" i="93" s="1"/>
  <c r="B58" i="82"/>
  <c r="G58" i="82"/>
  <c r="H58" i="82"/>
  <c r="H57" i="80"/>
  <c r="E60" i="65"/>
  <c r="F60" i="65" s="1"/>
  <c r="D61" i="65" s="1"/>
  <c r="E61" i="65" s="1"/>
  <c r="F57" i="86"/>
  <c r="H57" i="86" s="1"/>
  <c r="B57" i="86"/>
  <c r="D56" i="94"/>
  <c r="E56" i="94" s="1"/>
  <c r="D60" i="66"/>
  <c r="E60" i="66" s="1"/>
  <c r="F60" i="66" s="1"/>
  <c r="G59" i="66"/>
  <c r="H59" i="66"/>
  <c r="D57" i="84"/>
  <c r="E57" i="84" s="1"/>
  <c r="I64" i="22"/>
  <c r="I59" i="65"/>
  <c r="G65" i="42"/>
  <c r="I65" i="42" s="1"/>
  <c r="D66" i="42"/>
  <c r="B61" i="53"/>
  <c r="G61" i="53"/>
  <c r="H61" i="53"/>
  <c r="G56" i="84"/>
  <c r="E59" i="75"/>
  <c r="F59" i="75" s="1"/>
  <c r="B59" i="75"/>
  <c r="E67" i="23"/>
  <c r="F67" i="23" s="1"/>
  <c r="B67" i="23"/>
  <c r="B63" i="55"/>
  <c r="D62" i="53"/>
  <c r="G57" i="76"/>
  <c r="I57" i="76" s="1"/>
  <c r="I59" i="61"/>
  <c r="I60" i="53"/>
  <c r="D58" i="90"/>
  <c r="E58" i="90" s="1"/>
  <c r="H56" i="84"/>
  <c r="B58" i="75"/>
  <c r="H58" i="75"/>
  <c r="G58" i="75"/>
  <c r="B66" i="23"/>
  <c r="H66" i="23"/>
  <c r="G66" i="23"/>
  <c r="E63" i="55"/>
  <c r="F63" i="55" s="1"/>
  <c r="I65" i="32"/>
  <c r="H56" i="91"/>
  <c r="G56" i="91"/>
  <c r="D57" i="91"/>
  <c r="E57" i="91" s="1"/>
  <c r="I57" i="75"/>
  <c r="I62" i="55"/>
  <c r="D64" i="39"/>
  <c r="E64" i="39" s="1"/>
  <c r="G63" i="39"/>
  <c r="H63" i="39"/>
  <c r="B65" i="34"/>
  <c r="D66" i="22"/>
  <c r="F60" i="61"/>
  <c r="B60" i="61"/>
  <c r="B62" i="72"/>
  <c r="G65" i="30"/>
  <c r="H60" i="54"/>
  <c r="D57" i="81"/>
  <c r="E57" i="81" s="1"/>
  <c r="H65" i="22"/>
  <c r="B55" i="95"/>
  <c r="F55" i="95"/>
  <c r="H55" i="95" s="1"/>
  <c r="I56" i="85"/>
  <c r="H65" i="27"/>
  <c r="I64" i="34"/>
  <c r="H65" i="30"/>
  <c r="I62" i="44"/>
  <c r="G54" i="96"/>
  <c r="I54" i="96" s="1"/>
  <c r="E55" i="96"/>
  <c r="D55" i="96"/>
  <c r="H56" i="81"/>
  <c r="I56" i="81" s="1"/>
  <c r="E62" i="72"/>
  <c r="F62" i="72" s="1"/>
  <c r="G65" i="22"/>
  <c r="D58" i="76"/>
  <c r="E58" i="76" s="1"/>
  <c r="G65" i="27"/>
  <c r="E65" i="34"/>
  <c r="F65" i="34" s="1"/>
  <c r="B57" i="85"/>
  <c r="F57" i="85"/>
  <c r="H57" i="85" s="1"/>
  <c r="B63" i="44"/>
  <c r="F63" i="44"/>
  <c r="I66" i="70"/>
  <c r="I65" i="17"/>
  <c r="I55" i="83"/>
  <c r="D65" i="19"/>
  <c r="G64" i="19"/>
  <c r="H64" i="19"/>
  <c r="D61" i="64"/>
  <c r="E61" i="64" s="1"/>
  <c r="H60" i="64"/>
  <c r="G60" i="64"/>
  <c r="D64" i="21"/>
  <c r="E64" i="21" s="1"/>
  <c r="H63" i="21"/>
  <c r="G63" i="21"/>
  <c r="D68" i="71"/>
  <c r="E68" i="71" s="1"/>
  <c r="F68" i="71" s="1"/>
  <c r="E68" i="3"/>
  <c r="F68" i="3" s="1"/>
  <c r="B68" i="3"/>
  <c r="F56" i="83"/>
  <c r="H56" i="83" s="1"/>
  <c r="B56" i="83"/>
  <c r="G67" i="3"/>
  <c r="D67" i="32"/>
  <c r="E67" i="32" s="1"/>
  <c r="G55" i="89"/>
  <c r="D56" i="89"/>
  <c r="E56" i="89" s="1"/>
  <c r="I63" i="43"/>
  <c r="E62" i="45"/>
  <c r="F62" i="45" s="1"/>
  <c r="B62" i="45"/>
  <c r="H67" i="3"/>
  <c r="E67" i="70"/>
  <c r="F67" i="70" s="1"/>
  <c r="G67" i="70" s="1"/>
  <c r="B67" i="70"/>
  <c r="I59" i="56"/>
  <c r="E68" i="69"/>
  <c r="F68" i="69" s="1"/>
  <c r="B68" i="69"/>
  <c r="I68" i="28"/>
  <c r="H55" i="92"/>
  <c r="I55" i="92" s="1"/>
  <c r="D56" i="92"/>
  <c r="E56" i="92" s="1"/>
  <c r="F59" i="68"/>
  <c r="D60" i="68" s="1"/>
  <c r="B59" i="68"/>
  <c r="I66" i="31"/>
  <c r="D58" i="79"/>
  <c r="E58" i="79" s="1"/>
  <c r="E64" i="74"/>
  <c r="F64" i="74" s="1"/>
  <c r="H64" i="74" s="1"/>
  <c r="B64" i="74"/>
  <c r="E68" i="29"/>
  <c r="F68" i="29" s="1"/>
  <c r="B68" i="29"/>
  <c r="E61" i="56"/>
  <c r="F61" i="56" s="1"/>
  <c r="B61" i="56"/>
  <c r="E61" i="57"/>
  <c r="F61" i="57" s="1"/>
  <c r="H61" i="57" s="1"/>
  <c r="B61" i="57"/>
  <c r="B66" i="17"/>
  <c r="D58" i="78"/>
  <c r="E58" i="78" s="1"/>
  <c r="H59" i="63"/>
  <c r="D60" i="63"/>
  <c r="F57" i="88"/>
  <c r="B57" i="88"/>
  <c r="D58" i="77"/>
  <c r="E58" i="77" s="1"/>
  <c r="E61" i="54"/>
  <c r="F61" i="54" s="1"/>
  <c r="B61" i="54"/>
  <c r="B60" i="60"/>
  <c r="F60" i="60"/>
  <c r="H60" i="60" s="1"/>
  <c r="G57" i="78"/>
  <c r="I57" i="78" s="1"/>
  <c r="G59" i="63"/>
  <c r="G66" i="32"/>
  <c r="I67" i="29"/>
  <c r="F64" i="41"/>
  <c r="B64" i="41"/>
  <c r="I66" i="71"/>
  <c r="E66" i="30"/>
  <c r="F66" i="30" s="1"/>
  <c r="B66" i="30"/>
  <c r="G57" i="77"/>
  <c r="I57" i="77" s="1"/>
  <c r="H55" i="89"/>
  <c r="E66" i="17"/>
  <c r="F66" i="17" s="1"/>
  <c r="H66" i="17" s="1"/>
  <c r="H67" i="69"/>
  <c r="G60" i="54"/>
  <c r="E69" i="28"/>
  <c r="F69" i="28" s="1"/>
  <c r="B69" i="28"/>
  <c r="F64" i="43"/>
  <c r="B64" i="43"/>
  <c r="F67" i="31"/>
  <c r="H67" i="31" s="1"/>
  <c r="B67" i="31"/>
  <c r="H57" i="79"/>
  <c r="I57" i="79" s="1"/>
  <c r="I63" i="74"/>
  <c r="H66" i="32"/>
  <c r="I63" i="41"/>
  <c r="B67" i="71"/>
  <c r="G67" i="71"/>
  <c r="H67" i="71"/>
  <c r="B60" i="56"/>
  <c r="G60" i="56"/>
  <c r="H60" i="56"/>
  <c r="E143" i="41"/>
  <c r="F143" i="41" s="1"/>
  <c r="I145" i="27"/>
  <c r="H145" i="27"/>
  <c r="E146" i="27"/>
  <c r="F146" i="27" s="1"/>
  <c r="B146" i="27"/>
  <c r="J144" i="29"/>
  <c r="D64" i="73"/>
  <c r="E64" i="73" s="1"/>
  <c r="H63" i="73"/>
  <c r="G63" i="73"/>
  <c r="D65" i="18"/>
  <c r="G64" i="18"/>
  <c r="H64" i="18"/>
  <c r="B55" i="13"/>
  <c r="J137" i="68"/>
  <c r="J144" i="69"/>
  <c r="J142" i="19"/>
  <c r="J143" i="31"/>
  <c r="J142" i="20"/>
  <c r="D60" i="59"/>
  <c r="E60" i="59" s="1"/>
  <c r="I62" i="20"/>
  <c r="E55" i="13"/>
  <c r="F55" i="13" s="1"/>
  <c r="B56" i="26"/>
  <c r="F56" i="26"/>
  <c r="G56" i="26" s="1"/>
  <c r="B59" i="62"/>
  <c r="J142" i="34"/>
  <c r="J136" i="78"/>
  <c r="J144" i="70"/>
  <c r="J139" i="58"/>
  <c r="J138" i="63"/>
  <c r="I55" i="26"/>
  <c r="H59" i="59"/>
  <c r="I56" i="33"/>
  <c r="B57" i="33"/>
  <c r="F57" i="33"/>
  <c r="H57" i="33" s="1"/>
  <c r="J141" i="43"/>
  <c r="J139" i="46"/>
  <c r="B56" i="87"/>
  <c r="F56" i="87"/>
  <c r="H56" i="87" s="1"/>
  <c r="G59" i="59"/>
  <c r="E59" i="62"/>
  <c r="F59" i="62" s="1"/>
  <c r="B63" i="20"/>
  <c r="F63" i="20"/>
  <c r="H63" i="20" s="1"/>
  <c r="G144" i="32"/>
  <c r="D145" i="32"/>
  <c r="B145" i="32" s="1"/>
  <c r="B140" i="62"/>
  <c r="F140" i="62"/>
  <c r="D141" i="58"/>
  <c r="E141" i="58"/>
  <c r="G140" i="58"/>
  <c r="G135" i="92"/>
  <c r="E136" i="92"/>
  <c r="D136" i="92"/>
  <c r="D144" i="20"/>
  <c r="E144" i="20" s="1"/>
  <c r="G143" i="20"/>
  <c r="J137" i="66"/>
  <c r="H142" i="41"/>
  <c r="I142" i="41"/>
  <c r="I135" i="89"/>
  <c r="H135" i="89"/>
  <c r="J139" i="72"/>
  <c r="G142" i="43"/>
  <c r="D143" i="43"/>
  <c r="B143" i="43" s="1"/>
  <c r="D146" i="70"/>
  <c r="E146" i="70"/>
  <c r="G145" i="70"/>
  <c r="H136" i="81"/>
  <c r="I136" i="81"/>
  <c r="H143" i="22"/>
  <c r="I143" i="22"/>
  <c r="I135" i="91"/>
  <c r="H135" i="91"/>
  <c r="E141" i="72"/>
  <c r="D141" i="72"/>
  <c r="G140" i="72"/>
  <c r="D140" i="64"/>
  <c r="E140" i="64" s="1"/>
  <c r="G139" i="64"/>
  <c r="G139" i="65"/>
  <c r="D140" i="65"/>
  <c r="E140" i="65" s="1"/>
  <c r="D138" i="78"/>
  <c r="G137" i="78"/>
  <c r="E138" i="78"/>
  <c r="D142" i="74"/>
  <c r="G141" i="74"/>
  <c r="E142" i="74"/>
  <c r="D136" i="84"/>
  <c r="E136" i="84"/>
  <c r="G135" i="84"/>
  <c r="E139" i="66"/>
  <c r="G138" i="66"/>
  <c r="D139" i="66"/>
  <c r="B137" i="81"/>
  <c r="F137" i="81"/>
  <c r="I141" i="45"/>
  <c r="H141" i="45"/>
  <c r="H145" i="30"/>
  <c r="I145" i="30"/>
  <c r="J144" i="71"/>
  <c r="J140" i="57"/>
  <c r="D141" i="53"/>
  <c r="E141" i="53" s="1"/>
  <c r="G140" i="53"/>
  <c r="I139" i="62"/>
  <c r="H139" i="62"/>
  <c r="B143" i="73"/>
  <c r="F143" i="73"/>
  <c r="G139" i="61"/>
  <c r="D140" i="61"/>
  <c r="E140" i="61" s="1"/>
  <c r="J139" i="53"/>
  <c r="J138" i="65"/>
  <c r="E140" i="63"/>
  <c r="G139" i="63"/>
  <c r="D140" i="63"/>
  <c r="D143" i="39"/>
  <c r="E143" i="39" s="1"/>
  <c r="G142" i="39"/>
  <c r="D146" i="69"/>
  <c r="G145" i="69"/>
  <c r="E146" i="69"/>
  <c r="B142" i="45"/>
  <c r="F142" i="45"/>
  <c r="E136" i="86"/>
  <c r="D136" i="86"/>
  <c r="G135" i="86"/>
  <c r="E144" i="22"/>
  <c r="F144" i="22" s="1"/>
  <c r="B144" i="22"/>
  <c r="J138" i="64"/>
  <c r="G140" i="46"/>
  <c r="D141" i="46"/>
  <c r="E141" i="46" s="1"/>
  <c r="B137" i="26"/>
  <c r="E137" i="26"/>
  <c r="F137" i="26" s="1"/>
  <c r="D136" i="90"/>
  <c r="E136" i="90"/>
  <c r="G135" i="90"/>
  <c r="D144" i="34"/>
  <c r="B144" i="34" s="1"/>
  <c r="G143" i="34"/>
  <c r="D139" i="68"/>
  <c r="G138" i="68"/>
  <c r="E139" i="68"/>
  <c r="G139" i="60"/>
  <c r="D140" i="60"/>
  <c r="E140" i="60" s="1"/>
  <c r="F136" i="91"/>
  <c r="B136" i="91"/>
  <c r="J143" i="17"/>
  <c r="J138" i="60"/>
  <c r="I142" i="73"/>
  <c r="H142" i="73"/>
  <c r="J141" i="39"/>
  <c r="B136" i="89"/>
  <c r="F136" i="89"/>
  <c r="G143" i="19"/>
  <c r="D144" i="19"/>
  <c r="B144" i="19" s="1"/>
  <c r="D137" i="85"/>
  <c r="G136" i="85"/>
  <c r="E137" i="85"/>
  <c r="E138" i="79"/>
  <c r="D138" i="79"/>
  <c r="G137" i="79"/>
  <c r="J140" i="74"/>
  <c r="J143" i="32"/>
  <c r="D146" i="29"/>
  <c r="G145" i="29"/>
  <c r="G135" i="88"/>
  <c r="D136" i="88"/>
  <c r="E136" i="88"/>
  <c r="J136" i="79"/>
  <c r="J138" i="61"/>
  <c r="D145" i="31"/>
  <c r="B145" i="31" s="1"/>
  <c r="G144" i="31"/>
  <c r="E146" i="30"/>
  <c r="F146" i="30" s="1"/>
  <c r="J144" i="23"/>
  <c r="G140" i="59"/>
  <c r="D141" i="59"/>
  <c r="E141" i="59" s="1"/>
  <c r="J143" i="18"/>
  <c r="J139" i="59"/>
  <c r="D145" i="18"/>
  <c r="G144" i="18"/>
  <c r="J137" i="67"/>
  <c r="I141" i="56"/>
  <c r="H141" i="56"/>
  <c r="B142" i="56"/>
  <c r="F142" i="56"/>
  <c r="D146" i="23"/>
  <c r="G145" i="23"/>
  <c r="G145" i="71"/>
  <c r="D146" i="71"/>
  <c r="E146" i="71"/>
  <c r="J141" i="44"/>
  <c r="D142" i="57"/>
  <c r="E142" i="57" s="1"/>
  <c r="G141" i="57"/>
  <c r="D145" i="17"/>
  <c r="E145" i="17" s="1"/>
  <c r="G144" i="17"/>
  <c r="G146" i="28"/>
  <c r="D147" i="28"/>
  <c r="D137" i="95"/>
  <c r="E137" i="95" s="1"/>
  <c r="G136" i="95"/>
  <c r="J145" i="28"/>
  <c r="H137" i="77"/>
  <c r="I137" i="77"/>
  <c r="H134" i="13"/>
  <c r="I134" i="13"/>
  <c r="H135" i="93"/>
  <c r="I135" i="93"/>
  <c r="F138" i="75"/>
  <c r="B138" i="75"/>
  <c r="D139" i="67"/>
  <c r="G138" i="67"/>
  <c r="E139" i="67"/>
  <c r="D136" i="87"/>
  <c r="G135" i="87"/>
  <c r="E136" i="87"/>
  <c r="F138" i="76"/>
  <c r="B138" i="76"/>
  <c r="F144" i="21"/>
  <c r="B144" i="21"/>
  <c r="F138" i="77"/>
  <c r="B138" i="77"/>
  <c r="I137" i="75"/>
  <c r="H137" i="75"/>
  <c r="F141" i="55"/>
  <c r="B141" i="55"/>
  <c r="G136" i="94"/>
  <c r="D137" i="94"/>
  <c r="E137" i="94" s="1"/>
  <c r="H137" i="76"/>
  <c r="I137" i="76"/>
  <c r="F137" i="80"/>
  <c r="B137" i="80"/>
  <c r="B135" i="33"/>
  <c r="F135" i="33"/>
  <c r="I136" i="83"/>
  <c r="H136" i="83"/>
  <c r="H140" i="55"/>
  <c r="I140" i="55"/>
  <c r="F143" i="42"/>
  <c r="B143" i="42"/>
  <c r="J142" i="3"/>
  <c r="I140" i="54"/>
  <c r="H140" i="54"/>
  <c r="D143" i="44"/>
  <c r="E143" i="44" s="1"/>
  <c r="G142" i="44"/>
  <c r="D137" i="82"/>
  <c r="G136" i="82"/>
  <c r="E137" i="82"/>
  <c r="H134" i="33"/>
  <c r="I134" i="33"/>
  <c r="B145" i="24"/>
  <c r="F145" i="24"/>
  <c r="F135" i="13"/>
  <c r="B135" i="13"/>
  <c r="B136" i="93"/>
  <c r="F136" i="93"/>
  <c r="G135" i="96"/>
  <c r="D136" i="96"/>
  <c r="E136" i="96" s="1"/>
  <c r="B137" i="83"/>
  <c r="F137" i="83"/>
  <c r="D144" i="3"/>
  <c r="E144" i="3" s="1"/>
  <c r="G143" i="3"/>
  <c r="H142" i="42"/>
  <c r="I142" i="42"/>
  <c r="I143" i="21"/>
  <c r="H143" i="21"/>
  <c r="B141" i="54"/>
  <c r="F141" i="54"/>
  <c r="I136" i="80"/>
  <c r="H136" i="80"/>
  <c r="I144" i="24"/>
  <c r="H144" i="24"/>
  <c r="H55" i="25" l="1"/>
  <c r="I55" i="25" s="1"/>
  <c r="D56" i="25"/>
  <c r="I66" i="32"/>
  <c r="I136" i="26"/>
  <c r="J136" i="26" s="1"/>
  <c r="J135" i="26"/>
  <c r="D136" i="25"/>
  <c r="G135" i="25"/>
  <c r="J134" i="25"/>
  <c r="I54" i="98"/>
  <c r="H60" i="65"/>
  <c r="G57" i="33"/>
  <c r="I57" i="33" s="1"/>
  <c r="E65" i="99"/>
  <c r="F65" i="99" s="1"/>
  <c r="D66" i="99" s="1"/>
  <c r="B65" i="99"/>
  <c r="E72" i="97"/>
  <c r="E73" i="97" s="1"/>
  <c r="B72" i="97"/>
  <c r="B64" i="99"/>
  <c r="G64" i="99"/>
  <c r="H64" i="99"/>
  <c r="B71" i="97"/>
  <c r="G71" i="97"/>
  <c r="H71" i="97"/>
  <c r="F55" i="98"/>
  <c r="H55" i="98" s="1"/>
  <c r="B55" i="98"/>
  <c r="I59" i="66"/>
  <c r="E136" i="99"/>
  <c r="D136" i="99"/>
  <c r="G135" i="99"/>
  <c r="G63" i="58"/>
  <c r="H63" i="58"/>
  <c r="D64" i="58"/>
  <c r="I65" i="30"/>
  <c r="G55" i="95"/>
  <c r="I55" i="95" s="1"/>
  <c r="I55" i="89"/>
  <c r="I67" i="69"/>
  <c r="B61" i="65"/>
  <c r="G60" i="65"/>
  <c r="F61" i="65"/>
  <c r="D62" i="65" s="1"/>
  <c r="I63" i="39"/>
  <c r="B136" i="97"/>
  <c r="F136" i="97"/>
  <c r="H135" i="98"/>
  <c r="I135" i="98"/>
  <c r="I135" i="97"/>
  <c r="H135" i="97"/>
  <c r="B136" i="98"/>
  <c r="F136" i="98"/>
  <c r="I56" i="84"/>
  <c r="I58" i="82"/>
  <c r="G64" i="74"/>
  <c r="I64" i="74" s="1"/>
  <c r="D61" i="67"/>
  <c r="E61" i="67" s="1"/>
  <c r="F61" i="67" s="1"/>
  <c r="D62" i="67" s="1"/>
  <c r="B60" i="67"/>
  <c r="G60" i="67"/>
  <c r="H60" i="67"/>
  <c r="I62" i="46"/>
  <c r="D64" i="46"/>
  <c r="E64" i="46" s="1"/>
  <c r="F64" i="46" s="1"/>
  <c r="D65" i="46" s="1"/>
  <c r="B63" i="46"/>
  <c r="G63" i="46"/>
  <c r="H63" i="46"/>
  <c r="E66" i="24"/>
  <c r="F66" i="24" s="1"/>
  <c r="G66" i="24" s="1"/>
  <c r="B66" i="24"/>
  <c r="I65" i="24"/>
  <c r="I56" i="91"/>
  <c r="D60" i="82"/>
  <c r="D58" i="86"/>
  <c r="G57" i="86"/>
  <c r="I57" i="86" s="1"/>
  <c r="I60" i="54"/>
  <c r="B56" i="94"/>
  <c r="F56" i="94"/>
  <c r="H56" i="94" s="1"/>
  <c r="B59" i="82"/>
  <c r="H59" i="82"/>
  <c r="G59" i="82"/>
  <c r="E66" i="27"/>
  <c r="F66" i="27" s="1"/>
  <c r="I64" i="19"/>
  <c r="I57" i="80"/>
  <c r="E58" i="80"/>
  <c r="F58" i="80" s="1"/>
  <c r="B58" i="80"/>
  <c r="F55" i="93"/>
  <c r="B55" i="93"/>
  <c r="H63" i="55"/>
  <c r="D64" i="55"/>
  <c r="G63" i="55"/>
  <c r="D60" i="75"/>
  <c r="G59" i="75"/>
  <c r="H59" i="75"/>
  <c r="G67" i="23"/>
  <c r="H67" i="23"/>
  <c r="D68" i="23"/>
  <c r="B68" i="23" s="1"/>
  <c r="D61" i="66"/>
  <c r="E61" i="66" s="1"/>
  <c r="F61" i="66" s="1"/>
  <c r="G57" i="85"/>
  <c r="I57" i="85" s="1"/>
  <c r="I58" i="75"/>
  <c r="F58" i="90"/>
  <c r="B58" i="90"/>
  <c r="E66" i="42"/>
  <c r="F66" i="42" s="1"/>
  <c r="H66" i="42" s="1"/>
  <c r="B66" i="42"/>
  <c r="B62" i="53"/>
  <c r="I66" i="23"/>
  <c r="I61" i="53"/>
  <c r="H59" i="68"/>
  <c r="F57" i="91"/>
  <c r="G57" i="91" s="1"/>
  <c r="B57" i="91"/>
  <c r="E62" i="53"/>
  <c r="F62" i="53" s="1"/>
  <c r="B57" i="84"/>
  <c r="F57" i="84"/>
  <c r="H57" i="84" s="1"/>
  <c r="B60" i="66"/>
  <c r="H60" i="66"/>
  <c r="G60" i="66"/>
  <c r="H68" i="69"/>
  <c r="G68" i="69"/>
  <c r="D66" i="34"/>
  <c r="G65" i="34"/>
  <c r="H65" i="34"/>
  <c r="D63" i="72"/>
  <c r="E63" i="72" s="1"/>
  <c r="F63" i="72" s="1"/>
  <c r="H62" i="72"/>
  <c r="G62" i="72"/>
  <c r="B57" i="81"/>
  <c r="F57" i="81"/>
  <c r="G57" i="81" s="1"/>
  <c r="B66" i="22"/>
  <c r="G67" i="31"/>
  <c r="I67" i="31" s="1"/>
  <c r="G59" i="68"/>
  <c r="I65" i="27"/>
  <c r="D56" i="95"/>
  <c r="E56" i="95" s="1"/>
  <c r="H60" i="61"/>
  <c r="D61" i="61"/>
  <c r="D58" i="85"/>
  <c r="E58" i="85" s="1"/>
  <c r="F55" i="96"/>
  <c r="B55" i="96"/>
  <c r="G56" i="87"/>
  <c r="I56" i="87" s="1"/>
  <c r="D64" i="44"/>
  <c r="E64" i="44" s="1"/>
  <c r="H63" i="44"/>
  <c r="G63" i="44"/>
  <c r="B58" i="76"/>
  <c r="F58" i="76"/>
  <c r="G58" i="76" s="1"/>
  <c r="I65" i="22"/>
  <c r="G60" i="61"/>
  <c r="E66" i="22"/>
  <c r="F66" i="22" s="1"/>
  <c r="B64" i="39"/>
  <c r="F64" i="39"/>
  <c r="G64" i="39" s="1"/>
  <c r="I67" i="71"/>
  <c r="I63" i="21"/>
  <c r="I60" i="64"/>
  <c r="I59" i="63"/>
  <c r="I60" i="56"/>
  <c r="I67" i="3"/>
  <c r="D70" i="28"/>
  <c r="G69" i="28"/>
  <c r="H69" i="28"/>
  <c r="G66" i="30"/>
  <c r="D67" i="30"/>
  <c r="H66" i="30"/>
  <c r="D69" i="29"/>
  <c r="G68" i="29"/>
  <c r="H68" i="29"/>
  <c r="D144" i="41"/>
  <c r="E144" i="41" s="1"/>
  <c r="F144" i="41" s="1"/>
  <c r="G143" i="41"/>
  <c r="I143" i="41" s="1"/>
  <c r="H62" i="45"/>
  <c r="D63" i="45"/>
  <c r="G62" i="45"/>
  <c r="G68" i="3"/>
  <c r="D69" i="3"/>
  <c r="B69" i="3" s="1"/>
  <c r="H68" i="3"/>
  <c r="D65" i="41"/>
  <c r="E65" i="41" s="1"/>
  <c r="H61" i="54"/>
  <c r="D62" i="54"/>
  <c r="F58" i="79"/>
  <c r="H58" i="79" s="1"/>
  <c r="B58" i="79"/>
  <c r="D58" i="88"/>
  <c r="E58" i="88" s="1"/>
  <c r="D69" i="71"/>
  <c r="E69" i="71" s="1"/>
  <c r="F69" i="71" s="1"/>
  <c r="G64" i="43"/>
  <c r="D65" i="43"/>
  <c r="G64" i="41"/>
  <c r="H57" i="88"/>
  <c r="B60" i="63"/>
  <c r="B58" i="78"/>
  <c r="F58" i="78"/>
  <c r="G58" i="78" s="1"/>
  <c r="D65" i="74"/>
  <c r="E65" i="74" s="1"/>
  <c r="F65" i="74" s="1"/>
  <c r="D68" i="70"/>
  <c r="E68" i="70" s="1"/>
  <c r="B67" i="32"/>
  <c r="F67" i="32"/>
  <c r="H67" i="32" s="1"/>
  <c r="G56" i="83"/>
  <c r="I56" i="83" s="1"/>
  <c r="D57" i="83"/>
  <c r="E57" i="83" s="1"/>
  <c r="B68" i="71"/>
  <c r="G68" i="71"/>
  <c r="H68" i="71"/>
  <c r="B64" i="21"/>
  <c r="F64" i="21"/>
  <c r="B61" i="64"/>
  <c r="F61" i="64"/>
  <c r="G61" i="64" s="1"/>
  <c r="D62" i="57"/>
  <c r="E62" i="57" s="1"/>
  <c r="G61" i="56"/>
  <c r="D62" i="56"/>
  <c r="G61" i="65"/>
  <c r="F56" i="92"/>
  <c r="H56" i="92" s="1"/>
  <c r="B56" i="92"/>
  <c r="G60" i="60"/>
  <c r="I60" i="60" s="1"/>
  <c r="D61" i="60"/>
  <c r="E61" i="60" s="1"/>
  <c r="F61" i="60" s="1"/>
  <c r="D62" i="60" s="1"/>
  <c r="G61" i="57"/>
  <c r="I61" i="57" s="1"/>
  <c r="D69" i="69"/>
  <c r="I59" i="59"/>
  <c r="D68" i="31"/>
  <c r="E68" i="31" s="1"/>
  <c r="H64" i="43"/>
  <c r="D67" i="17"/>
  <c r="E67" i="17" s="1"/>
  <c r="H64" i="41"/>
  <c r="G61" i="54"/>
  <c r="F58" i="77"/>
  <c r="D59" i="77" s="1"/>
  <c r="B58" i="77"/>
  <c r="G57" i="88"/>
  <c r="E60" i="63"/>
  <c r="F60" i="63" s="1"/>
  <c r="G66" i="17"/>
  <c r="I66" i="17" s="1"/>
  <c r="H61" i="56"/>
  <c r="E60" i="68"/>
  <c r="F60" i="68" s="1"/>
  <c r="H60" i="68" s="1"/>
  <c r="B60" i="68"/>
  <c r="H67" i="70"/>
  <c r="I67" i="70" s="1"/>
  <c r="F56" i="89"/>
  <c r="H56" i="89" s="1"/>
  <c r="B56" i="89"/>
  <c r="E65" i="19"/>
  <c r="F65" i="19" s="1"/>
  <c r="H65" i="19" s="1"/>
  <c r="B65" i="19"/>
  <c r="E143" i="43"/>
  <c r="F143" i="43" s="1"/>
  <c r="G143" i="43" s="1"/>
  <c r="J145" i="27"/>
  <c r="D147" i="27"/>
  <c r="B147" i="27" s="1"/>
  <c r="G146" i="27"/>
  <c r="E145" i="31"/>
  <c r="F145" i="31" s="1"/>
  <c r="D60" i="62"/>
  <c r="H59" i="62"/>
  <c r="G59" i="62"/>
  <c r="D56" i="13"/>
  <c r="E56" i="13" s="1"/>
  <c r="G55" i="13"/>
  <c r="H55" i="13"/>
  <c r="J142" i="73"/>
  <c r="D64" i="20"/>
  <c r="E64" i="20" s="1"/>
  <c r="D57" i="87"/>
  <c r="E57" i="87" s="1"/>
  <c r="B65" i="18"/>
  <c r="I63" i="73"/>
  <c r="D57" i="26"/>
  <c r="J143" i="21"/>
  <c r="E144" i="19"/>
  <c r="F144" i="19" s="1"/>
  <c r="G144" i="19" s="1"/>
  <c r="J145" i="30"/>
  <c r="E145" i="32"/>
  <c r="F145" i="32" s="1"/>
  <c r="G145" i="32" s="1"/>
  <c r="G63" i="20"/>
  <c r="I63" i="20" s="1"/>
  <c r="D58" i="33"/>
  <c r="E65" i="18"/>
  <c r="F65" i="18" s="1"/>
  <c r="J143" i="22"/>
  <c r="H56" i="26"/>
  <c r="I56" i="26" s="1"/>
  <c r="F60" i="59"/>
  <c r="G60" i="59" s="1"/>
  <c r="B60" i="59"/>
  <c r="I64" i="18"/>
  <c r="F64" i="73"/>
  <c r="G64" i="73" s="1"/>
  <c r="B64" i="73"/>
  <c r="B136" i="92"/>
  <c r="F136" i="92"/>
  <c r="G146" i="30"/>
  <c r="D147" i="30"/>
  <c r="H135" i="88"/>
  <c r="I135" i="88"/>
  <c r="E137" i="91"/>
  <c r="G136" i="91"/>
  <c r="D137" i="91"/>
  <c r="F141" i="46"/>
  <c r="B141" i="46"/>
  <c r="D145" i="22"/>
  <c r="G144" i="22"/>
  <c r="B136" i="86"/>
  <c r="F136" i="86"/>
  <c r="B140" i="61"/>
  <c r="F140" i="61"/>
  <c r="H135" i="84"/>
  <c r="I135" i="84"/>
  <c r="H141" i="74"/>
  <c r="I141" i="74"/>
  <c r="B138" i="78"/>
  <c r="F138" i="78"/>
  <c r="H139" i="64"/>
  <c r="I139" i="64"/>
  <c r="F141" i="72"/>
  <c r="B141" i="72"/>
  <c r="I145" i="70"/>
  <c r="H145" i="70"/>
  <c r="I143" i="20"/>
  <c r="H143" i="20"/>
  <c r="F141" i="58"/>
  <c r="B141" i="58"/>
  <c r="F136" i="88"/>
  <c r="B136" i="88"/>
  <c r="I139" i="60"/>
  <c r="H139" i="60"/>
  <c r="H143" i="34"/>
  <c r="I143" i="34"/>
  <c r="H135" i="86"/>
  <c r="I135" i="86"/>
  <c r="I142" i="39"/>
  <c r="H142" i="39"/>
  <c r="I139" i="63"/>
  <c r="H139" i="63"/>
  <c r="I139" i="65"/>
  <c r="H139" i="65"/>
  <c r="J144" i="24"/>
  <c r="H145" i="29"/>
  <c r="I145" i="29"/>
  <c r="I137" i="79"/>
  <c r="H137" i="79"/>
  <c r="H136" i="85"/>
  <c r="I136" i="85"/>
  <c r="H143" i="19"/>
  <c r="I143" i="19"/>
  <c r="I138" i="68"/>
  <c r="H138" i="68"/>
  <c r="I135" i="90"/>
  <c r="H135" i="90"/>
  <c r="I140" i="46"/>
  <c r="H140" i="46"/>
  <c r="H145" i="69"/>
  <c r="I145" i="69"/>
  <c r="F143" i="39"/>
  <c r="B143" i="39"/>
  <c r="I139" i="61"/>
  <c r="H139" i="61"/>
  <c r="J139" i="62"/>
  <c r="F139" i="66"/>
  <c r="B139" i="66"/>
  <c r="B142" i="74"/>
  <c r="F142" i="74"/>
  <c r="B140" i="65"/>
  <c r="F140" i="65"/>
  <c r="B140" i="64"/>
  <c r="F140" i="64"/>
  <c r="I142" i="43"/>
  <c r="H142" i="43"/>
  <c r="J142" i="41"/>
  <c r="I135" i="92"/>
  <c r="H135" i="92"/>
  <c r="G140" i="62"/>
  <c r="D141" i="62"/>
  <c r="E141" i="62" s="1"/>
  <c r="I144" i="32"/>
  <c r="H144" i="32"/>
  <c r="F136" i="90"/>
  <c r="B136" i="90"/>
  <c r="B141" i="53"/>
  <c r="F141" i="53"/>
  <c r="E138" i="81"/>
  <c r="D138" i="81"/>
  <c r="G137" i="81"/>
  <c r="I137" i="78"/>
  <c r="H137" i="78"/>
  <c r="H140" i="72"/>
  <c r="I140" i="72"/>
  <c r="I144" i="31"/>
  <c r="H144" i="31"/>
  <c r="B146" i="29"/>
  <c r="E146" i="29"/>
  <c r="F146" i="29" s="1"/>
  <c r="B138" i="79"/>
  <c r="F138" i="79"/>
  <c r="B137" i="85"/>
  <c r="F137" i="85"/>
  <c r="E137" i="89"/>
  <c r="D137" i="89"/>
  <c r="G136" i="89"/>
  <c r="B140" i="60"/>
  <c r="F140" i="60"/>
  <c r="B139" i="68"/>
  <c r="F139" i="68"/>
  <c r="D138" i="26"/>
  <c r="E138" i="26" s="1"/>
  <c r="G137" i="26"/>
  <c r="D143" i="45"/>
  <c r="E143" i="45" s="1"/>
  <c r="G142" i="45"/>
  <c r="F146" i="69"/>
  <c r="B146" i="69"/>
  <c r="F140" i="63"/>
  <c r="B140" i="63"/>
  <c r="D144" i="73"/>
  <c r="E144" i="73"/>
  <c r="G143" i="73"/>
  <c r="H140" i="53"/>
  <c r="I140" i="53"/>
  <c r="J141" i="45"/>
  <c r="H138" i="66"/>
  <c r="I138" i="66"/>
  <c r="F136" i="84"/>
  <c r="B136" i="84"/>
  <c r="F146" i="70"/>
  <c r="B146" i="70"/>
  <c r="B144" i="20"/>
  <c r="F144" i="20"/>
  <c r="I140" i="58"/>
  <c r="H140" i="58"/>
  <c r="E144" i="34"/>
  <c r="F144" i="34" s="1"/>
  <c r="D143" i="56"/>
  <c r="E143" i="56" s="1"/>
  <c r="G142" i="56"/>
  <c r="E145" i="18"/>
  <c r="F145" i="18" s="1"/>
  <c r="B145" i="18"/>
  <c r="H140" i="59"/>
  <c r="I140" i="59"/>
  <c r="J137" i="76"/>
  <c r="H145" i="23"/>
  <c r="I145" i="23"/>
  <c r="J141" i="56"/>
  <c r="E146" i="23"/>
  <c r="F146" i="23" s="1"/>
  <c r="B146" i="23"/>
  <c r="H144" i="18"/>
  <c r="I144" i="18"/>
  <c r="F141" i="59"/>
  <c r="B141" i="59"/>
  <c r="B146" i="71"/>
  <c r="F146" i="71"/>
  <c r="J137" i="77"/>
  <c r="H141" i="57"/>
  <c r="I141" i="57"/>
  <c r="I145" i="71"/>
  <c r="H145" i="71"/>
  <c r="J140" i="54"/>
  <c r="F142" i="57"/>
  <c r="B142" i="57"/>
  <c r="H135" i="96"/>
  <c r="I135" i="96"/>
  <c r="H136" i="82"/>
  <c r="I136" i="82"/>
  <c r="G135" i="33"/>
  <c r="D136" i="33"/>
  <c r="E136" i="33" s="1"/>
  <c r="H136" i="94"/>
  <c r="I136" i="94"/>
  <c r="E139" i="77"/>
  <c r="G138" i="77"/>
  <c r="D139" i="77"/>
  <c r="E139" i="75"/>
  <c r="D139" i="75"/>
  <c r="G138" i="75"/>
  <c r="I136" i="95"/>
  <c r="H136" i="95"/>
  <c r="B147" i="28"/>
  <c r="F145" i="17"/>
  <c r="B145" i="17"/>
  <c r="J142" i="42"/>
  <c r="H143" i="3"/>
  <c r="I143" i="3"/>
  <c r="D138" i="83"/>
  <c r="E138" i="83"/>
  <c r="G137" i="83"/>
  <c r="G135" i="13"/>
  <c r="D136" i="13"/>
  <c r="E136" i="13" s="1"/>
  <c r="F137" i="82"/>
  <c r="B137" i="82"/>
  <c r="I142" i="44"/>
  <c r="H142" i="44"/>
  <c r="G143" i="42"/>
  <c r="D144" i="42"/>
  <c r="J140" i="55"/>
  <c r="D145" i="21"/>
  <c r="E145" i="21" s="1"/>
  <c r="G144" i="21"/>
  <c r="I135" i="87"/>
  <c r="H135" i="87"/>
  <c r="I138" i="67"/>
  <c r="H138" i="67"/>
  <c r="I146" i="28"/>
  <c r="H146" i="28"/>
  <c r="F144" i="3"/>
  <c r="B144" i="3"/>
  <c r="G136" i="93"/>
  <c r="D137" i="93"/>
  <c r="E137" i="93" s="1"/>
  <c r="B143" i="44"/>
  <c r="F143" i="44"/>
  <c r="F136" i="87"/>
  <c r="B136" i="87"/>
  <c r="B139" i="67"/>
  <c r="F139" i="67"/>
  <c r="B137" i="95"/>
  <c r="F137" i="95"/>
  <c r="H144" i="17"/>
  <c r="I144" i="17"/>
  <c r="D142" i="54"/>
  <c r="E142" i="54" s="1"/>
  <c r="G141" i="54"/>
  <c r="F136" i="96"/>
  <c r="B136" i="96"/>
  <c r="D146" i="24"/>
  <c r="E146" i="24" s="1"/>
  <c r="G145" i="24"/>
  <c r="J134" i="33"/>
  <c r="E138" i="80"/>
  <c r="D138" i="80"/>
  <c r="G137" i="80"/>
  <c r="B137" i="94"/>
  <c r="F137" i="94"/>
  <c r="G141" i="55"/>
  <c r="D142" i="55"/>
  <c r="E142" i="55" s="1"/>
  <c r="J137" i="75"/>
  <c r="D139" i="76"/>
  <c r="E139" i="76"/>
  <c r="G138" i="76"/>
  <c r="E147" i="28"/>
  <c r="F147" i="28" s="1"/>
  <c r="E56" i="25" l="1"/>
  <c r="F56" i="25" s="1"/>
  <c r="B56" i="25"/>
  <c r="I60" i="65"/>
  <c r="I135" i="25"/>
  <c r="H135" i="25"/>
  <c r="E136" i="25"/>
  <c r="F136" i="25" s="1"/>
  <c r="B136" i="25"/>
  <c r="G55" i="98"/>
  <c r="I55" i="98" s="1"/>
  <c r="I71" i="97"/>
  <c r="G65" i="99"/>
  <c r="F72" i="97"/>
  <c r="E66" i="99"/>
  <c r="F66" i="99" s="1"/>
  <c r="D67" i="99" s="1"/>
  <c r="B66" i="99"/>
  <c r="D56" i="98"/>
  <c r="E56" i="98" s="1"/>
  <c r="I64" i="99"/>
  <c r="H65" i="99"/>
  <c r="I63" i="46"/>
  <c r="H135" i="99"/>
  <c r="I135" i="99"/>
  <c r="B136" i="99"/>
  <c r="F136" i="99"/>
  <c r="I63" i="58"/>
  <c r="E64" i="58"/>
  <c r="F64" i="58" s="1"/>
  <c r="B64" i="58"/>
  <c r="H66" i="24"/>
  <c r="I66" i="24" s="1"/>
  <c r="D145" i="19"/>
  <c r="B145" i="19" s="1"/>
  <c r="I59" i="68"/>
  <c r="E62" i="67"/>
  <c r="F62" i="67" s="1"/>
  <c r="B62" i="67"/>
  <c r="H61" i="65"/>
  <c r="I61" i="65" s="1"/>
  <c r="I64" i="41"/>
  <c r="H64" i="39"/>
  <c r="I64" i="39" s="1"/>
  <c r="D146" i="32"/>
  <c r="E146" i="32" s="1"/>
  <c r="F146" i="32" s="1"/>
  <c r="D137" i="98"/>
  <c r="G136" i="98"/>
  <c r="E137" i="98"/>
  <c r="D137" i="97"/>
  <c r="G136" i="97"/>
  <c r="E137" i="97"/>
  <c r="G56" i="94"/>
  <c r="I56" i="94" s="1"/>
  <c r="I59" i="82"/>
  <c r="I60" i="67"/>
  <c r="B61" i="67"/>
  <c r="G61" i="67"/>
  <c r="H61" i="67"/>
  <c r="E65" i="46"/>
  <c r="F65" i="46" s="1"/>
  <c r="H65" i="46" s="1"/>
  <c r="B65" i="46"/>
  <c r="B64" i="46"/>
  <c r="G64" i="46"/>
  <c r="H64" i="46"/>
  <c r="I69" i="28"/>
  <c r="D67" i="24"/>
  <c r="E67" i="24" s="1"/>
  <c r="F67" i="24" s="1"/>
  <c r="D68" i="24" s="1"/>
  <c r="I60" i="61"/>
  <c r="D56" i="93"/>
  <c r="E56" i="93" s="1"/>
  <c r="D59" i="80"/>
  <c r="E59" i="80" s="1"/>
  <c r="B60" i="82"/>
  <c r="I55" i="13"/>
  <c r="I62" i="45"/>
  <c r="G55" i="93"/>
  <c r="H58" i="80"/>
  <c r="D67" i="27"/>
  <c r="G66" i="27"/>
  <c r="H66" i="27"/>
  <c r="E60" i="82"/>
  <c r="F60" i="82" s="1"/>
  <c r="H61" i="64"/>
  <c r="I61" i="64" s="1"/>
  <c r="I68" i="29"/>
  <c r="H57" i="91"/>
  <c r="I57" i="91" s="1"/>
  <c r="I63" i="55"/>
  <c r="H55" i="93"/>
  <c r="H143" i="41"/>
  <c r="J143" i="41" s="1"/>
  <c r="G58" i="80"/>
  <c r="D57" i="94"/>
  <c r="E57" i="94" s="1"/>
  <c r="E58" i="86"/>
  <c r="F58" i="86" s="1"/>
  <c r="B58" i="86"/>
  <c r="D62" i="66"/>
  <c r="B62" i="66" s="1"/>
  <c r="D70" i="71"/>
  <c r="B70" i="71" s="1"/>
  <c r="I67" i="23"/>
  <c r="I59" i="75"/>
  <c r="D63" i="53"/>
  <c r="H62" i="53"/>
  <c r="G58" i="90"/>
  <c r="D59" i="90"/>
  <c r="B144" i="41"/>
  <c r="G56" i="89"/>
  <c r="I56" i="89" s="1"/>
  <c r="G57" i="84"/>
  <c r="I57" i="84" s="1"/>
  <c r="D58" i="84"/>
  <c r="E58" i="84" s="1"/>
  <c r="H58" i="90"/>
  <c r="H61" i="66"/>
  <c r="G61" i="66"/>
  <c r="B61" i="66"/>
  <c r="E64" i="55"/>
  <c r="F64" i="55" s="1"/>
  <c r="B64" i="55"/>
  <c r="B60" i="75"/>
  <c r="I60" i="66"/>
  <c r="D58" i="91"/>
  <c r="E58" i="91" s="1"/>
  <c r="G62" i="53"/>
  <c r="G66" i="42"/>
  <c r="I66" i="42" s="1"/>
  <c r="D67" i="42"/>
  <c r="E67" i="42" s="1"/>
  <c r="F67" i="42" s="1"/>
  <c r="E68" i="23"/>
  <c r="F68" i="23" s="1"/>
  <c r="E60" i="75"/>
  <c r="F60" i="75" s="1"/>
  <c r="H60" i="75" s="1"/>
  <c r="D67" i="22"/>
  <c r="E67" i="22" s="1"/>
  <c r="H66" i="22"/>
  <c r="G66" i="22"/>
  <c r="D64" i="72"/>
  <c r="E64" i="72" s="1"/>
  <c r="F64" i="72" s="1"/>
  <c r="H60" i="59"/>
  <c r="I60" i="59" s="1"/>
  <c r="I68" i="71"/>
  <c r="E69" i="3"/>
  <c r="F69" i="3" s="1"/>
  <c r="D70" i="3" s="1"/>
  <c r="B70" i="3" s="1"/>
  <c r="H58" i="76"/>
  <c r="I58" i="76" s="1"/>
  <c r="D59" i="76"/>
  <c r="E59" i="76" s="1"/>
  <c r="I63" i="44"/>
  <c r="D56" i="96"/>
  <c r="E56" i="96" s="1"/>
  <c r="E61" i="61"/>
  <c r="F61" i="61" s="1"/>
  <c r="H61" i="61" s="1"/>
  <c r="B61" i="61"/>
  <c r="B63" i="72"/>
  <c r="G63" i="72"/>
  <c r="H63" i="72"/>
  <c r="B66" i="34"/>
  <c r="I68" i="3"/>
  <c r="F64" i="44"/>
  <c r="H64" i="44" s="1"/>
  <c r="B64" i="44"/>
  <c r="G55" i="96"/>
  <c r="I65" i="34"/>
  <c r="D65" i="39"/>
  <c r="E65" i="39" s="1"/>
  <c r="H55" i="96"/>
  <c r="F58" i="85"/>
  <c r="H58" i="85" s="1"/>
  <c r="B58" i="85"/>
  <c r="F56" i="95"/>
  <c r="G56" i="95" s="1"/>
  <c r="B56" i="95"/>
  <c r="H57" i="81"/>
  <c r="I57" i="81" s="1"/>
  <c r="D58" i="81"/>
  <c r="I62" i="72"/>
  <c r="E66" i="34"/>
  <c r="F66" i="34" s="1"/>
  <c r="I68" i="69"/>
  <c r="I61" i="56"/>
  <c r="H60" i="63"/>
  <c r="D61" i="63"/>
  <c r="G60" i="63"/>
  <c r="B69" i="69"/>
  <c r="B62" i="65"/>
  <c r="E62" i="65"/>
  <c r="F62" i="65" s="1"/>
  <c r="B69" i="29"/>
  <c r="G65" i="19"/>
  <c r="I65" i="19" s="1"/>
  <c r="D66" i="19"/>
  <c r="G60" i="68"/>
  <c r="I60" i="68" s="1"/>
  <c r="D61" i="68"/>
  <c r="E61" i="68" s="1"/>
  <c r="F61" i="68" s="1"/>
  <c r="H58" i="77"/>
  <c r="I61" i="54"/>
  <c r="G67" i="32"/>
  <c r="I67" i="32" s="1"/>
  <c r="D68" i="32"/>
  <c r="B63" i="45"/>
  <c r="E69" i="29"/>
  <c r="F69" i="29" s="1"/>
  <c r="H64" i="73"/>
  <c r="I64" i="73" s="1"/>
  <c r="G58" i="77"/>
  <c r="I64" i="43"/>
  <c r="E62" i="60"/>
  <c r="F62" i="60" s="1"/>
  <c r="G62" i="60" s="1"/>
  <c r="B62" i="60"/>
  <c r="E62" i="56"/>
  <c r="F62" i="56" s="1"/>
  <c r="H62" i="56" s="1"/>
  <c r="B62" i="56"/>
  <c r="B57" i="83"/>
  <c r="F57" i="83"/>
  <c r="H57" i="83" s="1"/>
  <c r="B65" i="74"/>
  <c r="G65" i="74"/>
  <c r="H65" i="74"/>
  <c r="B58" i="88"/>
  <c r="F58" i="88"/>
  <c r="D59" i="88" s="1"/>
  <c r="D59" i="79"/>
  <c r="E63" i="45"/>
  <c r="F63" i="45" s="1"/>
  <c r="I66" i="30"/>
  <c r="E70" i="28"/>
  <c r="F70" i="28" s="1"/>
  <c r="B70" i="28"/>
  <c r="E59" i="77"/>
  <c r="F59" i="77" s="1"/>
  <c r="B59" i="77"/>
  <c r="G64" i="21"/>
  <c r="D65" i="21"/>
  <c r="B65" i="43"/>
  <c r="B67" i="30"/>
  <c r="F67" i="17"/>
  <c r="D68" i="17" s="1"/>
  <c r="B67" i="17"/>
  <c r="E69" i="69"/>
  <c r="F69" i="69" s="1"/>
  <c r="F62" i="57"/>
  <c r="G62" i="57" s="1"/>
  <c r="B62" i="57"/>
  <c r="D66" i="74"/>
  <c r="E66" i="74" s="1"/>
  <c r="F66" i="74" s="1"/>
  <c r="I57" i="88"/>
  <c r="D57" i="89"/>
  <c r="E57" i="89" s="1"/>
  <c r="B68" i="31"/>
  <c r="F68" i="31"/>
  <c r="B61" i="60"/>
  <c r="H61" i="60"/>
  <c r="G61" i="60"/>
  <c r="G56" i="92"/>
  <c r="I56" i="92" s="1"/>
  <c r="D57" i="92"/>
  <c r="E57" i="92" s="1"/>
  <c r="D62" i="64"/>
  <c r="H64" i="21"/>
  <c r="F68" i="70"/>
  <c r="G68" i="70" s="1"/>
  <c r="B68" i="70"/>
  <c r="H58" i="78"/>
  <c r="I58" i="78" s="1"/>
  <c r="D59" i="78"/>
  <c r="E65" i="43"/>
  <c r="F65" i="43" s="1"/>
  <c r="H65" i="43" s="1"/>
  <c r="B69" i="71"/>
  <c r="G69" i="71"/>
  <c r="H69" i="71"/>
  <c r="G58" i="79"/>
  <c r="I58" i="79" s="1"/>
  <c r="E62" i="54"/>
  <c r="F62" i="54" s="1"/>
  <c r="B62" i="54"/>
  <c r="B65" i="41"/>
  <c r="F65" i="41"/>
  <c r="E67" i="30"/>
  <c r="F67" i="30" s="1"/>
  <c r="D68" i="30" s="1"/>
  <c r="E147" i="27"/>
  <c r="F147" i="27" s="1"/>
  <c r="J145" i="69"/>
  <c r="I146" i="27"/>
  <c r="H146" i="27"/>
  <c r="J140" i="46"/>
  <c r="J137" i="79"/>
  <c r="J140" i="53"/>
  <c r="J143" i="34"/>
  <c r="J139" i="64"/>
  <c r="J141" i="74"/>
  <c r="J145" i="29"/>
  <c r="J144" i="18"/>
  <c r="J140" i="59"/>
  <c r="J138" i="66"/>
  <c r="J139" i="63"/>
  <c r="J139" i="60"/>
  <c r="J143" i="20"/>
  <c r="D66" i="18"/>
  <c r="E66" i="18" s="1"/>
  <c r="H65" i="18"/>
  <c r="G65" i="18"/>
  <c r="B58" i="33"/>
  <c r="E58" i="33"/>
  <c r="F58" i="33" s="1"/>
  <c r="I59" i="62"/>
  <c r="B57" i="87"/>
  <c r="F57" i="87"/>
  <c r="G57" i="87" s="1"/>
  <c r="D144" i="43"/>
  <c r="B144" i="43" s="1"/>
  <c r="B57" i="26"/>
  <c r="B60" i="62"/>
  <c r="D65" i="73"/>
  <c r="E65" i="73" s="1"/>
  <c r="D61" i="59"/>
  <c r="E61" i="59" s="1"/>
  <c r="E57" i="26"/>
  <c r="F57" i="26" s="1"/>
  <c r="B64" i="20"/>
  <c r="F64" i="20"/>
  <c r="H64" i="20" s="1"/>
  <c r="B56" i="13"/>
  <c r="F56" i="13"/>
  <c r="G56" i="13" s="1"/>
  <c r="E60" i="62"/>
  <c r="F60" i="62" s="1"/>
  <c r="D145" i="34"/>
  <c r="B145" i="34" s="1"/>
  <c r="G144" i="34"/>
  <c r="F144" i="73"/>
  <c r="B144" i="73"/>
  <c r="E147" i="69"/>
  <c r="D147" i="69"/>
  <c r="G146" i="69"/>
  <c r="I137" i="26"/>
  <c r="H137" i="26"/>
  <c r="B137" i="89"/>
  <c r="F137" i="89"/>
  <c r="D139" i="79"/>
  <c r="G138" i="79"/>
  <c r="E139" i="79"/>
  <c r="D137" i="90"/>
  <c r="E137" i="90"/>
  <c r="G136" i="90"/>
  <c r="B141" i="62"/>
  <c r="F141" i="62"/>
  <c r="I145" i="32"/>
  <c r="H145" i="32"/>
  <c r="I144" i="19"/>
  <c r="H144" i="19"/>
  <c r="G140" i="61"/>
  <c r="D141" i="61"/>
  <c r="E141" i="61" s="1"/>
  <c r="H144" i="22"/>
  <c r="I144" i="22"/>
  <c r="H136" i="91"/>
  <c r="I136" i="91"/>
  <c r="J142" i="44"/>
  <c r="I142" i="45"/>
  <c r="H142" i="45"/>
  <c r="G140" i="60"/>
  <c r="D141" i="60"/>
  <c r="E141" i="60" s="1"/>
  <c r="J144" i="31"/>
  <c r="J137" i="78"/>
  <c r="G141" i="53"/>
  <c r="D142" i="53"/>
  <c r="E142" i="53" s="1"/>
  <c r="I140" i="62"/>
  <c r="H140" i="62"/>
  <c r="G140" i="65"/>
  <c r="D141" i="65"/>
  <c r="E141" i="65" s="1"/>
  <c r="J139" i="61"/>
  <c r="J138" i="68"/>
  <c r="J139" i="65"/>
  <c r="J142" i="39"/>
  <c r="G141" i="58"/>
  <c r="D142" i="58"/>
  <c r="E142" i="58" s="1"/>
  <c r="J145" i="70"/>
  <c r="E145" i="22"/>
  <c r="F145" i="22" s="1"/>
  <c r="B145" i="22"/>
  <c r="G144" i="41"/>
  <c r="D145" i="41"/>
  <c r="I146" i="30"/>
  <c r="H146" i="30"/>
  <c r="J140" i="58"/>
  <c r="D147" i="70"/>
  <c r="G146" i="70"/>
  <c r="E147" i="70"/>
  <c r="H143" i="73"/>
  <c r="I143" i="73"/>
  <c r="G140" i="63"/>
  <c r="D141" i="63"/>
  <c r="E141" i="63" s="1"/>
  <c r="B143" i="45"/>
  <c r="F143" i="45"/>
  <c r="B138" i="26"/>
  <c r="F138" i="26"/>
  <c r="G137" i="85"/>
  <c r="E138" i="85"/>
  <c r="D138" i="85"/>
  <c r="G146" i="29"/>
  <c r="D147" i="29"/>
  <c r="J140" i="72"/>
  <c r="H137" i="81"/>
  <c r="I137" i="81"/>
  <c r="J144" i="32"/>
  <c r="J142" i="43"/>
  <c r="D140" i="66"/>
  <c r="E140" i="66"/>
  <c r="G139" i="66"/>
  <c r="J143" i="19"/>
  <c r="D146" i="31"/>
  <c r="G145" i="31"/>
  <c r="E139" i="78"/>
  <c r="D139" i="78"/>
  <c r="G138" i="78"/>
  <c r="G136" i="86"/>
  <c r="D137" i="86"/>
  <c r="E137" i="86"/>
  <c r="D137" i="92"/>
  <c r="E137" i="92"/>
  <c r="G136" i="92"/>
  <c r="E137" i="84"/>
  <c r="G136" i="84"/>
  <c r="D137" i="84"/>
  <c r="E147" i="30"/>
  <c r="F147" i="30" s="1"/>
  <c r="B147" i="30"/>
  <c r="D145" i="20"/>
  <c r="B145" i="20" s="1"/>
  <c r="G144" i="20"/>
  <c r="G139" i="68"/>
  <c r="D140" i="68"/>
  <c r="E140" i="68"/>
  <c r="I136" i="89"/>
  <c r="H136" i="89"/>
  <c r="F138" i="81"/>
  <c r="B138" i="81"/>
  <c r="D141" i="64"/>
  <c r="E141" i="64" s="1"/>
  <c r="G140" i="64"/>
  <c r="D143" i="74"/>
  <c r="E143" i="74"/>
  <c r="G142" i="74"/>
  <c r="G143" i="39"/>
  <c r="D144" i="39"/>
  <c r="B144" i="39" s="1"/>
  <c r="H143" i="43"/>
  <c r="I143" i="43"/>
  <c r="G136" i="88"/>
  <c r="E137" i="88"/>
  <c r="D137" i="88"/>
  <c r="G141" i="72"/>
  <c r="E142" i="72"/>
  <c r="D142" i="72"/>
  <c r="D142" i="46"/>
  <c r="E142" i="46" s="1"/>
  <c r="G141" i="46"/>
  <c r="B137" i="91"/>
  <c r="F137" i="91"/>
  <c r="G146" i="23"/>
  <c r="D147" i="23"/>
  <c r="J145" i="71"/>
  <c r="J145" i="23"/>
  <c r="J144" i="17"/>
  <c r="J141" i="57"/>
  <c r="D146" i="18"/>
  <c r="G145" i="18"/>
  <c r="H142" i="56"/>
  <c r="I142" i="56"/>
  <c r="D142" i="59"/>
  <c r="E142" i="59" s="1"/>
  <c r="G141" i="59"/>
  <c r="F143" i="56"/>
  <c r="B143" i="56"/>
  <c r="G146" i="71"/>
  <c r="D147" i="71"/>
  <c r="E147" i="71" s="1"/>
  <c r="J138" i="67"/>
  <c r="J146" i="28"/>
  <c r="D143" i="57"/>
  <c r="E143" i="57" s="1"/>
  <c r="G142" i="57"/>
  <c r="D148" i="28"/>
  <c r="G147" i="28"/>
  <c r="I138" i="76"/>
  <c r="H138" i="76"/>
  <c r="H145" i="24"/>
  <c r="I145" i="24"/>
  <c r="I141" i="54"/>
  <c r="H141" i="54"/>
  <c r="F137" i="93"/>
  <c r="B137" i="93"/>
  <c r="G144" i="3"/>
  <c r="D145" i="3"/>
  <c r="E145" i="3" s="1"/>
  <c r="B145" i="21"/>
  <c r="F145" i="21"/>
  <c r="B136" i="13"/>
  <c r="F136" i="13"/>
  <c r="J143" i="3"/>
  <c r="I138" i="77"/>
  <c r="H138" i="77"/>
  <c r="F142" i="55"/>
  <c r="B142" i="55"/>
  <c r="H137" i="80"/>
  <c r="I137" i="80"/>
  <c r="G136" i="96"/>
  <c r="D137" i="96"/>
  <c r="E137" i="96" s="1"/>
  <c r="D140" i="67"/>
  <c r="G139" i="67"/>
  <c r="E140" i="67"/>
  <c r="D144" i="44"/>
  <c r="E144" i="44" s="1"/>
  <c r="G143" i="44"/>
  <c r="I136" i="93"/>
  <c r="H136" i="93"/>
  <c r="B144" i="42"/>
  <c r="H135" i="13"/>
  <c r="I135" i="13"/>
  <c r="I137" i="83"/>
  <c r="H137" i="83"/>
  <c r="B146" i="24"/>
  <c r="F146" i="24"/>
  <c r="F142" i="54"/>
  <c r="B142" i="54"/>
  <c r="D138" i="95"/>
  <c r="E138" i="95" s="1"/>
  <c r="G137" i="95"/>
  <c r="D137" i="87"/>
  <c r="G136" i="87"/>
  <c r="E137" i="87"/>
  <c r="E144" i="42"/>
  <c r="F144" i="42" s="1"/>
  <c r="I138" i="75"/>
  <c r="H138" i="75"/>
  <c r="B136" i="33"/>
  <c r="F136" i="33"/>
  <c r="F139" i="76"/>
  <c r="B139" i="76"/>
  <c r="I141" i="55"/>
  <c r="H141" i="55"/>
  <c r="B138" i="80"/>
  <c r="F138" i="80"/>
  <c r="G137" i="94"/>
  <c r="D138" i="94"/>
  <c r="E138" i="94" s="1"/>
  <c r="I144" i="21"/>
  <c r="H144" i="21"/>
  <c r="H143" i="42"/>
  <c r="I143" i="42"/>
  <c r="D138" i="82"/>
  <c r="G137" i="82"/>
  <c r="E138" i="82"/>
  <c r="F138" i="83"/>
  <c r="B138" i="83"/>
  <c r="G145" i="17"/>
  <c r="D146" i="17"/>
  <c r="E146" i="17" s="1"/>
  <c r="B139" i="75"/>
  <c r="F139" i="75"/>
  <c r="F139" i="77"/>
  <c r="B139" i="77"/>
  <c r="I135" i="33"/>
  <c r="H135" i="33"/>
  <c r="I55" i="93" l="1"/>
  <c r="D57" i="25"/>
  <c r="H56" i="25"/>
  <c r="G56" i="25"/>
  <c r="G136" i="25"/>
  <c r="D137" i="25"/>
  <c r="J135" i="25"/>
  <c r="E145" i="19"/>
  <c r="F145" i="19" s="1"/>
  <c r="G145" i="19" s="1"/>
  <c r="I65" i="99"/>
  <c r="E145" i="34"/>
  <c r="F145" i="34" s="1"/>
  <c r="D146" i="34" s="1"/>
  <c r="E146" i="34" s="1"/>
  <c r="F56" i="98"/>
  <c r="G56" i="98" s="1"/>
  <c r="B56" i="98"/>
  <c r="E67" i="99"/>
  <c r="F67" i="99" s="1"/>
  <c r="D68" i="99" s="1"/>
  <c r="B67" i="99"/>
  <c r="H66" i="99"/>
  <c r="G66" i="99"/>
  <c r="G72" i="97"/>
  <c r="G73" i="97" s="1"/>
  <c r="H72" i="97"/>
  <c r="G136" i="99"/>
  <c r="E137" i="99"/>
  <c r="D137" i="99"/>
  <c r="B146" i="32"/>
  <c r="D65" i="58"/>
  <c r="H64" i="58"/>
  <c r="G64" i="58"/>
  <c r="G65" i="46"/>
  <c r="I65" i="46" s="1"/>
  <c r="D63" i="67"/>
  <c r="B63" i="67" s="1"/>
  <c r="G62" i="67"/>
  <c r="H62" i="67"/>
  <c r="I61" i="67"/>
  <c r="F137" i="97"/>
  <c r="B137" i="97"/>
  <c r="H136" i="98"/>
  <c r="I136" i="98"/>
  <c r="I136" i="97"/>
  <c r="H136" i="97"/>
  <c r="F137" i="98"/>
  <c r="B137" i="98"/>
  <c r="I64" i="46"/>
  <c r="D66" i="46"/>
  <c r="E66" i="46" s="1"/>
  <c r="F66" i="46" s="1"/>
  <c r="D67" i="46" s="1"/>
  <c r="E68" i="24"/>
  <c r="F68" i="24" s="1"/>
  <c r="D69" i="24" s="1"/>
  <c r="B68" i="24"/>
  <c r="B67" i="24"/>
  <c r="G67" i="24"/>
  <c r="H67" i="24"/>
  <c r="H67" i="17"/>
  <c r="H69" i="3"/>
  <c r="D59" i="86"/>
  <c r="E59" i="86" s="1"/>
  <c r="F59" i="86" s="1"/>
  <c r="G58" i="86"/>
  <c r="H58" i="86"/>
  <c r="G64" i="44"/>
  <c r="I64" i="44" s="1"/>
  <c r="I61" i="66"/>
  <c r="F57" i="94"/>
  <c r="D58" i="94" s="1"/>
  <c r="B57" i="94"/>
  <c r="E67" i="27"/>
  <c r="F67" i="27" s="1"/>
  <c r="B67" i="27"/>
  <c r="E70" i="3"/>
  <c r="F70" i="3" s="1"/>
  <c r="D71" i="3" s="1"/>
  <c r="E71" i="3" s="1"/>
  <c r="G69" i="3"/>
  <c r="H60" i="82"/>
  <c r="D61" i="82"/>
  <c r="I58" i="80"/>
  <c r="G60" i="82"/>
  <c r="F59" i="80"/>
  <c r="B59" i="80"/>
  <c r="I66" i="27"/>
  <c r="F56" i="93"/>
  <c r="G56" i="93" s="1"/>
  <c r="B56" i="93"/>
  <c r="G64" i="55"/>
  <c r="D65" i="55"/>
  <c r="H64" i="55"/>
  <c r="H67" i="42"/>
  <c r="D68" i="42"/>
  <c r="G68" i="23"/>
  <c r="D69" i="23"/>
  <c r="B69" i="23" s="1"/>
  <c r="H68" i="23"/>
  <c r="I58" i="90"/>
  <c r="B63" i="53"/>
  <c r="I66" i="22"/>
  <c r="I62" i="53"/>
  <c r="E70" i="71"/>
  <c r="F70" i="71" s="1"/>
  <c r="B67" i="42"/>
  <c r="G67" i="42"/>
  <c r="F58" i="91"/>
  <c r="B58" i="91"/>
  <c r="B58" i="84"/>
  <c r="F58" i="84"/>
  <c r="G58" i="84" s="1"/>
  <c r="E62" i="66"/>
  <c r="F62" i="66" s="1"/>
  <c r="I58" i="77"/>
  <c r="D61" i="75"/>
  <c r="E61" i="75" s="1"/>
  <c r="G60" i="75"/>
  <c r="I60" i="75" s="1"/>
  <c r="E59" i="90"/>
  <c r="F59" i="90" s="1"/>
  <c r="G59" i="90" s="1"/>
  <c r="B59" i="90"/>
  <c r="E63" i="53"/>
  <c r="F63" i="53" s="1"/>
  <c r="G63" i="45"/>
  <c r="H63" i="45"/>
  <c r="H66" i="34"/>
  <c r="G66" i="34"/>
  <c r="D67" i="34"/>
  <c r="B67" i="34" s="1"/>
  <c r="G67" i="30"/>
  <c r="I63" i="72"/>
  <c r="D65" i="72"/>
  <c r="E65" i="72" s="1"/>
  <c r="F65" i="72" s="1"/>
  <c r="H67" i="30"/>
  <c r="B58" i="81"/>
  <c r="D59" i="85"/>
  <c r="B65" i="39"/>
  <c r="F65" i="39"/>
  <c r="G65" i="39" s="1"/>
  <c r="D62" i="61"/>
  <c r="E62" i="61" s="1"/>
  <c r="F62" i="61" s="1"/>
  <c r="F67" i="22"/>
  <c r="B67" i="22"/>
  <c r="E58" i="81"/>
  <c r="F58" i="81" s="1"/>
  <c r="H56" i="95"/>
  <c r="I56" i="95" s="1"/>
  <c r="D57" i="95"/>
  <c r="E57" i="95" s="1"/>
  <c r="G58" i="85"/>
  <c r="I58" i="85" s="1"/>
  <c r="I55" i="96"/>
  <c r="D65" i="44"/>
  <c r="E65" i="44" s="1"/>
  <c r="G61" i="61"/>
  <c r="I61" i="61" s="1"/>
  <c r="F56" i="96"/>
  <c r="H56" i="96" s="1"/>
  <c r="B56" i="96"/>
  <c r="B59" i="76"/>
  <c r="F59" i="76"/>
  <c r="G59" i="76" s="1"/>
  <c r="H64" i="72"/>
  <c r="G64" i="72"/>
  <c r="B64" i="72"/>
  <c r="G69" i="69"/>
  <c r="D70" i="69"/>
  <c r="H69" i="69"/>
  <c r="G62" i="54"/>
  <c r="D63" i="54"/>
  <c r="H62" i="54"/>
  <c r="D71" i="28"/>
  <c r="G70" i="28"/>
  <c r="H70" i="28"/>
  <c r="G69" i="29"/>
  <c r="D70" i="29"/>
  <c r="E70" i="29" s="1"/>
  <c r="F70" i="29" s="1"/>
  <c r="H69" i="29"/>
  <c r="H62" i="65"/>
  <c r="D63" i="65"/>
  <c r="B63" i="65" s="1"/>
  <c r="G62" i="65"/>
  <c r="H59" i="77"/>
  <c r="D60" i="77"/>
  <c r="E60" i="77" s="1"/>
  <c r="F60" i="77" s="1"/>
  <c r="D61" i="77" s="1"/>
  <c r="G59" i="77"/>
  <c r="H65" i="41"/>
  <c r="D66" i="41"/>
  <c r="B62" i="64"/>
  <c r="B65" i="21"/>
  <c r="E59" i="88"/>
  <c r="F59" i="88" s="1"/>
  <c r="B59" i="88"/>
  <c r="E61" i="63"/>
  <c r="F61" i="63" s="1"/>
  <c r="B61" i="63"/>
  <c r="B59" i="78"/>
  <c r="E62" i="64"/>
  <c r="F62" i="64" s="1"/>
  <c r="G68" i="31"/>
  <c r="D69" i="31"/>
  <c r="B66" i="74"/>
  <c r="G66" i="74"/>
  <c r="H66" i="74"/>
  <c r="E144" i="43"/>
  <c r="F144" i="43" s="1"/>
  <c r="G144" i="43" s="1"/>
  <c r="E68" i="30"/>
  <c r="F68" i="30" s="1"/>
  <c r="D69" i="30" s="1"/>
  <c r="B68" i="30"/>
  <c r="D66" i="43"/>
  <c r="E59" i="78"/>
  <c r="F59" i="78" s="1"/>
  <c r="H68" i="70"/>
  <c r="I68" i="70" s="1"/>
  <c r="D69" i="70"/>
  <c r="I61" i="60"/>
  <c r="G67" i="17"/>
  <c r="G58" i="88"/>
  <c r="H62" i="60"/>
  <c r="I62" i="60" s="1"/>
  <c r="D63" i="60"/>
  <c r="E63" i="60" s="1"/>
  <c r="F63" i="60" s="1"/>
  <c r="D64" i="60" s="1"/>
  <c r="D64" i="45"/>
  <c r="E64" i="45" s="1"/>
  <c r="E68" i="32"/>
  <c r="F68" i="32" s="1"/>
  <c r="B68" i="32"/>
  <c r="B61" i="68"/>
  <c r="H61" i="68"/>
  <c r="G61" i="68"/>
  <c r="E66" i="19"/>
  <c r="F66" i="19" s="1"/>
  <c r="B66" i="19"/>
  <c r="D67" i="74"/>
  <c r="E67" i="74" s="1"/>
  <c r="H62" i="57"/>
  <c r="I62" i="57" s="1"/>
  <c r="D63" i="57"/>
  <c r="E63" i="57" s="1"/>
  <c r="F63" i="57" s="1"/>
  <c r="B59" i="79"/>
  <c r="D58" i="83"/>
  <c r="E58" i="83" s="1"/>
  <c r="F57" i="89"/>
  <c r="G57" i="89" s="1"/>
  <c r="B57" i="89"/>
  <c r="E68" i="17"/>
  <c r="F68" i="17" s="1"/>
  <c r="B68" i="17"/>
  <c r="E59" i="79"/>
  <c r="F59" i="79" s="1"/>
  <c r="H59" i="79" s="1"/>
  <c r="D63" i="56"/>
  <c r="E63" i="56" s="1"/>
  <c r="D62" i="68"/>
  <c r="E62" i="68" s="1"/>
  <c r="F62" i="68" s="1"/>
  <c r="G65" i="41"/>
  <c r="I69" i="71"/>
  <c r="I64" i="21"/>
  <c r="B57" i="92"/>
  <c r="F57" i="92"/>
  <c r="G57" i="92" s="1"/>
  <c r="H68" i="31"/>
  <c r="G65" i="43"/>
  <c r="I65" i="43" s="1"/>
  <c r="E65" i="21"/>
  <c r="F65" i="21" s="1"/>
  <c r="H65" i="21" s="1"/>
  <c r="H58" i="88"/>
  <c r="I65" i="74"/>
  <c r="G57" i="83"/>
  <c r="I57" i="83" s="1"/>
  <c r="G62" i="56"/>
  <c r="I62" i="56" s="1"/>
  <c r="I60" i="63"/>
  <c r="J144" i="22"/>
  <c r="J146" i="27"/>
  <c r="D148" i="27"/>
  <c r="G147" i="27"/>
  <c r="J143" i="73"/>
  <c r="D58" i="26"/>
  <c r="E58" i="26" s="1"/>
  <c r="G57" i="26"/>
  <c r="H57" i="26"/>
  <c r="D61" i="62"/>
  <c r="E61" i="62" s="1"/>
  <c r="G60" i="62"/>
  <c r="H60" i="62"/>
  <c r="D57" i="13"/>
  <c r="I65" i="18"/>
  <c r="D59" i="33"/>
  <c r="E59" i="33" s="1"/>
  <c r="J138" i="75"/>
  <c r="J142" i="45"/>
  <c r="J145" i="32"/>
  <c r="J137" i="26"/>
  <c r="D65" i="20"/>
  <c r="G58" i="33"/>
  <c r="F66" i="18"/>
  <c r="G66" i="18" s="1"/>
  <c r="B66" i="18"/>
  <c r="D58" i="87"/>
  <c r="E58" i="87" s="1"/>
  <c r="E144" i="39"/>
  <c r="F144" i="39" s="1"/>
  <c r="G144" i="39" s="1"/>
  <c r="E145" i="20"/>
  <c r="F145" i="20" s="1"/>
  <c r="G145" i="20" s="1"/>
  <c r="H56" i="13"/>
  <c r="I56" i="13" s="1"/>
  <c r="G64" i="20"/>
  <c r="I64" i="20" s="1"/>
  <c r="B61" i="59"/>
  <c r="F61" i="59"/>
  <c r="G61" i="59" s="1"/>
  <c r="B65" i="73"/>
  <c r="F65" i="73"/>
  <c r="G65" i="73" s="1"/>
  <c r="H57" i="87"/>
  <c r="I57" i="87" s="1"/>
  <c r="H58" i="33"/>
  <c r="G137" i="91"/>
  <c r="E138" i="91"/>
  <c r="D138" i="91"/>
  <c r="F142" i="46"/>
  <c r="B142" i="46"/>
  <c r="F137" i="88"/>
  <c r="B137" i="88"/>
  <c r="H142" i="74"/>
  <c r="I142" i="74"/>
  <c r="F141" i="64"/>
  <c r="B141" i="64"/>
  <c r="I139" i="68"/>
  <c r="H139" i="68"/>
  <c r="F137" i="84"/>
  <c r="B137" i="84"/>
  <c r="I136" i="86"/>
  <c r="H136" i="86"/>
  <c r="E146" i="31"/>
  <c r="F146" i="31" s="1"/>
  <c r="B146" i="31"/>
  <c r="B140" i="66"/>
  <c r="F140" i="66"/>
  <c r="B138" i="85"/>
  <c r="F138" i="85"/>
  <c r="H140" i="63"/>
  <c r="I140" i="63"/>
  <c r="D146" i="22"/>
  <c r="G145" i="22"/>
  <c r="F142" i="58"/>
  <c r="B142" i="58"/>
  <c r="D147" i="32"/>
  <c r="G146" i="32"/>
  <c r="H140" i="65"/>
  <c r="I140" i="65"/>
  <c r="B142" i="53"/>
  <c r="F142" i="53"/>
  <c r="F141" i="60"/>
  <c r="B141" i="60"/>
  <c r="H140" i="61"/>
  <c r="I140" i="61"/>
  <c r="F139" i="79"/>
  <c r="B139" i="79"/>
  <c r="B142" i="72"/>
  <c r="F142" i="72"/>
  <c r="H136" i="84"/>
  <c r="I136" i="84"/>
  <c r="E145" i="73"/>
  <c r="G144" i="73"/>
  <c r="D145" i="73"/>
  <c r="H144" i="20"/>
  <c r="I144" i="20"/>
  <c r="D148" i="30"/>
  <c r="G147" i="30"/>
  <c r="F139" i="78"/>
  <c r="B139" i="78"/>
  <c r="I139" i="66"/>
  <c r="H139" i="66"/>
  <c r="E147" i="29"/>
  <c r="F147" i="29" s="1"/>
  <c r="B147" i="29"/>
  <c r="H137" i="85"/>
  <c r="I137" i="85"/>
  <c r="F147" i="70"/>
  <c r="B147" i="70"/>
  <c r="E145" i="41"/>
  <c r="F145" i="41" s="1"/>
  <c r="B145" i="41"/>
  <c r="F141" i="65"/>
  <c r="B141" i="65"/>
  <c r="J140" i="62"/>
  <c r="H140" i="60"/>
  <c r="I140" i="60"/>
  <c r="B141" i="61"/>
  <c r="F141" i="61"/>
  <c r="J144" i="19"/>
  <c r="F147" i="69"/>
  <c r="B147" i="69"/>
  <c r="H144" i="34"/>
  <c r="I144" i="34"/>
  <c r="B137" i="92"/>
  <c r="F137" i="92"/>
  <c r="I138" i="78"/>
  <c r="H138" i="78"/>
  <c r="D144" i="45"/>
  <c r="B144" i="45" s="1"/>
  <c r="G143" i="45"/>
  <c r="I146" i="70"/>
  <c r="H146" i="70"/>
  <c r="J146" i="30"/>
  <c r="I141" i="58"/>
  <c r="H141" i="58"/>
  <c r="I141" i="53"/>
  <c r="H141" i="53"/>
  <c r="D142" i="62"/>
  <c r="E142" i="62" s="1"/>
  <c r="G141" i="62"/>
  <c r="B137" i="90"/>
  <c r="F137" i="90"/>
  <c r="E138" i="89"/>
  <c r="G137" i="89"/>
  <c r="D138" i="89"/>
  <c r="H146" i="69"/>
  <c r="I146" i="69"/>
  <c r="H141" i="46"/>
  <c r="I141" i="46"/>
  <c r="I136" i="88"/>
  <c r="H136" i="88"/>
  <c r="B143" i="74"/>
  <c r="F143" i="74"/>
  <c r="J144" i="21"/>
  <c r="I141" i="72"/>
  <c r="H141" i="72"/>
  <c r="J143" i="43"/>
  <c r="H143" i="39"/>
  <c r="I143" i="39"/>
  <c r="I140" i="64"/>
  <c r="H140" i="64"/>
  <c r="G138" i="81"/>
  <c r="E139" i="81"/>
  <c r="D139" i="81"/>
  <c r="B140" i="68"/>
  <c r="F140" i="68"/>
  <c r="H136" i="92"/>
  <c r="I136" i="92"/>
  <c r="F137" i="86"/>
  <c r="B137" i="86"/>
  <c r="I145" i="31"/>
  <c r="H145" i="31"/>
  <c r="I146" i="29"/>
  <c r="H146" i="29"/>
  <c r="G138" i="26"/>
  <c r="D139" i="26"/>
  <c r="B141" i="63"/>
  <c r="F141" i="63"/>
  <c r="I144" i="41"/>
  <c r="H144" i="41"/>
  <c r="H136" i="90"/>
  <c r="I136" i="90"/>
  <c r="I138" i="79"/>
  <c r="H138" i="79"/>
  <c r="G143" i="56"/>
  <c r="D144" i="56"/>
  <c r="I145" i="18"/>
  <c r="H145" i="18"/>
  <c r="H146" i="23"/>
  <c r="I146" i="23"/>
  <c r="H141" i="59"/>
  <c r="I141" i="59"/>
  <c r="E146" i="18"/>
  <c r="F146" i="18" s="1"/>
  <c r="B146" i="18"/>
  <c r="B142" i="59"/>
  <c r="F142" i="59"/>
  <c r="J142" i="56"/>
  <c r="E147" i="23"/>
  <c r="F147" i="23" s="1"/>
  <c r="B147" i="23"/>
  <c r="J141" i="54"/>
  <c r="B147" i="71"/>
  <c r="F147" i="71"/>
  <c r="J138" i="76"/>
  <c r="I142" i="57"/>
  <c r="H142" i="57"/>
  <c r="H146" i="71"/>
  <c r="I146" i="71"/>
  <c r="F143" i="57"/>
  <c r="B143" i="57"/>
  <c r="J135" i="33"/>
  <c r="J138" i="77"/>
  <c r="D145" i="42"/>
  <c r="E145" i="42" s="1"/>
  <c r="G144" i="42"/>
  <c r="G139" i="77"/>
  <c r="D140" i="77"/>
  <c r="E140" i="77" s="1"/>
  <c r="J143" i="42"/>
  <c r="E140" i="76"/>
  <c r="D140" i="76"/>
  <c r="G139" i="76"/>
  <c r="I136" i="96"/>
  <c r="H136" i="96"/>
  <c r="D143" i="55"/>
  <c r="E143" i="55" s="1"/>
  <c r="G142" i="55"/>
  <c r="D137" i="13"/>
  <c r="E137" i="13" s="1"/>
  <c r="G136" i="13"/>
  <c r="G137" i="93"/>
  <c r="D138" i="93"/>
  <c r="E138" i="93" s="1"/>
  <c r="B148" i="28"/>
  <c r="I137" i="94"/>
  <c r="H137" i="94"/>
  <c r="D137" i="33"/>
  <c r="E137" i="33" s="1"/>
  <c r="G136" i="33"/>
  <c r="H136" i="87"/>
  <c r="I136" i="87"/>
  <c r="B138" i="95"/>
  <c r="F138" i="95"/>
  <c r="H139" i="67"/>
  <c r="I139" i="67"/>
  <c r="F145" i="3"/>
  <c r="B145" i="3"/>
  <c r="F146" i="17"/>
  <c r="B146" i="17"/>
  <c r="H137" i="82"/>
  <c r="I137" i="82"/>
  <c r="J141" i="55"/>
  <c r="F137" i="87"/>
  <c r="B137" i="87"/>
  <c r="D147" i="24"/>
  <c r="E147" i="24" s="1"/>
  <c r="G146" i="24"/>
  <c r="H143" i="44"/>
  <c r="I143" i="44"/>
  <c r="B140" i="67"/>
  <c r="F140" i="67"/>
  <c r="D146" i="21"/>
  <c r="E146" i="21" s="1"/>
  <c r="G145" i="21"/>
  <c r="I144" i="3"/>
  <c r="H144" i="3"/>
  <c r="E148" i="28"/>
  <c r="F148" i="28" s="1"/>
  <c r="E140" i="75"/>
  <c r="G139" i="75"/>
  <c r="D140" i="75"/>
  <c r="H145" i="17"/>
  <c r="I145" i="17"/>
  <c r="E139" i="83"/>
  <c r="D139" i="83"/>
  <c r="G138" i="83"/>
  <c r="B138" i="82"/>
  <c r="F138" i="82"/>
  <c r="B138" i="94"/>
  <c r="F138" i="94"/>
  <c r="D139" i="80"/>
  <c r="G138" i="80"/>
  <c r="E139" i="80"/>
  <c r="H137" i="95"/>
  <c r="I137" i="95"/>
  <c r="D143" i="54"/>
  <c r="E143" i="54" s="1"/>
  <c r="G142" i="54"/>
  <c r="F144" i="44"/>
  <c r="B144" i="44"/>
  <c r="B137" i="96"/>
  <c r="F137" i="96"/>
  <c r="J145" i="24"/>
  <c r="H147" i="28"/>
  <c r="I147" i="28"/>
  <c r="I56" i="25" l="1"/>
  <c r="E57" i="25"/>
  <c r="F57" i="25" s="1"/>
  <c r="D58" i="25" s="1"/>
  <c r="B57" i="25"/>
  <c r="D146" i="19"/>
  <c r="E146" i="19" s="1"/>
  <c r="F146" i="19" s="1"/>
  <c r="D145" i="39"/>
  <c r="E137" i="25"/>
  <c r="F137" i="25" s="1"/>
  <c r="B137" i="25"/>
  <c r="H136" i="25"/>
  <c r="I136" i="25"/>
  <c r="B146" i="34"/>
  <c r="F146" i="34"/>
  <c r="D147" i="34" s="1"/>
  <c r="E147" i="34" s="1"/>
  <c r="G145" i="34"/>
  <c r="I145" i="34" s="1"/>
  <c r="G67" i="99"/>
  <c r="H56" i="98"/>
  <c r="I56" i="98" s="1"/>
  <c r="I66" i="99"/>
  <c r="E68" i="99"/>
  <c r="F68" i="99" s="1"/>
  <c r="D69" i="99" s="1"/>
  <c r="B68" i="99"/>
  <c r="I72" i="97"/>
  <c r="I73" i="97" s="1"/>
  <c r="H73" i="97"/>
  <c r="H67" i="99"/>
  <c r="D57" i="98"/>
  <c r="E57" i="98" s="1"/>
  <c r="F137" i="99"/>
  <c r="B137" i="99"/>
  <c r="H136" i="99"/>
  <c r="I136" i="99"/>
  <c r="I69" i="3"/>
  <c r="E63" i="67"/>
  <c r="F63" i="67" s="1"/>
  <c r="D64" i="67" s="1"/>
  <c r="B64" i="67" s="1"/>
  <c r="I62" i="67"/>
  <c r="I64" i="58"/>
  <c r="E65" i="58"/>
  <c r="F65" i="58" s="1"/>
  <c r="B65" i="58"/>
  <c r="G70" i="3"/>
  <c r="H70" i="3"/>
  <c r="D145" i="43"/>
  <c r="B145" i="43" s="1"/>
  <c r="I67" i="17"/>
  <c r="I58" i="86"/>
  <c r="H68" i="24"/>
  <c r="I67" i="24"/>
  <c r="G68" i="24"/>
  <c r="D146" i="20"/>
  <c r="E146" i="20" s="1"/>
  <c r="F146" i="20" s="1"/>
  <c r="G137" i="98"/>
  <c r="D138" i="98"/>
  <c r="E138" i="98"/>
  <c r="G137" i="97"/>
  <c r="D138" i="97"/>
  <c r="E138" i="97"/>
  <c r="H57" i="94"/>
  <c r="G57" i="94"/>
  <c r="H59" i="76"/>
  <c r="I59" i="76" s="1"/>
  <c r="E67" i="46"/>
  <c r="F67" i="46" s="1"/>
  <c r="B67" i="46"/>
  <c r="B66" i="46"/>
  <c r="H66" i="46"/>
  <c r="G66" i="46"/>
  <c r="E69" i="24"/>
  <c r="F69" i="24" s="1"/>
  <c r="B69" i="24"/>
  <c r="I68" i="23"/>
  <c r="I63" i="45"/>
  <c r="I60" i="82"/>
  <c r="D63" i="61"/>
  <c r="B63" i="61" s="1"/>
  <c r="B61" i="82"/>
  <c r="H59" i="86"/>
  <c r="D60" i="86"/>
  <c r="B60" i="86" s="1"/>
  <c r="I66" i="74"/>
  <c r="G67" i="27"/>
  <c r="H67" i="27"/>
  <c r="D68" i="27"/>
  <c r="E58" i="94"/>
  <c r="F58" i="94" s="1"/>
  <c r="B58" i="94"/>
  <c r="D57" i="93"/>
  <c r="E57" i="93" s="1"/>
  <c r="G59" i="80"/>
  <c r="D60" i="80"/>
  <c r="E60" i="80" s="1"/>
  <c r="F60" i="80" s="1"/>
  <c r="I64" i="55"/>
  <c r="H56" i="93"/>
  <c r="I56" i="93" s="1"/>
  <c r="H59" i="80"/>
  <c r="B58" i="25"/>
  <c r="E61" i="82"/>
  <c r="F61" i="82" s="1"/>
  <c r="D62" i="82" s="1"/>
  <c r="B59" i="86"/>
  <c r="G59" i="86"/>
  <c r="D67" i="19"/>
  <c r="E67" i="19" s="1"/>
  <c r="G66" i="19"/>
  <c r="D66" i="72"/>
  <c r="B66" i="72" s="1"/>
  <c r="G63" i="53"/>
  <c r="D64" i="53"/>
  <c r="E64" i="53" s="1"/>
  <c r="H63" i="53"/>
  <c r="E67" i="34"/>
  <c r="F67" i="34" s="1"/>
  <c r="H67" i="34" s="1"/>
  <c r="H59" i="90"/>
  <c r="I59" i="90" s="1"/>
  <c r="H58" i="84"/>
  <c r="I58" i="84" s="1"/>
  <c r="D59" i="84"/>
  <c r="I67" i="42"/>
  <c r="E69" i="23"/>
  <c r="F69" i="23" s="1"/>
  <c r="D70" i="23" s="1"/>
  <c r="E70" i="23" s="1"/>
  <c r="B61" i="75"/>
  <c r="F61" i="75"/>
  <c r="G61" i="75" s="1"/>
  <c r="H58" i="91"/>
  <c r="G58" i="91"/>
  <c r="D59" i="91"/>
  <c r="E59" i="91" s="1"/>
  <c r="I67" i="30"/>
  <c r="G70" i="71"/>
  <c r="H70" i="71"/>
  <c r="D71" i="71"/>
  <c r="E65" i="55"/>
  <c r="F65" i="55" s="1"/>
  <c r="B65" i="55"/>
  <c r="D60" i="90"/>
  <c r="E60" i="90" s="1"/>
  <c r="G62" i="66"/>
  <c r="D63" i="66"/>
  <c r="E63" i="66" s="1"/>
  <c r="H62" i="66"/>
  <c r="E68" i="42"/>
  <c r="F68" i="42" s="1"/>
  <c r="B68" i="42"/>
  <c r="D69" i="32"/>
  <c r="B69" i="32" s="1"/>
  <c r="H68" i="32"/>
  <c r="D71" i="29"/>
  <c r="B71" i="29" s="1"/>
  <c r="G58" i="81"/>
  <c r="D59" i="81"/>
  <c r="H58" i="81"/>
  <c r="B59" i="85"/>
  <c r="F65" i="44"/>
  <c r="H65" i="44" s="1"/>
  <c r="B65" i="44"/>
  <c r="F57" i="95"/>
  <c r="H57" i="95" s="1"/>
  <c r="B57" i="95"/>
  <c r="D68" i="22"/>
  <c r="E68" i="22" s="1"/>
  <c r="D66" i="39"/>
  <c r="E66" i="39" s="1"/>
  <c r="I69" i="29"/>
  <c r="I64" i="72"/>
  <c r="D57" i="96"/>
  <c r="E57" i="96" s="1"/>
  <c r="G67" i="22"/>
  <c r="B62" i="61"/>
  <c r="G62" i="61"/>
  <c r="H62" i="61"/>
  <c r="B65" i="72"/>
  <c r="G65" i="72"/>
  <c r="H65" i="72"/>
  <c r="I59" i="77"/>
  <c r="D60" i="76"/>
  <c r="E60" i="76" s="1"/>
  <c r="F60" i="76" s="1"/>
  <c r="D61" i="76" s="1"/>
  <c r="G56" i="96"/>
  <c r="I56" i="96" s="1"/>
  <c r="H67" i="22"/>
  <c r="H65" i="39"/>
  <c r="I65" i="39" s="1"/>
  <c r="E59" i="85"/>
  <c r="F59" i="85" s="1"/>
  <c r="I66" i="34"/>
  <c r="I70" i="28"/>
  <c r="I58" i="33"/>
  <c r="I69" i="69"/>
  <c r="I61" i="68"/>
  <c r="I65" i="41"/>
  <c r="G59" i="78"/>
  <c r="D60" i="78"/>
  <c r="E60" i="78" s="1"/>
  <c r="H59" i="78"/>
  <c r="D63" i="64"/>
  <c r="H62" i="64"/>
  <c r="G62" i="64"/>
  <c r="D64" i="57"/>
  <c r="D69" i="17"/>
  <c r="E69" i="17" s="1"/>
  <c r="H68" i="17"/>
  <c r="G68" i="17"/>
  <c r="D62" i="63"/>
  <c r="E62" i="63" s="1"/>
  <c r="F62" i="63" s="1"/>
  <c r="D63" i="63" s="1"/>
  <c r="G61" i="63"/>
  <c r="H61" i="63"/>
  <c r="G59" i="88"/>
  <c r="D60" i="88"/>
  <c r="H59" i="88"/>
  <c r="E61" i="77"/>
  <c r="F61" i="77" s="1"/>
  <c r="H61" i="77" s="1"/>
  <c r="B61" i="77"/>
  <c r="B58" i="83"/>
  <c r="F58" i="83"/>
  <c r="G58" i="83" s="1"/>
  <c r="B66" i="43"/>
  <c r="H65" i="73"/>
  <c r="I65" i="73" s="1"/>
  <c r="I68" i="31"/>
  <c r="H57" i="92"/>
  <c r="I57" i="92" s="1"/>
  <c r="D58" i="92"/>
  <c r="E58" i="92" s="1"/>
  <c r="D63" i="68"/>
  <c r="G68" i="30"/>
  <c r="E71" i="28"/>
  <c r="F71" i="28" s="1"/>
  <c r="B71" i="28"/>
  <c r="H61" i="59"/>
  <c r="I61" i="59" s="1"/>
  <c r="I60" i="62"/>
  <c r="I58" i="88"/>
  <c r="B62" i="68"/>
  <c r="H62" i="68"/>
  <c r="G62" i="68"/>
  <c r="F67" i="74"/>
  <c r="G67" i="74" s="1"/>
  <c r="B67" i="74"/>
  <c r="G68" i="32"/>
  <c r="B63" i="60"/>
  <c r="G63" i="60"/>
  <c r="H63" i="60"/>
  <c r="H68" i="30"/>
  <c r="E66" i="41"/>
  <c r="F66" i="41" s="1"/>
  <c r="B66" i="41"/>
  <c r="E63" i="65"/>
  <c r="F63" i="65" s="1"/>
  <c r="I62" i="54"/>
  <c r="E70" i="69"/>
  <c r="F70" i="69" s="1"/>
  <c r="B70" i="69"/>
  <c r="D58" i="89"/>
  <c r="E58" i="89" s="1"/>
  <c r="E69" i="70"/>
  <c r="F69" i="70" s="1"/>
  <c r="B69" i="70"/>
  <c r="E69" i="30"/>
  <c r="F69" i="30" s="1"/>
  <c r="H69" i="30" s="1"/>
  <c r="B69" i="30"/>
  <c r="F63" i="56"/>
  <c r="D64" i="56" s="1"/>
  <c r="B63" i="56"/>
  <c r="D60" i="79"/>
  <c r="E60" i="79" s="1"/>
  <c r="E64" i="60"/>
  <c r="F64" i="60" s="1"/>
  <c r="B64" i="60"/>
  <c r="D66" i="21"/>
  <c r="E66" i="21" s="1"/>
  <c r="B70" i="29"/>
  <c r="H70" i="29"/>
  <c r="G70" i="29"/>
  <c r="H57" i="89"/>
  <c r="I57" i="89" s="1"/>
  <c r="G59" i="79"/>
  <c r="I59" i="79" s="1"/>
  <c r="B63" i="57"/>
  <c r="G63" i="57"/>
  <c r="H63" i="57"/>
  <c r="H66" i="19"/>
  <c r="F64" i="45"/>
  <c r="H64" i="45" s="1"/>
  <c r="B64" i="45"/>
  <c r="E66" i="43"/>
  <c r="F66" i="43" s="1"/>
  <c r="H66" i="43" s="1"/>
  <c r="E69" i="31"/>
  <c r="F69" i="31" s="1"/>
  <c r="B69" i="31"/>
  <c r="G65" i="21"/>
  <c r="I65" i="21" s="1"/>
  <c r="B60" i="77"/>
  <c r="G60" i="77"/>
  <c r="H60" i="77"/>
  <c r="I62" i="65"/>
  <c r="E63" i="54"/>
  <c r="F63" i="54" s="1"/>
  <c r="H63" i="54" s="1"/>
  <c r="B63" i="54"/>
  <c r="J144" i="20"/>
  <c r="I147" i="27"/>
  <c r="H147" i="27"/>
  <c r="E148" i="27"/>
  <c r="F148" i="27" s="1"/>
  <c r="B148" i="27"/>
  <c r="J141" i="58"/>
  <c r="E144" i="45"/>
  <c r="F144" i="45" s="1"/>
  <c r="D145" i="45" s="1"/>
  <c r="J138" i="78"/>
  <c r="J141" i="46"/>
  <c r="J140" i="65"/>
  <c r="J140" i="60"/>
  <c r="F58" i="87"/>
  <c r="H58" i="87" s="1"/>
  <c r="B58" i="87"/>
  <c r="B57" i="13"/>
  <c r="B71" i="3"/>
  <c r="F71" i="3"/>
  <c r="G71" i="3" s="1"/>
  <c r="B61" i="62"/>
  <c r="F61" i="62"/>
  <c r="G61" i="62" s="1"/>
  <c r="J142" i="57"/>
  <c r="J144" i="34"/>
  <c r="J139" i="68"/>
  <c r="D66" i="73"/>
  <c r="D62" i="59"/>
  <c r="E62" i="59" s="1"/>
  <c r="B65" i="20"/>
  <c r="F58" i="26"/>
  <c r="H58" i="26" s="1"/>
  <c r="B58" i="26"/>
  <c r="D67" i="18"/>
  <c r="J146" i="71"/>
  <c r="J140" i="61"/>
  <c r="J140" i="63"/>
  <c r="H66" i="18"/>
  <c r="I66" i="18" s="1"/>
  <c r="E65" i="20"/>
  <c r="F65" i="20" s="1"/>
  <c r="H65" i="20" s="1"/>
  <c r="B59" i="33"/>
  <c r="F59" i="33"/>
  <c r="H59" i="33" s="1"/>
  <c r="E57" i="13"/>
  <c r="F57" i="13" s="1"/>
  <c r="I57" i="26"/>
  <c r="D147" i="31"/>
  <c r="G146" i="31"/>
  <c r="G145" i="41"/>
  <c r="D146" i="41"/>
  <c r="D142" i="63"/>
  <c r="E142" i="63" s="1"/>
  <c r="G141" i="63"/>
  <c r="D141" i="68"/>
  <c r="E141" i="68" s="1"/>
  <c r="G140" i="68"/>
  <c r="H138" i="81"/>
  <c r="I138" i="81"/>
  <c r="E138" i="90"/>
  <c r="G137" i="90"/>
  <c r="D138" i="90"/>
  <c r="G142" i="72"/>
  <c r="D143" i="72"/>
  <c r="E143" i="72" s="1"/>
  <c r="F142" i="62"/>
  <c r="B142" i="62"/>
  <c r="H147" i="30"/>
  <c r="I147" i="30"/>
  <c r="D143" i="53"/>
  <c r="G142" i="53"/>
  <c r="H146" i="32"/>
  <c r="I146" i="32"/>
  <c r="D141" i="66"/>
  <c r="E141" i="66" s="1"/>
  <c r="G140" i="66"/>
  <c r="G142" i="46"/>
  <c r="D143" i="46"/>
  <c r="B143" i="46" s="1"/>
  <c r="J146" i="29"/>
  <c r="D138" i="86"/>
  <c r="E138" i="86"/>
  <c r="G137" i="86"/>
  <c r="G143" i="74"/>
  <c r="E144" i="74"/>
  <c r="D144" i="74"/>
  <c r="B138" i="89"/>
  <c r="F138" i="89"/>
  <c r="I143" i="45"/>
  <c r="H143" i="45"/>
  <c r="E138" i="92"/>
  <c r="D138" i="92"/>
  <c r="G137" i="92"/>
  <c r="D148" i="69"/>
  <c r="E148" i="69" s="1"/>
  <c r="G147" i="69"/>
  <c r="D142" i="65"/>
  <c r="E142" i="65" s="1"/>
  <c r="G141" i="65"/>
  <c r="J139" i="66"/>
  <c r="E148" i="30"/>
  <c r="F148" i="30" s="1"/>
  <c r="B148" i="30"/>
  <c r="B145" i="73"/>
  <c r="F145" i="73"/>
  <c r="E147" i="32"/>
  <c r="F147" i="32" s="1"/>
  <c r="B147" i="32"/>
  <c r="G142" i="58"/>
  <c r="D143" i="58"/>
  <c r="E143" i="58" s="1"/>
  <c r="I144" i="43"/>
  <c r="H144" i="43"/>
  <c r="F138" i="91"/>
  <c r="B138" i="91"/>
  <c r="H145" i="34"/>
  <c r="J145" i="34" s="1"/>
  <c r="J145" i="18"/>
  <c r="B139" i="26"/>
  <c r="E139" i="26"/>
  <c r="F139" i="26" s="1"/>
  <c r="B139" i="81"/>
  <c r="F139" i="81"/>
  <c r="J140" i="64"/>
  <c r="I137" i="89"/>
  <c r="H137" i="89"/>
  <c r="H141" i="62"/>
  <c r="I141" i="62"/>
  <c r="J141" i="53"/>
  <c r="G147" i="70"/>
  <c r="D148" i="70"/>
  <c r="E148" i="70" s="1"/>
  <c r="D148" i="29"/>
  <c r="G147" i="29"/>
  <c r="I144" i="73"/>
  <c r="H144" i="73"/>
  <c r="B145" i="39"/>
  <c r="E145" i="39"/>
  <c r="F145" i="39" s="1"/>
  <c r="B146" i="19"/>
  <c r="I145" i="22"/>
  <c r="H145" i="22"/>
  <c r="D139" i="85"/>
  <c r="E139" i="85"/>
  <c r="G138" i="85"/>
  <c r="E138" i="84"/>
  <c r="G137" i="84"/>
  <c r="D138" i="84"/>
  <c r="D142" i="64"/>
  <c r="E142" i="64" s="1"/>
  <c r="G141" i="64"/>
  <c r="G137" i="88"/>
  <c r="D138" i="88"/>
  <c r="E138" i="88"/>
  <c r="J147" i="28"/>
  <c r="J138" i="79"/>
  <c r="J144" i="41"/>
  <c r="I138" i="26"/>
  <c r="H138" i="26"/>
  <c r="J145" i="31"/>
  <c r="J143" i="39"/>
  <c r="J141" i="72"/>
  <c r="J146" i="69"/>
  <c r="J146" i="70"/>
  <c r="I145" i="20"/>
  <c r="H145" i="20"/>
  <c r="G141" i="61"/>
  <c r="D142" i="61"/>
  <c r="E142" i="61" s="1"/>
  <c r="D140" i="78"/>
  <c r="E140" i="78"/>
  <c r="G139" i="78"/>
  <c r="I144" i="39"/>
  <c r="H144" i="39"/>
  <c r="D140" i="79"/>
  <c r="G139" i="79"/>
  <c r="E140" i="79"/>
  <c r="G141" i="60"/>
  <c r="D142" i="60"/>
  <c r="E142" i="60" s="1"/>
  <c r="I145" i="19"/>
  <c r="H145" i="19"/>
  <c r="E146" i="22"/>
  <c r="F146" i="22" s="1"/>
  <c r="B146" i="22"/>
  <c r="J142" i="74"/>
  <c r="I137" i="91"/>
  <c r="H137" i="91"/>
  <c r="G146" i="18"/>
  <c r="D147" i="18"/>
  <c r="G147" i="23"/>
  <c r="D148" i="23"/>
  <c r="B148" i="23" s="1"/>
  <c r="E144" i="56"/>
  <c r="F144" i="56" s="1"/>
  <c r="B144" i="56"/>
  <c r="J143" i="44"/>
  <c r="J141" i="59"/>
  <c r="H143" i="56"/>
  <c r="I143" i="56"/>
  <c r="G142" i="59"/>
  <c r="D143" i="59"/>
  <c r="E143" i="59" s="1"/>
  <c r="J146" i="23"/>
  <c r="J139" i="67"/>
  <c r="D148" i="71"/>
  <c r="E148" i="71" s="1"/>
  <c r="G147" i="71"/>
  <c r="D144" i="57"/>
  <c r="E144" i="57" s="1"/>
  <c r="G143" i="57"/>
  <c r="D149" i="28"/>
  <c r="E149" i="28" s="1"/>
  <c r="G148" i="28"/>
  <c r="B143" i="54"/>
  <c r="F143" i="54"/>
  <c r="B139" i="83"/>
  <c r="F139" i="83"/>
  <c r="F140" i="75"/>
  <c r="B140" i="75"/>
  <c r="B146" i="21"/>
  <c r="F146" i="21"/>
  <c r="G137" i="87"/>
  <c r="D138" i="87"/>
  <c r="E138" i="87"/>
  <c r="G145" i="3"/>
  <c r="D146" i="3"/>
  <c r="E146" i="3" s="1"/>
  <c r="I142" i="55"/>
  <c r="H142" i="55"/>
  <c r="F140" i="76"/>
  <c r="B140" i="76"/>
  <c r="H144" i="42"/>
  <c r="I144" i="42"/>
  <c r="G144" i="44"/>
  <c r="D145" i="44"/>
  <c r="I138" i="80"/>
  <c r="H138" i="80"/>
  <c r="G138" i="82"/>
  <c r="D139" i="82"/>
  <c r="E139" i="82"/>
  <c r="H139" i="75"/>
  <c r="I139" i="75"/>
  <c r="J144" i="3"/>
  <c r="H146" i="24"/>
  <c r="I146" i="24"/>
  <c r="G138" i="95"/>
  <c r="D139" i="95"/>
  <c r="E139" i="95" s="1"/>
  <c r="H136" i="33"/>
  <c r="I136" i="33"/>
  <c r="H136" i="13"/>
  <c r="I136" i="13"/>
  <c r="B140" i="77"/>
  <c r="F140" i="77"/>
  <c r="I142" i="54"/>
  <c r="H142" i="54"/>
  <c r="F139" i="80"/>
  <c r="B139" i="80"/>
  <c r="J145" i="17"/>
  <c r="I145" i="21"/>
  <c r="H145" i="21"/>
  <c r="D141" i="67"/>
  <c r="E141" i="67" s="1"/>
  <c r="G140" i="67"/>
  <c r="B147" i="24"/>
  <c r="F147" i="24"/>
  <c r="G146" i="17"/>
  <c r="D147" i="17"/>
  <c r="F137" i="33"/>
  <c r="B137" i="33"/>
  <c r="F138" i="93"/>
  <c r="B138" i="93"/>
  <c r="B143" i="55"/>
  <c r="F143" i="55"/>
  <c r="I139" i="77"/>
  <c r="H139" i="77"/>
  <c r="F145" i="42"/>
  <c r="B145" i="42"/>
  <c r="G146" i="34"/>
  <c r="G137" i="96"/>
  <c r="D138" i="96"/>
  <c r="E138" i="96" s="1"/>
  <c r="G138" i="94"/>
  <c r="D139" i="94"/>
  <c r="E139" i="94" s="1"/>
  <c r="H138" i="83"/>
  <c r="I138" i="83"/>
  <c r="H137" i="93"/>
  <c r="I137" i="93"/>
  <c r="B137" i="13"/>
  <c r="F137" i="13"/>
  <c r="H139" i="76"/>
  <c r="I139" i="76"/>
  <c r="H57" i="25" l="1"/>
  <c r="E58" i="25"/>
  <c r="F58" i="25" s="1"/>
  <c r="G57" i="25"/>
  <c r="G137" i="25"/>
  <c r="D138" i="25"/>
  <c r="J136" i="25"/>
  <c r="I67" i="99"/>
  <c r="G63" i="67"/>
  <c r="G58" i="26"/>
  <c r="I58" i="26" s="1"/>
  <c r="I70" i="3"/>
  <c r="E69" i="99"/>
  <c r="F69" i="99" s="1"/>
  <c r="B69" i="99"/>
  <c r="F57" i="98"/>
  <c r="D58" i="98" s="1"/>
  <c r="B57" i="98"/>
  <c r="H68" i="99"/>
  <c r="G68" i="99"/>
  <c r="I68" i="24"/>
  <c r="D138" i="99"/>
  <c r="G137" i="99"/>
  <c r="E138" i="99"/>
  <c r="B146" i="20"/>
  <c r="E64" i="67"/>
  <c r="F64" i="67" s="1"/>
  <c r="H64" i="67" s="1"/>
  <c r="H63" i="67"/>
  <c r="E69" i="32"/>
  <c r="F69" i="32" s="1"/>
  <c r="G69" i="32" s="1"/>
  <c r="I66" i="19"/>
  <c r="G65" i="58"/>
  <c r="D66" i="58"/>
  <c r="H65" i="58"/>
  <c r="E145" i="43"/>
  <c r="F145" i="43" s="1"/>
  <c r="D146" i="43" s="1"/>
  <c r="I57" i="94"/>
  <c r="I59" i="86"/>
  <c r="I67" i="27"/>
  <c r="I137" i="97"/>
  <c r="H137" i="97"/>
  <c r="B138" i="98"/>
  <c r="F138" i="98"/>
  <c r="B138" i="97"/>
  <c r="F138" i="97"/>
  <c r="H137" i="98"/>
  <c r="I137" i="98"/>
  <c r="E66" i="72"/>
  <c r="F66" i="72" s="1"/>
  <c r="G66" i="72" s="1"/>
  <c r="G67" i="46"/>
  <c r="D68" i="46"/>
  <c r="H67" i="46"/>
  <c r="I66" i="46"/>
  <c r="G67" i="34"/>
  <c r="I67" i="34" s="1"/>
  <c r="H69" i="24"/>
  <c r="G69" i="24"/>
  <c r="D70" i="24"/>
  <c r="B70" i="23"/>
  <c r="F70" i="23"/>
  <c r="G70" i="23" s="1"/>
  <c r="G69" i="23"/>
  <c r="I67" i="22"/>
  <c r="F67" i="19"/>
  <c r="H67" i="19" s="1"/>
  <c r="D61" i="80"/>
  <c r="E61" i="80" s="1"/>
  <c r="G58" i="94"/>
  <c r="D59" i="94"/>
  <c r="B59" i="94" s="1"/>
  <c r="H58" i="94"/>
  <c r="H58" i="25"/>
  <c r="D59" i="25"/>
  <c r="B59" i="25" s="1"/>
  <c r="G58" i="25"/>
  <c r="I68" i="32"/>
  <c r="I58" i="91"/>
  <c r="I63" i="53"/>
  <c r="B57" i="93"/>
  <c r="F57" i="93"/>
  <c r="G57" i="93" s="1"/>
  <c r="B67" i="19"/>
  <c r="E71" i="29"/>
  <c r="F71" i="29" s="1"/>
  <c r="D72" i="29" s="1"/>
  <c r="B72" i="29" s="1"/>
  <c r="E60" i="86"/>
  <c r="F60" i="86" s="1"/>
  <c r="D61" i="86" s="1"/>
  <c r="E61" i="86" s="1"/>
  <c r="F61" i="86" s="1"/>
  <c r="D62" i="86" s="1"/>
  <c r="E62" i="86" s="1"/>
  <c r="H61" i="82"/>
  <c r="E63" i="61"/>
  <c r="F63" i="61" s="1"/>
  <c r="I61" i="63"/>
  <c r="G65" i="44"/>
  <c r="I65" i="44" s="1"/>
  <c r="E62" i="82"/>
  <c r="F62" i="82" s="1"/>
  <c r="D63" i="82" s="1"/>
  <c r="B62" i="82"/>
  <c r="I59" i="80"/>
  <c r="B60" i="80"/>
  <c r="H60" i="80"/>
  <c r="G60" i="80"/>
  <c r="B68" i="27"/>
  <c r="E68" i="27"/>
  <c r="F68" i="27" s="1"/>
  <c r="G61" i="82"/>
  <c r="H68" i="42"/>
  <c r="D69" i="42"/>
  <c r="G68" i="42"/>
  <c r="D66" i="55"/>
  <c r="H65" i="55"/>
  <c r="G65" i="55"/>
  <c r="I59" i="88"/>
  <c r="I58" i="81"/>
  <c r="I62" i="66"/>
  <c r="E71" i="71"/>
  <c r="F71" i="71" s="1"/>
  <c r="B71" i="71"/>
  <c r="D62" i="75"/>
  <c r="E62" i="75" s="1"/>
  <c r="F62" i="75" s="1"/>
  <c r="B59" i="84"/>
  <c r="D68" i="34"/>
  <c r="E68" i="34" s="1"/>
  <c r="G64" i="45"/>
  <c r="I64" i="45" s="1"/>
  <c r="G63" i="56"/>
  <c r="I63" i="60"/>
  <c r="G66" i="43"/>
  <c r="I66" i="43" s="1"/>
  <c r="I62" i="61"/>
  <c r="F60" i="90"/>
  <c r="B60" i="90"/>
  <c r="I70" i="71"/>
  <c r="E59" i="84"/>
  <c r="F59" i="84" s="1"/>
  <c r="F64" i="53"/>
  <c r="B64" i="53"/>
  <c r="I63" i="57"/>
  <c r="B63" i="66"/>
  <c r="F63" i="66"/>
  <c r="D64" i="66" s="1"/>
  <c r="E64" i="66" s="1"/>
  <c r="F64" i="66" s="1"/>
  <c r="D65" i="66" s="1"/>
  <c r="B59" i="91"/>
  <c r="F59" i="91"/>
  <c r="H61" i="75"/>
  <c r="I61" i="75" s="1"/>
  <c r="H69" i="23"/>
  <c r="E61" i="76"/>
  <c r="F61" i="76" s="1"/>
  <c r="B61" i="76"/>
  <c r="H67" i="74"/>
  <c r="I67" i="74" s="1"/>
  <c r="D60" i="85"/>
  <c r="F68" i="22"/>
  <c r="B68" i="22"/>
  <c r="I65" i="72"/>
  <c r="F57" i="96"/>
  <c r="G57" i="96" s="1"/>
  <c r="B57" i="96"/>
  <c r="H59" i="85"/>
  <c r="E59" i="81"/>
  <c r="F59" i="81" s="1"/>
  <c r="B59" i="81"/>
  <c r="G57" i="95"/>
  <c r="I57" i="95" s="1"/>
  <c r="D58" i="95"/>
  <c r="B60" i="76"/>
  <c r="H60" i="76"/>
  <c r="G60" i="76"/>
  <c r="F66" i="39"/>
  <c r="H66" i="39" s="1"/>
  <c r="B66" i="39"/>
  <c r="D66" i="44"/>
  <c r="E66" i="44" s="1"/>
  <c r="F66" i="44" s="1"/>
  <c r="D67" i="44" s="1"/>
  <c r="G59" i="85"/>
  <c r="I60" i="77"/>
  <c r="I70" i="29"/>
  <c r="D71" i="69"/>
  <c r="H70" i="69"/>
  <c r="G70" i="69"/>
  <c r="E63" i="63"/>
  <c r="F63" i="63" s="1"/>
  <c r="G63" i="63" s="1"/>
  <c r="B63" i="63"/>
  <c r="D65" i="60"/>
  <c r="G64" i="60"/>
  <c r="H64" i="60"/>
  <c r="G66" i="41"/>
  <c r="D67" i="41"/>
  <c r="E67" i="41" s="1"/>
  <c r="F67" i="41" s="1"/>
  <c r="D68" i="41" s="1"/>
  <c r="H66" i="41"/>
  <c r="D70" i="70"/>
  <c r="E70" i="70" s="1"/>
  <c r="G69" i="70"/>
  <c r="H69" i="70"/>
  <c r="G71" i="28"/>
  <c r="D72" i="28"/>
  <c r="H71" i="28"/>
  <c r="B63" i="68"/>
  <c r="B64" i="57"/>
  <c r="D64" i="54"/>
  <c r="H69" i="31"/>
  <c r="G69" i="31"/>
  <c r="D70" i="31"/>
  <c r="F58" i="92"/>
  <c r="H58" i="92" s="1"/>
  <c r="B58" i="92"/>
  <c r="D59" i="83"/>
  <c r="E59" i="83" s="1"/>
  <c r="G61" i="77"/>
  <c r="I61" i="77" s="1"/>
  <c r="D62" i="77"/>
  <c r="G63" i="54"/>
  <c r="I63" i="54" s="1"/>
  <c r="B60" i="79"/>
  <c r="F60" i="79"/>
  <c r="G60" i="79" s="1"/>
  <c r="E64" i="56"/>
  <c r="F64" i="56" s="1"/>
  <c r="B64" i="56"/>
  <c r="D70" i="30"/>
  <c r="B58" i="89"/>
  <c r="F58" i="89"/>
  <c r="G58" i="89" s="1"/>
  <c r="H58" i="83"/>
  <c r="I58" i="83" s="1"/>
  <c r="I62" i="64"/>
  <c r="F60" i="78"/>
  <c r="H60" i="78" s="1"/>
  <c r="B60" i="78"/>
  <c r="D64" i="65"/>
  <c r="B64" i="65" s="1"/>
  <c r="H63" i="65"/>
  <c r="G63" i="65"/>
  <c r="I62" i="68"/>
  <c r="E60" i="88"/>
  <c r="F60" i="88" s="1"/>
  <c r="D61" i="88" s="1"/>
  <c r="B60" i="88"/>
  <c r="I68" i="17"/>
  <c r="I59" i="78"/>
  <c r="D67" i="43"/>
  <c r="E67" i="43" s="1"/>
  <c r="F67" i="43" s="1"/>
  <c r="D68" i="43" s="1"/>
  <c r="D65" i="45"/>
  <c r="E65" i="45" s="1"/>
  <c r="B66" i="21"/>
  <c r="F66" i="21"/>
  <c r="G66" i="21" s="1"/>
  <c r="H63" i="56"/>
  <c r="G69" i="30"/>
  <c r="I69" i="30" s="1"/>
  <c r="I68" i="30"/>
  <c r="D68" i="74"/>
  <c r="E68" i="74" s="1"/>
  <c r="E63" i="68"/>
  <c r="F63" i="68" s="1"/>
  <c r="B62" i="63"/>
  <c r="G62" i="63"/>
  <c r="H62" i="63"/>
  <c r="F69" i="17"/>
  <c r="G69" i="17" s="1"/>
  <c r="B69" i="17"/>
  <c r="E64" i="57"/>
  <c r="F64" i="57" s="1"/>
  <c r="G64" i="57" s="1"/>
  <c r="E63" i="64"/>
  <c r="F63" i="64" s="1"/>
  <c r="H63" i="64" s="1"/>
  <c r="B63" i="64"/>
  <c r="G144" i="45"/>
  <c r="I144" i="45" s="1"/>
  <c r="G148" i="27"/>
  <c r="D149" i="27"/>
  <c r="E143" i="46"/>
  <c r="F143" i="46" s="1"/>
  <c r="J147" i="27"/>
  <c r="D58" i="13"/>
  <c r="E58" i="13" s="1"/>
  <c r="G57" i="13"/>
  <c r="H57" i="13"/>
  <c r="D71" i="23"/>
  <c r="E71" i="23" s="1"/>
  <c r="B66" i="73"/>
  <c r="D62" i="62"/>
  <c r="E62" i="62" s="1"/>
  <c r="D72" i="3"/>
  <c r="E72" i="3" s="1"/>
  <c r="E73" i="3" s="1"/>
  <c r="D59" i="87"/>
  <c r="E59" i="87" s="1"/>
  <c r="J146" i="32"/>
  <c r="J147" i="30"/>
  <c r="D60" i="33"/>
  <c r="E60" i="33" s="1"/>
  <c r="H70" i="23"/>
  <c r="E66" i="73"/>
  <c r="F66" i="73" s="1"/>
  <c r="H66" i="73" s="1"/>
  <c r="B67" i="18"/>
  <c r="D66" i="20"/>
  <c r="E66" i="20" s="1"/>
  <c r="J144" i="42"/>
  <c r="J141" i="62"/>
  <c r="G59" i="33"/>
  <c r="I59" i="33" s="1"/>
  <c r="E67" i="18"/>
  <c r="F67" i="18" s="1"/>
  <c r="G67" i="18" s="1"/>
  <c r="D59" i="26"/>
  <c r="E59" i="26" s="1"/>
  <c r="G65" i="20"/>
  <c r="I65" i="20" s="1"/>
  <c r="F62" i="59"/>
  <c r="B62" i="59"/>
  <c r="H61" i="62"/>
  <c r="I61" i="62" s="1"/>
  <c r="H71" i="3"/>
  <c r="I71" i="3" s="1"/>
  <c r="G58" i="87"/>
  <c r="I58" i="87" s="1"/>
  <c r="D147" i="22"/>
  <c r="G146" i="22"/>
  <c r="D147" i="20"/>
  <c r="G146" i="20"/>
  <c r="G147" i="32"/>
  <c r="D148" i="32"/>
  <c r="E148" i="32" s="1"/>
  <c r="G148" i="30"/>
  <c r="D149" i="30"/>
  <c r="B149" i="30" s="1"/>
  <c r="D147" i="19"/>
  <c r="G146" i="19"/>
  <c r="I141" i="60"/>
  <c r="H141" i="60"/>
  <c r="F139" i="85"/>
  <c r="B139" i="85"/>
  <c r="G138" i="91"/>
  <c r="E139" i="91"/>
  <c r="D139" i="91"/>
  <c r="F144" i="74"/>
  <c r="B144" i="74"/>
  <c r="E143" i="53"/>
  <c r="F143" i="53" s="1"/>
  <c r="B143" i="53"/>
  <c r="B143" i="72"/>
  <c r="F143" i="72"/>
  <c r="I141" i="64"/>
  <c r="H141" i="64"/>
  <c r="J144" i="73"/>
  <c r="D140" i="81"/>
  <c r="E140" i="81" s="1"/>
  <c r="G139" i="81"/>
  <c r="I142" i="58"/>
  <c r="H142" i="58"/>
  <c r="D146" i="73"/>
  <c r="E146" i="73" s="1"/>
  <c r="G145" i="73"/>
  <c r="B138" i="86"/>
  <c r="F138" i="86"/>
  <c r="H142" i="46"/>
  <c r="I142" i="46"/>
  <c r="B138" i="90"/>
  <c r="F138" i="90"/>
  <c r="H145" i="41"/>
  <c r="I145" i="41"/>
  <c r="J145" i="19"/>
  <c r="J144" i="39"/>
  <c r="J145" i="20"/>
  <c r="F138" i="88"/>
  <c r="B138" i="88"/>
  <c r="B142" i="64"/>
  <c r="F142" i="64"/>
  <c r="H138" i="85"/>
  <c r="I138" i="85"/>
  <c r="J145" i="22"/>
  <c r="G145" i="39"/>
  <c r="D146" i="39"/>
  <c r="H147" i="29"/>
  <c r="I147" i="29"/>
  <c r="J144" i="43"/>
  <c r="I147" i="69"/>
  <c r="H147" i="69"/>
  <c r="B138" i="92"/>
  <c r="F138" i="92"/>
  <c r="E139" i="89"/>
  <c r="D139" i="89"/>
  <c r="G138" i="89"/>
  <c r="I143" i="74"/>
  <c r="H143" i="74"/>
  <c r="I140" i="66"/>
  <c r="H140" i="66"/>
  <c r="D143" i="62"/>
  <c r="E143" i="62" s="1"/>
  <c r="G142" i="62"/>
  <c r="I137" i="90"/>
  <c r="H137" i="90"/>
  <c r="I140" i="68"/>
  <c r="H140" i="68"/>
  <c r="I146" i="31"/>
  <c r="H146" i="31"/>
  <c r="F140" i="79"/>
  <c r="B140" i="79"/>
  <c r="I141" i="61"/>
  <c r="H141" i="61"/>
  <c r="I137" i="84"/>
  <c r="H137" i="84"/>
  <c r="F148" i="70"/>
  <c r="B148" i="70"/>
  <c r="F143" i="58"/>
  <c r="B143" i="58"/>
  <c r="H141" i="65"/>
  <c r="I141" i="65"/>
  <c r="B145" i="45"/>
  <c r="E145" i="45"/>
  <c r="F145" i="45" s="1"/>
  <c r="E146" i="41"/>
  <c r="F146" i="41" s="1"/>
  <c r="B146" i="41"/>
  <c r="B140" i="78"/>
  <c r="F140" i="78"/>
  <c r="J138" i="26"/>
  <c r="I147" i="70"/>
  <c r="H147" i="70"/>
  <c r="B142" i="65"/>
  <c r="F142" i="65"/>
  <c r="I137" i="92"/>
  <c r="H137" i="92"/>
  <c r="J143" i="45"/>
  <c r="H142" i="72"/>
  <c r="I142" i="72"/>
  <c r="I141" i="63"/>
  <c r="H141" i="63"/>
  <c r="B142" i="60"/>
  <c r="F142" i="60"/>
  <c r="H139" i="79"/>
  <c r="I139" i="79"/>
  <c r="H139" i="78"/>
  <c r="I139" i="78"/>
  <c r="F142" i="61"/>
  <c r="B142" i="61"/>
  <c r="I137" i="88"/>
  <c r="H137" i="88"/>
  <c r="B138" i="84"/>
  <c r="F138" i="84"/>
  <c r="B148" i="29"/>
  <c r="E148" i="29"/>
  <c r="F148" i="29" s="1"/>
  <c r="D140" i="26"/>
  <c r="G139" i="26"/>
  <c r="B148" i="69"/>
  <c r="F148" i="69"/>
  <c r="H137" i="86"/>
  <c r="I137" i="86"/>
  <c r="B141" i="66"/>
  <c r="F141" i="66"/>
  <c r="H142" i="53"/>
  <c r="I142" i="53"/>
  <c r="F141" i="68"/>
  <c r="B141" i="68"/>
  <c r="F142" i="63"/>
  <c r="B142" i="63"/>
  <c r="E147" i="31"/>
  <c r="F147" i="31" s="1"/>
  <c r="B147" i="31"/>
  <c r="H142" i="59"/>
  <c r="I142" i="59"/>
  <c r="G144" i="56"/>
  <c r="D145" i="56"/>
  <c r="H147" i="23"/>
  <c r="I147" i="23"/>
  <c r="J142" i="54"/>
  <c r="J143" i="56"/>
  <c r="E147" i="18"/>
  <c r="F147" i="18" s="1"/>
  <c r="B147" i="18"/>
  <c r="B143" i="59"/>
  <c r="F143" i="59"/>
  <c r="E148" i="23"/>
  <c r="F148" i="23" s="1"/>
  <c r="H146" i="18"/>
  <c r="I146" i="18"/>
  <c r="J139" i="75"/>
  <c r="H143" i="57"/>
  <c r="I143" i="57"/>
  <c r="I147" i="71"/>
  <c r="H147" i="71"/>
  <c r="B144" i="57"/>
  <c r="F144" i="57"/>
  <c r="F148" i="71"/>
  <c r="B148" i="71"/>
  <c r="J139" i="76"/>
  <c r="B139" i="94"/>
  <c r="F139" i="94"/>
  <c r="I146" i="34"/>
  <c r="H146" i="34"/>
  <c r="G143" i="55"/>
  <c r="D144" i="55"/>
  <c r="B141" i="67"/>
  <c r="F141" i="67"/>
  <c r="G139" i="80"/>
  <c r="D140" i="80"/>
  <c r="E140" i="80" s="1"/>
  <c r="B145" i="44"/>
  <c r="I138" i="94"/>
  <c r="H138" i="94"/>
  <c r="G138" i="93"/>
  <c r="D139" i="93"/>
  <c r="B147" i="17"/>
  <c r="J136" i="33"/>
  <c r="J146" i="24"/>
  <c r="F139" i="82"/>
  <c r="B139" i="82"/>
  <c r="I144" i="44"/>
  <c r="H144" i="44"/>
  <c r="E141" i="76"/>
  <c r="G140" i="76"/>
  <c r="D141" i="76"/>
  <c r="F146" i="3"/>
  <c r="B146" i="3"/>
  <c r="B138" i="87"/>
  <c r="F138" i="87"/>
  <c r="H148" i="28"/>
  <c r="I148" i="28"/>
  <c r="G137" i="13"/>
  <c r="D138" i="13"/>
  <c r="B138" i="96"/>
  <c r="F138" i="96"/>
  <c r="F147" i="34"/>
  <c r="B147" i="34"/>
  <c r="D146" i="42"/>
  <c r="E146" i="42" s="1"/>
  <c r="G145" i="42"/>
  <c r="J139" i="77"/>
  <c r="G137" i="33"/>
  <c r="D138" i="33"/>
  <c r="H146" i="17"/>
  <c r="I146" i="17"/>
  <c r="D148" i="24"/>
  <c r="E148" i="24" s="1"/>
  <c r="G147" i="24"/>
  <c r="F139" i="95"/>
  <c r="B139" i="95"/>
  <c r="H138" i="82"/>
  <c r="I138" i="82"/>
  <c r="H145" i="3"/>
  <c r="I145" i="3"/>
  <c r="H137" i="87"/>
  <c r="I137" i="87"/>
  <c r="G140" i="75"/>
  <c r="D141" i="75"/>
  <c r="E141" i="75" s="1"/>
  <c r="B149" i="28"/>
  <c r="F149" i="28"/>
  <c r="I137" i="96"/>
  <c r="H137" i="96"/>
  <c r="E147" i="17"/>
  <c r="F147" i="17" s="1"/>
  <c r="H140" i="67"/>
  <c r="I140" i="67"/>
  <c r="J145" i="21"/>
  <c r="G140" i="77"/>
  <c r="D141" i="77"/>
  <c r="E141" i="77" s="1"/>
  <c r="H138" i="95"/>
  <c r="I138" i="95"/>
  <c r="E145" i="44"/>
  <c r="F145" i="44" s="1"/>
  <c r="J142" i="55"/>
  <c r="G146" i="21"/>
  <c r="D147" i="21"/>
  <c r="E140" i="83"/>
  <c r="G139" i="83"/>
  <c r="D140" i="83"/>
  <c r="D144" i="54"/>
  <c r="G143" i="54"/>
  <c r="I57" i="25" l="1"/>
  <c r="E138" i="25"/>
  <c r="F138" i="25" s="1"/>
  <c r="B138" i="25"/>
  <c r="H137" i="25"/>
  <c r="I137" i="25"/>
  <c r="H69" i="32"/>
  <c r="I69" i="32" s="1"/>
  <c r="I63" i="67"/>
  <c r="G57" i="98"/>
  <c r="H57" i="98"/>
  <c r="I63" i="56"/>
  <c r="D68" i="19"/>
  <c r="E68" i="19" s="1"/>
  <c r="D70" i="99"/>
  <c r="H69" i="99"/>
  <c r="G69" i="99"/>
  <c r="D70" i="32"/>
  <c r="E70" i="32" s="1"/>
  <c r="F70" i="32" s="1"/>
  <c r="D71" i="32" s="1"/>
  <c r="B71" i="32" s="1"/>
  <c r="I68" i="99"/>
  <c r="E58" i="98"/>
  <c r="F58" i="98" s="1"/>
  <c r="D59" i="98" s="1"/>
  <c r="B58" i="98"/>
  <c r="I62" i="63"/>
  <c r="I70" i="23"/>
  <c r="I69" i="24"/>
  <c r="H137" i="99"/>
  <c r="I137" i="99"/>
  <c r="B138" i="99"/>
  <c r="F138" i="99"/>
  <c r="I58" i="94"/>
  <c r="G64" i="67"/>
  <c r="I64" i="67" s="1"/>
  <c r="D65" i="67"/>
  <c r="I65" i="58"/>
  <c r="B64" i="66"/>
  <c r="E66" i="58"/>
  <c r="F66" i="58" s="1"/>
  <c r="B66" i="58"/>
  <c r="G145" i="43"/>
  <c r="I145" i="43" s="1"/>
  <c r="H57" i="93"/>
  <c r="I57" i="93" s="1"/>
  <c r="D67" i="72"/>
  <c r="E67" i="72" s="1"/>
  <c r="H66" i="72"/>
  <c r="I66" i="72" s="1"/>
  <c r="H64" i="66"/>
  <c r="G64" i="66"/>
  <c r="I67" i="46"/>
  <c r="H71" i="29"/>
  <c r="G71" i="29"/>
  <c r="E72" i="29"/>
  <c r="E73" i="29" s="1"/>
  <c r="I71" i="28"/>
  <c r="I69" i="23"/>
  <c r="G67" i="19"/>
  <c r="I67" i="19" s="1"/>
  <c r="D139" i="98"/>
  <c r="G138" i="98"/>
  <c r="E139" i="98"/>
  <c r="D139" i="97"/>
  <c r="E139" i="97" s="1"/>
  <c r="G138" i="97"/>
  <c r="H144" i="45"/>
  <c r="J144" i="45" s="1"/>
  <c r="H61" i="86"/>
  <c r="G61" i="86"/>
  <c r="G60" i="86"/>
  <c r="B61" i="86"/>
  <c r="I60" i="80"/>
  <c r="B68" i="46"/>
  <c r="E68" i="46"/>
  <c r="F68" i="46" s="1"/>
  <c r="E70" i="24"/>
  <c r="F70" i="24" s="1"/>
  <c r="H70" i="24" s="1"/>
  <c r="B70" i="24"/>
  <c r="I68" i="42"/>
  <c r="E63" i="82"/>
  <c r="F63" i="82" s="1"/>
  <c r="B63" i="82"/>
  <c r="G63" i="66"/>
  <c r="I65" i="55"/>
  <c r="G62" i="82"/>
  <c r="I61" i="82"/>
  <c r="D58" i="93"/>
  <c r="E58" i="93" s="1"/>
  <c r="F58" i="93" s="1"/>
  <c r="D59" i="93" s="1"/>
  <c r="B59" i="93" s="1"/>
  <c r="H60" i="86"/>
  <c r="I58" i="25"/>
  <c r="G63" i="61"/>
  <c r="H63" i="61"/>
  <c r="D64" i="61"/>
  <c r="B64" i="61" s="1"/>
  <c r="H69" i="17"/>
  <c r="I69" i="17" s="1"/>
  <c r="H63" i="66"/>
  <c r="E59" i="25"/>
  <c r="F59" i="25" s="1"/>
  <c r="D60" i="25" s="1"/>
  <c r="E60" i="25" s="1"/>
  <c r="E59" i="94"/>
  <c r="F59" i="94" s="1"/>
  <c r="G68" i="27"/>
  <c r="H68" i="27"/>
  <c r="D69" i="27"/>
  <c r="H62" i="82"/>
  <c r="F61" i="80"/>
  <c r="H61" i="80" s="1"/>
  <c r="B61" i="80"/>
  <c r="H59" i="84"/>
  <c r="D60" i="84"/>
  <c r="G59" i="84"/>
  <c r="D60" i="91"/>
  <c r="E60" i="91" s="1"/>
  <c r="G59" i="91"/>
  <c r="H59" i="91"/>
  <c r="D63" i="75"/>
  <c r="E63" i="75" s="1"/>
  <c r="G71" i="71"/>
  <c r="D72" i="71"/>
  <c r="D61" i="90"/>
  <c r="E61" i="90" s="1"/>
  <c r="F61" i="90" s="1"/>
  <c r="G58" i="92"/>
  <c r="I58" i="92" s="1"/>
  <c r="H64" i="53"/>
  <c r="D65" i="53"/>
  <c r="G60" i="90"/>
  <c r="B62" i="75"/>
  <c r="H62" i="75"/>
  <c r="G62" i="75"/>
  <c r="E66" i="55"/>
  <c r="F66" i="55" s="1"/>
  <c r="H66" i="55" s="1"/>
  <c r="B66" i="55"/>
  <c r="G64" i="53"/>
  <c r="H60" i="90"/>
  <c r="E69" i="42"/>
  <c r="F69" i="42" s="1"/>
  <c r="B69" i="42"/>
  <c r="I60" i="76"/>
  <c r="B68" i="34"/>
  <c r="F68" i="34"/>
  <c r="H71" i="71"/>
  <c r="E67" i="44"/>
  <c r="F67" i="44" s="1"/>
  <c r="B67" i="44"/>
  <c r="D69" i="22"/>
  <c r="G61" i="76"/>
  <c r="D62" i="76"/>
  <c r="H57" i="96"/>
  <c r="I57" i="96" s="1"/>
  <c r="D58" i="96"/>
  <c r="E58" i="96" s="1"/>
  <c r="G68" i="22"/>
  <c r="H59" i="81"/>
  <c r="D60" i="81"/>
  <c r="B66" i="44"/>
  <c r="H66" i="44"/>
  <c r="G66" i="44"/>
  <c r="D67" i="39"/>
  <c r="E67" i="39" s="1"/>
  <c r="B58" i="95"/>
  <c r="G59" i="81"/>
  <c r="I59" i="85"/>
  <c r="H68" i="22"/>
  <c r="F62" i="86"/>
  <c r="D63" i="86" s="1"/>
  <c r="B62" i="86"/>
  <c r="B60" i="85"/>
  <c r="H63" i="63"/>
  <c r="I63" i="63" s="1"/>
  <c r="G66" i="39"/>
  <c r="I66" i="39" s="1"/>
  <c r="E58" i="95"/>
  <c r="F58" i="95" s="1"/>
  <c r="E60" i="85"/>
  <c r="F60" i="85" s="1"/>
  <c r="H60" i="85" s="1"/>
  <c r="H61" i="76"/>
  <c r="I69" i="70"/>
  <c r="I66" i="41"/>
  <c r="I64" i="60"/>
  <c r="D64" i="68"/>
  <c r="E64" i="68" s="1"/>
  <c r="G63" i="68"/>
  <c r="H63" i="68"/>
  <c r="E68" i="43"/>
  <c r="F68" i="43" s="1"/>
  <c r="H68" i="43" s="1"/>
  <c r="B68" i="43"/>
  <c r="B65" i="66"/>
  <c r="D65" i="56"/>
  <c r="E65" i="56" s="1"/>
  <c r="B70" i="31"/>
  <c r="D64" i="64"/>
  <c r="B67" i="43"/>
  <c r="G67" i="43"/>
  <c r="H67" i="43"/>
  <c r="G60" i="88"/>
  <c r="B72" i="28"/>
  <c r="I63" i="65"/>
  <c r="B70" i="30"/>
  <c r="H60" i="79"/>
  <c r="I60" i="79" s="1"/>
  <c r="D61" i="79"/>
  <c r="B67" i="41"/>
  <c r="G67" i="41"/>
  <c r="H67" i="41"/>
  <c r="E65" i="60"/>
  <c r="F65" i="60" s="1"/>
  <c r="D66" i="60" s="1"/>
  <c r="B65" i="60"/>
  <c r="I70" i="69"/>
  <c r="D65" i="57"/>
  <c r="E65" i="57" s="1"/>
  <c r="E61" i="88"/>
  <c r="F61" i="88" s="1"/>
  <c r="B61" i="88"/>
  <c r="D61" i="78"/>
  <c r="E62" i="77"/>
  <c r="F62" i="77" s="1"/>
  <c r="B62" i="77"/>
  <c r="B64" i="54"/>
  <c r="G60" i="78"/>
  <c r="I60" i="78" s="1"/>
  <c r="H64" i="56"/>
  <c r="E70" i="31"/>
  <c r="F70" i="31" s="1"/>
  <c r="E64" i="54"/>
  <c r="F64" i="54" s="1"/>
  <c r="E68" i="41"/>
  <c r="F68" i="41" s="1"/>
  <c r="B68" i="41"/>
  <c r="I57" i="13"/>
  <c r="G63" i="64"/>
  <c r="I63" i="64" s="1"/>
  <c r="D70" i="17"/>
  <c r="B68" i="74"/>
  <c r="F68" i="74"/>
  <c r="H66" i="21"/>
  <c r="I66" i="21" s="1"/>
  <c r="D67" i="21"/>
  <c r="F65" i="45"/>
  <c r="G65" i="45" s="1"/>
  <c r="B65" i="45"/>
  <c r="H60" i="88"/>
  <c r="E65" i="66"/>
  <c r="F65" i="66" s="1"/>
  <c r="H58" i="89"/>
  <c r="I58" i="89" s="1"/>
  <c r="D59" i="89"/>
  <c r="E59" i="89" s="1"/>
  <c r="E70" i="30"/>
  <c r="F70" i="30" s="1"/>
  <c r="G64" i="56"/>
  <c r="F59" i="83"/>
  <c r="D60" i="83" s="1"/>
  <c r="B59" i="83"/>
  <c r="D59" i="92"/>
  <c r="I69" i="31"/>
  <c r="H64" i="57"/>
  <c r="I64" i="57" s="1"/>
  <c r="E72" i="28"/>
  <c r="E73" i="28" s="1"/>
  <c r="E64" i="65"/>
  <c r="F64" i="65" s="1"/>
  <c r="B70" i="70"/>
  <c r="F70" i="70"/>
  <c r="G70" i="70" s="1"/>
  <c r="D64" i="63"/>
  <c r="E64" i="63" s="1"/>
  <c r="E71" i="69"/>
  <c r="F71" i="69" s="1"/>
  <c r="H71" i="69" s="1"/>
  <c r="B71" i="69"/>
  <c r="J147" i="69"/>
  <c r="J141" i="65"/>
  <c r="E149" i="27"/>
  <c r="F149" i="27" s="1"/>
  <c r="B149" i="27"/>
  <c r="I148" i="27"/>
  <c r="H148" i="27"/>
  <c r="J142" i="53"/>
  <c r="J141" i="60"/>
  <c r="J147" i="70"/>
  <c r="J140" i="68"/>
  <c r="J142" i="58"/>
  <c r="J143" i="74"/>
  <c r="D68" i="18"/>
  <c r="E68" i="18" s="1"/>
  <c r="F72" i="3"/>
  <c r="H72" i="3" s="1"/>
  <c r="B72" i="3"/>
  <c r="F71" i="23"/>
  <c r="G71" i="23" s="1"/>
  <c r="B71" i="23"/>
  <c r="D63" i="59"/>
  <c r="E63" i="59" s="1"/>
  <c r="J139" i="79"/>
  <c r="J147" i="29"/>
  <c r="H62" i="59"/>
  <c r="E146" i="43"/>
  <c r="F146" i="43" s="1"/>
  <c r="B146" i="43"/>
  <c r="F60" i="33"/>
  <c r="H60" i="33" s="1"/>
  <c r="B60" i="33"/>
  <c r="B59" i="87"/>
  <c r="F59" i="87"/>
  <c r="H59" i="87" s="1"/>
  <c r="F62" i="62"/>
  <c r="G62" i="62" s="1"/>
  <c r="B62" i="62"/>
  <c r="F58" i="13"/>
  <c r="G58" i="13" s="1"/>
  <c r="B58" i="13"/>
  <c r="D67" i="73"/>
  <c r="E67" i="73" s="1"/>
  <c r="G62" i="59"/>
  <c r="B59" i="26"/>
  <c r="F59" i="26"/>
  <c r="G59" i="26" s="1"/>
  <c r="F66" i="20"/>
  <c r="H66" i="20" s="1"/>
  <c r="B66" i="20"/>
  <c r="H67" i="18"/>
  <c r="I67" i="18" s="1"/>
  <c r="G66" i="73"/>
  <c r="I66" i="73" s="1"/>
  <c r="G147" i="31"/>
  <c r="D148" i="31"/>
  <c r="G143" i="46"/>
  <c r="D144" i="46"/>
  <c r="B144" i="46" s="1"/>
  <c r="F143" i="62"/>
  <c r="B143" i="62"/>
  <c r="G138" i="92"/>
  <c r="D139" i="92"/>
  <c r="E139" i="92"/>
  <c r="I145" i="39"/>
  <c r="H145" i="39"/>
  <c r="I146" i="19"/>
  <c r="H146" i="19"/>
  <c r="H148" i="30"/>
  <c r="I148" i="30"/>
  <c r="G141" i="68"/>
  <c r="D142" i="68"/>
  <c r="E142" i="68" s="1"/>
  <c r="H139" i="26"/>
  <c r="I139" i="26"/>
  <c r="G140" i="78"/>
  <c r="D141" i="78"/>
  <c r="E141" i="78" s="1"/>
  <c r="J146" i="31"/>
  <c r="H138" i="89"/>
  <c r="I138" i="89"/>
  <c r="E139" i="90"/>
  <c r="G138" i="90"/>
  <c r="D139" i="90"/>
  <c r="D139" i="86"/>
  <c r="E139" i="86"/>
  <c r="G138" i="86"/>
  <c r="B140" i="81"/>
  <c r="F140" i="81"/>
  <c r="J141" i="64"/>
  <c r="D144" i="53"/>
  <c r="B144" i="53" s="1"/>
  <c r="G143" i="53"/>
  <c r="E147" i="19"/>
  <c r="F147" i="19" s="1"/>
  <c r="B147" i="19"/>
  <c r="E147" i="20"/>
  <c r="F147" i="20" s="1"/>
  <c r="B147" i="20"/>
  <c r="G141" i="66"/>
  <c r="D142" i="66"/>
  <c r="E142" i="66" s="1"/>
  <c r="E140" i="26"/>
  <c r="F140" i="26" s="1"/>
  <c r="B140" i="26"/>
  <c r="D143" i="61"/>
  <c r="E143" i="61" s="1"/>
  <c r="G142" i="61"/>
  <c r="J141" i="63"/>
  <c r="G145" i="45"/>
  <c r="D146" i="45"/>
  <c r="J140" i="66"/>
  <c r="B139" i="89"/>
  <c r="F139" i="89"/>
  <c r="D144" i="72"/>
  <c r="E144" i="72" s="1"/>
  <c r="G143" i="72"/>
  <c r="E149" i="30"/>
  <c r="F149" i="30" s="1"/>
  <c r="I146" i="22"/>
  <c r="H146" i="22"/>
  <c r="D143" i="65"/>
  <c r="E143" i="65" s="1"/>
  <c r="G142" i="65"/>
  <c r="D147" i="41"/>
  <c r="B147" i="41" s="1"/>
  <c r="G146" i="41"/>
  <c r="G142" i="64"/>
  <c r="D143" i="64"/>
  <c r="E143" i="64" s="1"/>
  <c r="I139" i="81"/>
  <c r="H139" i="81"/>
  <c r="D145" i="74"/>
  <c r="E145" i="74" s="1"/>
  <c r="G144" i="74"/>
  <c r="I146" i="20"/>
  <c r="H146" i="20"/>
  <c r="E139" i="84"/>
  <c r="G138" i="84"/>
  <c r="D139" i="84"/>
  <c r="D149" i="70"/>
  <c r="E149" i="70" s="1"/>
  <c r="G148" i="70"/>
  <c r="J141" i="61"/>
  <c r="B146" i="73"/>
  <c r="F146" i="73"/>
  <c r="B139" i="91"/>
  <c r="F139" i="91"/>
  <c r="D140" i="85"/>
  <c r="E140" i="85"/>
  <c r="G139" i="85"/>
  <c r="F148" i="32"/>
  <c r="B148" i="32"/>
  <c r="J146" i="34"/>
  <c r="D143" i="63"/>
  <c r="G142" i="63"/>
  <c r="G148" i="69"/>
  <c r="D149" i="69"/>
  <c r="E149" i="69" s="1"/>
  <c r="G148" i="29"/>
  <c r="D149" i="29"/>
  <c r="J139" i="78"/>
  <c r="D143" i="60"/>
  <c r="G142" i="60"/>
  <c r="J142" i="72"/>
  <c r="G143" i="58"/>
  <c r="D144" i="58"/>
  <c r="E144" i="58" s="1"/>
  <c r="G140" i="79"/>
  <c r="D141" i="79"/>
  <c r="E141" i="79" s="1"/>
  <c r="H142" i="62"/>
  <c r="I142" i="62"/>
  <c r="B146" i="39"/>
  <c r="E146" i="39"/>
  <c r="F146" i="39" s="1"/>
  <c r="G138" i="88"/>
  <c r="E139" i="88"/>
  <c r="D139" i="88"/>
  <c r="J145" i="41"/>
  <c r="J142" i="46"/>
  <c r="H145" i="73"/>
  <c r="I145" i="73"/>
  <c r="I138" i="91"/>
  <c r="H138" i="91"/>
  <c r="H147" i="32"/>
  <c r="I147" i="32"/>
  <c r="E147" i="22"/>
  <c r="F147" i="22" s="1"/>
  <c r="B147" i="22"/>
  <c r="D148" i="18"/>
  <c r="G147" i="18"/>
  <c r="J146" i="18"/>
  <c r="J147" i="23"/>
  <c r="J142" i="59"/>
  <c r="G148" i="23"/>
  <c r="D149" i="23"/>
  <c r="B149" i="23" s="1"/>
  <c r="E145" i="56"/>
  <c r="F145" i="56" s="1"/>
  <c r="B145" i="56"/>
  <c r="J143" i="57"/>
  <c r="D144" i="59"/>
  <c r="E144" i="59" s="1"/>
  <c r="G143" i="59"/>
  <c r="I144" i="56"/>
  <c r="H144" i="56"/>
  <c r="J147" i="71"/>
  <c r="D145" i="57"/>
  <c r="B145" i="57" s="1"/>
  <c r="G144" i="57"/>
  <c r="G148" i="71"/>
  <c r="D149" i="71"/>
  <c r="E149" i="71" s="1"/>
  <c r="D146" i="44"/>
  <c r="E146" i="44" s="1"/>
  <c r="G145" i="44"/>
  <c r="G147" i="17"/>
  <c r="D148" i="17"/>
  <c r="E148" i="17" s="1"/>
  <c r="B144" i="54"/>
  <c r="B138" i="33"/>
  <c r="H145" i="42"/>
  <c r="I145" i="42"/>
  <c r="G138" i="96"/>
  <c r="D139" i="96"/>
  <c r="B138" i="13"/>
  <c r="G138" i="87"/>
  <c r="D139" i="87"/>
  <c r="E139" i="87"/>
  <c r="B139" i="93"/>
  <c r="H139" i="80"/>
  <c r="I139" i="80"/>
  <c r="B144" i="55"/>
  <c r="F140" i="83"/>
  <c r="B140" i="83"/>
  <c r="H146" i="21"/>
  <c r="I146" i="21"/>
  <c r="F141" i="75"/>
  <c r="B141" i="75"/>
  <c r="J146" i="17"/>
  <c r="H137" i="33"/>
  <c r="I137" i="33"/>
  <c r="F146" i="42"/>
  <c r="B146" i="42"/>
  <c r="E138" i="13"/>
  <c r="F138" i="13" s="1"/>
  <c r="J144" i="44"/>
  <c r="I138" i="93"/>
  <c r="H138" i="93"/>
  <c r="D142" i="67"/>
  <c r="E142" i="67" s="1"/>
  <c r="G141" i="67"/>
  <c r="E144" i="55"/>
  <c r="F144" i="55" s="1"/>
  <c r="G139" i="94"/>
  <c r="D140" i="94"/>
  <c r="E140" i="94" s="1"/>
  <c r="B147" i="21"/>
  <c r="E144" i="54"/>
  <c r="F144" i="54" s="1"/>
  <c r="I139" i="83"/>
  <c r="H139" i="83"/>
  <c r="E147" i="21"/>
  <c r="F147" i="21" s="1"/>
  <c r="F141" i="77"/>
  <c r="B141" i="77"/>
  <c r="G149" i="28"/>
  <c r="D150" i="28"/>
  <c r="J145" i="3"/>
  <c r="G139" i="95"/>
  <c r="D140" i="95"/>
  <c r="H147" i="24"/>
  <c r="I147" i="24"/>
  <c r="H137" i="13"/>
  <c r="I137" i="13"/>
  <c r="B141" i="76"/>
  <c r="F141" i="76"/>
  <c r="G139" i="82"/>
  <c r="D140" i="82"/>
  <c r="E140" i="82" s="1"/>
  <c r="I143" i="55"/>
  <c r="H143" i="55"/>
  <c r="H143" i="54"/>
  <c r="I143" i="54"/>
  <c r="H140" i="77"/>
  <c r="I140" i="77"/>
  <c r="J140" i="67"/>
  <c r="I140" i="75"/>
  <c r="H140" i="75"/>
  <c r="B148" i="24"/>
  <c r="F148" i="24"/>
  <c r="E138" i="33"/>
  <c r="F138" i="33" s="1"/>
  <c r="G147" i="34"/>
  <c r="D148" i="34"/>
  <c r="J148" i="28"/>
  <c r="D147" i="3"/>
  <c r="E147" i="3" s="1"/>
  <c r="G146" i="3"/>
  <c r="H140" i="76"/>
  <c r="I140" i="76"/>
  <c r="E139" i="93"/>
  <c r="F139" i="93" s="1"/>
  <c r="F140" i="80"/>
  <c r="B140" i="80"/>
  <c r="F60" i="25" l="1"/>
  <c r="H60" i="25" s="1"/>
  <c r="B60" i="25"/>
  <c r="J137" i="25"/>
  <c r="D139" i="25"/>
  <c r="G138" i="25"/>
  <c r="I57" i="98"/>
  <c r="I63" i="66"/>
  <c r="H145" i="43"/>
  <c r="J145" i="43" s="1"/>
  <c r="B68" i="19"/>
  <c r="F68" i="19"/>
  <c r="D69" i="19" s="1"/>
  <c r="B69" i="19" s="1"/>
  <c r="F72" i="29"/>
  <c r="H72" i="29" s="1"/>
  <c r="B67" i="72"/>
  <c r="G59" i="25"/>
  <c r="H70" i="32"/>
  <c r="E59" i="98"/>
  <c r="F59" i="98" s="1"/>
  <c r="D60" i="98" s="1"/>
  <c r="B59" i="98"/>
  <c r="G70" i="32"/>
  <c r="E71" i="32"/>
  <c r="F71" i="32" s="1"/>
  <c r="D72" i="32" s="1"/>
  <c r="E72" i="32" s="1"/>
  <c r="E73" i="32" s="1"/>
  <c r="I61" i="86"/>
  <c r="H58" i="98"/>
  <c r="I69" i="99"/>
  <c r="B70" i="32"/>
  <c r="G58" i="98"/>
  <c r="E70" i="99"/>
  <c r="F70" i="99" s="1"/>
  <c r="D71" i="99" s="1"/>
  <c r="B70" i="99"/>
  <c r="D139" i="99"/>
  <c r="G138" i="99"/>
  <c r="E139" i="99"/>
  <c r="I59" i="91"/>
  <c r="F67" i="72"/>
  <c r="D68" i="72" s="1"/>
  <c r="B68" i="72" s="1"/>
  <c r="E65" i="67"/>
  <c r="F65" i="67" s="1"/>
  <c r="B65" i="67"/>
  <c r="I64" i="66"/>
  <c r="G66" i="58"/>
  <c r="D67" i="58"/>
  <c r="H66" i="58"/>
  <c r="I71" i="29"/>
  <c r="I60" i="90"/>
  <c r="I60" i="86"/>
  <c r="I59" i="84"/>
  <c r="I61" i="76"/>
  <c r="I63" i="61"/>
  <c r="F139" i="97"/>
  <c r="B139" i="97"/>
  <c r="H138" i="98"/>
  <c r="I138" i="98"/>
  <c r="H138" i="97"/>
  <c r="I138" i="97"/>
  <c r="F139" i="98"/>
  <c r="B139" i="98"/>
  <c r="G59" i="87"/>
  <c r="I59" i="87" s="1"/>
  <c r="G62" i="86"/>
  <c r="I62" i="82"/>
  <c r="G61" i="80"/>
  <c r="I61" i="80" s="1"/>
  <c r="D69" i="46"/>
  <c r="H68" i="46"/>
  <c r="G68" i="46"/>
  <c r="I68" i="27"/>
  <c r="G70" i="24"/>
  <c r="I70" i="24" s="1"/>
  <c r="D71" i="24"/>
  <c r="D60" i="94"/>
  <c r="H59" i="94"/>
  <c r="B58" i="93"/>
  <c r="G58" i="93"/>
  <c r="H58" i="93"/>
  <c r="G63" i="82"/>
  <c r="D64" i="82"/>
  <c r="H63" i="82"/>
  <c r="E69" i="27"/>
  <c r="F69" i="27" s="1"/>
  <c r="B69" i="27"/>
  <c r="H70" i="70"/>
  <c r="I70" i="70" s="1"/>
  <c r="G60" i="85"/>
  <c r="I60" i="85" s="1"/>
  <c r="I64" i="53"/>
  <c r="D62" i="80"/>
  <c r="E62" i="80" s="1"/>
  <c r="H59" i="25"/>
  <c r="G59" i="94"/>
  <c r="H65" i="45"/>
  <c r="I65" i="45" s="1"/>
  <c r="E59" i="93"/>
  <c r="F59" i="93" s="1"/>
  <c r="G59" i="93" s="1"/>
  <c r="E64" i="61"/>
  <c r="F64" i="61" s="1"/>
  <c r="G69" i="42"/>
  <c r="D70" i="42"/>
  <c r="H69" i="42"/>
  <c r="G61" i="90"/>
  <c r="D62" i="90"/>
  <c r="D68" i="44"/>
  <c r="B68" i="44" s="1"/>
  <c r="G67" i="44"/>
  <c r="H67" i="44"/>
  <c r="E72" i="71"/>
  <c r="E73" i="71" s="1"/>
  <c r="B72" i="71"/>
  <c r="H59" i="83"/>
  <c r="I71" i="71"/>
  <c r="G59" i="83"/>
  <c r="I62" i="75"/>
  <c r="E65" i="53"/>
  <c r="F65" i="53" s="1"/>
  <c r="G65" i="53" s="1"/>
  <c r="B65" i="53"/>
  <c r="E60" i="84"/>
  <c r="F60" i="84" s="1"/>
  <c r="H60" i="84" s="1"/>
  <c r="B60" i="84"/>
  <c r="H68" i="34"/>
  <c r="D69" i="34"/>
  <c r="G68" i="34"/>
  <c r="G66" i="55"/>
  <c r="I66" i="55" s="1"/>
  <c r="D67" i="55"/>
  <c r="E67" i="55" s="1"/>
  <c r="B61" i="90"/>
  <c r="H61" i="90"/>
  <c r="F63" i="75"/>
  <c r="G63" i="75" s="1"/>
  <c r="B63" i="75"/>
  <c r="B60" i="91"/>
  <c r="F60" i="91"/>
  <c r="H64" i="54"/>
  <c r="G64" i="54"/>
  <c r="H58" i="95"/>
  <c r="D59" i="95"/>
  <c r="G58" i="95"/>
  <c r="B69" i="22"/>
  <c r="H59" i="26"/>
  <c r="I59" i="26" s="1"/>
  <c r="H58" i="13"/>
  <c r="I58" i="13" s="1"/>
  <c r="I68" i="22"/>
  <c r="E62" i="76"/>
  <c r="F62" i="76" s="1"/>
  <c r="B62" i="76"/>
  <c r="E63" i="86"/>
  <c r="F63" i="86" s="1"/>
  <c r="B63" i="86"/>
  <c r="I59" i="81"/>
  <c r="B60" i="81"/>
  <c r="B67" i="39"/>
  <c r="F67" i="39"/>
  <c r="G67" i="39" s="1"/>
  <c r="H62" i="62"/>
  <c r="I62" i="62" s="1"/>
  <c r="G72" i="3"/>
  <c r="G73" i="3" s="1"/>
  <c r="I63" i="68"/>
  <c r="D61" i="85"/>
  <c r="E61" i="85" s="1"/>
  <c r="F61" i="85" s="1"/>
  <c r="D62" i="85" s="1"/>
  <c r="H62" i="86"/>
  <c r="I66" i="44"/>
  <c r="E60" i="81"/>
  <c r="F60" i="81" s="1"/>
  <c r="B58" i="96"/>
  <c r="F58" i="96"/>
  <c r="H58" i="96" s="1"/>
  <c r="E69" i="22"/>
  <c r="F69" i="22" s="1"/>
  <c r="D70" i="22" s="1"/>
  <c r="I67" i="43"/>
  <c r="D71" i="31"/>
  <c r="B71" i="31" s="1"/>
  <c r="G70" i="31"/>
  <c r="H70" i="31"/>
  <c r="D62" i="88"/>
  <c r="G61" i="88"/>
  <c r="H61" i="88"/>
  <c r="H70" i="30"/>
  <c r="D71" i="30"/>
  <c r="E71" i="30" s="1"/>
  <c r="G70" i="30"/>
  <c r="G62" i="77"/>
  <c r="D63" i="77"/>
  <c r="H62" i="77"/>
  <c r="B67" i="21"/>
  <c r="D69" i="74"/>
  <c r="E69" i="74" s="1"/>
  <c r="B64" i="64"/>
  <c r="H65" i="66"/>
  <c r="D66" i="66"/>
  <c r="E66" i="66" s="1"/>
  <c r="B64" i="63"/>
  <c r="F64" i="63"/>
  <c r="G65" i="66"/>
  <c r="D71" i="70"/>
  <c r="E71" i="70" s="1"/>
  <c r="H64" i="65"/>
  <c r="D65" i="65"/>
  <c r="G64" i="65"/>
  <c r="B59" i="92"/>
  <c r="B59" i="89"/>
  <c r="F59" i="89"/>
  <c r="D66" i="45"/>
  <c r="E66" i="45" s="1"/>
  <c r="H68" i="74"/>
  <c r="B70" i="17"/>
  <c r="I64" i="56"/>
  <c r="B61" i="78"/>
  <c r="H65" i="60"/>
  <c r="B61" i="79"/>
  <c r="H68" i="41"/>
  <c r="D69" i="41"/>
  <c r="E66" i="60"/>
  <c r="F66" i="60" s="1"/>
  <c r="B66" i="60"/>
  <c r="G68" i="43"/>
  <c r="I68" i="43" s="1"/>
  <c r="D69" i="43"/>
  <c r="G71" i="69"/>
  <c r="I71" i="69" s="1"/>
  <c r="D72" i="69"/>
  <c r="G68" i="41"/>
  <c r="D65" i="54"/>
  <c r="E65" i="54" s="1"/>
  <c r="F65" i="54" s="1"/>
  <c r="B65" i="57"/>
  <c r="F65" i="57"/>
  <c r="G65" i="60"/>
  <c r="E59" i="92"/>
  <c r="F59" i="92" s="1"/>
  <c r="E60" i="83"/>
  <c r="F60" i="83" s="1"/>
  <c r="B60" i="83"/>
  <c r="E67" i="21"/>
  <c r="F67" i="21" s="1"/>
  <c r="G67" i="21" s="1"/>
  <c r="G68" i="74"/>
  <c r="E70" i="17"/>
  <c r="F70" i="17" s="1"/>
  <c r="E61" i="78"/>
  <c r="F61" i="78" s="1"/>
  <c r="I67" i="41"/>
  <c r="E61" i="79"/>
  <c r="F61" i="79" s="1"/>
  <c r="F72" i="28"/>
  <c r="I60" i="88"/>
  <c r="E64" i="64"/>
  <c r="F64" i="64" s="1"/>
  <c r="B65" i="56"/>
  <c r="F65" i="56"/>
  <c r="H65" i="56" s="1"/>
  <c r="B64" i="68"/>
  <c r="F64" i="68"/>
  <c r="J148" i="27"/>
  <c r="J142" i="62"/>
  <c r="E144" i="53"/>
  <c r="F144" i="53" s="1"/>
  <c r="D150" i="27"/>
  <c r="B150" i="27" s="1"/>
  <c r="G149" i="27"/>
  <c r="J144" i="56"/>
  <c r="J148" i="30"/>
  <c r="H73" i="3"/>
  <c r="J146" i="22"/>
  <c r="G66" i="20"/>
  <c r="I66" i="20" s="1"/>
  <c r="D60" i="26"/>
  <c r="E60" i="26" s="1"/>
  <c r="G60" i="33"/>
  <c r="I60" i="33" s="1"/>
  <c r="D147" i="43"/>
  <c r="G146" i="43"/>
  <c r="I62" i="59"/>
  <c r="D61" i="25"/>
  <c r="E61" i="25" s="1"/>
  <c r="D72" i="23"/>
  <c r="B63" i="59"/>
  <c r="F63" i="59"/>
  <c r="G63" i="59" s="1"/>
  <c r="J146" i="20"/>
  <c r="D59" i="13"/>
  <c r="D60" i="87"/>
  <c r="G60" i="25"/>
  <c r="I60" i="25" s="1"/>
  <c r="H71" i="23"/>
  <c r="I71" i="23" s="1"/>
  <c r="E147" i="41"/>
  <c r="F147" i="41" s="1"/>
  <c r="D67" i="20"/>
  <c r="E67" i="20" s="1"/>
  <c r="D61" i="33"/>
  <c r="J147" i="32"/>
  <c r="J145" i="73"/>
  <c r="F67" i="73"/>
  <c r="H67" i="73" s="1"/>
  <c r="B67" i="73"/>
  <c r="D63" i="62"/>
  <c r="E63" i="62" s="1"/>
  <c r="B68" i="18"/>
  <c r="F68" i="18"/>
  <c r="H68" i="18" s="1"/>
  <c r="D141" i="26"/>
  <c r="G140" i="26"/>
  <c r="D148" i="19"/>
  <c r="B148" i="19" s="1"/>
  <c r="G147" i="19"/>
  <c r="D148" i="22"/>
  <c r="G147" i="22"/>
  <c r="E143" i="60"/>
  <c r="F143" i="60" s="1"/>
  <c r="B143" i="60"/>
  <c r="B143" i="65"/>
  <c r="F143" i="65"/>
  <c r="G149" i="30"/>
  <c r="D150" i="30"/>
  <c r="B150" i="30" s="1"/>
  <c r="G139" i="89"/>
  <c r="D140" i="89"/>
  <c r="E140" i="89"/>
  <c r="H145" i="45"/>
  <c r="I145" i="45"/>
  <c r="B139" i="88"/>
  <c r="F139" i="88"/>
  <c r="B141" i="79"/>
  <c r="F141" i="79"/>
  <c r="D147" i="73"/>
  <c r="G146" i="73"/>
  <c r="I144" i="74"/>
  <c r="H144" i="74"/>
  <c r="H146" i="41"/>
  <c r="I146" i="41"/>
  <c r="H141" i="66"/>
  <c r="I141" i="66"/>
  <c r="G140" i="81"/>
  <c r="D141" i="81"/>
  <c r="E141" i="81" s="1"/>
  <c r="F139" i="86"/>
  <c r="B139" i="86"/>
  <c r="B141" i="78"/>
  <c r="F141" i="78"/>
  <c r="B142" i="68"/>
  <c r="F142" i="68"/>
  <c r="J145" i="39"/>
  <c r="I143" i="46"/>
  <c r="H143" i="46"/>
  <c r="D147" i="39"/>
  <c r="G146" i="39"/>
  <c r="H143" i="58"/>
  <c r="I143" i="58"/>
  <c r="E143" i="63"/>
  <c r="F143" i="63" s="1"/>
  <c r="B143" i="63"/>
  <c r="I138" i="84"/>
  <c r="H138" i="84"/>
  <c r="B142" i="66"/>
  <c r="F142" i="66"/>
  <c r="H138" i="92"/>
  <c r="I138" i="92"/>
  <c r="I140" i="79"/>
  <c r="H140" i="79"/>
  <c r="B149" i="29"/>
  <c r="E149" i="29"/>
  <c r="F149" i="29" s="1"/>
  <c r="H148" i="69"/>
  <c r="I148" i="69"/>
  <c r="F140" i="85"/>
  <c r="B140" i="85"/>
  <c r="F149" i="70"/>
  <c r="B149" i="70"/>
  <c r="F143" i="64"/>
  <c r="B143" i="64"/>
  <c r="I143" i="72"/>
  <c r="H143" i="72"/>
  <c r="I143" i="53"/>
  <c r="H143" i="53"/>
  <c r="F139" i="90"/>
  <c r="B139" i="90"/>
  <c r="I140" i="78"/>
  <c r="H140" i="78"/>
  <c r="G143" i="62"/>
  <c r="D144" i="62"/>
  <c r="B144" i="62" s="1"/>
  <c r="E148" i="31"/>
  <c r="F148" i="31" s="1"/>
  <c r="B148" i="31"/>
  <c r="F149" i="69"/>
  <c r="B149" i="69"/>
  <c r="I139" i="85"/>
  <c r="H139" i="85"/>
  <c r="H148" i="70"/>
  <c r="I148" i="70"/>
  <c r="B143" i="61"/>
  <c r="F143" i="61"/>
  <c r="D148" i="20"/>
  <c r="B148" i="20" s="1"/>
  <c r="G147" i="20"/>
  <c r="I138" i="88"/>
  <c r="H138" i="88"/>
  <c r="B144" i="58"/>
  <c r="F144" i="58"/>
  <c r="I142" i="60"/>
  <c r="H142" i="60"/>
  <c r="H148" i="29"/>
  <c r="I148" i="29"/>
  <c r="I142" i="63"/>
  <c r="H142" i="63"/>
  <c r="G148" i="32"/>
  <c r="D149" i="32"/>
  <c r="G139" i="91"/>
  <c r="D140" i="91"/>
  <c r="E140" i="91"/>
  <c r="B139" i="84"/>
  <c r="F139" i="84"/>
  <c r="F145" i="74"/>
  <c r="B145" i="74"/>
  <c r="I142" i="64"/>
  <c r="H142" i="64"/>
  <c r="I142" i="65"/>
  <c r="H142" i="65"/>
  <c r="B144" i="72"/>
  <c r="F144" i="72"/>
  <c r="B146" i="45"/>
  <c r="E146" i="45"/>
  <c r="F146" i="45" s="1"/>
  <c r="H142" i="61"/>
  <c r="I142" i="61"/>
  <c r="I138" i="86"/>
  <c r="H138" i="86"/>
  <c r="I138" i="90"/>
  <c r="H138" i="90"/>
  <c r="J139" i="26"/>
  <c r="I141" i="68"/>
  <c r="H141" i="68"/>
  <c r="J146" i="19"/>
  <c r="F139" i="92"/>
  <c r="B139" i="92"/>
  <c r="E144" i="46"/>
  <c r="F144" i="46" s="1"/>
  <c r="I147" i="31"/>
  <c r="H147" i="31"/>
  <c r="D146" i="56"/>
  <c r="G145" i="56"/>
  <c r="I143" i="59"/>
  <c r="H143" i="59"/>
  <c r="E149" i="23"/>
  <c r="F149" i="23" s="1"/>
  <c r="B144" i="59"/>
  <c r="F144" i="59"/>
  <c r="H148" i="23"/>
  <c r="I148" i="23"/>
  <c r="I147" i="18"/>
  <c r="H147" i="18"/>
  <c r="E148" i="18"/>
  <c r="F148" i="18" s="1"/>
  <c r="B148" i="18"/>
  <c r="J146" i="21"/>
  <c r="F149" i="71"/>
  <c r="B149" i="71"/>
  <c r="I148" i="71"/>
  <c r="H148" i="71"/>
  <c r="E145" i="57"/>
  <c r="F145" i="57" s="1"/>
  <c r="J143" i="54"/>
  <c r="J145" i="42"/>
  <c r="I144" i="57"/>
  <c r="H144" i="57"/>
  <c r="G139" i="93"/>
  <c r="D140" i="93"/>
  <c r="G144" i="54"/>
  <c r="D145" i="54"/>
  <c r="E145" i="54" s="1"/>
  <c r="D139" i="13"/>
  <c r="E139" i="13" s="1"/>
  <c r="G138" i="13"/>
  <c r="D139" i="33"/>
  <c r="G138" i="33"/>
  <c r="D145" i="55"/>
  <c r="G144" i="55"/>
  <c r="D141" i="80"/>
  <c r="E141" i="80" s="1"/>
  <c r="G140" i="80"/>
  <c r="B148" i="34"/>
  <c r="B150" i="28"/>
  <c r="B142" i="67"/>
  <c r="F142" i="67"/>
  <c r="B139" i="87"/>
  <c r="F139" i="87"/>
  <c r="B139" i="96"/>
  <c r="I147" i="17"/>
  <c r="H147" i="17"/>
  <c r="H147" i="34"/>
  <c r="I147" i="34"/>
  <c r="F140" i="82"/>
  <c r="B140" i="82"/>
  <c r="B140" i="95"/>
  <c r="I149" i="28"/>
  <c r="H149" i="28"/>
  <c r="G147" i="21"/>
  <c r="D148" i="21"/>
  <c r="E148" i="21" s="1"/>
  <c r="F140" i="94"/>
  <c r="B140" i="94"/>
  <c r="I138" i="87"/>
  <c r="H138" i="87"/>
  <c r="I138" i="96"/>
  <c r="H138" i="96"/>
  <c r="H146" i="3"/>
  <c r="I146" i="3"/>
  <c r="J143" i="55"/>
  <c r="H139" i="82"/>
  <c r="I139" i="82"/>
  <c r="H139" i="95"/>
  <c r="I139" i="95"/>
  <c r="G141" i="77"/>
  <c r="D142" i="77"/>
  <c r="E142" i="77" s="1"/>
  <c r="I139" i="94"/>
  <c r="H139" i="94"/>
  <c r="G146" i="42"/>
  <c r="D147" i="42"/>
  <c r="E147" i="42" s="1"/>
  <c r="F148" i="17"/>
  <c r="B148" i="17"/>
  <c r="I145" i="44"/>
  <c r="H145" i="44"/>
  <c r="J140" i="76"/>
  <c r="B147" i="3"/>
  <c r="F147" i="3"/>
  <c r="E148" i="34"/>
  <c r="F148" i="34" s="1"/>
  <c r="D149" i="24"/>
  <c r="E149" i="24" s="1"/>
  <c r="G148" i="24"/>
  <c r="J140" i="75"/>
  <c r="J140" i="77"/>
  <c r="G141" i="76"/>
  <c r="D142" i="76"/>
  <c r="E142" i="76" s="1"/>
  <c r="J147" i="24"/>
  <c r="E140" i="95"/>
  <c r="F140" i="95" s="1"/>
  <c r="E150" i="28"/>
  <c r="F150" i="28" s="1"/>
  <c r="H141" i="67"/>
  <c r="I141" i="67"/>
  <c r="J137" i="33"/>
  <c r="D142" i="75"/>
  <c r="E142" i="75" s="1"/>
  <c r="G141" i="75"/>
  <c r="G140" i="83"/>
  <c r="D141" i="83"/>
  <c r="E141" i="83" s="1"/>
  <c r="E139" i="96"/>
  <c r="F139" i="96" s="1"/>
  <c r="F146" i="44"/>
  <c r="B146" i="44"/>
  <c r="G72" i="29" l="1"/>
  <c r="G73" i="29" s="1"/>
  <c r="I138" i="25"/>
  <c r="H138" i="25"/>
  <c r="B139" i="25"/>
  <c r="E139" i="25"/>
  <c r="F139" i="25" s="1"/>
  <c r="I70" i="32"/>
  <c r="H68" i="19"/>
  <c r="G68" i="19"/>
  <c r="E69" i="19"/>
  <c r="F69" i="19" s="1"/>
  <c r="H69" i="19" s="1"/>
  <c r="I59" i="25"/>
  <c r="G71" i="32"/>
  <c r="E68" i="72"/>
  <c r="F68" i="72" s="1"/>
  <c r="G68" i="72" s="1"/>
  <c r="G67" i="72"/>
  <c r="I58" i="98"/>
  <c r="H71" i="32"/>
  <c r="I71" i="32" s="1"/>
  <c r="E71" i="99"/>
  <c r="F71" i="99" s="1"/>
  <c r="D72" i="99" s="1"/>
  <c r="B71" i="99"/>
  <c r="E60" i="98"/>
  <c r="F60" i="98" s="1"/>
  <c r="D61" i="98" s="1"/>
  <c r="B60" i="98"/>
  <c r="H70" i="99"/>
  <c r="H59" i="98"/>
  <c r="I62" i="86"/>
  <c r="H67" i="72"/>
  <c r="I66" i="58"/>
  <c r="G70" i="99"/>
  <c r="G59" i="98"/>
  <c r="I138" i="99"/>
  <c r="H138" i="99"/>
  <c r="B139" i="99"/>
  <c r="F139" i="99"/>
  <c r="I63" i="82"/>
  <c r="G65" i="67"/>
  <c r="H65" i="67"/>
  <c r="D66" i="67"/>
  <c r="I67" i="44"/>
  <c r="E67" i="58"/>
  <c r="F67" i="58" s="1"/>
  <c r="G67" i="58" s="1"/>
  <c r="B67" i="58"/>
  <c r="I70" i="31"/>
  <c r="E68" i="44"/>
  <c r="F68" i="44" s="1"/>
  <c r="D69" i="44" s="1"/>
  <c r="H67" i="39"/>
  <c r="I67" i="39" s="1"/>
  <c r="D140" i="98"/>
  <c r="G139" i="98"/>
  <c r="E140" i="98"/>
  <c r="D140" i="97"/>
  <c r="E140" i="97" s="1"/>
  <c r="G139" i="97"/>
  <c r="I58" i="93"/>
  <c r="D60" i="93"/>
  <c r="E60" i="93" s="1"/>
  <c r="F60" i="93" s="1"/>
  <c r="H59" i="93"/>
  <c r="I59" i="93" s="1"/>
  <c r="I68" i="46"/>
  <c r="B69" i="46"/>
  <c r="E69" i="46"/>
  <c r="F69" i="46" s="1"/>
  <c r="E71" i="24"/>
  <c r="F71" i="24" s="1"/>
  <c r="H71" i="24" s="1"/>
  <c r="B71" i="24"/>
  <c r="H69" i="27"/>
  <c r="D70" i="27"/>
  <c r="G64" i="61"/>
  <c r="D65" i="61"/>
  <c r="H64" i="61"/>
  <c r="E64" i="82"/>
  <c r="F64" i="82" s="1"/>
  <c r="B64" i="82"/>
  <c r="I61" i="88"/>
  <c r="E71" i="31"/>
  <c r="F71" i="31" s="1"/>
  <c r="G71" i="31" s="1"/>
  <c r="I58" i="95"/>
  <c r="I68" i="34"/>
  <c r="G60" i="84"/>
  <c r="I60" i="84" s="1"/>
  <c r="I69" i="42"/>
  <c r="G69" i="27"/>
  <c r="I59" i="94"/>
  <c r="B62" i="80"/>
  <c r="F62" i="80"/>
  <c r="G62" i="80" s="1"/>
  <c r="E60" i="94"/>
  <c r="F60" i="94" s="1"/>
  <c r="B60" i="94"/>
  <c r="D61" i="91"/>
  <c r="E61" i="91" s="1"/>
  <c r="F61" i="91" s="1"/>
  <c r="I59" i="83"/>
  <c r="H60" i="91"/>
  <c r="D64" i="75"/>
  <c r="E64" i="75" s="1"/>
  <c r="F64" i="75" s="1"/>
  <c r="E69" i="34"/>
  <c r="F69" i="34" s="1"/>
  <c r="B69" i="34"/>
  <c r="H65" i="53"/>
  <c r="I65" i="53" s="1"/>
  <c r="D66" i="53"/>
  <c r="E66" i="53" s="1"/>
  <c r="F66" i="53" s="1"/>
  <c r="D67" i="53" s="1"/>
  <c r="B62" i="90"/>
  <c r="E70" i="42"/>
  <c r="F70" i="42" s="1"/>
  <c r="G70" i="42" s="1"/>
  <c r="B70" i="42"/>
  <c r="G60" i="91"/>
  <c r="H63" i="75"/>
  <c r="I63" i="75" s="1"/>
  <c r="I61" i="90"/>
  <c r="F67" i="55"/>
  <c r="H67" i="55" s="1"/>
  <c r="B67" i="55"/>
  <c r="D61" i="84"/>
  <c r="E61" i="84" s="1"/>
  <c r="F61" i="84" s="1"/>
  <c r="D62" i="84" s="1"/>
  <c r="F72" i="71"/>
  <c r="E62" i="90"/>
  <c r="F62" i="90" s="1"/>
  <c r="D64" i="86"/>
  <c r="E64" i="86" s="1"/>
  <c r="F64" i="86" s="1"/>
  <c r="H63" i="86"/>
  <c r="G63" i="86"/>
  <c r="H60" i="81"/>
  <c r="D61" i="81"/>
  <c r="D63" i="76"/>
  <c r="I72" i="3"/>
  <c r="I73" i="3" s="1"/>
  <c r="E70" i="22"/>
  <c r="F70" i="22" s="1"/>
  <c r="B70" i="22"/>
  <c r="E62" i="85"/>
  <c r="F62" i="85" s="1"/>
  <c r="H62" i="85" s="1"/>
  <c r="B62" i="85"/>
  <c r="I65" i="60"/>
  <c r="B61" i="85"/>
  <c r="G61" i="85"/>
  <c r="H61" i="85"/>
  <c r="D68" i="39"/>
  <c r="E68" i="39" s="1"/>
  <c r="G60" i="81"/>
  <c r="H62" i="76"/>
  <c r="G69" i="22"/>
  <c r="E59" i="95"/>
  <c r="F59" i="95" s="1"/>
  <c r="B59" i="95"/>
  <c r="G58" i="96"/>
  <c r="I58" i="96" s="1"/>
  <c r="D59" i="96"/>
  <c r="E59" i="96" s="1"/>
  <c r="F59" i="96" s="1"/>
  <c r="G62" i="76"/>
  <c r="H69" i="22"/>
  <c r="I64" i="54"/>
  <c r="I62" i="77"/>
  <c r="D67" i="60"/>
  <c r="G66" i="60"/>
  <c r="H66" i="60"/>
  <c r="H60" i="83"/>
  <c r="D61" i="83"/>
  <c r="G60" i="83"/>
  <c r="D65" i="64"/>
  <c r="G64" i="64"/>
  <c r="H64" i="64"/>
  <c r="D65" i="68"/>
  <c r="E65" i="68" s="1"/>
  <c r="F65" i="68" s="1"/>
  <c r="D66" i="68" s="1"/>
  <c r="D66" i="57"/>
  <c r="E66" i="57" s="1"/>
  <c r="D66" i="54"/>
  <c r="D62" i="79"/>
  <c r="E62" i="79" s="1"/>
  <c r="D62" i="78"/>
  <c r="E62" i="78" s="1"/>
  <c r="D71" i="17"/>
  <c r="E71" i="17" s="1"/>
  <c r="H59" i="92"/>
  <c r="D60" i="92"/>
  <c r="D65" i="63"/>
  <c r="E65" i="63" s="1"/>
  <c r="F65" i="63" s="1"/>
  <c r="D66" i="56"/>
  <c r="E66" i="56" s="1"/>
  <c r="F66" i="56" s="1"/>
  <c r="D68" i="21"/>
  <c r="E68" i="21" s="1"/>
  <c r="F68" i="21" s="1"/>
  <c r="D69" i="21" s="1"/>
  <c r="B69" i="41"/>
  <c r="F71" i="30"/>
  <c r="B71" i="30"/>
  <c r="F72" i="32"/>
  <c r="G72" i="32" s="1"/>
  <c r="G73" i="32" s="1"/>
  <c r="B72" i="32"/>
  <c r="E69" i="41"/>
  <c r="F69" i="41" s="1"/>
  <c r="G61" i="79"/>
  <c r="G70" i="17"/>
  <c r="G59" i="92"/>
  <c r="E65" i="65"/>
  <c r="F65" i="65" s="1"/>
  <c r="B65" i="65"/>
  <c r="G64" i="63"/>
  <c r="B66" i="66"/>
  <c r="F66" i="66"/>
  <c r="D67" i="66" s="1"/>
  <c r="B67" i="66" s="1"/>
  <c r="B69" i="74"/>
  <c r="F69" i="74"/>
  <c r="D70" i="74" s="1"/>
  <c r="I70" i="30"/>
  <c r="E62" i="88"/>
  <c r="F62" i="88" s="1"/>
  <c r="B62" i="88"/>
  <c r="E72" i="69"/>
  <c r="E73" i="69" s="1"/>
  <c r="B72" i="69"/>
  <c r="B66" i="45"/>
  <c r="F66" i="45"/>
  <c r="H59" i="89"/>
  <c r="D60" i="89"/>
  <c r="G64" i="68"/>
  <c r="H72" i="28"/>
  <c r="G72" i="28"/>
  <c r="G73" i="28" s="1"/>
  <c r="H65" i="57"/>
  <c r="B65" i="54"/>
  <c r="G65" i="54"/>
  <c r="H65" i="54"/>
  <c r="H61" i="79"/>
  <c r="H61" i="78"/>
  <c r="B71" i="70"/>
  <c r="F71" i="70"/>
  <c r="D72" i="70" s="1"/>
  <c r="E63" i="77"/>
  <c r="F63" i="77" s="1"/>
  <c r="B63" i="77"/>
  <c r="H64" i="68"/>
  <c r="G65" i="56"/>
  <c r="I65" i="56" s="1"/>
  <c r="G65" i="57"/>
  <c r="E69" i="43"/>
  <c r="F69" i="43" s="1"/>
  <c r="B69" i="43"/>
  <c r="I68" i="41"/>
  <c r="G61" i="78"/>
  <c r="H70" i="17"/>
  <c r="I68" i="74"/>
  <c r="G59" i="89"/>
  <c r="I64" i="65"/>
  <c r="H64" i="63"/>
  <c r="I65" i="66"/>
  <c r="H67" i="21"/>
  <c r="I67" i="21" s="1"/>
  <c r="D145" i="53"/>
  <c r="E145" i="53" s="1"/>
  <c r="F145" i="53" s="1"/>
  <c r="G144" i="53"/>
  <c r="I144" i="53" s="1"/>
  <c r="E144" i="62"/>
  <c r="F144" i="62" s="1"/>
  <c r="E150" i="27"/>
  <c r="F150" i="27" s="1"/>
  <c r="I149" i="27"/>
  <c r="H149" i="27"/>
  <c r="J148" i="69"/>
  <c r="J142" i="61"/>
  <c r="E150" i="30"/>
  <c r="F150" i="30" s="1"/>
  <c r="G150" i="30" s="1"/>
  <c r="B72" i="23"/>
  <c r="D64" i="59"/>
  <c r="E64" i="59" s="1"/>
  <c r="B61" i="25"/>
  <c r="F61" i="25"/>
  <c r="G61" i="25" s="1"/>
  <c r="H146" i="43"/>
  <c r="I146" i="43"/>
  <c r="D68" i="73"/>
  <c r="E68" i="73" s="1"/>
  <c r="D148" i="41"/>
  <c r="G147" i="41"/>
  <c r="B60" i="87"/>
  <c r="J144" i="74"/>
  <c r="D69" i="18"/>
  <c r="E69" i="18" s="1"/>
  <c r="G67" i="73"/>
  <c r="I67" i="73" s="1"/>
  <c r="B61" i="33"/>
  <c r="H63" i="59"/>
  <c r="I63" i="59" s="1"/>
  <c r="E147" i="43"/>
  <c r="F147" i="43" s="1"/>
  <c r="B147" i="43"/>
  <c r="B59" i="13"/>
  <c r="J142" i="65"/>
  <c r="J140" i="78"/>
  <c r="J143" i="53"/>
  <c r="J143" i="58"/>
  <c r="J146" i="41"/>
  <c r="G68" i="18"/>
  <c r="I68" i="18" s="1"/>
  <c r="B63" i="62"/>
  <c r="F63" i="62"/>
  <c r="G63" i="62" s="1"/>
  <c r="E61" i="33"/>
  <c r="F61" i="33" s="1"/>
  <c r="F67" i="20"/>
  <c r="G67" i="20" s="1"/>
  <c r="B67" i="20"/>
  <c r="E60" i="87"/>
  <c r="F60" i="87" s="1"/>
  <c r="E59" i="13"/>
  <c r="F59" i="13" s="1"/>
  <c r="I72" i="29"/>
  <c r="I73" i="29" s="1"/>
  <c r="H73" i="29"/>
  <c r="E72" i="23"/>
  <c r="E73" i="23" s="1"/>
  <c r="B60" i="26"/>
  <c r="F60" i="26"/>
  <c r="H60" i="26" s="1"/>
  <c r="D144" i="60"/>
  <c r="B144" i="60" s="1"/>
  <c r="G143" i="60"/>
  <c r="F140" i="91"/>
  <c r="B140" i="91"/>
  <c r="B147" i="39"/>
  <c r="I140" i="81"/>
  <c r="H140" i="81"/>
  <c r="I147" i="19"/>
  <c r="H147" i="19"/>
  <c r="J147" i="17"/>
  <c r="J147" i="18"/>
  <c r="J147" i="31"/>
  <c r="D145" i="72"/>
  <c r="E145" i="72" s="1"/>
  <c r="G144" i="72"/>
  <c r="D140" i="84"/>
  <c r="E140" i="84"/>
  <c r="G139" i="84"/>
  <c r="H139" i="91"/>
  <c r="I139" i="91"/>
  <c r="J142" i="63"/>
  <c r="J142" i="60"/>
  <c r="G143" i="61"/>
  <c r="D144" i="61"/>
  <c r="B144" i="61" s="1"/>
  <c r="G142" i="66"/>
  <c r="D143" i="66"/>
  <c r="D140" i="86"/>
  <c r="E140" i="86" s="1"/>
  <c r="G139" i="86"/>
  <c r="I146" i="73"/>
  <c r="H146" i="73"/>
  <c r="D140" i="88"/>
  <c r="G139" i="88"/>
  <c r="E140" i="88"/>
  <c r="E148" i="22"/>
  <c r="F148" i="22" s="1"/>
  <c r="B148" i="22"/>
  <c r="G145" i="74"/>
  <c r="D146" i="74"/>
  <c r="B146" i="74" s="1"/>
  <c r="D141" i="85"/>
  <c r="E141" i="85" s="1"/>
  <c r="G140" i="85"/>
  <c r="I147" i="22"/>
  <c r="H147" i="22"/>
  <c r="G144" i="46"/>
  <c r="D145" i="46"/>
  <c r="J142" i="64"/>
  <c r="B149" i="32"/>
  <c r="E149" i="32"/>
  <c r="F149" i="32" s="1"/>
  <c r="J148" i="29"/>
  <c r="G144" i="58"/>
  <c r="D145" i="58"/>
  <c r="B145" i="58" s="1"/>
  <c r="D149" i="31"/>
  <c r="G148" i="31"/>
  <c r="H143" i="62"/>
  <c r="I143" i="62"/>
  <c r="G139" i="90"/>
  <c r="E140" i="90"/>
  <c r="D140" i="90"/>
  <c r="J143" i="72"/>
  <c r="D150" i="70"/>
  <c r="E150" i="70" s="1"/>
  <c r="G149" i="70"/>
  <c r="J140" i="79"/>
  <c r="G143" i="63"/>
  <c r="D144" i="63"/>
  <c r="E144" i="63" s="1"/>
  <c r="E147" i="39"/>
  <c r="F147" i="39" s="1"/>
  <c r="J143" i="46"/>
  <c r="D142" i="78"/>
  <c r="E142" i="78" s="1"/>
  <c r="G141" i="78"/>
  <c r="E147" i="73"/>
  <c r="F147" i="73" s="1"/>
  <c r="B147" i="73"/>
  <c r="B140" i="89"/>
  <c r="F140" i="89"/>
  <c r="H149" i="30"/>
  <c r="I149" i="30"/>
  <c r="E148" i="20"/>
  <c r="F148" i="20" s="1"/>
  <c r="H140" i="26"/>
  <c r="I140" i="26"/>
  <c r="D140" i="92"/>
  <c r="E140" i="92" s="1"/>
  <c r="G139" i="92"/>
  <c r="D150" i="69"/>
  <c r="E150" i="69" s="1"/>
  <c r="G149" i="69"/>
  <c r="G143" i="64"/>
  <c r="D144" i="64"/>
  <c r="B144" i="64" s="1"/>
  <c r="D143" i="68"/>
  <c r="E143" i="68" s="1"/>
  <c r="G142" i="68"/>
  <c r="J141" i="68"/>
  <c r="D147" i="45"/>
  <c r="E147" i="45" s="1"/>
  <c r="G146" i="45"/>
  <c r="H148" i="32"/>
  <c r="I148" i="32"/>
  <c r="I147" i="20"/>
  <c r="H147" i="20"/>
  <c r="J148" i="70"/>
  <c r="G149" i="29"/>
  <c r="D150" i="29"/>
  <c r="H146" i="39"/>
  <c r="I146" i="39"/>
  <c r="F141" i="81"/>
  <c r="B141" i="81"/>
  <c r="J141" i="66"/>
  <c r="D142" i="79"/>
  <c r="E142" i="79" s="1"/>
  <c r="G141" i="79"/>
  <c r="J145" i="45"/>
  <c r="H139" i="89"/>
  <c r="I139" i="89"/>
  <c r="G143" i="65"/>
  <c r="D144" i="65"/>
  <c r="E144" i="65" s="1"/>
  <c r="E148" i="19"/>
  <c r="F148" i="19" s="1"/>
  <c r="E141" i="26"/>
  <c r="F141" i="26" s="1"/>
  <c r="B141" i="26"/>
  <c r="J143" i="59"/>
  <c r="J148" i="23"/>
  <c r="D150" i="23"/>
  <c r="B150" i="23" s="1"/>
  <c r="G149" i="23"/>
  <c r="G148" i="18"/>
  <c r="D149" i="18"/>
  <c r="B149" i="18" s="1"/>
  <c r="I145" i="56"/>
  <c r="H145" i="56"/>
  <c r="D145" i="59"/>
  <c r="G144" i="59"/>
  <c r="E146" i="56"/>
  <c r="F146" i="56" s="1"/>
  <c r="B146" i="56"/>
  <c r="D146" i="57"/>
  <c r="G145" i="57"/>
  <c r="G149" i="71"/>
  <c r="D150" i="71"/>
  <c r="B150" i="71" s="1"/>
  <c r="J145" i="44"/>
  <c r="J144" i="57"/>
  <c r="J148" i="71"/>
  <c r="D141" i="95"/>
  <c r="E141" i="95" s="1"/>
  <c r="G140" i="95"/>
  <c r="D149" i="34"/>
  <c r="E149" i="34" s="1"/>
  <c r="G148" i="34"/>
  <c r="D140" i="96"/>
  <c r="E140" i="96" s="1"/>
  <c r="G139" i="96"/>
  <c r="G150" i="28"/>
  <c r="D151" i="28"/>
  <c r="E151" i="28" s="1"/>
  <c r="G146" i="44"/>
  <c r="D147" i="44"/>
  <c r="E147" i="44" s="1"/>
  <c r="F141" i="83"/>
  <c r="B141" i="83"/>
  <c r="B142" i="75"/>
  <c r="F142" i="75"/>
  <c r="J141" i="67"/>
  <c r="D148" i="3"/>
  <c r="E148" i="3" s="1"/>
  <c r="G147" i="3"/>
  <c r="J146" i="3"/>
  <c r="G140" i="94"/>
  <c r="D141" i="94"/>
  <c r="E141" i="94" s="1"/>
  <c r="G142" i="67"/>
  <c r="D143" i="67"/>
  <c r="H144" i="55"/>
  <c r="I144" i="55"/>
  <c r="B139" i="33"/>
  <c r="B145" i="54"/>
  <c r="F145" i="54"/>
  <c r="I140" i="83"/>
  <c r="H140" i="83"/>
  <c r="I148" i="24"/>
  <c r="H148" i="24"/>
  <c r="F142" i="77"/>
  <c r="B142" i="77"/>
  <c r="G140" i="82"/>
  <c r="D141" i="82"/>
  <c r="E141" i="82" s="1"/>
  <c r="D140" i="87"/>
  <c r="G139" i="87"/>
  <c r="E140" i="87"/>
  <c r="I140" i="80"/>
  <c r="H140" i="80"/>
  <c r="B145" i="55"/>
  <c r="I138" i="13"/>
  <c r="H138" i="13"/>
  <c r="H144" i="54"/>
  <c r="I144" i="54"/>
  <c r="B140" i="93"/>
  <c r="B142" i="76"/>
  <c r="F142" i="76"/>
  <c r="F149" i="24"/>
  <c r="B149" i="24"/>
  <c r="B147" i="42"/>
  <c r="F147" i="42"/>
  <c r="H141" i="77"/>
  <c r="I141" i="77"/>
  <c r="F148" i="21"/>
  <c r="B148" i="21"/>
  <c r="J149" i="28"/>
  <c r="J147" i="34"/>
  <c r="E145" i="55"/>
  <c r="F145" i="55" s="1"/>
  <c r="I138" i="33"/>
  <c r="H138" i="33"/>
  <c r="I139" i="93"/>
  <c r="H139" i="93"/>
  <c r="H141" i="75"/>
  <c r="I141" i="75"/>
  <c r="H141" i="76"/>
  <c r="I141" i="76"/>
  <c r="D149" i="17"/>
  <c r="E149" i="17" s="1"/>
  <c r="G148" i="17"/>
  <c r="H146" i="42"/>
  <c r="I146" i="42"/>
  <c r="H147" i="21"/>
  <c r="I147" i="21"/>
  <c r="B141" i="80"/>
  <c r="F141" i="80"/>
  <c r="E139" i="33"/>
  <c r="F139" i="33" s="1"/>
  <c r="B139" i="13"/>
  <c r="F139" i="13"/>
  <c r="E140" i="93"/>
  <c r="F140" i="93" s="1"/>
  <c r="D69" i="72" l="1"/>
  <c r="B69" i="72" s="1"/>
  <c r="H68" i="72"/>
  <c r="I68" i="72" s="1"/>
  <c r="G139" i="25"/>
  <c r="D140" i="25"/>
  <c r="J138" i="25"/>
  <c r="G69" i="19"/>
  <c r="I68" i="19"/>
  <c r="D70" i="19"/>
  <c r="E70" i="19" s="1"/>
  <c r="D72" i="31"/>
  <c r="E72" i="31" s="1"/>
  <c r="E73" i="31" s="1"/>
  <c r="B60" i="93"/>
  <c r="I67" i="72"/>
  <c r="I70" i="99"/>
  <c r="H60" i="98"/>
  <c r="E72" i="99"/>
  <c r="E73" i="99" s="1"/>
  <c r="B72" i="99"/>
  <c r="E61" i="98"/>
  <c r="F61" i="98" s="1"/>
  <c r="D62" i="98" s="1"/>
  <c r="B61" i="98"/>
  <c r="G60" i="98"/>
  <c r="H71" i="99"/>
  <c r="I59" i="98"/>
  <c r="G71" i="99"/>
  <c r="D140" i="99"/>
  <c r="G139" i="99"/>
  <c r="E140" i="99"/>
  <c r="E69" i="72"/>
  <c r="F69" i="72" s="1"/>
  <c r="G69" i="72" s="1"/>
  <c r="I65" i="67"/>
  <c r="E66" i="67"/>
  <c r="F66" i="67" s="1"/>
  <c r="H66" i="67" s="1"/>
  <c r="B66" i="67"/>
  <c r="H67" i="58"/>
  <c r="I67" i="58" s="1"/>
  <c r="G68" i="44"/>
  <c r="H68" i="44"/>
  <c r="D68" i="58"/>
  <c r="E68" i="58" s="1"/>
  <c r="F68" i="58" s="1"/>
  <c r="H71" i="31"/>
  <c r="I71" i="31" s="1"/>
  <c r="H144" i="53"/>
  <c r="J144" i="53" s="1"/>
  <c r="I64" i="63"/>
  <c r="F140" i="97"/>
  <c r="B140" i="97"/>
  <c r="H139" i="98"/>
  <c r="I139" i="98"/>
  <c r="I139" i="97"/>
  <c r="H139" i="97"/>
  <c r="B140" i="98"/>
  <c r="F140" i="98"/>
  <c r="I60" i="91"/>
  <c r="I64" i="68"/>
  <c r="I64" i="64"/>
  <c r="D70" i="46"/>
  <c r="G69" i="46"/>
  <c r="H69" i="46"/>
  <c r="G71" i="24"/>
  <c r="I71" i="24" s="1"/>
  <c r="D72" i="24"/>
  <c r="D61" i="94"/>
  <c r="G60" i="94"/>
  <c r="H60" i="94"/>
  <c r="D65" i="82"/>
  <c r="H64" i="82"/>
  <c r="G64" i="82"/>
  <c r="E67" i="53"/>
  <c r="F67" i="53" s="1"/>
  <c r="B67" i="53"/>
  <c r="E65" i="61"/>
  <c r="F65" i="61" s="1"/>
  <c r="B65" i="61"/>
  <c r="H62" i="80"/>
  <c r="I62" i="80" s="1"/>
  <c r="D63" i="80"/>
  <c r="E70" i="27"/>
  <c r="F70" i="27" s="1"/>
  <c r="B70" i="27"/>
  <c r="I64" i="61"/>
  <c r="I69" i="27"/>
  <c r="D63" i="90"/>
  <c r="E63" i="90" s="1"/>
  <c r="H62" i="90"/>
  <c r="G62" i="90"/>
  <c r="D65" i="75"/>
  <c r="E65" i="75" s="1"/>
  <c r="F65" i="75" s="1"/>
  <c r="D61" i="93"/>
  <c r="E61" i="93" s="1"/>
  <c r="F61" i="93" s="1"/>
  <c r="G60" i="93"/>
  <c r="H60" i="93"/>
  <c r="E62" i="84"/>
  <c r="F62" i="84" s="1"/>
  <c r="H62" i="84" s="1"/>
  <c r="B62" i="84"/>
  <c r="D62" i="91"/>
  <c r="B61" i="84"/>
  <c r="H61" i="84"/>
  <c r="G61" i="84"/>
  <c r="D68" i="55"/>
  <c r="E68" i="55" s="1"/>
  <c r="F68" i="55" s="1"/>
  <c r="H69" i="34"/>
  <c r="G69" i="34"/>
  <c r="D70" i="34"/>
  <c r="B64" i="75"/>
  <c r="G64" i="75"/>
  <c r="H64" i="75"/>
  <c r="H72" i="71"/>
  <c r="G72" i="71"/>
  <c r="G73" i="71" s="1"/>
  <c r="G67" i="55"/>
  <c r="I67" i="55" s="1"/>
  <c r="B66" i="53"/>
  <c r="G66" i="53"/>
  <c r="H66" i="53"/>
  <c r="H70" i="42"/>
  <c r="I70" i="42" s="1"/>
  <c r="D71" i="42"/>
  <c r="B61" i="91"/>
  <c r="H61" i="91"/>
  <c r="G61" i="91"/>
  <c r="G59" i="95"/>
  <c r="D60" i="95"/>
  <c r="H59" i="95"/>
  <c r="D71" i="22"/>
  <c r="E71" i="22" s="1"/>
  <c r="F71" i="22" s="1"/>
  <c r="D72" i="22" s="1"/>
  <c r="H70" i="22"/>
  <c r="G70" i="22"/>
  <c r="D65" i="86"/>
  <c r="B65" i="86" s="1"/>
  <c r="G71" i="70"/>
  <c r="I65" i="57"/>
  <c r="I69" i="22"/>
  <c r="B59" i="96"/>
  <c r="G59" i="96"/>
  <c r="H59" i="96"/>
  <c r="B68" i="39"/>
  <c r="F68" i="39"/>
  <c r="G68" i="39" s="1"/>
  <c r="G62" i="85"/>
  <c r="I62" i="85" s="1"/>
  <c r="D63" i="85"/>
  <c r="B63" i="76"/>
  <c r="I63" i="86"/>
  <c r="F72" i="69"/>
  <c r="H72" i="69" s="1"/>
  <c r="H73" i="69" s="1"/>
  <c r="I62" i="76"/>
  <c r="I61" i="85"/>
  <c r="E63" i="76"/>
  <c r="F63" i="76" s="1"/>
  <c r="D60" i="96"/>
  <c r="E60" i="96" s="1"/>
  <c r="F60" i="96" s="1"/>
  <c r="I60" i="83"/>
  <c r="I60" i="81"/>
  <c r="E61" i="81"/>
  <c r="F61" i="81" s="1"/>
  <c r="G61" i="81" s="1"/>
  <c r="B61" i="81"/>
  <c r="B64" i="86"/>
  <c r="H64" i="86"/>
  <c r="G64" i="86"/>
  <c r="I61" i="79"/>
  <c r="I65" i="54"/>
  <c r="I66" i="60"/>
  <c r="D66" i="63"/>
  <c r="E66" i="63" s="1"/>
  <c r="F66" i="63" s="1"/>
  <c r="E69" i="21"/>
  <c r="F69" i="21" s="1"/>
  <c r="B69" i="21"/>
  <c r="E66" i="68"/>
  <c r="F66" i="68" s="1"/>
  <c r="B66" i="68"/>
  <c r="D63" i="88"/>
  <c r="H62" i="88"/>
  <c r="G62" i="88"/>
  <c r="H69" i="43"/>
  <c r="D70" i="43"/>
  <c r="E70" i="43" s="1"/>
  <c r="H63" i="77"/>
  <c r="D64" i="77"/>
  <c r="D67" i="45"/>
  <c r="E67" i="45" s="1"/>
  <c r="G65" i="65"/>
  <c r="H65" i="65"/>
  <c r="D66" i="65"/>
  <c r="E66" i="65" s="1"/>
  <c r="D72" i="30"/>
  <c r="E72" i="30" s="1"/>
  <c r="E73" i="30" s="1"/>
  <c r="D70" i="41"/>
  <c r="B60" i="92"/>
  <c r="B145" i="53"/>
  <c r="G71" i="30"/>
  <c r="B66" i="56"/>
  <c r="G66" i="56"/>
  <c r="H66" i="56"/>
  <c r="E60" i="92"/>
  <c r="F60" i="92" s="1"/>
  <c r="H60" i="92" s="1"/>
  <c r="E69" i="44"/>
  <c r="F69" i="44" s="1"/>
  <c r="G69" i="44" s="1"/>
  <c r="B69" i="44"/>
  <c r="I69" i="19"/>
  <c r="B66" i="57"/>
  <c r="F66" i="57"/>
  <c r="H66" i="57" s="1"/>
  <c r="G60" i="26"/>
  <c r="I60" i="26" s="1"/>
  <c r="I59" i="89"/>
  <c r="H66" i="45"/>
  <c r="H72" i="32"/>
  <c r="H71" i="30"/>
  <c r="H69" i="41"/>
  <c r="I59" i="92"/>
  <c r="F62" i="79"/>
  <c r="B62" i="79"/>
  <c r="B66" i="54"/>
  <c r="E61" i="83"/>
  <c r="F61" i="83" s="1"/>
  <c r="B61" i="83"/>
  <c r="E70" i="74"/>
  <c r="F70" i="74" s="1"/>
  <c r="B70" i="74"/>
  <c r="D67" i="56"/>
  <c r="E67" i="56" s="1"/>
  <c r="B65" i="64"/>
  <c r="D151" i="30"/>
  <c r="E151" i="30" s="1"/>
  <c r="F151" i="30" s="1"/>
  <c r="E72" i="70"/>
  <c r="E73" i="70" s="1"/>
  <c r="B72" i="70"/>
  <c r="E60" i="89"/>
  <c r="F60" i="89" s="1"/>
  <c r="B60" i="89"/>
  <c r="H69" i="74"/>
  <c r="H66" i="66"/>
  <c r="G69" i="41"/>
  <c r="E67" i="66"/>
  <c r="F67" i="66" s="1"/>
  <c r="H67" i="66" s="1"/>
  <c r="I70" i="17"/>
  <c r="G69" i="43"/>
  <c r="G63" i="77"/>
  <c r="H71" i="70"/>
  <c r="I61" i="78"/>
  <c r="I72" i="28"/>
  <c r="I73" i="28" s="1"/>
  <c r="H73" i="28"/>
  <c r="G66" i="45"/>
  <c r="G69" i="74"/>
  <c r="G66" i="66"/>
  <c r="B68" i="21"/>
  <c r="G68" i="21"/>
  <c r="H68" i="21"/>
  <c r="B65" i="63"/>
  <c r="G65" i="63"/>
  <c r="H65" i="63"/>
  <c r="F71" i="17"/>
  <c r="D72" i="17" s="1"/>
  <c r="B71" i="17"/>
  <c r="B62" i="78"/>
  <c r="F62" i="78"/>
  <c r="E66" i="54"/>
  <c r="F66" i="54" s="1"/>
  <c r="B65" i="68"/>
  <c r="G65" i="68"/>
  <c r="H65" i="68"/>
  <c r="E65" i="64"/>
  <c r="F65" i="64" s="1"/>
  <c r="E67" i="60"/>
  <c r="F67" i="60" s="1"/>
  <c r="H67" i="60" s="1"/>
  <c r="B67" i="60"/>
  <c r="J149" i="27"/>
  <c r="E144" i="61"/>
  <c r="F144" i="61" s="1"/>
  <c r="E144" i="60"/>
  <c r="F144" i="60" s="1"/>
  <c r="E145" i="58"/>
  <c r="F145" i="58" s="1"/>
  <c r="D151" i="27"/>
  <c r="G150" i="27"/>
  <c r="E146" i="74"/>
  <c r="F146" i="74" s="1"/>
  <c r="E150" i="71"/>
  <c r="F150" i="71" s="1"/>
  <c r="J141" i="76"/>
  <c r="J144" i="54"/>
  <c r="E144" i="64"/>
  <c r="F144" i="64" s="1"/>
  <c r="G144" i="64" s="1"/>
  <c r="J149" i="30"/>
  <c r="J147" i="19"/>
  <c r="D60" i="13"/>
  <c r="E60" i="13" s="1"/>
  <c r="H59" i="13"/>
  <c r="G59" i="13"/>
  <c r="D62" i="33"/>
  <c r="H61" i="33"/>
  <c r="G61" i="33"/>
  <c r="D61" i="87"/>
  <c r="G60" i="87"/>
  <c r="H60" i="87"/>
  <c r="D68" i="20"/>
  <c r="E68" i="20" s="1"/>
  <c r="D64" i="62"/>
  <c r="E64" i="62" s="1"/>
  <c r="B148" i="41"/>
  <c r="E148" i="41"/>
  <c r="F148" i="41" s="1"/>
  <c r="H61" i="25"/>
  <c r="I61" i="25" s="1"/>
  <c r="J146" i="39"/>
  <c r="F69" i="18"/>
  <c r="H69" i="18" s="1"/>
  <c r="B69" i="18"/>
  <c r="G147" i="43"/>
  <c r="D148" i="43"/>
  <c r="B68" i="73"/>
  <c r="F68" i="73"/>
  <c r="H68" i="73" s="1"/>
  <c r="D62" i="25"/>
  <c r="E62" i="25" s="1"/>
  <c r="F72" i="23"/>
  <c r="J147" i="20"/>
  <c r="J147" i="22"/>
  <c r="D61" i="26"/>
  <c r="E61" i="26" s="1"/>
  <c r="H67" i="20"/>
  <c r="I67" i="20" s="1"/>
  <c r="H63" i="62"/>
  <c r="I63" i="62" s="1"/>
  <c r="I147" i="41"/>
  <c r="H147" i="41"/>
  <c r="J146" i="43"/>
  <c r="B64" i="59"/>
  <c r="F64" i="59"/>
  <c r="G64" i="59" s="1"/>
  <c r="D146" i="53"/>
  <c r="G145" i="53"/>
  <c r="D149" i="22"/>
  <c r="G148" i="22"/>
  <c r="D148" i="39"/>
  <c r="B148" i="39" s="1"/>
  <c r="G147" i="39"/>
  <c r="B144" i="65"/>
  <c r="F144" i="65"/>
  <c r="E149" i="31"/>
  <c r="F149" i="31" s="1"/>
  <c r="B149" i="31"/>
  <c r="E143" i="66"/>
  <c r="F143" i="66" s="1"/>
  <c r="B143" i="66"/>
  <c r="F140" i="84"/>
  <c r="B140" i="84"/>
  <c r="D141" i="91"/>
  <c r="E141" i="91" s="1"/>
  <c r="G140" i="91"/>
  <c r="H143" i="65"/>
  <c r="I143" i="65"/>
  <c r="J140" i="26"/>
  <c r="J143" i="62"/>
  <c r="G149" i="32"/>
  <c r="D150" i="32"/>
  <c r="H144" i="46"/>
  <c r="I144" i="46"/>
  <c r="I140" i="85"/>
  <c r="H140" i="85"/>
  <c r="H145" i="74"/>
  <c r="I145" i="74"/>
  <c r="J146" i="73"/>
  <c r="H139" i="86"/>
  <c r="I139" i="86"/>
  <c r="H142" i="66"/>
  <c r="I142" i="66"/>
  <c r="I143" i="61"/>
  <c r="H143" i="61"/>
  <c r="H150" i="30"/>
  <c r="I150" i="30"/>
  <c r="F150" i="69"/>
  <c r="B150" i="69"/>
  <c r="G147" i="73"/>
  <c r="D148" i="73"/>
  <c r="E148" i="73" s="1"/>
  <c r="I143" i="63"/>
  <c r="H143" i="63"/>
  <c r="I139" i="90"/>
  <c r="H139" i="90"/>
  <c r="E145" i="46"/>
  <c r="F145" i="46" s="1"/>
  <c r="B145" i="46"/>
  <c r="J147" i="21"/>
  <c r="H141" i="79"/>
  <c r="I141" i="79"/>
  <c r="B150" i="29"/>
  <c r="E150" i="29"/>
  <c r="F150" i="29" s="1"/>
  <c r="H146" i="45"/>
  <c r="I146" i="45"/>
  <c r="I142" i="68"/>
  <c r="H142" i="68"/>
  <c r="I143" i="64"/>
  <c r="H143" i="64"/>
  <c r="I139" i="92"/>
  <c r="H139" i="92"/>
  <c r="D141" i="89"/>
  <c r="E141" i="89" s="1"/>
  <c r="G140" i="89"/>
  <c r="H141" i="78"/>
  <c r="I141" i="78"/>
  <c r="H149" i="70"/>
  <c r="I149" i="70"/>
  <c r="B140" i="90"/>
  <c r="F140" i="90"/>
  <c r="F141" i="85"/>
  <c r="B141" i="85"/>
  <c r="H139" i="88"/>
  <c r="I139" i="88"/>
  <c r="G144" i="62"/>
  <c r="D145" i="62"/>
  <c r="B145" i="62" s="1"/>
  <c r="I139" i="84"/>
  <c r="H139" i="84"/>
  <c r="I144" i="72"/>
  <c r="H144" i="72"/>
  <c r="H143" i="60"/>
  <c r="I143" i="60"/>
  <c r="D142" i="26"/>
  <c r="G141" i="26"/>
  <c r="G148" i="19"/>
  <c r="D149" i="19"/>
  <c r="B142" i="79"/>
  <c r="F142" i="79"/>
  <c r="G141" i="81"/>
  <c r="D142" i="81"/>
  <c r="E142" i="81" s="1"/>
  <c r="H149" i="29"/>
  <c r="I149" i="29"/>
  <c r="J148" i="32"/>
  <c r="B147" i="45"/>
  <c r="F147" i="45"/>
  <c r="F143" i="68"/>
  <c r="B143" i="68"/>
  <c r="I149" i="69"/>
  <c r="H149" i="69"/>
  <c r="B140" i="92"/>
  <c r="F140" i="92"/>
  <c r="D149" i="20"/>
  <c r="G148" i="20"/>
  <c r="B142" i="78"/>
  <c r="F142" i="78"/>
  <c r="F144" i="63"/>
  <c r="B144" i="63"/>
  <c r="F150" i="70"/>
  <c r="B150" i="70"/>
  <c r="H148" i="31"/>
  <c r="I148" i="31"/>
  <c r="H144" i="58"/>
  <c r="I144" i="58"/>
  <c r="F140" i="88"/>
  <c r="B140" i="88"/>
  <c r="F140" i="86"/>
  <c r="B140" i="86"/>
  <c r="B145" i="72"/>
  <c r="F145" i="72"/>
  <c r="G146" i="56"/>
  <c r="D147" i="56"/>
  <c r="J146" i="42"/>
  <c r="E145" i="59"/>
  <c r="F145" i="59" s="1"/>
  <c r="B145" i="59"/>
  <c r="E149" i="18"/>
  <c r="F149" i="18" s="1"/>
  <c r="I149" i="23"/>
  <c r="H149" i="23"/>
  <c r="I148" i="18"/>
  <c r="H148" i="18"/>
  <c r="H144" i="59"/>
  <c r="I144" i="59"/>
  <c r="J145" i="56"/>
  <c r="E150" i="23"/>
  <c r="F150" i="23" s="1"/>
  <c r="H145" i="57"/>
  <c r="I145" i="57"/>
  <c r="J148" i="24"/>
  <c r="E146" i="57"/>
  <c r="F146" i="57" s="1"/>
  <c r="B146" i="57"/>
  <c r="J141" i="77"/>
  <c r="H149" i="71"/>
  <c r="I149" i="71"/>
  <c r="D146" i="55"/>
  <c r="E146" i="55" s="1"/>
  <c r="G145" i="55"/>
  <c r="D140" i="33"/>
  <c r="E140" i="33" s="1"/>
  <c r="G139" i="33"/>
  <c r="G140" i="93"/>
  <c r="D141" i="93"/>
  <c r="E141" i="93" s="1"/>
  <c r="F149" i="17"/>
  <c r="B149" i="17"/>
  <c r="G148" i="21"/>
  <c r="D149" i="21"/>
  <c r="E149" i="21" s="1"/>
  <c r="G149" i="24"/>
  <c r="D150" i="24"/>
  <c r="G142" i="76"/>
  <c r="D143" i="76"/>
  <c r="E143" i="76" s="1"/>
  <c r="D143" i="77"/>
  <c r="E143" i="77" s="1"/>
  <c r="G142" i="77"/>
  <c r="B143" i="67"/>
  <c r="F147" i="44"/>
  <c r="B147" i="44"/>
  <c r="I150" i="28"/>
  <c r="H150" i="28"/>
  <c r="I140" i="95"/>
  <c r="H140" i="95"/>
  <c r="D142" i="80"/>
  <c r="E142" i="80" s="1"/>
  <c r="G141" i="80"/>
  <c r="I139" i="87"/>
  <c r="H139" i="87"/>
  <c r="G145" i="54"/>
  <c r="D146" i="54"/>
  <c r="E146" i="54" s="1"/>
  <c r="J144" i="55"/>
  <c r="I142" i="67"/>
  <c r="H142" i="67"/>
  <c r="B141" i="94"/>
  <c r="F141" i="94"/>
  <c r="H146" i="44"/>
  <c r="I146" i="44"/>
  <c r="I148" i="34"/>
  <c r="H148" i="34"/>
  <c r="D140" i="13"/>
  <c r="E140" i="13" s="1"/>
  <c r="G139" i="13"/>
  <c r="F140" i="87"/>
  <c r="B140" i="87"/>
  <c r="B141" i="82"/>
  <c r="F141" i="82"/>
  <c r="I140" i="94"/>
  <c r="H140" i="94"/>
  <c r="H147" i="3"/>
  <c r="I147" i="3"/>
  <c r="D142" i="83"/>
  <c r="E142" i="83" s="1"/>
  <c r="G141" i="83"/>
  <c r="H139" i="96"/>
  <c r="I139" i="96"/>
  <c r="B141" i="95"/>
  <c r="F141" i="95"/>
  <c r="I148" i="17"/>
  <c r="H148" i="17"/>
  <c r="J141" i="75"/>
  <c r="J138" i="33"/>
  <c r="D148" i="42"/>
  <c r="E148" i="42" s="1"/>
  <c r="G147" i="42"/>
  <c r="H140" i="82"/>
  <c r="I140" i="82"/>
  <c r="E143" i="67"/>
  <c r="F143" i="67" s="1"/>
  <c r="B148" i="3"/>
  <c r="F148" i="3"/>
  <c r="D143" i="75"/>
  <c r="E143" i="75" s="1"/>
  <c r="G142" i="75"/>
  <c r="B151" i="28"/>
  <c r="F151" i="28"/>
  <c r="B140" i="96"/>
  <c r="F140" i="96"/>
  <c r="F149" i="34"/>
  <c r="B149" i="34"/>
  <c r="B72" i="31" l="1"/>
  <c r="F72" i="31"/>
  <c r="H72" i="31" s="1"/>
  <c r="H73" i="31" s="1"/>
  <c r="E140" i="25"/>
  <c r="F140" i="25" s="1"/>
  <c r="B140" i="25"/>
  <c r="I139" i="25"/>
  <c r="H139" i="25"/>
  <c r="F70" i="19"/>
  <c r="G70" i="19" s="1"/>
  <c r="B70" i="19"/>
  <c r="I68" i="44"/>
  <c r="I71" i="99"/>
  <c r="F72" i="99"/>
  <c r="H72" i="99" s="1"/>
  <c r="H73" i="99" s="1"/>
  <c r="I60" i="98"/>
  <c r="D68" i="66"/>
  <c r="E68" i="66" s="1"/>
  <c r="F68" i="66" s="1"/>
  <c r="I66" i="45"/>
  <c r="H61" i="98"/>
  <c r="H69" i="72"/>
  <c r="I69" i="72" s="1"/>
  <c r="G61" i="98"/>
  <c r="E62" i="98"/>
  <c r="F62" i="98" s="1"/>
  <c r="B62" i="98"/>
  <c r="H139" i="99"/>
  <c r="I139" i="99"/>
  <c r="F140" i="99"/>
  <c r="B140" i="99"/>
  <c r="I64" i="75"/>
  <c r="D70" i="72"/>
  <c r="G72" i="69"/>
  <c r="G73" i="69" s="1"/>
  <c r="G66" i="67"/>
  <c r="I66" i="67" s="1"/>
  <c r="D67" i="67"/>
  <c r="I66" i="53"/>
  <c r="I69" i="46"/>
  <c r="G68" i="58"/>
  <c r="D69" i="58"/>
  <c r="B68" i="58"/>
  <c r="H68" i="58"/>
  <c r="D141" i="98"/>
  <c r="G140" i="98"/>
  <c r="D141" i="97"/>
  <c r="G140" i="97"/>
  <c r="G67" i="53"/>
  <c r="D68" i="53"/>
  <c r="E68" i="53" s="1"/>
  <c r="H67" i="53"/>
  <c r="B70" i="46"/>
  <c r="E70" i="46"/>
  <c r="F70" i="46" s="1"/>
  <c r="E72" i="24"/>
  <c r="E73" i="24" s="1"/>
  <c r="B72" i="24"/>
  <c r="I69" i="34"/>
  <c r="D66" i="61"/>
  <c r="E66" i="61" s="1"/>
  <c r="H65" i="61"/>
  <c r="G65" i="61"/>
  <c r="D71" i="27"/>
  <c r="G70" i="27"/>
  <c r="B63" i="80"/>
  <c r="I65" i="68"/>
  <c r="H68" i="39"/>
  <c r="I68" i="39" s="1"/>
  <c r="H70" i="27"/>
  <c r="I64" i="82"/>
  <c r="I60" i="94"/>
  <c r="I65" i="63"/>
  <c r="I65" i="65"/>
  <c r="E63" i="80"/>
  <c r="F63" i="80" s="1"/>
  <c r="H63" i="80" s="1"/>
  <c r="E65" i="82"/>
  <c r="F65" i="82" s="1"/>
  <c r="G65" i="82" s="1"/>
  <c r="B65" i="82"/>
  <c r="E61" i="94"/>
  <c r="F61" i="94" s="1"/>
  <c r="H61" i="94" s="1"/>
  <c r="B61" i="94"/>
  <c r="D66" i="75"/>
  <c r="E66" i="75" s="1"/>
  <c r="D69" i="55"/>
  <c r="E69" i="55" s="1"/>
  <c r="D62" i="93"/>
  <c r="E62" i="93" s="1"/>
  <c r="H64" i="59"/>
  <c r="I64" i="59" s="1"/>
  <c r="G67" i="66"/>
  <c r="I67" i="66" s="1"/>
  <c r="I66" i="66"/>
  <c r="I59" i="96"/>
  <c r="I59" i="95"/>
  <c r="I61" i="91"/>
  <c r="B62" i="91"/>
  <c r="I61" i="84"/>
  <c r="G62" i="84"/>
  <c r="I62" i="84" s="1"/>
  <c r="B61" i="93"/>
  <c r="G61" i="93"/>
  <c r="H61" i="93"/>
  <c r="I62" i="90"/>
  <c r="E71" i="42"/>
  <c r="F71" i="42" s="1"/>
  <c r="B71" i="42"/>
  <c r="H73" i="71"/>
  <c r="I72" i="71"/>
  <c r="I73" i="71" s="1"/>
  <c r="E70" i="34"/>
  <c r="F70" i="34" s="1"/>
  <c r="B70" i="34"/>
  <c r="I60" i="93"/>
  <c r="B68" i="55"/>
  <c r="H68" i="55"/>
  <c r="G68" i="55"/>
  <c r="E62" i="91"/>
  <c r="F62" i="91" s="1"/>
  <c r="D63" i="84"/>
  <c r="E63" i="84" s="1"/>
  <c r="F63" i="84" s="1"/>
  <c r="B65" i="75"/>
  <c r="G65" i="75"/>
  <c r="H65" i="75"/>
  <c r="F63" i="90"/>
  <c r="D64" i="90" s="1"/>
  <c r="B63" i="90"/>
  <c r="D64" i="76"/>
  <c r="H63" i="76"/>
  <c r="G63" i="76"/>
  <c r="G60" i="96"/>
  <c r="D61" i="96"/>
  <c r="E72" i="22"/>
  <c r="E73" i="22" s="1"/>
  <c r="B72" i="22"/>
  <c r="E63" i="85"/>
  <c r="F63" i="85" s="1"/>
  <c r="B63" i="85"/>
  <c r="E65" i="86"/>
  <c r="F65" i="86" s="1"/>
  <c r="H61" i="81"/>
  <c r="I61" i="81" s="1"/>
  <c r="D62" i="81"/>
  <c r="E62" i="81" s="1"/>
  <c r="B60" i="96"/>
  <c r="H60" i="96"/>
  <c r="B71" i="22"/>
  <c r="G71" i="22"/>
  <c r="H71" i="22"/>
  <c r="G67" i="60"/>
  <c r="I67" i="60" s="1"/>
  <c r="H71" i="17"/>
  <c r="I64" i="86"/>
  <c r="E60" i="95"/>
  <c r="F60" i="95" s="1"/>
  <c r="B60" i="95"/>
  <c r="G71" i="17"/>
  <c r="I66" i="56"/>
  <c r="D69" i="39"/>
  <c r="I70" i="22"/>
  <c r="I63" i="77"/>
  <c r="D66" i="64"/>
  <c r="G65" i="64"/>
  <c r="H65" i="64"/>
  <c r="H66" i="68"/>
  <c r="D67" i="68"/>
  <c r="E67" i="68" s="1"/>
  <c r="F67" i="68" s="1"/>
  <c r="D68" i="68" s="1"/>
  <c r="B68" i="68" s="1"/>
  <c r="G66" i="68"/>
  <c r="D61" i="89"/>
  <c r="H60" i="89"/>
  <c r="G60" i="89"/>
  <c r="D70" i="21"/>
  <c r="E70" i="21" s="1"/>
  <c r="F70" i="21" s="1"/>
  <c r="H69" i="21"/>
  <c r="G69" i="21"/>
  <c r="H61" i="83"/>
  <c r="D62" i="83"/>
  <c r="E62" i="83" s="1"/>
  <c r="G61" i="83"/>
  <c r="D67" i="63"/>
  <c r="E67" i="63" s="1"/>
  <c r="G70" i="74"/>
  <c r="D71" i="74"/>
  <c r="E71" i="74" s="1"/>
  <c r="D67" i="54"/>
  <c r="D63" i="79"/>
  <c r="E63" i="79" s="1"/>
  <c r="B63" i="88"/>
  <c r="B151" i="30"/>
  <c r="I71" i="70"/>
  <c r="H70" i="74"/>
  <c r="H66" i="54"/>
  <c r="D67" i="57"/>
  <c r="E67" i="57" s="1"/>
  <c r="D70" i="44"/>
  <c r="E70" i="44" s="1"/>
  <c r="D61" i="92"/>
  <c r="E61" i="92" s="1"/>
  <c r="D63" i="78"/>
  <c r="E63" i="78" s="1"/>
  <c r="G69" i="18"/>
  <c r="I69" i="18" s="1"/>
  <c r="G62" i="78"/>
  <c r="I69" i="74"/>
  <c r="F72" i="70"/>
  <c r="F67" i="56"/>
  <c r="H67" i="56" s="1"/>
  <c r="B67" i="56"/>
  <c r="H62" i="79"/>
  <c r="I69" i="41"/>
  <c r="H69" i="44"/>
  <c r="I69" i="44" s="1"/>
  <c r="G60" i="92"/>
  <c r="I60" i="92" s="1"/>
  <c r="B72" i="30"/>
  <c r="F72" i="30"/>
  <c r="H72" i="30" s="1"/>
  <c r="H73" i="30" s="1"/>
  <c r="F67" i="45"/>
  <c r="H67" i="45" s="1"/>
  <c r="B67" i="45"/>
  <c r="B70" i="43"/>
  <c r="F70" i="43"/>
  <c r="H70" i="43" s="1"/>
  <c r="I62" i="88"/>
  <c r="I72" i="32"/>
  <c r="I73" i="32" s="1"/>
  <c r="H73" i="32"/>
  <c r="B70" i="41"/>
  <c r="I60" i="87"/>
  <c r="D68" i="60"/>
  <c r="E68" i="60" s="1"/>
  <c r="F68" i="60" s="1"/>
  <c r="D69" i="60" s="1"/>
  <c r="H62" i="78"/>
  <c r="E72" i="17"/>
  <c r="E73" i="17" s="1"/>
  <c r="B72" i="17"/>
  <c r="I68" i="21"/>
  <c r="G66" i="54"/>
  <c r="G62" i="79"/>
  <c r="I71" i="30"/>
  <c r="G66" i="57"/>
  <c r="I66" i="57" s="1"/>
  <c r="E70" i="41"/>
  <c r="F70" i="41" s="1"/>
  <c r="B66" i="65"/>
  <c r="F66" i="65"/>
  <c r="D67" i="65" s="1"/>
  <c r="B67" i="65" s="1"/>
  <c r="E64" i="77"/>
  <c r="F64" i="77" s="1"/>
  <c r="D65" i="77" s="1"/>
  <c r="B64" i="77"/>
  <c r="I69" i="43"/>
  <c r="E63" i="88"/>
  <c r="F63" i="88" s="1"/>
  <c r="H63" i="88" s="1"/>
  <c r="B66" i="63"/>
  <c r="H66" i="63"/>
  <c r="G66" i="63"/>
  <c r="J143" i="63"/>
  <c r="D145" i="64"/>
  <c r="B145" i="64" s="1"/>
  <c r="I150" i="27"/>
  <c r="H150" i="27"/>
  <c r="E151" i="27"/>
  <c r="F151" i="27" s="1"/>
  <c r="B151" i="27"/>
  <c r="J150" i="28"/>
  <c r="J149" i="71"/>
  <c r="J145" i="74"/>
  <c r="J144" i="46"/>
  <c r="J142" i="67"/>
  <c r="J149" i="70"/>
  <c r="E148" i="39"/>
  <c r="F148" i="39" s="1"/>
  <c r="I147" i="43"/>
  <c r="H147" i="43"/>
  <c r="J148" i="31"/>
  <c r="J149" i="29"/>
  <c r="E145" i="62"/>
  <c r="F145" i="62" s="1"/>
  <c r="D146" i="62" s="1"/>
  <c r="B146" i="62" s="1"/>
  <c r="J147" i="41"/>
  <c r="B62" i="25"/>
  <c r="F62" i="25"/>
  <c r="H62" i="25" s="1"/>
  <c r="D69" i="73"/>
  <c r="E69" i="73" s="1"/>
  <c r="D70" i="18"/>
  <c r="E70" i="18" s="1"/>
  <c r="G148" i="41"/>
  <c r="D149" i="41"/>
  <c r="F68" i="20"/>
  <c r="H68" i="20" s="1"/>
  <c r="B68" i="20"/>
  <c r="I61" i="33"/>
  <c r="I59" i="13"/>
  <c r="B61" i="26"/>
  <c r="F61" i="26"/>
  <c r="H61" i="26" s="1"/>
  <c r="H72" i="23"/>
  <c r="G72" i="23"/>
  <c r="G73" i="23" s="1"/>
  <c r="B61" i="87"/>
  <c r="B62" i="33"/>
  <c r="J144" i="58"/>
  <c r="J149" i="69"/>
  <c r="J146" i="45"/>
  <c r="D65" i="59"/>
  <c r="E65" i="59" s="1"/>
  <c r="G68" i="73"/>
  <c r="I68" i="73" s="1"/>
  <c r="E148" i="43"/>
  <c r="F148" i="43" s="1"/>
  <c r="B148" i="43"/>
  <c r="F64" i="62"/>
  <c r="G64" i="62" s="1"/>
  <c r="B64" i="62"/>
  <c r="E61" i="87"/>
  <c r="F61" i="87" s="1"/>
  <c r="E62" i="33"/>
  <c r="F62" i="33" s="1"/>
  <c r="H62" i="33" s="1"/>
  <c r="B60" i="13"/>
  <c r="F60" i="13"/>
  <c r="H60" i="13" s="1"/>
  <c r="G149" i="31"/>
  <c r="D150" i="31"/>
  <c r="G145" i="46"/>
  <c r="D146" i="46"/>
  <c r="B146" i="46" s="1"/>
  <c r="D141" i="88"/>
  <c r="E141" i="88" s="1"/>
  <c r="G140" i="88"/>
  <c r="G143" i="68"/>
  <c r="D144" i="68"/>
  <c r="B144" i="68" s="1"/>
  <c r="H141" i="81"/>
  <c r="I141" i="81"/>
  <c r="B141" i="91"/>
  <c r="F141" i="91"/>
  <c r="G143" i="66"/>
  <c r="D144" i="66"/>
  <c r="H148" i="22"/>
  <c r="I148" i="22"/>
  <c r="J144" i="59"/>
  <c r="G146" i="74"/>
  <c r="D147" i="74"/>
  <c r="D145" i="63"/>
  <c r="B145" i="63" s="1"/>
  <c r="G144" i="63"/>
  <c r="I148" i="20"/>
  <c r="H148" i="20"/>
  <c r="D148" i="45"/>
  <c r="G147" i="45"/>
  <c r="D143" i="79"/>
  <c r="E143" i="79" s="1"/>
  <c r="G142" i="79"/>
  <c r="I141" i="26"/>
  <c r="H141" i="26"/>
  <c r="D152" i="30"/>
  <c r="G151" i="30"/>
  <c r="J144" i="72"/>
  <c r="I140" i="89"/>
  <c r="H140" i="89"/>
  <c r="J142" i="68"/>
  <c r="D151" i="69"/>
  <c r="B151" i="69" s="1"/>
  <c r="G150" i="69"/>
  <c r="G150" i="71"/>
  <c r="D151" i="71"/>
  <c r="E149" i="22"/>
  <c r="F149" i="22" s="1"/>
  <c r="B149" i="22"/>
  <c r="H148" i="19"/>
  <c r="I148" i="19"/>
  <c r="G150" i="29"/>
  <c r="D151" i="29"/>
  <c r="B151" i="29" s="1"/>
  <c r="G145" i="72"/>
  <c r="D146" i="72"/>
  <c r="B146" i="72" s="1"/>
  <c r="G140" i="86"/>
  <c r="D141" i="86"/>
  <c r="E141" i="86" s="1"/>
  <c r="G142" i="78"/>
  <c r="D143" i="78"/>
  <c r="B143" i="78" s="1"/>
  <c r="B149" i="20"/>
  <c r="E149" i="20"/>
  <c r="F149" i="20" s="1"/>
  <c r="F142" i="81"/>
  <c r="B142" i="81"/>
  <c r="E142" i="26"/>
  <c r="F142" i="26" s="1"/>
  <c r="B142" i="26"/>
  <c r="I144" i="62"/>
  <c r="H144" i="62"/>
  <c r="D142" i="85"/>
  <c r="E142" i="85" s="1"/>
  <c r="G141" i="85"/>
  <c r="F141" i="89"/>
  <c r="B141" i="89"/>
  <c r="J141" i="79"/>
  <c r="B148" i="73"/>
  <c r="F148" i="73"/>
  <c r="D145" i="60"/>
  <c r="G144" i="60"/>
  <c r="J143" i="61"/>
  <c r="E150" i="32"/>
  <c r="F150" i="32" s="1"/>
  <c r="B150" i="32"/>
  <c r="G140" i="84"/>
  <c r="D141" i="84"/>
  <c r="E141" i="84" s="1"/>
  <c r="H144" i="64"/>
  <c r="I144" i="64"/>
  <c r="I147" i="39"/>
  <c r="H147" i="39"/>
  <c r="H145" i="53"/>
  <c r="I145" i="53"/>
  <c r="D145" i="61"/>
  <c r="B145" i="61" s="1"/>
  <c r="G144" i="61"/>
  <c r="D146" i="58"/>
  <c r="G145" i="58"/>
  <c r="G150" i="70"/>
  <c r="D151" i="70"/>
  <c r="B151" i="70" s="1"/>
  <c r="D141" i="92"/>
  <c r="E141" i="92" s="1"/>
  <c r="G140" i="92"/>
  <c r="E149" i="19"/>
  <c r="F149" i="19" s="1"/>
  <c r="B149" i="19"/>
  <c r="J143" i="60"/>
  <c r="G140" i="90"/>
  <c r="D141" i="90"/>
  <c r="E141" i="90" s="1"/>
  <c r="J141" i="78"/>
  <c r="J143" i="64"/>
  <c r="I147" i="73"/>
  <c r="H147" i="73"/>
  <c r="J150" i="30"/>
  <c r="J142" i="66"/>
  <c r="I149" i="32"/>
  <c r="H149" i="32"/>
  <c r="J143" i="65"/>
  <c r="I140" i="91"/>
  <c r="H140" i="91"/>
  <c r="D145" i="65"/>
  <c r="G144" i="65"/>
  <c r="E146" i="53"/>
  <c r="F146" i="53" s="1"/>
  <c r="B146" i="53"/>
  <c r="G145" i="59"/>
  <c r="D146" i="59"/>
  <c r="B146" i="59" s="1"/>
  <c r="J148" i="18"/>
  <c r="H146" i="56"/>
  <c r="I146" i="56"/>
  <c r="G150" i="23"/>
  <c r="D151" i="23"/>
  <c r="J149" i="23"/>
  <c r="D150" i="18"/>
  <c r="G149" i="18"/>
  <c r="E147" i="56"/>
  <c r="F147" i="56" s="1"/>
  <c r="B147" i="56"/>
  <c r="G146" i="57"/>
  <c r="D147" i="57"/>
  <c r="B147" i="57" s="1"/>
  <c r="J148" i="34"/>
  <c r="J147" i="3"/>
  <c r="J145" i="57"/>
  <c r="G143" i="67"/>
  <c r="D144" i="67"/>
  <c r="E144" i="67" s="1"/>
  <c r="H142" i="75"/>
  <c r="I142" i="75"/>
  <c r="H147" i="42"/>
  <c r="I147" i="42"/>
  <c r="B142" i="83"/>
  <c r="F142" i="83"/>
  <c r="B140" i="13"/>
  <c r="F140" i="13"/>
  <c r="B146" i="54"/>
  <c r="F146" i="54"/>
  <c r="H142" i="77"/>
  <c r="I142" i="77"/>
  <c r="B150" i="24"/>
  <c r="I148" i="21"/>
  <c r="H148" i="21"/>
  <c r="F141" i="93"/>
  <c r="B141" i="93"/>
  <c r="G151" i="28"/>
  <c r="D152" i="28"/>
  <c r="E152" i="28" s="1"/>
  <c r="B143" i="75"/>
  <c r="F143" i="75"/>
  <c r="F148" i="42"/>
  <c r="B148" i="42"/>
  <c r="J148" i="17"/>
  <c r="G141" i="95"/>
  <c r="D142" i="95"/>
  <c r="E142" i="95" s="1"/>
  <c r="I141" i="80"/>
  <c r="H141" i="80"/>
  <c r="D148" i="44"/>
  <c r="E148" i="44" s="1"/>
  <c r="G147" i="44"/>
  <c r="B143" i="76"/>
  <c r="F143" i="76"/>
  <c r="E150" i="24"/>
  <c r="F150" i="24" s="1"/>
  <c r="D150" i="17"/>
  <c r="E150" i="17" s="1"/>
  <c r="G149" i="17"/>
  <c r="I140" i="93"/>
  <c r="H140" i="93"/>
  <c r="H139" i="33"/>
  <c r="I139" i="33"/>
  <c r="F146" i="55"/>
  <c r="B146" i="55"/>
  <c r="G148" i="3"/>
  <c r="D149" i="3"/>
  <c r="E149" i="3" s="1"/>
  <c r="D141" i="87"/>
  <c r="E141" i="87" s="1"/>
  <c r="G140" i="87"/>
  <c r="H139" i="13"/>
  <c r="I139" i="13"/>
  <c r="J146" i="44"/>
  <c r="H145" i="54"/>
  <c r="I145" i="54"/>
  <c r="F143" i="77"/>
  <c r="B143" i="77"/>
  <c r="I142" i="76"/>
  <c r="H142" i="76"/>
  <c r="H149" i="24"/>
  <c r="I149" i="24"/>
  <c r="B140" i="33"/>
  <c r="F140" i="33"/>
  <c r="G149" i="34"/>
  <c r="D150" i="34"/>
  <c r="D141" i="96"/>
  <c r="E141" i="96" s="1"/>
  <c r="G140" i="96"/>
  <c r="H141" i="83"/>
  <c r="I141" i="83"/>
  <c r="D142" i="82"/>
  <c r="E142" i="82" s="1"/>
  <c r="G141" i="82"/>
  <c r="D142" i="94"/>
  <c r="E142" i="94" s="1"/>
  <c r="G141" i="94"/>
  <c r="F142" i="80"/>
  <c r="B142" i="80"/>
  <c r="B149" i="21"/>
  <c r="F149" i="21"/>
  <c r="H145" i="55"/>
  <c r="I145" i="55"/>
  <c r="H70" i="19" l="1"/>
  <c r="I70" i="19" s="1"/>
  <c r="D71" i="19"/>
  <c r="G72" i="31"/>
  <c r="G73" i="31" s="1"/>
  <c r="J139" i="25"/>
  <c r="D141" i="25"/>
  <c r="G140" i="25"/>
  <c r="G72" i="99"/>
  <c r="G73" i="99" s="1"/>
  <c r="B68" i="66"/>
  <c r="D63" i="98"/>
  <c r="G62" i="98"/>
  <c r="H62" i="98"/>
  <c r="I61" i="98"/>
  <c r="I72" i="69"/>
  <c r="I73" i="69" s="1"/>
  <c r="D141" i="99"/>
  <c r="E141" i="99" s="1"/>
  <c r="G140" i="99"/>
  <c r="B70" i="72"/>
  <c r="E70" i="72"/>
  <c r="F70" i="72" s="1"/>
  <c r="E67" i="67"/>
  <c r="F67" i="67" s="1"/>
  <c r="B67" i="67"/>
  <c r="I68" i="58"/>
  <c r="B68" i="53"/>
  <c r="E69" i="58"/>
  <c r="F69" i="58" s="1"/>
  <c r="B69" i="58"/>
  <c r="G72" i="30"/>
  <c r="G73" i="30" s="1"/>
  <c r="I61" i="93"/>
  <c r="I70" i="74"/>
  <c r="F68" i="53"/>
  <c r="H68" i="53" s="1"/>
  <c r="I67" i="53"/>
  <c r="G67" i="45"/>
  <c r="I67" i="45" s="1"/>
  <c r="F72" i="24"/>
  <c r="H72" i="24" s="1"/>
  <c r="H140" i="97"/>
  <c r="I140" i="97"/>
  <c r="B141" i="97"/>
  <c r="H140" i="98"/>
  <c r="I140" i="98"/>
  <c r="E141" i="97"/>
  <c r="F141" i="97" s="1"/>
  <c r="E141" i="98"/>
  <c r="F141" i="98" s="1"/>
  <c r="B141" i="98"/>
  <c r="E145" i="64"/>
  <c r="F145" i="64" s="1"/>
  <c r="G145" i="62"/>
  <c r="I145" i="62" s="1"/>
  <c r="I65" i="75"/>
  <c r="G63" i="80"/>
  <c r="I63" i="80" s="1"/>
  <c r="E67" i="65"/>
  <c r="F67" i="65" s="1"/>
  <c r="D68" i="65" s="1"/>
  <c r="G66" i="65"/>
  <c r="H70" i="46"/>
  <c r="G70" i="46"/>
  <c r="D71" i="46"/>
  <c r="H66" i="65"/>
  <c r="I62" i="78"/>
  <c r="D62" i="94"/>
  <c r="D66" i="82"/>
  <c r="E66" i="82" s="1"/>
  <c r="F66" i="82" s="1"/>
  <c r="G61" i="94"/>
  <c r="I61" i="94" s="1"/>
  <c r="H65" i="82"/>
  <c r="I65" i="82" s="1"/>
  <c r="D64" i="80"/>
  <c r="E64" i="80" s="1"/>
  <c r="F64" i="80" s="1"/>
  <c r="I70" i="27"/>
  <c r="I65" i="61"/>
  <c r="E71" i="27"/>
  <c r="F71" i="27" s="1"/>
  <c r="B71" i="27"/>
  <c r="B66" i="61"/>
  <c r="F66" i="61"/>
  <c r="H66" i="61" s="1"/>
  <c r="H63" i="84"/>
  <c r="D64" i="84"/>
  <c r="D63" i="91"/>
  <c r="B63" i="91" s="1"/>
  <c r="G62" i="91"/>
  <c r="H62" i="91"/>
  <c r="G70" i="34"/>
  <c r="D71" i="34"/>
  <c r="H70" i="34"/>
  <c r="H71" i="42"/>
  <c r="D72" i="42"/>
  <c r="G71" i="42"/>
  <c r="F72" i="22"/>
  <c r="I63" i="76"/>
  <c r="G63" i="90"/>
  <c r="I68" i="55"/>
  <c r="H63" i="90"/>
  <c r="B63" i="84"/>
  <c r="G63" i="84"/>
  <c r="F69" i="55"/>
  <c r="H69" i="55" s="1"/>
  <c r="B69" i="55"/>
  <c r="F72" i="17"/>
  <c r="G72" i="17" s="1"/>
  <c r="G73" i="17" s="1"/>
  <c r="I61" i="83"/>
  <c r="E64" i="90"/>
  <c r="F64" i="90" s="1"/>
  <c r="G64" i="90" s="1"/>
  <c r="B64" i="90"/>
  <c r="F62" i="93"/>
  <c r="G62" i="93" s="1"/>
  <c r="B62" i="93"/>
  <c r="B66" i="75"/>
  <c r="F66" i="75"/>
  <c r="H66" i="75" s="1"/>
  <c r="H60" i="95"/>
  <c r="D61" i="95"/>
  <c r="E61" i="95" s="1"/>
  <c r="G60" i="95"/>
  <c r="H63" i="85"/>
  <c r="D64" i="85"/>
  <c r="E64" i="85" s="1"/>
  <c r="G63" i="85"/>
  <c r="B69" i="39"/>
  <c r="I71" i="17"/>
  <c r="I71" i="22"/>
  <c r="E61" i="96"/>
  <c r="F61" i="96" s="1"/>
  <c r="B61" i="96"/>
  <c r="E69" i="39"/>
  <c r="F69" i="39" s="1"/>
  <c r="D70" i="39" s="1"/>
  <c r="F62" i="81"/>
  <c r="D63" i="81" s="1"/>
  <c r="B62" i="81"/>
  <c r="D66" i="86"/>
  <c r="H65" i="86"/>
  <c r="G65" i="86"/>
  <c r="B64" i="76"/>
  <c r="I60" i="96"/>
  <c r="E64" i="76"/>
  <c r="F64" i="76" s="1"/>
  <c r="I65" i="64"/>
  <c r="E68" i="68"/>
  <c r="F68" i="68" s="1"/>
  <c r="H68" i="68" s="1"/>
  <c r="I66" i="63"/>
  <c r="H64" i="77"/>
  <c r="H72" i="17"/>
  <c r="D71" i="43"/>
  <c r="E71" i="43" s="1"/>
  <c r="B67" i="57"/>
  <c r="F67" i="57"/>
  <c r="F71" i="74"/>
  <c r="B71" i="74"/>
  <c r="I69" i="21"/>
  <c r="I60" i="89"/>
  <c r="B67" i="68"/>
  <c r="G67" i="68"/>
  <c r="H67" i="68"/>
  <c r="F61" i="92"/>
  <c r="B61" i="92"/>
  <c r="B63" i="79"/>
  <c r="F63" i="79"/>
  <c r="D64" i="79" s="1"/>
  <c r="B62" i="83"/>
  <c r="F62" i="83"/>
  <c r="G62" i="83" s="1"/>
  <c r="D71" i="41"/>
  <c r="E69" i="60"/>
  <c r="F69" i="60" s="1"/>
  <c r="B69" i="60"/>
  <c r="H70" i="41"/>
  <c r="I62" i="79"/>
  <c r="G72" i="70"/>
  <c r="G73" i="70" s="1"/>
  <c r="H72" i="70"/>
  <c r="I66" i="54"/>
  <c r="B67" i="54"/>
  <c r="B67" i="63"/>
  <c r="F67" i="63"/>
  <c r="D71" i="21"/>
  <c r="E71" i="21" s="1"/>
  <c r="E61" i="89"/>
  <c r="F61" i="89" s="1"/>
  <c r="B61" i="89"/>
  <c r="B66" i="64"/>
  <c r="E65" i="77"/>
  <c r="F65" i="77" s="1"/>
  <c r="B65" i="77"/>
  <c r="G67" i="56"/>
  <c r="I67" i="56" s="1"/>
  <c r="D68" i="56"/>
  <c r="B71" i="19"/>
  <c r="D64" i="88"/>
  <c r="E64" i="88" s="1"/>
  <c r="F64" i="88" s="1"/>
  <c r="G64" i="77"/>
  <c r="B68" i="60"/>
  <c r="H68" i="60"/>
  <c r="G68" i="60"/>
  <c r="G70" i="41"/>
  <c r="G70" i="43"/>
  <c r="I70" i="43" s="1"/>
  <c r="D68" i="45"/>
  <c r="E68" i="45" s="1"/>
  <c r="F63" i="78"/>
  <c r="G63" i="78" s="1"/>
  <c r="B63" i="78"/>
  <c r="F70" i="44"/>
  <c r="H70" i="44" s="1"/>
  <c r="B70" i="44"/>
  <c r="G63" i="88"/>
  <c r="I63" i="88" s="1"/>
  <c r="E67" i="54"/>
  <c r="F67" i="54" s="1"/>
  <c r="E71" i="19"/>
  <c r="F71" i="19" s="1"/>
  <c r="B70" i="21"/>
  <c r="H70" i="21"/>
  <c r="G70" i="21"/>
  <c r="I66" i="68"/>
  <c r="E66" i="64"/>
  <c r="F66" i="64" s="1"/>
  <c r="E151" i="70"/>
  <c r="F151" i="70" s="1"/>
  <c r="D152" i="70" s="1"/>
  <c r="E146" i="72"/>
  <c r="F146" i="72" s="1"/>
  <c r="G146" i="72" s="1"/>
  <c r="E143" i="78"/>
  <c r="F143" i="78" s="1"/>
  <c r="E151" i="69"/>
  <c r="F151" i="69" s="1"/>
  <c r="E144" i="68"/>
  <c r="F144" i="68" s="1"/>
  <c r="D152" i="27"/>
  <c r="G151" i="27"/>
  <c r="J150" i="27"/>
  <c r="J141" i="26"/>
  <c r="J145" i="54"/>
  <c r="J145" i="53"/>
  <c r="J144" i="64"/>
  <c r="J148" i="22"/>
  <c r="J139" i="33"/>
  <c r="J144" i="62"/>
  <c r="J149" i="24"/>
  <c r="G148" i="39"/>
  <c r="D149" i="39"/>
  <c r="E146" i="62"/>
  <c r="F146" i="62" s="1"/>
  <c r="D147" i="62" s="1"/>
  <c r="B147" i="62" s="1"/>
  <c r="D62" i="87"/>
  <c r="E62" i="87" s="1"/>
  <c r="H61" i="87"/>
  <c r="G61" i="87"/>
  <c r="D69" i="66"/>
  <c r="E69" i="66" s="1"/>
  <c r="G68" i="66"/>
  <c r="H68" i="66"/>
  <c r="J146" i="56"/>
  <c r="E145" i="63"/>
  <c r="F145" i="63" s="1"/>
  <c r="D146" i="63" s="1"/>
  <c r="D61" i="13"/>
  <c r="D65" i="62"/>
  <c r="E65" i="62" s="1"/>
  <c r="D149" i="43"/>
  <c r="G148" i="43"/>
  <c r="B65" i="59"/>
  <c r="F65" i="59"/>
  <c r="H65" i="59" s="1"/>
  <c r="D63" i="33"/>
  <c r="I72" i="23"/>
  <c r="I73" i="23" s="1"/>
  <c r="H73" i="23"/>
  <c r="D62" i="26"/>
  <c r="E62" i="26" s="1"/>
  <c r="B70" i="18"/>
  <c r="F70" i="18"/>
  <c r="D63" i="25"/>
  <c r="H64" i="62"/>
  <c r="I64" i="62" s="1"/>
  <c r="D69" i="20"/>
  <c r="E69" i="20" s="1"/>
  <c r="B149" i="41"/>
  <c r="E149" i="41"/>
  <c r="F149" i="41" s="1"/>
  <c r="G60" i="13"/>
  <c r="I60" i="13" s="1"/>
  <c r="G62" i="33"/>
  <c r="I62" i="33" s="1"/>
  <c r="G61" i="26"/>
  <c r="I61" i="26" s="1"/>
  <c r="G68" i="20"/>
  <c r="I68" i="20" s="1"/>
  <c r="H148" i="41"/>
  <c r="I148" i="41"/>
  <c r="B69" i="73"/>
  <c r="F69" i="73"/>
  <c r="G69" i="73" s="1"/>
  <c r="G62" i="25"/>
  <c r="I62" i="25" s="1"/>
  <c r="J147" i="43"/>
  <c r="G149" i="19"/>
  <c r="D150" i="19"/>
  <c r="D150" i="22"/>
  <c r="B150" i="22" s="1"/>
  <c r="G149" i="22"/>
  <c r="G150" i="32"/>
  <c r="D151" i="32"/>
  <c r="G142" i="26"/>
  <c r="D143" i="26"/>
  <c r="B141" i="84"/>
  <c r="F141" i="84"/>
  <c r="I147" i="45"/>
  <c r="H147" i="45"/>
  <c r="I146" i="74"/>
  <c r="H146" i="74"/>
  <c r="J149" i="32"/>
  <c r="J147" i="73"/>
  <c r="F141" i="90"/>
  <c r="B141" i="90"/>
  <c r="I145" i="58"/>
  <c r="H145" i="58"/>
  <c r="J147" i="39"/>
  <c r="H140" i="84"/>
  <c r="I140" i="84"/>
  <c r="D149" i="73"/>
  <c r="B149" i="73" s="1"/>
  <c r="G148" i="73"/>
  <c r="D142" i="89"/>
  <c r="E142" i="89" s="1"/>
  <c r="G141" i="89"/>
  <c r="F141" i="86"/>
  <c r="B141" i="86"/>
  <c r="I150" i="71"/>
  <c r="H150" i="71"/>
  <c r="H151" i="30"/>
  <c r="I151" i="30"/>
  <c r="H142" i="79"/>
  <c r="I142" i="79"/>
  <c r="B148" i="45"/>
  <c r="E148" i="45"/>
  <c r="F148" i="45" s="1"/>
  <c r="I144" i="63"/>
  <c r="H144" i="63"/>
  <c r="H143" i="66"/>
  <c r="I143" i="66"/>
  <c r="I140" i="88"/>
  <c r="H140" i="88"/>
  <c r="I145" i="46"/>
  <c r="H145" i="46"/>
  <c r="G146" i="53"/>
  <c r="D147" i="53"/>
  <c r="B141" i="92"/>
  <c r="F141" i="92"/>
  <c r="I150" i="70"/>
  <c r="H150" i="70"/>
  <c r="H144" i="61"/>
  <c r="I144" i="61"/>
  <c r="D150" i="20"/>
  <c r="G149" i="20"/>
  <c r="H142" i="78"/>
  <c r="I142" i="78"/>
  <c r="E144" i="66"/>
  <c r="F144" i="66" s="1"/>
  <c r="B144" i="66"/>
  <c r="I140" i="90"/>
  <c r="H140" i="90"/>
  <c r="E146" i="58"/>
  <c r="F146" i="58" s="1"/>
  <c r="B146" i="58"/>
  <c r="I141" i="85"/>
  <c r="H141" i="85"/>
  <c r="I140" i="86"/>
  <c r="H140" i="86"/>
  <c r="I145" i="72"/>
  <c r="H145" i="72"/>
  <c r="H150" i="29"/>
  <c r="I150" i="29"/>
  <c r="E152" i="30"/>
  <c r="F152" i="30" s="1"/>
  <c r="B152" i="30"/>
  <c r="D142" i="91"/>
  <c r="E142" i="91" s="1"/>
  <c r="G141" i="91"/>
  <c r="F141" i="88"/>
  <c r="B141" i="88"/>
  <c r="E150" i="31"/>
  <c r="F150" i="31" s="1"/>
  <c r="B150" i="31"/>
  <c r="E145" i="65"/>
  <c r="F145" i="65" s="1"/>
  <c r="B145" i="65"/>
  <c r="E145" i="60"/>
  <c r="F145" i="60" s="1"/>
  <c r="B145" i="60"/>
  <c r="E151" i="71"/>
  <c r="F151" i="71" s="1"/>
  <c r="B151" i="71"/>
  <c r="J148" i="21"/>
  <c r="H144" i="65"/>
  <c r="I144" i="65"/>
  <c r="H140" i="92"/>
  <c r="I140" i="92"/>
  <c r="E145" i="61"/>
  <c r="F145" i="61" s="1"/>
  <c r="H144" i="60"/>
  <c r="I144" i="60"/>
  <c r="F142" i="85"/>
  <c r="B142" i="85"/>
  <c r="D143" i="81"/>
  <c r="B143" i="81" s="1"/>
  <c r="G142" i="81"/>
  <c r="E151" i="29"/>
  <c r="F151" i="29" s="1"/>
  <c r="J148" i="19"/>
  <c r="H150" i="69"/>
  <c r="I150" i="69"/>
  <c r="B143" i="79"/>
  <c r="F143" i="79"/>
  <c r="J148" i="20"/>
  <c r="E147" i="74"/>
  <c r="F147" i="74" s="1"/>
  <c r="B147" i="74"/>
  <c r="I143" i="68"/>
  <c r="H143" i="68"/>
  <c r="E146" i="46"/>
  <c r="F146" i="46" s="1"/>
  <c r="I149" i="31"/>
  <c r="H149" i="31"/>
  <c r="J142" i="75"/>
  <c r="E151" i="23"/>
  <c r="F151" i="23" s="1"/>
  <c r="B151" i="23"/>
  <c r="I149" i="18"/>
  <c r="H149" i="18"/>
  <c r="I150" i="23"/>
  <c r="H150" i="23"/>
  <c r="E146" i="59"/>
  <c r="F146" i="59" s="1"/>
  <c r="D148" i="56"/>
  <c r="G147" i="56"/>
  <c r="E150" i="18"/>
  <c r="F150" i="18" s="1"/>
  <c r="B150" i="18"/>
  <c r="H145" i="59"/>
  <c r="I145" i="59"/>
  <c r="E147" i="57"/>
  <c r="F147" i="57" s="1"/>
  <c r="H146" i="57"/>
  <c r="I146" i="57"/>
  <c r="G150" i="24"/>
  <c r="D151" i="24"/>
  <c r="E151" i="24" s="1"/>
  <c r="J145" i="55"/>
  <c r="G149" i="21"/>
  <c r="D150" i="21"/>
  <c r="E150" i="21" s="1"/>
  <c r="H141" i="82"/>
  <c r="I141" i="82"/>
  <c r="H149" i="34"/>
  <c r="I149" i="34"/>
  <c r="J142" i="76"/>
  <c r="H147" i="44"/>
  <c r="I147" i="44"/>
  <c r="B152" i="28"/>
  <c r="F152" i="28"/>
  <c r="D141" i="13"/>
  <c r="E141" i="13" s="1"/>
  <c r="G140" i="13"/>
  <c r="D143" i="83"/>
  <c r="E143" i="83" s="1"/>
  <c r="G142" i="83"/>
  <c r="B142" i="94"/>
  <c r="F142" i="94"/>
  <c r="F142" i="82"/>
  <c r="B142" i="82"/>
  <c r="B141" i="96"/>
  <c r="F141" i="96"/>
  <c r="F149" i="3"/>
  <c r="B149" i="3"/>
  <c r="I149" i="17"/>
  <c r="H149" i="17"/>
  <c r="D144" i="76"/>
  <c r="E144" i="76" s="1"/>
  <c r="G143" i="76"/>
  <c r="B148" i="44"/>
  <c r="F148" i="44"/>
  <c r="F142" i="95"/>
  <c r="B142" i="95"/>
  <c r="G148" i="42"/>
  <c r="D149" i="42"/>
  <c r="E149" i="42" s="1"/>
  <c r="D144" i="75"/>
  <c r="E144" i="75" s="1"/>
  <c r="G143" i="75"/>
  <c r="I151" i="28"/>
  <c r="H151" i="28"/>
  <c r="J142" i="77"/>
  <c r="G142" i="80"/>
  <c r="D143" i="80"/>
  <c r="E143" i="80" s="1"/>
  <c r="B150" i="34"/>
  <c r="G143" i="77"/>
  <c r="D144" i="77"/>
  <c r="I140" i="87"/>
  <c r="H140" i="87"/>
  <c r="I148" i="3"/>
  <c r="H148" i="3"/>
  <c r="G146" i="55"/>
  <c r="D147" i="55"/>
  <c r="E147" i="55" s="1"/>
  <c r="I141" i="95"/>
  <c r="H141" i="95"/>
  <c r="J147" i="42"/>
  <c r="F144" i="67"/>
  <c r="B144" i="67"/>
  <c r="H141" i="94"/>
  <c r="I141" i="94"/>
  <c r="I140" i="96"/>
  <c r="H140" i="96"/>
  <c r="E150" i="34"/>
  <c r="F150" i="34" s="1"/>
  <c r="G140" i="33"/>
  <c r="D141" i="33"/>
  <c r="E141" i="33" s="1"/>
  <c r="B141" i="87"/>
  <c r="F141" i="87"/>
  <c r="B150" i="17"/>
  <c r="F150" i="17"/>
  <c r="D142" i="93"/>
  <c r="E142" i="93" s="1"/>
  <c r="G141" i="93"/>
  <c r="G146" i="54"/>
  <c r="D147" i="54"/>
  <c r="I143" i="67"/>
  <c r="H143" i="67"/>
  <c r="I72" i="31" l="1"/>
  <c r="I73" i="31" s="1"/>
  <c r="I72" i="99"/>
  <c r="I73" i="99" s="1"/>
  <c r="I140" i="25"/>
  <c r="H140" i="25"/>
  <c r="E141" i="25"/>
  <c r="F141" i="25" s="1"/>
  <c r="B141" i="25"/>
  <c r="D147" i="72"/>
  <c r="B147" i="72" s="1"/>
  <c r="H145" i="62"/>
  <c r="J145" i="62" s="1"/>
  <c r="I62" i="98"/>
  <c r="G72" i="24"/>
  <c r="G73" i="24" s="1"/>
  <c r="E63" i="98"/>
  <c r="F63" i="98" s="1"/>
  <c r="D64" i="98" s="1"/>
  <c r="B63" i="98"/>
  <c r="I140" i="99"/>
  <c r="H140" i="99"/>
  <c r="B141" i="99"/>
  <c r="F141" i="99"/>
  <c r="G70" i="72"/>
  <c r="D71" i="72"/>
  <c r="H70" i="72"/>
  <c r="G68" i="68"/>
  <c r="I68" i="68" s="1"/>
  <c r="D69" i="68"/>
  <c r="B69" i="68" s="1"/>
  <c r="H67" i="67"/>
  <c r="G67" i="67"/>
  <c r="D68" i="67"/>
  <c r="I72" i="30"/>
  <c r="I73" i="30" s="1"/>
  <c r="H67" i="65"/>
  <c r="G67" i="65"/>
  <c r="G69" i="58"/>
  <c r="H69" i="58"/>
  <c r="D70" i="58"/>
  <c r="B70" i="58" s="1"/>
  <c r="D69" i="53"/>
  <c r="E69" i="53" s="1"/>
  <c r="G68" i="53"/>
  <c r="I68" i="53" s="1"/>
  <c r="H73" i="24"/>
  <c r="I63" i="84"/>
  <c r="I66" i="65"/>
  <c r="G65" i="59"/>
  <c r="I65" i="59" s="1"/>
  <c r="G141" i="98"/>
  <c r="D142" i="98"/>
  <c r="D142" i="97"/>
  <c r="G141" i="97"/>
  <c r="G145" i="63"/>
  <c r="H145" i="63" s="1"/>
  <c r="G146" i="62"/>
  <c r="I146" i="62" s="1"/>
  <c r="G145" i="64"/>
  <c r="D146" i="64"/>
  <c r="G151" i="70"/>
  <c r="H151" i="70" s="1"/>
  <c r="I60" i="95"/>
  <c r="I65" i="86"/>
  <c r="H63" i="78"/>
  <c r="I63" i="78" s="1"/>
  <c r="B71" i="46"/>
  <c r="E71" i="46"/>
  <c r="F71" i="46" s="1"/>
  <c r="I70" i="46"/>
  <c r="G70" i="44"/>
  <c r="I70" i="44" s="1"/>
  <c r="I71" i="42"/>
  <c r="D67" i="82"/>
  <c r="E67" i="82" s="1"/>
  <c r="F67" i="82" s="1"/>
  <c r="D68" i="82" s="1"/>
  <c r="B68" i="82" s="1"/>
  <c r="G71" i="27"/>
  <c r="D72" i="27"/>
  <c r="H71" i="27"/>
  <c r="D65" i="80"/>
  <c r="E65" i="80" s="1"/>
  <c r="B62" i="94"/>
  <c r="G66" i="61"/>
  <c r="I66" i="61" s="1"/>
  <c r="D67" i="61"/>
  <c r="B64" i="80"/>
  <c r="G64" i="80"/>
  <c r="H64" i="80"/>
  <c r="B66" i="82"/>
  <c r="H66" i="82"/>
  <c r="G66" i="82"/>
  <c r="E63" i="91"/>
  <c r="F63" i="91" s="1"/>
  <c r="E62" i="94"/>
  <c r="F62" i="94" s="1"/>
  <c r="H62" i="94" s="1"/>
  <c r="G69" i="39"/>
  <c r="G69" i="55"/>
  <c r="I69" i="55" s="1"/>
  <c r="D70" i="55"/>
  <c r="E71" i="34"/>
  <c r="F71" i="34" s="1"/>
  <c r="B71" i="34"/>
  <c r="H69" i="39"/>
  <c r="D67" i="75"/>
  <c r="E72" i="42"/>
  <c r="E73" i="42" s="1"/>
  <c r="B72" i="42"/>
  <c r="D63" i="93"/>
  <c r="E63" i="93" s="1"/>
  <c r="F63" i="93" s="1"/>
  <c r="D65" i="90"/>
  <c r="E64" i="84"/>
  <c r="F64" i="84" s="1"/>
  <c r="B64" i="84"/>
  <c r="I63" i="85"/>
  <c r="G66" i="75"/>
  <c r="I66" i="75" s="1"/>
  <c r="H62" i="93"/>
  <c r="I62" i="93" s="1"/>
  <c r="H64" i="90"/>
  <c r="I64" i="90" s="1"/>
  <c r="I63" i="90"/>
  <c r="H72" i="22"/>
  <c r="G72" i="22"/>
  <c r="G73" i="22" s="1"/>
  <c r="I70" i="34"/>
  <c r="I62" i="91"/>
  <c r="D62" i="96"/>
  <c r="E62" i="96" s="1"/>
  <c r="H61" i="96"/>
  <c r="G61" i="96"/>
  <c r="H64" i="76"/>
  <c r="D65" i="76"/>
  <c r="G64" i="76"/>
  <c r="I68" i="60"/>
  <c r="B66" i="86"/>
  <c r="E66" i="86"/>
  <c r="F66" i="86" s="1"/>
  <c r="G62" i="81"/>
  <c r="H63" i="79"/>
  <c r="E70" i="39"/>
  <c r="F70" i="39" s="1"/>
  <c r="G70" i="39" s="1"/>
  <c r="B70" i="39"/>
  <c r="H62" i="81"/>
  <c r="I62" i="81" s="1"/>
  <c r="E63" i="81"/>
  <c r="F63" i="81" s="1"/>
  <c r="B63" i="81"/>
  <c r="B64" i="85"/>
  <c r="F64" i="85"/>
  <c r="G64" i="85" s="1"/>
  <c r="F61" i="95"/>
  <c r="G61" i="95" s="1"/>
  <c r="B61" i="95"/>
  <c r="D72" i="19"/>
  <c r="E72" i="19" s="1"/>
  <c r="E73" i="19" s="1"/>
  <c r="G71" i="19"/>
  <c r="H71" i="19"/>
  <c r="G61" i="89"/>
  <c r="D62" i="89"/>
  <c r="H61" i="89"/>
  <c r="D66" i="77"/>
  <c r="E66" i="77" s="1"/>
  <c r="H65" i="77"/>
  <c r="G65" i="77"/>
  <c r="D65" i="88"/>
  <c r="D67" i="64"/>
  <c r="E67" i="64" s="1"/>
  <c r="F67" i="64" s="1"/>
  <c r="H66" i="64"/>
  <c r="G66" i="64"/>
  <c r="B71" i="41"/>
  <c r="D62" i="92"/>
  <c r="E62" i="92" s="1"/>
  <c r="F62" i="92" s="1"/>
  <c r="D63" i="92" s="1"/>
  <c r="D68" i="57"/>
  <c r="I72" i="17"/>
  <c r="I73" i="17" s="1"/>
  <c r="H73" i="17"/>
  <c r="E64" i="79"/>
  <c r="F64" i="79" s="1"/>
  <c r="B64" i="79"/>
  <c r="D68" i="54"/>
  <c r="E68" i="54" s="1"/>
  <c r="G71" i="74"/>
  <c r="D72" i="74"/>
  <c r="E72" i="74" s="1"/>
  <c r="E73" i="74" s="1"/>
  <c r="B68" i="56"/>
  <c r="H67" i="54"/>
  <c r="I70" i="41"/>
  <c r="D70" i="60"/>
  <c r="E70" i="60" s="1"/>
  <c r="F70" i="60" s="1"/>
  <c r="H71" i="74"/>
  <c r="F71" i="43"/>
  <c r="D72" i="43" s="1"/>
  <c r="B71" i="43"/>
  <c r="D71" i="44"/>
  <c r="E71" i="44" s="1"/>
  <c r="F68" i="45"/>
  <c r="H68" i="45" s="1"/>
  <c r="B68" i="45"/>
  <c r="E68" i="56"/>
  <c r="F68" i="56" s="1"/>
  <c r="F71" i="21"/>
  <c r="D72" i="21" s="1"/>
  <c r="B71" i="21"/>
  <c r="I72" i="70"/>
  <c r="I73" i="70" s="1"/>
  <c r="H73" i="70"/>
  <c r="H69" i="60"/>
  <c r="H61" i="92"/>
  <c r="I67" i="68"/>
  <c r="H67" i="57"/>
  <c r="I64" i="77"/>
  <c r="I70" i="21"/>
  <c r="D64" i="78"/>
  <c r="E64" i="78" s="1"/>
  <c r="B64" i="88"/>
  <c r="H64" i="88"/>
  <c r="G64" i="88"/>
  <c r="D68" i="63"/>
  <c r="E68" i="63" s="1"/>
  <c r="H67" i="63"/>
  <c r="G67" i="63"/>
  <c r="G67" i="54"/>
  <c r="G69" i="60"/>
  <c r="E71" i="41"/>
  <c r="F71" i="41" s="1"/>
  <c r="D72" i="41" s="1"/>
  <c r="H62" i="83"/>
  <c r="I62" i="83" s="1"/>
  <c r="D63" i="83"/>
  <c r="G63" i="79"/>
  <c r="G61" i="92"/>
  <c r="G67" i="57"/>
  <c r="G143" i="78"/>
  <c r="I143" i="78" s="1"/>
  <c r="D144" i="78"/>
  <c r="B144" i="78" s="1"/>
  <c r="J143" i="66"/>
  <c r="E143" i="81"/>
  <c r="F143" i="81" s="1"/>
  <c r="E152" i="27"/>
  <c r="F152" i="27" s="1"/>
  <c r="B152" i="27"/>
  <c r="J151" i="30"/>
  <c r="I151" i="27"/>
  <c r="H151" i="27"/>
  <c r="J143" i="68"/>
  <c r="J149" i="31"/>
  <c r="J144" i="65"/>
  <c r="J150" i="29"/>
  <c r="J142" i="78"/>
  <c r="J144" i="61"/>
  <c r="B149" i="39"/>
  <c r="E149" i="39"/>
  <c r="F149" i="39" s="1"/>
  <c r="J148" i="41"/>
  <c r="I148" i="39"/>
  <c r="H148" i="39"/>
  <c r="J144" i="63"/>
  <c r="J150" i="71"/>
  <c r="J150" i="70"/>
  <c r="J145" i="58"/>
  <c r="G149" i="41"/>
  <c r="D150" i="41"/>
  <c r="D71" i="18"/>
  <c r="E71" i="18" s="1"/>
  <c r="B63" i="33"/>
  <c r="B61" i="13"/>
  <c r="B68" i="65"/>
  <c r="E149" i="73"/>
  <c r="F149" i="73" s="1"/>
  <c r="D150" i="73" s="1"/>
  <c r="E150" i="73" s="1"/>
  <c r="H69" i="73"/>
  <c r="I69" i="73" s="1"/>
  <c r="B63" i="25"/>
  <c r="H70" i="18"/>
  <c r="I148" i="43"/>
  <c r="H148" i="43"/>
  <c r="F65" i="62"/>
  <c r="G65" i="62" s="1"/>
  <c r="B65" i="62"/>
  <c r="E61" i="13"/>
  <c r="F61" i="13" s="1"/>
  <c r="G61" i="13" s="1"/>
  <c r="I68" i="66"/>
  <c r="I61" i="87"/>
  <c r="J145" i="72"/>
  <c r="E147" i="72"/>
  <c r="F147" i="72" s="1"/>
  <c r="G147" i="72" s="1"/>
  <c r="F69" i="20"/>
  <c r="H69" i="20" s="1"/>
  <c r="B69" i="20"/>
  <c r="E63" i="25"/>
  <c r="F63" i="25" s="1"/>
  <c r="D66" i="59"/>
  <c r="E149" i="43"/>
  <c r="F149" i="43" s="1"/>
  <c r="B149" i="43"/>
  <c r="D70" i="73"/>
  <c r="G70" i="18"/>
  <c r="B62" i="26"/>
  <c r="F62" i="26"/>
  <c r="H62" i="26" s="1"/>
  <c r="E63" i="33"/>
  <c r="F63" i="33" s="1"/>
  <c r="E68" i="65"/>
  <c r="F68" i="65" s="1"/>
  <c r="B69" i="66"/>
  <c r="F69" i="66"/>
  <c r="F62" i="87"/>
  <c r="B62" i="87"/>
  <c r="D145" i="66"/>
  <c r="G144" i="66"/>
  <c r="D146" i="65"/>
  <c r="B146" i="65" s="1"/>
  <c r="G145" i="65"/>
  <c r="G143" i="79"/>
  <c r="D144" i="79"/>
  <c r="E144" i="79" s="1"/>
  <c r="D152" i="71"/>
  <c r="G151" i="71"/>
  <c r="E152" i="70"/>
  <c r="F152" i="70" s="1"/>
  <c r="B152" i="70"/>
  <c r="I146" i="53"/>
  <c r="H146" i="53"/>
  <c r="J150" i="23"/>
  <c r="J149" i="18"/>
  <c r="G146" i="46"/>
  <c r="D147" i="46"/>
  <c r="B147" i="46" s="1"/>
  <c r="G147" i="74"/>
  <c r="D148" i="74"/>
  <c r="G151" i="29"/>
  <c r="D152" i="29"/>
  <c r="B152" i="29" s="1"/>
  <c r="G145" i="61"/>
  <c r="D146" i="61"/>
  <c r="B146" i="61" s="1"/>
  <c r="G150" i="31"/>
  <c r="D151" i="31"/>
  <c r="G141" i="88"/>
  <c r="D142" i="88"/>
  <c r="E142" i="88" s="1"/>
  <c r="D153" i="30"/>
  <c r="G152" i="30"/>
  <c r="G141" i="92"/>
  <c r="D142" i="92"/>
  <c r="E142" i="92" s="1"/>
  <c r="D145" i="68"/>
  <c r="E145" i="68" s="1"/>
  <c r="G144" i="68"/>
  <c r="D142" i="86"/>
  <c r="E142" i="86" s="1"/>
  <c r="G141" i="86"/>
  <c r="E143" i="26"/>
  <c r="F143" i="26" s="1"/>
  <c r="B143" i="26"/>
  <c r="I150" i="32"/>
  <c r="H150" i="32"/>
  <c r="B150" i="19"/>
  <c r="D146" i="60"/>
  <c r="G145" i="60"/>
  <c r="D147" i="58"/>
  <c r="B147" i="58" s="1"/>
  <c r="G146" i="58"/>
  <c r="H146" i="62"/>
  <c r="G148" i="45"/>
  <c r="D149" i="45"/>
  <c r="B149" i="45" s="1"/>
  <c r="E151" i="32"/>
  <c r="F151" i="32" s="1"/>
  <c r="B151" i="32"/>
  <c r="J145" i="59"/>
  <c r="J150" i="69"/>
  <c r="G142" i="85"/>
  <c r="D143" i="85"/>
  <c r="B143" i="85" s="1"/>
  <c r="I141" i="91"/>
  <c r="H141" i="91"/>
  <c r="I149" i="20"/>
  <c r="H149" i="20"/>
  <c r="J145" i="46"/>
  <c r="J142" i="79"/>
  <c r="H141" i="89"/>
  <c r="I141" i="89"/>
  <c r="H148" i="73"/>
  <c r="I148" i="73"/>
  <c r="D142" i="90"/>
  <c r="E142" i="90" s="1"/>
  <c r="G141" i="90"/>
  <c r="J146" i="74"/>
  <c r="J147" i="45"/>
  <c r="I142" i="26"/>
  <c r="H142" i="26"/>
  <c r="E150" i="22"/>
  <c r="F150" i="22" s="1"/>
  <c r="H149" i="19"/>
  <c r="I149" i="19"/>
  <c r="F142" i="91"/>
  <c r="B142" i="91"/>
  <c r="D152" i="69"/>
  <c r="B152" i="69" s="1"/>
  <c r="G151" i="69"/>
  <c r="B150" i="20"/>
  <c r="F142" i="89"/>
  <c r="B142" i="89"/>
  <c r="I142" i="81"/>
  <c r="H142" i="81"/>
  <c r="J144" i="60"/>
  <c r="H146" i="72"/>
  <c r="I146" i="72"/>
  <c r="E150" i="20"/>
  <c r="F150" i="20" s="1"/>
  <c r="E147" i="53"/>
  <c r="F147" i="53" s="1"/>
  <c r="B147" i="53"/>
  <c r="E146" i="63"/>
  <c r="F146" i="63" s="1"/>
  <c r="B146" i="63"/>
  <c r="D142" i="84"/>
  <c r="E142" i="84" s="1"/>
  <c r="G141" i="84"/>
  <c r="E147" i="62"/>
  <c r="F147" i="62" s="1"/>
  <c r="H149" i="22"/>
  <c r="I149" i="22"/>
  <c r="E150" i="19"/>
  <c r="F150" i="19" s="1"/>
  <c r="G151" i="23"/>
  <c r="D152" i="23"/>
  <c r="G150" i="18"/>
  <c r="D151" i="18"/>
  <c r="B151" i="18" s="1"/>
  <c r="B148" i="56"/>
  <c r="D147" i="59"/>
  <c r="E147" i="59" s="1"/>
  <c r="G146" i="59"/>
  <c r="J143" i="67"/>
  <c r="H147" i="56"/>
  <c r="I147" i="56"/>
  <c r="E148" i="56"/>
  <c r="F148" i="56" s="1"/>
  <c r="J147" i="44"/>
  <c r="J146" i="57"/>
  <c r="G147" i="57"/>
  <c r="D148" i="57"/>
  <c r="J151" i="28"/>
  <c r="J149" i="17"/>
  <c r="J149" i="34"/>
  <c r="G150" i="34"/>
  <c r="D151" i="34"/>
  <c r="E151" i="34" s="1"/>
  <c r="D151" i="17"/>
  <c r="E151" i="17" s="1"/>
  <c r="G150" i="17"/>
  <c r="I146" i="55"/>
  <c r="H146" i="55"/>
  <c r="B144" i="77"/>
  <c r="I142" i="80"/>
  <c r="H142" i="80"/>
  <c r="H143" i="75"/>
  <c r="I143" i="75"/>
  <c r="H148" i="42"/>
  <c r="I148" i="42"/>
  <c r="G148" i="44"/>
  <c r="D149" i="44"/>
  <c r="B144" i="76"/>
  <c r="F144" i="76"/>
  <c r="D150" i="3"/>
  <c r="E150" i="3" s="1"/>
  <c r="G149" i="3"/>
  <c r="B147" i="54"/>
  <c r="I146" i="54"/>
  <c r="H146" i="54"/>
  <c r="I141" i="93"/>
  <c r="H141" i="93"/>
  <c r="F141" i="33"/>
  <c r="B141" i="33"/>
  <c r="E144" i="77"/>
  <c r="F144" i="77" s="1"/>
  <c r="H142" i="83"/>
  <c r="I142" i="83"/>
  <c r="B150" i="21"/>
  <c r="F150" i="21"/>
  <c r="E147" i="54"/>
  <c r="F147" i="54" s="1"/>
  <c r="D142" i="87"/>
  <c r="E142" i="87" s="1"/>
  <c r="G141" i="87"/>
  <c r="H140" i="33"/>
  <c r="I140" i="33"/>
  <c r="D145" i="67"/>
  <c r="G144" i="67"/>
  <c r="I143" i="77"/>
  <c r="H143" i="77"/>
  <c r="B144" i="75"/>
  <c r="F144" i="75"/>
  <c r="G142" i="82"/>
  <c r="D143" i="82"/>
  <c r="E143" i="82" s="1"/>
  <c r="G142" i="94"/>
  <c r="D143" i="94"/>
  <c r="I140" i="13"/>
  <c r="H140" i="13"/>
  <c r="F151" i="24"/>
  <c r="B151" i="24"/>
  <c r="B142" i="93"/>
  <c r="F142" i="93"/>
  <c r="B147" i="55"/>
  <c r="F147" i="55"/>
  <c r="J148" i="3"/>
  <c r="B143" i="80"/>
  <c r="F143" i="80"/>
  <c r="B149" i="42"/>
  <c r="F149" i="42"/>
  <c r="G142" i="95"/>
  <c r="D143" i="95"/>
  <c r="E143" i="95" s="1"/>
  <c r="H143" i="76"/>
  <c r="I143" i="76"/>
  <c r="G141" i="96"/>
  <c r="D142" i="96"/>
  <c r="E142" i="96" s="1"/>
  <c r="B143" i="83"/>
  <c r="F143" i="83"/>
  <c r="B141" i="13"/>
  <c r="F141" i="13"/>
  <c r="G152" i="28"/>
  <c r="D153" i="28"/>
  <c r="I149" i="21"/>
  <c r="H149" i="21"/>
  <c r="H150" i="24"/>
  <c r="I150" i="24"/>
  <c r="I151" i="70" l="1"/>
  <c r="G141" i="25"/>
  <c r="D142" i="25"/>
  <c r="I67" i="65"/>
  <c r="J140" i="25"/>
  <c r="E69" i="68"/>
  <c r="F69" i="68" s="1"/>
  <c r="I72" i="24"/>
  <c r="I73" i="24" s="1"/>
  <c r="I145" i="63"/>
  <c r="J145" i="63" s="1"/>
  <c r="H143" i="78"/>
  <c r="J143" i="78" s="1"/>
  <c r="E64" i="98"/>
  <c r="F64" i="98" s="1"/>
  <c r="B64" i="98"/>
  <c r="H63" i="98"/>
  <c r="I70" i="72"/>
  <c r="G63" i="98"/>
  <c r="D142" i="99"/>
  <c r="G141" i="99"/>
  <c r="B71" i="72"/>
  <c r="E71" i="72"/>
  <c r="F71" i="72" s="1"/>
  <c r="D72" i="72" s="1"/>
  <c r="E68" i="67"/>
  <c r="F68" i="67" s="1"/>
  <c r="G68" i="67" s="1"/>
  <c r="B68" i="67"/>
  <c r="I67" i="67"/>
  <c r="E70" i="58"/>
  <c r="F70" i="58" s="1"/>
  <c r="D71" i="58" s="1"/>
  <c r="B71" i="58" s="1"/>
  <c r="I69" i="58"/>
  <c r="F69" i="53"/>
  <c r="H69" i="53" s="1"/>
  <c r="B69" i="53"/>
  <c r="I69" i="39"/>
  <c r="I63" i="79"/>
  <c r="D148" i="72"/>
  <c r="B148" i="72" s="1"/>
  <c r="H141" i="97"/>
  <c r="I141" i="97"/>
  <c r="B142" i="97"/>
  <c r="E142" i="98"/>
  <c r="F142" i="98" s="1"/>
  <c r="B142" i="98"/>
  <c r="E142" i="97"/>
  <c r="F142" i="97" s="1"/>
  <c r="H141" i="98"/>
  <c r="I141" i="98"/>
  <c r="G149" i="73"/>
  <c r="I149" i="73" s="1"/>
  <c r="E146" i="64"/>
  <c r="F146" i="64" s="1"/>
  <c r="B146" i="64"/>
  <c r="I145" i="64"/>
  <c r="H145" i="64"/>
  <c r="E152" i="29"/>
  <c r="F152" i="29" s="1"/>
  <c r="D153" i="29" s="1"/>
  <c r="B153" i="29" s="1"/>
  <c r="H64" i="85"/>
  <c r="I64" i="85" s="1"/>
  <c r="I66" i="82"/>
  <c r="E68" i="82"/>
  <c r="F68" i="82" s="1"/>
  <c r="H68" i="82" s="1"/>
  <c r="D72" i="46"/>
  <c r="G71" i="46"/>
  <c r="H71" i="46"/>
  <c r="H63" i="91"/>
  <c r="D64" i="91"/>
  <c r="G63" i="91"/>
  <c r="E72" i="27"/>
  <c r="E73" i="27" s="1"/>
  <c r="B72" i="27"/>
  <c r="I61" i="96"/>
  <c r="F72" i="42"/>
  <c r="H72" i="42" s="1"/>
  <c r="H73" i="42" s="1"/>
  <c r="I64" i="80"/>
  <c r="G62" i="94"/>
  <c r="I62" i="94" s="1"/>
  <c r="B65" i="80"/>
  <c r="F65" i="80"/>
  <c r="D63" i="94"/>
  <c r="E63" i="94" s="1"/>
  <c r="E67" i="61"/>
  <c r="F67" i="61" s="1"/>
  <c r="B67" i="61"/>
  <c r="I71" i="27"/>
  <c r="B67" i="82"/>
  <c r="G67" i="82"/>
  <c r="H67" i="82"/>
  <c r="H64" i="84"/>
  <c r="D65" i="84"/>
  <c r="G64" i="84"/>
  <c r="G71" i="34"/>
  <c r="D72" i="34"/>
  <c r="H71" i="34"/>
  <c r="G68" i="45"/>
  <c r="I68" i="45" s="1"/>
  <c r="B65" i="90"/>
  <c r="B67" i="75"/>
  <c r="D64" i="93"/>
  <c r="E64" i="93" s="1"/>
  <c r="E70" i="55"/>
  <c r="F70" i="55" s="1"/>
  <c r="B70" i="55"/>
  <c r="I64" i="76"/>
  <c r="H73" i="22"/>
  <c r="I72" i="22"/>
  <c r="I73" i="22" s="1"/>
  <c r="B63" i="93"/>
  <c r="G63" i="93"/>
  <c r="H63" i="93"/>
  <c r="G62" i="26"/>
  <c r="I62" i="26" s="1"/>
  <c r="E65" i="90"/>
  <c r="F65" i="90" s="1"/>
  <c r="E67" i="75"/>
  <c r="F67" i="75" s="1"/>
  <c r="G63" i="81"/>
  <c r="D64" i="81"/>
  <c r="H63" i="81"/>
  <c r="G71" i="21"/>
  <c r="H71" i="41"/>
  <c r="D62" i="95"/>
  <c r="E62" i="95" s="1"/>
  <c r="D67" i="86"/>
  <c r="G66" i="86"/>
  <c r="H66" i="86"/>
  <c r="B65" i="76"/>
  <c r="I69" i="60"/>
  <c r="H70" i="39"/>
  <c r="I70" i="39" s="1"/>
  <c r="D71" i="39"/>
  <c r="E71" i="39" s="1"/>
  <c r="E65" i="76"/>
  <c r="F65" i="76" s="1"/>
  <c r="B62" i="96"/>
  <c r="F62" i="96"/>
  <c r="H62" i="96" s="1"/>
  <c r="H61" i="95"/>
  <c r="I61" i="95" s="1"/>
  <c r="D65" i="85"/>
  <c r="E65" i="85" s="1"/>
  <c r="F65" i="85" s="1"/>
  <c r="D66" i="85" s="1"/>
  <c r="I65" i="77"/>
  <c r="I66" i="64"/>
  <c r="I64" i="88"/>
  <c r="I67" i="57"/>
  <c r="D69" i="56"/>
  <c r="E69" i="56" s="1"/>
  <c r="F69" i="56" s="1"/>
  <c r="D70" i="56" s="1"/>
  <c r="H68" i="56"/>
  <c r="G68" i="56"/>
  <c r="E63" i="92"/>
  <c r="F63" i="92" s="1"/>
  <c r="H63" i="92" s="1"/>
  <c r="B63" i="92"/>
  <c r="D68" i="64"/>
  <c r="E68" i="64" s="1"/>
  <c r="F68" i="64" s="1"/>
  <c r="D65" i="79"/>
  <c r="E65" i="79" s="1"/>
  <c r="G64" i="79"/>
  <c r="H64" i="79"/>
  <c r="E63" i="83"/>
  <c r="F63" i="83" s="1"/>
  <c r="G63" i="83" s="1"/>
  <c r="B63" i="83"/>
  <c r="B68" i="57"/>
  <c r="B65" i="88"/>
  <c r="I71" i="19"/>
  <c r="H65" i="62"/>
  <c r="I65" i="62" s="1"/>
  <c r="F64" i="78"/>
  <c r="D65" i="78" s="1"/>
  <c r="B64" i="78"/>
  <c r="B71" i="44"/>
  <c r="F71" i="44"/>
  <c r="H71" i="44" s="1"/>
  <c r="G71" i="43"/>
  <c r="B70" i="60"/>
  <c r="G70" i="60"/>
  <c r="H70" i="60"/>
  <c r="I61" i="89"/>
  <c r="E72" i="41"/>
  <c r="E73" i="41" s="1"/>
  <c r="B72" i="41"/>
  <c r="I61" i="92"/>
  <c r="E72" i="21"/>
  <c r="E73" i="21" s="1"/>
  <c r="B72" i="21"/>
  <c r="E72" i="43"/>
  <c r="E73" i="43" s="1"/>
  <c r="B72" i="43"/>
  <c r="B62" i="92"/>
  <c r="G62" i="92"/>
  <c r="H62" i="92"/>
  <c r="B67" i="64"/>
  <c r="G67" i="64"/>
  <c r="H67" i="64"/>
  <c r="E62" i="89"/>
  <c r="F62" i="89" s="1"/>
  <c r="H62" i="89" s="1"/>
  <c r="B62" i="89"/>
  <c r="F68" i="63"/>
  <c r="B68" i="63"/>
  <c r="D71" i="60"/>
  <c r="E71" i="60" s="1"/>
  <c r="I67" i="63"/>
  <c r="H71" i="21"/>
  <c r="D69" i="45"/>
  <c r="H71" i="43"/>
  <c r="I71" i="74"/>
  <c r="I67" i="54"/>
  <c r="B72" i="74"/>
  <c r="F72" i="74"/>
  <c r="G72" i="74" s="1"/>
  <c r="G73" i="74" s="1"/>
  <c r="F68" i="54"/>
  <c r="G68" i="54" s="1"/>
  <c r="B68" i="54"/>
  <c r="E68" i="57"/>
  <c r="F68" i="57" s="1"/>
  <c r="G71" i="41"/>
  <c r="E65" i="88"/>
  <c r="F65" i="88" s="1"/>
  <c r="B66" i="77"/>
  <c r="F66" i="77"/>
  <c r="H66" i="77" s="1"/>
  <c r="F72" i="19"/>
  <c r="G72" i="19" s="1"/>
  <c r="G73" i="19" s="1"/>
  <c r="B72" i="19"/>
  <c r="E144" i="78"/>
  <c r="F144" i="78" s="1"/>
  <c r="G144" i="78" s="1"/>
  <c r="E143" i="85"/>
  <c r="F143" i="85" s="1"/>
  <c r="J151" i="27"/>
  <c r="D153" i="27"/>
  <c r="G152" i="27"/>
  <c r="J148" i="43"/>
  <c r="J149" i="20"/>
  <c r="E149" i="45"/>
  <c r="F149" i="45" s="1"/>
  <c r="D150" i="45" s="1"/>
  <c r="B150" i="45" s="1"/>
  <c r="D150" i="39"/>
  <c r="G149" i="39"/>
  <c r="J148" i="39"/>
  <c r="D69" i="65"/>
  <c r="H68" i="65"/>
  <c r="G68" i="65"/>
  <c r="D64" i="33"/>
  <c r="G63" i="33"/>
  <c r="H63" i="33"/>
  <c r="D64" i="25"/>
  <c r="E64" i="25" s="1"/>
  <c r="H63" i="25"/>
  <c r="G63" i="25"/>
  <c r="D70" i="68"/>
  <c r="E70" i="68" s="1"/>
  <c r="G69" i="68"/>
  <c r="H69" i="68"/>
  <c r="D63" i="87"/>
  <c r="E63" i="87" s="1"/>
  <c r="D70" i="66"/>
  <c r="E70" i="66" s="1"/>
  <c r="B70" i="73"/>
  <c r="G149" i="43"/>
  <c r="D150" i="43"/>
  <c r="B66" i="59"/>
  <c r="G69" i="20"/>
  <c r="I69" i="20" s="1"/>
  <c r="I70" i="18"/>
  <c r="H61" i="13"/>
  <c r="I61" i="13" s="1"/>
  <c r="E150" i="41"/>
  <c r="F150" i="41" s="1"/>
  <c r="B150" i="41"/>
  <c r="J146" i="72"/>
  <c r="G62" i="87"/>
  <c r="G69" i="66"/>
  <c r="D63" i="26"/>
  <c r="E63" i="26" s="1"/>
  <c r="E70" i="73"/>
  <c r="F70" i="73" s="1"/>
  <c r="D66" i="62"/>
  <c r="H149" i="41"/>
  <c r="I149" i="41"/>
  <c r="H62" i="87"/>
  <c r="H69" i="66"/>
  <c r="E66" i="59"/>
  <c r="F66" i="59" s="1"/>
  <c r="D70" i="20"/>
  <c r="E70" i="20" s="1"/>
  <c r="D62" i="13"/>
  <c r="F71" i="18"/>
  <c r="H71" i="18" s="1"/>
  <c r="B71" i="18"/>
  <c r="D151" i="19"/>
  <c r="G150" i="19"/>
  <c r="G146" i="63"/>
  <c r="D147" i="63"/>
  <c r="D151" i="20"/>
  <c r="E151" i="20" s="1"/>
  <c r="G150" i="20"/>
  <c r="G143" i="26"/>
  <c r="D144" i="26"/>
  <c r="B144" i="26" s="1"/>
  <c r="G152" i="70"/>
  <c r="D153" i="70"/>
  <c r="J151" i="70"/>
  <c r="G142" i="89"/>
  <c r="D143" i="89"/>
  <c r="E143" i="89" s="1"/>
  <c r="H151" i="69"/>
  <c r="I151" i="69"/>
  <c r="J149" i="19"/>
  <c r="J142" i="26"/>
  <c r="G143" i="81"/>
  <c r="D144" i="81"/>
  <c r="J146" i="62"/>
  <c r="I145" i="60"/>
  <c r="H145" i="60"/>
  <c r="H144" i="68"/>
  <c r="I144" i="68"/>
  <c r="I141" i="92"/>
  <c r="H141" i="92"/>
  <c r="B142" i="88"/>
  <c r="F142" i="88"/>
  <c r="H150" i="31"/>
  <c r="I150" i="31"/>
  <c r="B144" i="79"/>
  <c r="F144" i="79"/>
  <c r="I145" i="65"/>
  <c r="H145" i="65"/>
  <c r="J149" i="22"/>
  <c r="I141" i="84"/>
  <c r="H141" i="84"/>
  <c r="F142" i="90"/>
  <c r="B142" i="90"/>
  <c r="D152" i="32"/>
  <c r="G151" i="32"/>
  <c r="E147" i="58"/>
  <c r="F147" i="58" s="1"/>
  <c r="E146" i="60"/>
  <c r="F146" i="60" s="1"/>
  <c r="B146" i="60"/>
  <c r="J150" i="32"/>
  <c r="H141" i="86"/>
  <c r="I141" i="86"/>
  <c r="F145" i="68"/>
  <c r="B145" i="68"/>
  <c r="E146" i="61"/>
  <c r="F146" i="61" s="1"/>
  <c r="I151" i="29"/>
  <c r="H151" i="29"/>
  <c r="E147" i="46"/>
  <c r="F147" i="46" s="1"/>
  <c r="I143" i="79"/>
  <c r="H143" i="79"/>
  <c r="F142" i="84"/>
  <c r="B142" i="84"/>
  <c r="G150" i="22"/>
  <c r="D151" i="22"/>
  <c r="B151" i="22" s="1"/>
  <c r="J148" i="73"/>
  <c r="I148" i="45"/>
  <c r="H148" i="45"/>
  <c r="H146" i="58"/>
  <c r="I146" i="58"/>
  <c r="H149" i="73"/>
  <c r="B142" i="86"/>
  <c r="F142" i="86"/>
  <c r="F142" i="92"/>
  <c r="B142" i="92"/>
  <c r="H152" i="30"/>
  <c r="I152" i="30"/>
  <c r="I141" i="88"/>
  <c r="H141" i="88"/>
  <c r="E148" i="74"/>
  <c r="F148" i="74" s="1"/>
  <c r="B148" i="74"/>
  <c r="I146" i="46"/>
  <c r="H146" i="46"/>
  <c r="J146" i="53"/>
  <c r="H151" i="71"/>
  <c r="I151" i="71"/>
  <c r="I144" i="66"/>
  <c r="H144" i="66"/>
  <c r="G147" i="62"/>
  <c r="D148" i="62"/>
  <c r="G147" i="53"/>
  <c r="D148" i="53"/>
  <c r="E152" i="69"/>
  <c r="F152" i="69" s="1"/>
  <c r="G142" i="91"/>
  <c r="D143" i="91"/>
  <c r="H141" i="90"/>
  <c r="I141" i="90"/>
  <c r="H142" i="85"/>
  <c r="I142" i="85"/>
  <c r="F150" i="73"/>
  <c r="B150" i="73"/>
  <c r="I147" i="72"/>
  <c r="H147" i="72"/>
  <c r="E153" i="30"/>
  <c r="F153" i="30" s="1"/>
  <c r="B153" i="30"/>
  <c r="E151" i="31"/>
  <c r="F151" i="31" s="1"/>
  <c r="B151" i="31"/>
  <c r="H145" i="61"/>
  <c r="I145" i="61"/>
  <c r="H147" i="74"/>
  <c r="I147" i="74"/>
  <c r="E152" i="71"/>
  <c r="F152" i="71" s="1"/>
  <c r="B152" i="71"/>
  <c r="E146" i="65"/>
  <c r="F146" i="65" s="1"/>
  <c r="E145" i="66"/>
  <c r="F145" i="66" s="1"/>
  <c r="B145" i="66"/>
  <c r="G148" i="56"/>
  <c r="D149" i="56"/>
  <c r="J147" i="56"/>
  <c r="I150" i="18"/>
  <c r="H150" i="18"/>
  <c r="B147" i="59"/>
  <c r="F147" i="59"/>
  <c r="B152" i="23"/>
  <c r="J143" i="77"/>
  <c r="J148" i="42"/>
  <c r="E151" i="18"/>
  <c r="F151" i="18" s="1"/>
  <c r="H151" i="23"/>
  <c r="I151" i="23"/>
  <c r="J150" i="24"/>
  <c r="I146" i="59"/>
  <c r="H146" i="59"/>
  <c r="E152" i="23"/>
  <c r="F152" i="23" s="1"/>
  <c r="I147" i="57"/>
  <c r="H147" i="57"/>
  <c r="J140" i="33"/>
  <c r="J143" i="75"/>
  <c r="E148" i="57"/>
  <c r="F148" i="57" s="1"/>
  <c r="B148" i="57"/>
  <c r="D148" i="54"/>
  <c r="E148" i="54" s="1"/>
  <c r="G147" i="54"/>
  <c r="G144" i="77"/>
  <c r="D145" i="77"/>
  <c r="E145" i="77" s="1"/>
  <c r="G143" i="80"/>
  <c r="D144" i="80"/>
  <c r="E144" i="80" s="1"/>
  <c r="G147" i="55"/>
  <c r="D148" i="55"/>
  <c r="E148" i="55" s="1"/>
  <c r="B143" i="94"/>
  <c r="I142" i="82"/>
  <c r="H142" i="82"/>
  <c r="G144" i="75"/>
  <c r="D145" i="75"/>
  <c r="E145" i="75" s="1"/>
  <c r="B145" i="67"/>
  <c r="B150" i="3"/>
  <c r="F150" i="3"/>
  <c r="B149" i="44"/>
  <c r="I152" i="28"/>
  <c r="H152" i="28"/>
  <c r="H142" i="94"/>
  <c r="I142" i="94"/>
  <c r="G141" i="33"/>
  <c r="D142" i="33"/>
  <c r="E142" i="33" s="1"/>
  <c r="J146" i="54"/>
  <c r="G144" i="76"/>
  <c r="D145" i="76"/>
  <c r="E145" i="76" s="1"/>
  <c r="H148" i="44"/>
  <c r="I148" i="44"/>
  <c r="J146" i="55"/>
  <c r="I150" i="17"/>
  <c r="H150" i="17"/>
  <c r="B153" i="28"/>
  <c r="G149" i="42"/>
  <c r="D150" i="42"/>
  <c r="E150" i="42" s="1"/>
  <c r="F142" i="96"/>
  <c r="B142" i="96"/>
  <c r="J149" i="21"/>
  <c r="D142" i="13"/>
  <c r="E142" i="13" s="1"/>
  <c r="G141" i="13"/>
  <c r="H141" i="96"/>
  <c r="I141" i="96"/>
  <c r="B143" i="95"/>
  <c r="F143" i="95"/>
  <c r="D143" i="93"/>
  <c r="E143" i="93" s="1"/>
  <c r="G142" i="93"/>
  <c r="G151" i="24"/>
  <c r="D152" i="24"/>
  <c r="E152" i="24" s="1"/>
  <c r="E145" i="67"/>
  <c r="F145" i="67" s="1"/>
  <c r="I141" i="87"/>
  <c r="H141" i="87"/>
  <c r="G150" i="21"/>
  <c r="D151" i="21"/>
  <c r="E151" i="21" s="1"/>
  <c r="B151" i="17"/>
  <c r="F151" i="17"/>
  <c r="B151" i="34"/>
  <c r="F151" i="34"/>
  <c r="G143" i="83"/>
  <c r="D144" i="83"/>
  <c r="E144" i="83" s="1"/>
  <c r="E153" i="28"/>
  <c r="F153" i="28" s="1"/>
  <c r="J143" i="76"/>
  <c r="I142" i="95"/>
  <c r="H142" i="95"/>
  <c r="E143" i="94"/>
  <c r="F143" i="94" s="1"/>
  <c r="F143" i="82"/>
  <c r="B143" i="82"/>
  <c r="H144" i="67"/>
  <c r="I144" i="67"/>
  <c r="B142" i="87"/>
  <c r="F142" i="87"/>
  <c r="I149" i="3"/>
  <c r="H149" i="3"/>
  <c r="E149" i="44"/>
  <c r="F149" i="44" s="1"/>
  <c r="I150" i="34"/>
  <c r="H150" i="34"/>
  <c r="E142" i="25" l="1"/>
  <c r="F142" i="25" s="1"/>
  <c r="B142" i="25"/>
  <c r="H141" i="25"/>
  <c r="I141" i="25"/>
  <c r="H70" i="58"/>
  <c r="E71" i="58"/>
  <c r="F71" i="58" s="1"/>
  <c r="H71" i="58" s="1"/>
  <c r="D70" i="53"/>
  <c r="E70" i="53" s="1"/>
  <c r="G152" i="29"/>
  <c r="H152" i="29" s="1"/>
  <c r="D65" i="98"/>
  <c r="B65" i="98" s="1"/>
  <c r="G64" i="98"/>
  <c r="G69" i="53"/>
  <c r="I69" i="53" s="1"/>
  <c r="G70" i="58"/>
  <c r="H71" i="72"/>
  <c r="I63" i="98"/>
  <c r="G71" i="72"/>
  <c r="H64" i="98"/>
  <c r="I141" i="99"/>
  <c r="H141" i="99"/>
  <c r="E142" i="99"/>
  <c r="F142" i="99" s="1"/>
  <c r="B142" i="99"/>
  <c r="G68" i="82"/>
  <c r="I68" i="82" s="1"/>
  <c r="E72" i="72"/>
  <c r="E73" i="72" s="1"/>
  <c r="B72" i="72"/>
  <c r="D69" i="67"/>
  <c r="H68" i="67"/>
  <c r="I68" i="67" s="1"/>
  <c r="E148" i="72"/>
  <c r="F148" i="72" s="1"/>
  <c r="D149" i="72" s="1"/>
  <c r="D69" i="82"/>
  <c r="E69" i="82" s="1"/>
  <c r="F69" i="82" s="1"/>
  <c r="D70" i="82" s="1"/>
  <c r="I69" i="66"/>
  <c r="I71" i="46"/>
  <c r="G71" i="44"/>
  <c r="I71" i="44" s="1"/>
  <c r="I71" i="41"/>
  <c r="F72" i="21"/>
  <c r="H72" i="21" s="1"/>
  <c r="H73" i="21" s="1"/>
  <c r="D145" i="78"/>
  <c r="E145" i="78" s="1"/>
  <c r="F145" i="78" s="1"/>
  <c r="D143" i="97"/>
  <c r="G142" i="97"/>
  <c r="D143" i="98"/>
  <c r="G142" i="98"/>
  <c r="G146" i="64"/>
  <c r="D147" i="64"/>
  <c r="E153" i="29"/>
  <c r="F153" i="29" s="1"/>
  <c r="J145" i="64"/>
  <c r="E150" i="45"/>
  <c r="F150" i="45" s="1"/>
  <c r="D151" i="45" s="1"/>
  <c r="B151" i="45" s="1"/>
  <c r="E72" i="46"/>
  <c r="E73" i="46" s="1"/>
  <c r="B72" i="46"/>
  <c r="G72" i="42"/>
  <c r="G73" i="42" s="1"/>
  <c r="I71" i="34"/>
  <c r="F72" i="27"/>
  <c r="G72" i="27" s="1"/>
  <c r="G73" i="27" s="1"/>
  <c r="H68" i="54"/>
  <c r="I68" i="54" s="1"/>
  <c r="H64" i="78"/>
  <c r="I63" i="93"/>
  <c r="I67" i="82"/>
  <c r="I63" i="81"/>
  <c r="H67" i="61"/>
  <c r="D68" i="61"/>
  <c r="B63" i="94"/>
  <c r="F63" i="94"/>
  <c r="D64" i="94" s="1"/>
  <c r="E64" i="91"/>
  <c r="F64" i="91" s="1"/>
  <c r="B64" i="91"/>
  <c r="G67" i="61"/>
  <c r="G65" i="80"/>
  <c r="H65" i="80"/>
  <c r="D66" i="80"/>
  <c r="I63" i="91"/>
  <c r="H70" i="55"/>
  <c r="D71" i="55"/>
  <c r="G70" i="55"/>
  <c r="H65" i="90"/>
  <c r="D66" i="90"/>
  <c r="E66" i="90" s="1"/>
  <c r="F66" i="90" s="1"/>
  <c r="G65" i="90"/>
  <c r="I66" i="86"/>
  <c r="D68" i="75"/>
  <c r="E68" i="75" s="1"/>
  <c r="F68" i="75" s="1"/>
  <c r="D69" i="75" s="1"/>
  <c r="F64" i="93"/>
  <c r="H64" i="93" s="1"/>
  <c r="B64" i="93"/>
  <c r="H72" i="19"/>
  <c r="H73" i="19" s="1"/>
  <c r="H67" i="75"/>
  <c r="E65" i="84"/>
  <c r="F65" i="84" s="1"/>
  <c r="D66" i="84" s="1"/>
  <c r="B65" i="84"/>
  <c r="I70" i="60"/>
  <c r="I64" i="79"/>
  <c r="G67" i="75"/>
  <c r="E72" i="34"/>
  <c r="E73" i="34" s="1"/>
  <c r="B72" i="34"/>
  <c r="I64" i="84"/>
  <c r="D66" i="76"/>
  <c r="E66" i="76" s="1"/>
  <c r="F66" i="76" s="1"/>
  <c r="G65" i="76"/>
  <c r="H65" i="76"/>
  <c r="E66" i="85"/>
  <c r="F66" i="85" s="1"/>
  <c r="D67" i="85" s="1"/>
  <c r="B66" i="85"/>
  <c r="E67" i="86"/>
  <c r="F67" i="86" s="1"/>
  <c r="B67" i="86"/>
  <c r="F72" i="43"/>
  <c r="G62" i="96"/>
  <c r="I62" i="96" s="1"/>
  <c r="D63" i="96"/>
  <c r="E64" i="81"/>
  <c r="F64" i="81" s="1"/>
  <c r="G64" i="81" s="1"/>
  <c r="B64" i="81"/>
  <c r="B65" i="85"/>
  <c r="H65" i="85"/>
  <c r="G65" i="85"/>
  <c r="B71" i="39"/>
  <c r="F71" i="39"/>
  <c r="G71" i="39" s="1"/>
  <c r="B62" i="95"/>
  <c r="F62" i="95"/>
  <c r="H62" i="95" s="1"/>
  <c r="I63" i="33"/>
  <c r="D69" i="64"/>
  <c r="E69" i="64" s="1"/>
  <c r="F69" i="64" s="1"/>
  <c r="D66" i="88"/>
  <c r="H65" i="88"/>
  <c r="G65" i="88"/>
  <c r="D69" i="57"/>
  <c r="H68" i="57"/>
  <c r="G68" i="57"/>
  <c r="E70" i="56"/>
  <c r="F70" i="56" s="1"/>
  <c r="B70" i="56"/>
  <c r="I62" i="87"/>
  <c r="I71" i="21"/>
  <c r="H68" i="63"/>
  <c r="D69" i="63"/>
  <c r="D63" i="89"/>
  <c r="E63" i="89" s="1"/>
  <c r="F63" i="89" s="1"/>
  <c r="D64" i="89" s="1"/>
  <c r="H63" i="83"/>
  <c r="I63" i="83" s="1"/>
  <c r="D64" i="83"/>
  <c r="E64" i="83" s="1"/>
  <c r="I68" i="56"/>
  <c r="D67" i="77"/>
  <c r="E67" i="77" s="1"/>
  <c r="F67" i="77" s="1"/>
  <c r="G66" i="77"/>
  <c r="I66" i="77" s="1"/>
  <c r="H72" i="74"/>
  <c r="I71" i="43"/>
  <c r="G62" i="89"/>
  <c r="I62" i="89" s="1"/>
  <c r="I62" i="92"/>
  <c r="F72" i="41"/>
  <c r="D72" i="44"/>
  <c r="E72" i="44" s="1"/>
  <c r="E73" i="44" s="1"/>
  <c r="G64" i="78"/>
  <c r="G68" i="63"/>
  <c r="F65" i="79"/>
  <c r="G65" i="79" s="1"/>
  <c r="B65" i="79"/>
  <c r="B69" i="45"/>
  <c r="G63" i="92"/>
  <c r="I63" i="92" s="1"/>
  <c r="D64" i="92"/>
  <c r="I69" i="68"/>
  <c r="D69" i="54"/>
  <c r="E69" i="54" s="1"/>
  <c r="F69" i="54" s="1"/>
  <c r="E69" i="45"/>
  <c r="F69" i="45" s="1"/>
  <c r="B71" i="60"/>
  <c r="F71" i="60"/>
  <c r="G71" i="60" s="1"/>
  <c r="I67" i="64"/>
  <c r="E65" i="78"/>
  <c r="F65" i="78" s="1"/>
  <c r="D66" i="78" s="1"/>
  <c r="B65" i="78"/>
  <c r="B68" i="64"/>
  <c r="H68" i="64"/>
  <c r="G68" i="64"/>
  <c r="B69" i="56"/>
  <c r="H69" i="56"/>
  <c r="G69" i="56"/>
  <c r="G149" i="45"/>
  <c r="I152" i="27"/>
  <c r="H152" i="27"/>
  <c r="E153" i="27"/>
  <c r="F153" i="27" s="1"/>
  <c r="B153" i="27"/>
  <c r="J145" i="61"/>
  <c r="J151" i="71"/>
  <c r="E151" i="22"/>
  <c r="F151" i="22" s="1"/>
  <c r="G151" i="22" s="1"/>
  <c r="H149" i="39"/>
  <c r="I149" i="39"/>
  <c r="J149" i="41"/>
  <c r="B150" i="39"/>
  <c r="E150" i="39"/>
  <c r="F150" i="39" s="1"/>
  <c r="D67" i="59"/>
  <c r="E67" i="59" s="1"/>
  <c r="G66" i="59"/>
  <c r="H66" i="59"/>
  <c r="D71" i="73"/>
  <c r="E71" i="73" s="1"/>
  <c r="G70" i="73"/>
  <c r="H70" i="73"/>
  <c r="J144" i="66"/>
  <c r="J144" i="68"/>
  <c r="B66" i="62"/>
  <c r="B64" i="33"/>
  <c r="B69" i="65"/>
  <c r="D72" i="18"/>
  <c r="E72" i="18" s="1"/>
  <c r="E73" i="18" s="1"/>
  <c r="G150" i="41"/>
  <c r="D151" i="41"/>
  <c r="E150" i="43"/>
  <c r="F150" i="43" s="1"/>
  <c r="B150" i="43"/>
  <c r="B70" i="66"/>
  <c r="F70" i="66"/>
  <c r="H70" i="66" s="1"/>
  <c r="B63" i="87"/>
  <c r="F63" i="87"/>
  <c r="H63" i="87" s="1"/>
  <c r="F70" i="68"/>
  <c r="H70" i="68" s="1"/>
  <c r="B70" i="68"/>
  <c r="B64" i="25"/>
  <c r="F64" i="25"/>
  <c r="G64" i="25" s="1"/>
  <c r="E64" i="33"/>
  <c r="F64" i="33" s="1"/>
  <c r="E69" i="65"/>
  <c r="F69" i="65" s="1"/>
  <c r="B62" i="13"/>
  <c r="B63" i="26"/>
  <c r="F63" i="26"/>
  <c r="G63" i="26" s="1"/>
  <c r="I149" i="43"/>
  <c r="H149" i="43"/>
  <c r="J143" i="79"/>
  <c r="J145" i="65"/>
  <c r="J145" i="60"/>
  <c r="G71" i="18"/>
  <c r="I71" i="18" s="1"/>
  <c r="E62" i="13"/>
  <c r="F62" i="13" s="1"/>
  <c r="B70" i="20"/>
  <c r="F70" i="20"/>
  <c r="E66" i="62"/>
  <c r="F66" i="62" s="1"/>
  <c r="I63" i="25"/>
  <c r="I68" i="65"/>
  <c r="D153" i="71"/>
  <c r="G152" i="71"/>
  <c r="D146" i="66"/>
  <c r="G145" i="66"/>
  <c r="G148" i="74"/>
  <c r="D149" i="74"/>
  <c r="G151" i="31"/>
  <c r="D152" i="31"/>
  <c r="G153" i="30"/>
  <c r="D154" i="30"/>
  <c r="J147" i="72"/>
  <c r="I142" i="91"/>
  <c r="H142" i="91"/>
  <c r="B148" i="62"/>
  <c r="E148" i="62"/>
  <c r="F148" i="62" s="1"/>
  <c r="J146" i="46"/>
  <c r="G147" i="46"/>
  <c r="D148" i="46"/>
  <c r="B148" i="46" s="1"/>
  <c r="D144" i="85"/>
  <c r="G143" i="85"/>
  <c r="G144" i="79"/>
  <c r="D145" i="79"/>
  <c r="B145" i="79" s="1"/>
  <c r="D143" i="88"/>
  <c r="G142" i="88"/>
  <c r="B143" i="89"/>
  <c r="F143" i="89"/>
  <c r="E153" i="70"/>
  <c r="F153" i="70" s="1"/>
  <c r="B153" i="70"/>
  <c r="H143" i="26"/>
  <c r="I143" i="26"/>
  <c r="E147" i="63"/>
  <c r="F147" i="63" s="1"/>
  <c r="B147" i="63"/>
  <c r="D147" i="65"/>
  <c r="G146" i="65"/>
  <c r="J147" i="74"/>
  <c r="G152" i="69"/>
  <c r="D153" i="69"/>
  <c r="H147" i="62"/>
  <c r="I147" i="62"/>
  <c r="D143" i="92"/>
  <c r="E143" i="92" s="1"/>
  <c r="G142" i="92"/>
  <c r="J149" i="73"/>
  <c r="J148" i="45"/>
  <c r="H150" i="22"/>
  <c r="I150" i="22"/>
  <c r="D143" i="84"/>
  <c r="E143" i="84" s="1"/>
  <c r="G142" i="84"/>
  <c r="D148" i="58"/>
  <c r="B148" i="58" s="1"/>
  <c r="G147" i="58"/>
  <c r="E144" i="81"/>
  <c r="F144" i="81" s="1"/>
  <c r="B144" i="81"/>
  <c r="J151" i="69"/>
  <c r="H142" i="89"/>
  <c r="I142" i="89"/>
  <c r="H152" i="70"/>
  <c r="I152" i="70"/>
  <c r="I146" i="63"/>
  <c r="H146" i="63"/>
  <c r="G150" i="73"/>
  <c r="D151" i="73"/>
  <c r="E148" i="53"/>
  <c r="F148" i="53" s="1"/>
  <c r="B148" i="53"/>
  <c r="J152" i="30"/>
  <c r="D143" i="86"/>
  <c r="E143" i="86" s="1"/>
  <c r="G142" i="86"/>
  <c r="J146" i="58"/>
  <c r="H144" i="78"/>
  <c r="I144" i="78"/>
  <c r="J151" i="29"/>
  <c r="G145" i="68"/>
  <c r="D146" i="68"/>
  <c r="B146" i="68" s="1"/>
  <c r="I151" i="32"/>
  <c r="H151" i="32"/>
  <c r="G142" i="90"/>
  <c r="D143" i="90"/>
  <c r="E143" i="90" s="1"/>
  <c r="J150" i="31"/>
  <c r="H143" i="81"/>
  <c r="I143" i="81"/>
  <c r="E144" i="26"/>
  <c r="F144" i="26" s="1"/>
  <c r="H150" i="20"/>
  <c r="I150" i="20"/>
  <c r="H150" i="19"/>
  <c r="I150" i="19"/>
  <c r="E143" i="91"/>
  <c r="F143" i="91" s="1"/>
  <c r="B143" i="91"/>
  <c r="I147" i="53"/>
  <c r="H147" i="53"/>
  <c r="D147" i="61"/>
  <c r="G146" i="61"/>
  <c r="D147" i="60"/>
  <c r="E147" i="60" s="1"/>
  <c r="G146" i="60"/>
  <c r="E152" i="32"/>
  <c r="F152" i="32" s="1"/>
  <c r="B152" i="32"/>
  <c r="B151" i="20"/>
  <c r="F151" i="20"/>
  <c r="E151" i="19"/>
  <c r="F151" i="19" s="1"/>
  <c r="B151" i="19"/>
  <c r="D153" i="23"/>
  <c r="G152" i="23"/>
  <c r="G151" i="18"/>
  <c r="D152" i="18"/>
  <c r="E152" i="18" s="1"/>
  <c r="G147" i="59"/>
  <c r="D148" i="59"/>
  <c r="J151" i="23"/>
  <c r="J150" i="18"/>
  <c r="E149" i="56"/>
  <c r="F149" i="56" s="1"/>
  <c r="B149" i="56"/>
  <c r="J149" i="3"/>
  <c r="J146" i="59"/>
  <c r="H148" i="56"/>
  <c r="I148" i="56"/>
  <c r="J150" i="17"/>
  <c r="G148" i="57"/>
  <c r="D149" i="57"/>
  <c r="E149" i="57" s="1"/>
  <c r="J147" i="57"/>
  <c r="J144" i="67"/>
  <c r="D144" i="94"/>
  <c r="E144" i="94" s="1"/>
  <c r="G143" i="94"/>
  <c r="G149" i="44"/>
  <c r="D150" i="44"/>
  <c r="E150" i="44" s="1"/>
  <c r="D154" i="28"/>
  <c r="E154" i="28" s="1"/>
  <c r="E155" i="28" s="1"/>
  <c r="G153" i="28"/>
  <c r="G145" i="67"/>
  <c r="D146" i="67"/>
  <c r="E146" i="67" s="1"/>
  <c r="J150" i="34"/>
  <c r="G143" i="82"/>
  <c r="D144" i="82"/>
  <c r="E144" i="82" s="1"/>
  <c r="G151" i="17"/>
  <c r="D152" i="17"/>
  <c r="E152" i="17" s="1"/>
  <c r="B151" i="21"/>
  <c r="F151" i="21"/>
  <c r="G143" i="95"/>
  <c r="D144" i="95"/>
  <c r="E144" i="95" s="1"/>
  <c r="I141" i="13"/>
  <c r="H141" i="13"/>
  <c r="B145" i="75"/>
  <c r="F145" i="75"/>
  <c r="I143" i="80"/>
  <c r="H143" i="80"/>
  <c r="B144" i="83"/>
  <c r="F144" i="83"/>
  <c r="H150" i="21"/>
  <c r="I150" i="21"/>
  <c r="F152" i="24"/>
  <c r="B152" i="24"/>
  <c r="I142" i="93"/>
  <c r="H142" i="93"/>
  <c r="G142" i="96"/>
  <c r="D143" i="96"/>
  <c r="E143" i="96" s="1"/>
  <c r="F145" i="76"/>
  <c r="B145" i="76"/>
  <c r="J152" i="28"/>
  <c r="I144" i="75"/>
  <c r="H144" i="75"/>
  <c r="D152" i="34"/>
  <c r="E152" i="34" s="1"/>
  <c r="G151" i="34"/>
  <c r="I151" i="24"/>
  <c r="H151" i="24"/>
  <c r="F142" i="13"/>
  <c r="B142" i="13"/>
  <c r="B150" i="42"/>
  <c r="F150" i="42"/>
  <c r="H144" i="76"/>
  <c r="I144" i="76"/>
  <c r="B142" i="33"/>
  <c r="F142" i="33"/>
  <c r="F148" i="55"/>
  <c r="B148" i="55"/>
  <c r="F145" i="77"/>
  <c r="B145" i="77"/>
  <c r="H147" i="54"/>
  <c r="I147" i="54"/>
  <c r="G142" i="87"/>
  <c r="D143" i="87"/>
  <c r="E143" i="87" s="1"/>
  <c r="H143" i="83"/>
  <c r="I143" i="83"/>
  <c r="F143" i="93"/>
  <c r="B143" i="93"/>
  <c r="I149" i="42"/>
  <c r="H149" i="42"/>
  <c r="J148" i="44"/>
  <c r="H141" i="33"/>
  <c r="I141" i="33"/>
  <c r="D151" i="3"/>
  <c r="E151" i="3" s="1"/>
  <c r="G150" i="3"/>
  <c r="H147" i="55"/>
  <c r="I147" i="55"/>
  <c r="B144" i="80"/>
  <c r="F144" i="80"/>
  <c r="I144" i="77"/>
  <c r="H144" i="77"/>
  <c r="F148" i="54"/>
  <c r="B148" i="54"/>
  <c r="G71" i="58" l="1"/>
  <c r="G148" i="72"/>
  <c r="D72" i="58"/>
  <c r="E72" i="58" s="1"/>
  <c r="E73" i="58" s="1"/>
  <c r="B70" i="53"/>
  <c r="F70" i="53"/>
  <c r="H70" i="53" s="1"/>
  <c r="D143" i="25"/>
  <c r="G142" i="25"/>
  <c r="J141" i="25"/>
  <c r="I152" i="29"/>
  <c r="J152" i="29" s="1"/>
  <c r="I70" i="58"/>
  <c r="G150" i="45"/>
  <c r="B145" i="78"/>
  <c r="I71" i="72"/>
  <c r="E65" i="98"/>
  <c r="F65" i="98" s="1"/>
  <c r="D66" i="98" s="1"/>
  <c r="B66" i="98" s="1"/>
  <c r="I64" i="98"/>
  <c r="B69" i="82"/>
  <c r="I72" i="19"/>
  <c r="I73" i="19" s="1"/>
  <c r="F72" i="72"/>
  <c r="H72" i="72" s="1"/>
  <c r="D143" i="99"/>
  <c r="G142" i="99"/>
  <c r="E69" i="67"/>
  <c r="F69" i="67" s="1"/>
  <c r="B69" i="67"/>
  <c r="I72" i="42"/>
  <c r="I73" i="42" s="1"/>
  <c r="H72" i="27"/>
  <c r="H73" i="27" s="1"/>
  <c r="G72" i="21"/>
  <c r="G73" i="21" s="1"/>
  <c r="I64" i="78"/>
  <c r="F72" i="46"/>
  <c r="G72" i="46" s="1"/>
  <c r="G73" i="46" s="1"/>
  <c r="I142" i="98"/>
  <c r="H142" i="98"/>
  <c r="B143" i="98"/>
  <c r="I142" i="97"/>
  <c r="H142" i="97"/>
  <c r="E143" i="98"/>
  <c r="F143" i="98" s="1"/>
  <c r="E143" i="97"/>
  <c r="F143" i="97" s="1"/>
  <c r="B143" i="97"/>
  <c r="D154" i="29"/>
  <c r="G153" i="29"/>
  <c r="E147" i="64"/>
  <c r="F147" i="64" s="1"/>
  <c r="B147" i="64"/>
  <c r="H146" i="64"/>
  <c r="I146" i="64"/>
  <c r="D152" i="22"/>
  <c r="B152" i="22" s="1"/>
  <c r="H63" i="94"/>
  <c r="G64" i="93"/>
  <c r="I64" i="93" s="1"/>
  <c r="I65" i="80"/>
  <c r="G70" i="68"/>
  <c r="I70" i="68" s="1"/>
  <c r="H72" i="46"/>
  <c r="I65" i="90"/>
  <c r="I70" i="55"/>
  <c r="F72" i="34"/>
  <c r="H72" i="34" s="1"/>
  <c r="G64" i="91"/>
  <c r="H64" i="91"/>
  <c r="D65" i="91"/>
  <c r="B68" i="61"/>
  <c r="G66" i="85"/>
  <c r="E64" i="94"/>
  <c r="F64" i="94" s="1"/>
  <c r="G64" i="94" s="1"/>
  <c r="B64" i="94"/>
  <c r="I67" i="61"/>
  <c r="E66" i="80"/>
  <c r="F66" i="80" s="1"/>
  <c r="D67" i="80" s="1"/>
  <c r="B66" i="80"/>
  <c r="G63" i="94"/>
  <c r="E68" i="61"/>
  <c r="F68" i="61" s="1"/>
  <c r="G68" i="61" s="1"/>
  <c r="E70" i="82"/>
  <c r="F70" i="82" s="1"/>
  <c r="B70" i="82"/>
  <c r="H65" i="84"/>
  <c r="D65" i="93"/>
  <c r="E65" i="93" s="1"/>
  <c r="F65" i="93" s="1"/>
  <c r="E66" i="84"/>
  <c r="F66" i="84" s="1"/>
  <c r="H66" i="84" s="1"/>
  <c r="B66" i="84"/>
  <c r="E69" i="75"/>
  <c r="F69" i="75" s="1"/>
  <c r="H69" i="75" s="1"/>
  <c r="B69" i="75"/>
  <c r="H66" i="90"/>
  <c r="D67" i="90"/>
  <c r="E71" i="55"/>
  <c r="F71" i="55" s="1"/>
  <c r="B71" i="55"/>
  <c r="G65" i="84"/>
  <c r="I67" i="75"/>
  <c r="B68" i="75"/>
  <c r="H68" i="75"/>
  <c r="G68" i="75"/>
  <c r="B66" i="90"/>
  <c r="G66" i="90"/>
  <c r="D67" i="76"/>
  <c r="E67" i="76" s="1"/>
  <c r="F67" i="76" s="1"/>
  <c r="D68" i="76" s="1"/>
  <c r="H63" i="26"/>
  <c r="I63" i="26" s="1"/>
  <c r="G63" i="87"/>
  <c r="I63" i="87" s="1"/>
  <c r="H64" i="81"/>
  <c r="I64" i="81" s="1"/>
  <c r="D65" i="81"/>
  <c r="E65" i="81" s="1"/>
  <c r="F65" i="81" s="1"/>
  <c r="H71" i="39"/>
  <c r="E63" i="96"/>
  <c r="F63" i="96" s="1"/>
  <c r="B63" i="96"/>
  <c r="D68" i="86"/>
  <c r="G67" i="86"/>
  <c r="H67" i="86"/>
  <c r="G69" i="82"/>
  <c r="H66" i="85"/>
  <c r="I71" i="58"/>
  <c r="I65" i="85"/>
  <c r="H69" i="82"/>
  <c r="B66" i="76"/>
  <c r="H66" i="76"/>
  <c r="G66" i="76"/>
  <c r="G62" i="95"/>
  <c r="I62" i="95" s="1"/>
  <c r="D63" i="95"/>
  <c r="E63" i="95" s="1"/>
  <c r="D72" i="39"/>
  <c r="E72" i="39" s="1"/>
  <c r="E73" i="39" s="1"/>
  <c r="H72" i="43"/>
  <c r="G72" i="43"/>
  <c r="G73" i="43" s="1"/>
  <c r="E67" i="85"/>
  <c r="F67" i="85" s="1"/>
  <c r="B67" i="85"/>
  <c r="F72" i="58"/>
  <c r="G72" i="58" s="1"/>
  <c r="G73" i="58" s="1"/>
  <c r="B72" i="58"/>
  <c r="I65" i="76"/>
  <c r="I68" i="64"/>
  <c r="I68" i="57"/>
  <c r="I68" i="63"/>
  <c r="D70" i="45"/>
  <c r="E70" i="45" s="1"/>
  <c r="H69" i="45"/>
  <c r="G69" i="45"/>
  <c r="D68" i="77"/>
  <c r="E68" i="77" s="1"/>
  <c r="D71" i="56"/>
  <c r="H70" i="56"/>
  <c r="G70" i="56"/>
  <c r="D70" i="64"/>
  <c r="E70" i="64" s="1"/>
  <c r="I72" i="74"/>
  <c r="I73" i="74" s="1"/>
  <c r="H73" i="74"/>
  <c r="H64" i="25"/>
  <c r="I64" i="25" s="1"/>
  <c r="I69" i="56"/>
  <c r="G65" i="78"/>
  <c r="E64" i="89"/>
  <c r="F64" i="89" s="1"/>
  <c r="B64" i="89"/>
  <c r="E69" i="57"/>
  <c r="F69" i="57" s="1"/>
  <c r="B69" i="57"/>
  <c r="E66" i="78"/>
  <c r="F66" i="78" s="1"/>
  <c r="G66" i="78" s="1"/>
  <c r="B66" i="78"/>
  <c r="H65" i="78"/>
  <c r="H71" i="60"/>
  <c r="D72" i="60"/>
  <c r="D70" i="54"/>
  <c r="E70" i="54" s="1"/>
  <c r="F70" i="54" s="1"/>
  <c r="D66" i="79"/>
  <c r="E66" i="79" s="1"/>
  <c r="B72" i="44"/>
  <c r="F72" i="44"/>
  <c r="B67" i="77"/>
  <c r="G67" i="77"/>
  <c r="H67" i="77"/>
  <c r="B64" i="83"/>
  <c r="F64" i="83"/>
  <c r="G64" i="83" s="1"/>
  <c r="B63" i="89"/>
  <c r="H63" i="89"/>
  <c r="G63" i="89"/>
  <c r="B69" i="64"/>
  <c r="G69" i="64"/>
  <c r="H69" i="64"/>
  <c r="B64" i="92"/>
  <c r="E66" i="88"/>
  <c r="F66" i="88" s="1"/>
  <c r="B66" i="88"/>
  <c r="I66" i="59"/>
  <c r="B69" i="54"/>
  <c r="H69" i="54"/>
  <c r="G69" i="54"/>
  <c r="E64" i="92"/>
  <c r="F64" i="92" s="1"/>
  <c r="H65" i="79"/>
  <c r="I65" i="79" s="1"/>
  <c r="H72" i="41"/>
  <c r="G72" i="41"/>
  <c r="G73" i="41" s="1"/>
  <c r="E69" i="63"/>
  <c r="F69" i="63" s="1"/>
  <c r="B69" i="63"/>
  <c r="I65" i="88"/>
  <c r="H149" i="45"/>
  <c r="I149" i="45"/>
  <c r="D154" i="27"/>
  <c r="G153" i="27"/>
  <c r="J152" i="27"/>
  <c r="J149" i="39"/>
  <c r="G150" i="39"/>
  <c r="D151" i="39"/>
  <c r="B151" i="39" s="1"/>
  <c r="J147" i="62"/>
  <c r="J148" i="56"/>
  <c r="D67" i="62"/>
  <c r="E67" i="62" s="1"/>
  <c r="G66" i="62"/>
  <c r="H66" i="62"/>
  <c r="D70" i="65"/>
  <c r="H69" i="65"/>
  <c r="G69" i="65"/>
  <c r="D65" i="33"/>
  <c r="E65" i="33" s="1"/>
  <c r="G64" i="33"/>
  <c r="H64" i="33"/>
  <c r="D63" i="13"/>
  <c r="E63" i="13" s="1"/>
  <c r="G62" i="13"/>
  <c r="H62" i="13"/>
  <c r="J147" i="53"/>
  <c r="J151" i="32"/>
  <c r="E148" i="58"/>
  <c r="F148" i="58" s="1"/>
  <c r="D149" i="58" s="1"/>
  <c r="B149" i="58" s="1"/>
  <c r="D65" i="25"/>
  <c r="E65" i="25" s="1"/>
  <c r="D64" i="87"/>
  <c r="E64" i="87" s="1"/>
  <c r="G70" i="66"/>
  <c r="I70" i="66" s="1"/>
  <c r="E146" i="68"/>
  <c r="F146" i="68" s="1"/>
  <c r="G146" i="68" s="1"/>
  <c r="J144" i="78"/>
  <c r="D71" i="20"/>
  <c r="E71" i="20" s="1"/>
  <c r="G150" i="43"/>
  <c r="D151" i="43"/>
  <c r="F71" i="73"/>
  <c r="H71" i="73" s="1"/>
  <c r="B71" i="73"/>
  <c r="J150" i="20"/>
  <c r="D71" i="53"/>
  <c r="E71" i="53" s="1"/>
  <c r="G70" i="20"/>
  <c r="J149" i="43"/>
  <c r="D71" i="66"/>
  <c r="E71" i="66" s="1"/>
  <c r="E151" i="41"/>
  <c r="F151" i="41" s="1"/>
  <c r="B151" i="41"/>
  <c r="B72" i="18"/>
  <c r="F72" i="18"/>
  <c r="H72" i="18" s="1"/>
  <c r="I70" i="73"/>
  <c r="H70" i="20"/>
  <c r="D64" i="26"/>
  <c r="E64" i="26" s="1"/>
  <c r="D71" i="68"/>
  <c r="E71" i="68" s="1"/>
  <c r="I150" i="41"/>
  <c r="H150" i="41"/>
  <c r="B67" i="59"/>
  <c r="F67" i="59"/>
  <c r="G67" i="59" s="1"/>
  <c r="G145" i="78"/>
  <c r="D146" i="78"/>
  <c r="D153" i="32"/>
  <c r="G152" i="32"/>
  <c r="D154" i="70"/>
  <c r="G153" i="70"/>
  <c r="F147" i="60"/>
  <c r="B147" i="60"/>
  <c r="I145" i="68"/>
  <c r="H145" i="68"/>
  <c r="E151" i="73"/>
  <c r="F151" i="73" s="1"/>
  <c r="B151" i="73"/>
  <c r="J146" i="63"/>
  <c r="E153" i="69"/>
  <c r="F153" i="69" s="1"/>
  <c r="B153" i="69"/>
  <c r="I146" i="65"/>
  <c r="H146" i="65"/>
  <c r="I142" i="88"/>
  <c r="H142" i="88"/>
  <c r="I144" i="79"/>
  <c r="H144" i="79"/>
  <c r="I148" i="72"/>
  <c r="H148" i="72"/>
  <c r="E152" i="31"/>
  <c r="F152" i="31" s="1"/>
  <c r="B152" i="31"/>
  <c r="H145" i="66"/>
  <c r="I145" i="66"/>
  <c r="G151" i="20"/>
  <c r="D152" i="20"/>
  <c r="I146" i="61"/>
  <c r="H146" i="61"/>
  <c r="J150" i="19"/>
  <c r="D145" i="26"/>
  <c r="G144" i="26"/>
  <c r="F143" i="90"/>
  <c r="B143" i="90"/>
  <c r="H150" i="73"/>
  <c r="I150" i="73"/>
  <c r="J152" i="70"/>
  <c r="I142" i="84"/>
  <c r="H142" i="84"/>
  <c r="F143" i="92"/>
  <c r="B143" i="92"/>
  <c r="I152" i="69"/>
  <c r="H152" i="69"/>
  <c r="B147" i="65"/>
  <c r="J143" i="26"/>
  <c r="E143" i="88"/>
  <c r="F143" i="88" s="1"/>
  <c r="B143" i="88"/>
  <c r="I143" i="85"/>
  <c r="H143" i="85"/>
  <c r="E148" i="46"/>
  <c r="F148" i="46" s="1"/>
  <c r="D149" i="62"/>
  <c r="G148" i="62"/>
  <c r="H151" i="31"/>
  <c r="I151" i="31"/>
  <c r="E146" i="66"/>
  <c r="F146" i="66" s="1"/>
  <c r="B146" i="66"/>
  <c r="H146" i="60"/>
  <c r="I146" i="60"/>
  <c r="E147" i="61"/>
  <c r="F147" i="61" s="1"/>
  <c r="B147" i="61"/>
  <c r="I151" i="22"/>
  <c r="H151" i="22"/>
  <c r="D144" i="91"/>
  <c r="E144" i="91" s="1"/>
  <c r="G143" i="91"/>
  <c r="I142" i="86"/>
  <c r="H142" i="86"/>
  <c r="D149" i="53"/>
  <c r="B149" i="53" s="1"/>
  <c r="G148" i="53"/>
  <c r="G144" i="81"/>
  <c r="D145" i="81"/>
  <c r="I147" i="58"/>
  <c r="H147" i="58"/>
  <c r="F143" i="84"/>
  <c r="B143" i="84"/>
  <c r="D144" i="89"/>
  <c r="E144" i="89" s="1"/>
  <c r="G143" i="89"/>
  <c r="E144" i="85"/>
  <c r="F144" i="85" s="1"/>
  <c r="B144" i="85"/>
  <c r="E154" i="30"/>
  <c r="E155" i="30" s="1"/>
  <c r="B154" i="30"/>
  <c r="E149" i="74"/>
  <c r="F149" i="74" s="1"/>
  <c r="B149" i="74"/>
  <c r="H152" i="71"/>
  <c r="I152" i="71"/>
  <c r="G151" i="19"/>
  <c r="D152" i="19"/>
  <c r="I142" i="90"/>
  <c r="H142" i="90"/>
  <c r="B143" i="86"/>
  <c r="F143" i="86"/>
  <c r="J150" i="22"/>
  <c r="H142" i="92"/>
  <c r="I142" i="92"/>
  <c r="E147" i="65"/>
  <c r="F147" i="65" s="1"/>
  <c r="D148" i="63"/>
  <c r="B148" i="63" s="1"/>
  <c r="G147" i="63"/>
  <c r="E145" i="79"/>
  <c r="F145" i="79" s="1"/>
  <c r="E149" i="72"/>
  <c r="F149" i="72" s="1"/>
  <c r="B149" i="72"/>
  <c r="I147" i="46"/>
  <c r="H147" i="46"/>
  <c r="I153" i="30"/>
  <c r="H153" i="30"/>
  <c r="I148" i="74"/>
  <c r="H148" i="74"/>
  <c r="E153" i="71"/>
  <c r="F153" i="71" s="1"/>
  <c r="B153" i="71"/>
  <c r="D150" i="56"/>
  <c r="G149" i="56"/>
  <c r="J141" i="33"/>
  <c r="E151" i="45"/>
  <c r="F151" i="45" s="1"/>
  <c r="H150" i="45"/>
  <c r="I150" i="45"/>
  <c r="B152" i="18"/>
  <c r="F152" i="18"/>
  <c r="E148" i="59"/>
  <c r="F148" i="59" s="1"/>
  <c r="B148" i="59"/>
  <c r="H151" i="18"/>
  <c r="I151" i="18"/>
  <c r="I152" i="23"/>
  <c r="H152" i="23"/>
  <c r="I147" i="59"/>
  <c r="H147" i="59"/>
  <c r="E153" i="23"/>
  <c r="F153" i="23" s="1"/>
  <c r="B153" i="23"/>
  <c r="J144" i="76"/>
  <c r="F149" i="57"/>
  <c r="B149" i="57"/>
  <c r="J147" i="54"/>
  <c r="I148" i="57"/>
  <c r="H148" i="57"/>
  <c r="J144" i="77"/>
  <c r="J147" i="55"/>
  <c r="I150" i="3"/>
  <c r="H150" i="3"/>
  <c r="J149" i="42"/>
  <c r="D144" i="93"/>
  <c r="E144" i="93" s="1"/>
  <c r="G143" i="93"/>
  <c r="J144" i="75"/>
  <c r="F143" i="96"/>
  <c r="B143" i="96"/>
  <c r="J150" i="21"/>
  <c r="D145" i="83"/>
  <c r="E145" i="83" s="1"/>
  <c r="G144" i="83"/>
  <c r="F144" i="95"/>
  <c r="B144" i="95"/>
  <c r="D152" i="21"/>
  <c r="E152" i="21" s="1"/>
  <c r="G151" i="21"/>
  <c r="I143" i="82"/>
  <c r="H143" i="82"/>
  <c r="I153" i="28"/>
  <c r="H153" i="28"/>
  <c r="B144" i="94"/>
  <c r="F144" i="94"/>
  <c r="G148" i="54"/>
  <c r="D149" i="54"/>
  <c r="E149" i="54" s="1"/>
  <c r="B151" i="3"/>
  <c r="F151" i="3"/>
  <c r="D149" i="55"/>
  <c r="E149" i="55" s="1"/>
  <c r="G148" i="55"/>
  <c r="G142" i="13"/>
  <c r="D143" i="13"/>
  <c r="E143" i="13" s="1"/>
  <c r="H151" i="34"/>
  <c r="I151" i="34"/>
  <c r="H142" i="96"/>
  <c r="I142" i="96"/>
  <c r="H143" i="95"/>
  <c r="I143" i="95"/>
  <c r="F146" i="67"/>
  <c r="B146" i="67"/>
  <c r="B154" i="28"/>
  <c r="F154" i="28"/>
  <c r="G154" i="28" s="1"/>
  <c r="D145" i="80"/>
  <c r="E145" i="80" s="1"/>
  <c r="G144" i="80"/>
  <c r="B143" i="87"/>
  <c r="F143" i="87"/>
  <c r="G150" i="42"/>
  <c r="D151" i="42"/>
  <c r="B152" i="34"/>
  <c r="F152" i="34"/>
  <c r="B152" i="17"/>
  <c r="F152" i="17"/>
  <c r="H145" i="67"/>
  <c r="I145" i="67"/>
  <c r="F150" i="44"/>
  <c r="B150" i="44"/>
  <c r="I143" i="94"/>
  <c r="H143" i="94"/>
  <c r="H142" i="87"/>
  <c r="I142" i="87"/>
  <c r="G145" i="77"/>
  <c r="D146" i="77"/>
  <c r="E146" i="77" s="1"/>
  <c r="G142" i="33"/>
  <c r="D143" i="33"/>
  <c r="E143" i="33" s="1"/>
  <c r="J151" i="24"/>
  <c r="G145" i="76"/>
  <c r="D146" i="76"/>
  <c r="G152" i="24"/>
  <c r="D153" i="24"/>
  <c r="D146" i="75"/>
  <c r="G145" i="75"/>
  <c r="H151" i="17"/>
  <c r="I151" i="17"/>
  <c r="B144" i="82"/>
  <c r="F144" i="82"/>
  <c r="I149" i="44"/>
  <c r="H149" i="44"/>
  <c r="G70" i="53" l="1"/>
  <c r="I70" i="53" s="1"/>
  <c r="I142" i="25"/>
  <c r="H142" i="25"/>
  <c r="E143" i="25"/>
  <c r="F143" i="25" s="1"/>
  <c r="B143" i="25"/>
  <c r="G65" i="98"/>
  <c r="E66" i="98"/>
  <c r="F66" i="98" s="1"/>
  <c r="G66" i="98" s="1"/>
  <c r="H65" i="98"/>
  <c r="I72" i="21"/>
  <c r="I73" i="21" s="1"/>
  <c r="G72" i="72"/>
  <c r="G73" i="72" s="1"/>
  <c r="H142" i="99"/>
  <c r="I142" i="99"/>
  <c r="E143" i="99"/>
  <c r="F143" i="99" s="1"/>
  <c r="B143" i="99"/>
  <c r="I65" i="78"/>
  <c r="H73" i="72"/>
  <c r="G69" i="67"/>
  <c r="D70" i="67"/>
  <c r="H69" i="67"/>
  <c r="G72" i="34"/>
  <c r="G73" i="34" s="1"/>
  <c r="I72" i="27"/>
  <c r="I73" i="27" s="1"/>
  <c r="I63" i="94"/>
  <c r="H64" i="94"/>
  <c r="I64" i="94" s="1"/>
  <c r="I68" i="75"/>
  <c r="E152" i="22"/>
  <c r="F152" i="22" s="1"/>
  <c r="G152" i="22" s="1"/>
  <c r="I70" i="20"/>
  <c r="D144" i="97"/>
  <c r="E144" i="97" s="1"/>
  <c r="G143" i="97"/>
  <c r="D144" i="98"/>
  <c r="G143" i="98"/>
  <c r="G148" i="58"/>
  <c r="H148" i="58" s="1"/>
  <c r="J146" i="64"/>
  <c r="D148" i="64"/>
  <c r="B148" i="64" s="1"/>
  <c r="G147" i="64"/>
  <c r="I153" i="29"/>
  <c r="H153" i="29"/>
  <c r="B154" i="29"/>
  <c r="E154" i="29"/>
  <c r="I66" i="90"/>
  <c r="I64" i="91"/>
  <c r="I66" i="85"/>
  <c r="G70" i="82"/>
  <c r="D71" i="82"/>
  <c r="E71" i="82" s="1"/>
  <c r="F71" i="82" s="1"/>
  <c r="H73" i="46"/>
  <c r="I72" i="46"/>
  <c r="I73" i="46" s="1"/>
  <c r="D70" i="63"/>
  <c r="B70" i="63" s="1"/>
  <c r="E67" i="80"/>
  <c r="F67" i="80" s="1"/>
  <c r="B67" i="80"/>
  <c r="B65" i="91"/>
  <c r="E65" i="91"/>
  <c r="F65" i="91" s="1"/>
  <c r="I69" i="54"/>
  <c r="G66" i="80"/>
  <c r="D65" i="94"/>
  <c r="E65" i="94" s="1"/>
  <c r="H68" i="61"/>
  <c r="I68" i="61" s="1"/>
  <c r="H67" i="59"/>
  <c r="I67" i="59" s="1"/>
  <c r="G71" i="73"/>
  <c r="I71" i="73" s="1"/>
  <c r="H70" i="82"/>
  <c r="I66" i="76"/>
  <c r="I67" i="86"/>
  <c r="D69" i="61"/>
  <c r="E69" i="61" s="1"/>
  <c r="F69" i="61" s="1"/>
  <c r="H66" i="80"/>
  <c r="H71" i="55"/>
  <c r="D72" i="55"/>
  <c r="G71" i="55"/>
  <c r="D66" i="93"/>
  <c r="E66" i="93" s="1"/>
  <c r="F66" i="93" s="1"/>
  <c r="D67" i="93" s="1"/>
  <c r="E67" i="90"/>
  <c r="F67" i="90" s="1"/>
  <c r="H67" i="90" s="1"/>
  <c r="B67" i="90"/>
  <c r="D70" i="75"/>
  <c r="E70" i="75" s="1"/>
  <c r="B65" i="93"/>
  <c r="G65" i="93"/>
  <c r="H65" i="93"/>
  <c r="H72" i="58"/>
  <c r="I72" i="58" s="1"/>
  <c r="I73" i="58" s="1"/>
  <c r="G66" i="84"/>
  <c r="I66" i="84" s="1"/>
  <c r="D67" i="84"/>
  <c r="I65" i="84"/>
  <c r="I63" i="89"/>
  <c r="I69" i="82"/>
  <c r="G69" i="75"/>
  <c r="I69" i="75" s="1"/>
  <c r="H73" i="34"/>
  <c r="G63" i="96"/>
  <c r="D64" i="96"/>
  <c r="E64" i="96" s="1"/>
  <c r="H63" i="96"/>
  <c r="E68" i="76"/>
  <c r="F68" i="76" s="1"/>
  <c r="G68" i="76" s="1"/>
  <c r="B68" i="76"/>
  <c r="G67" i="85"/>
  <c r="D68" i="85"/>
  <c r="B72" i="39"/>
  <c r="F72" i="39"/>
  <c r="H72" i="39" s="1"/>
  <c r="H73" i="39" s="1"/>
  <c r="E68" i="86"/>
  <c r="F68" i="86" s="1"/>
  <c r="B68" i="86"/>
  <c r="D66" i="81"/>
  <c r="E66" i="81" s="1"/>
  <c r="B67" i="76"/>
  <c r="G67" i="76"/>
  <c r="H67" i="76"/>
  <c r="I70" i="56"/>
  <c r="H67" i="85"/>
  <c r="I72" i="43"/>
  <c r="I73" i="43" s="1"/>
  <c r="H73" i="43"/>
  <c r="B63" i="95"/>
  <c r="F63" i="95"/>
  <c r="D64" i="95" s="1"/>
  <c r="I71" i="39"/>
  <c r="B65" i="81"/>
  <c r="H65" i="81"/>
  <c r="G65" i="81"/>
  <c r="I69" i="64"/>
  <c r="I67" i="77"/>
  <c r="D65" i="89"/>
  <c r="H64" i="89"/>
  <c r="G64" i="89"/>
  <c r="D71" i="54"/>
  <c r="D70" i="57"/>
  <c r="G69" i="57"/>
  <c r="H69" i="57"/>
  <c r="H64" i="92"/>
  <c r="D65" i="92"/>
  <c r="E65" i="92" s="1"/>
  <c r="G64" i="92"/>
  <c r="G66" i="88"/>
  <c r="D67" i="88"/>
  <c r="E67" i="88" s="1"/>
  <c r="H66" i="88"/>
  <c r="B72" i="60"/>
  <c r="I66" i="62"/>
  <c r="G69" i="63"/>
  <c r="G72" i="44"/>
  <c r="G73" i="44" s="1"/>
  <c r="H72" i="44"/>
  <c r="I71" i="60"/>
  <c r="E71" i="56"/>
  <c r="F71" i="56" s="1"/>
  <c r="B71" i="56"/>
  <c r="I69" i="45"/>
  <c r="I64" i="33"/>
  <c r="H69" i="63"/>
  <c r="B70" i="54"/>
  <c r="H70" i="54"/>
  <c r="G70" i="54"/>
  <c r="F70" i="64"/>
  <c r="B70" i="64"/>
  <c r="I72" i="41"/>
  <c r="I73" i="41" s="1"/>
  <c r="H73" i="41"/>
  <c r="D65" i="83"/>
  <c r="D67" i="78"/>
  <c r="I62" i="13"/>
  <c r="H64" i="83"/>
  <c r="I64" i="83" s="1"/>
  <c r="B66" i="79"/>
  <c r="F66" i="79"/>
  <c r="H66" i="79" s="1"/>
  <c r="E72" i="60"/>
  <c r="E73" i="60" s="1"/>
  <c r="H66" i="78"/>
  <c r="I66" i="78" s="1"/>
  <c r="F68" i="77"/>
  <c r="D69" i="77" s="1"/>
  <c r="B68" i="77"/>
  <c r="B70" i="45"/>
  <c r="F70" i="45"/>
  <c r="D147" i="68"/>
  <c r="E147" i="68" s="1"/>
  <c r="F147" i="68" s="1"/>
  <c r="J149" i="45"/>
  <c r="H153" i="27"/>
  <c r="I153" i="27"/>
  <c r="B154" i="27"/>
  <c r="E154" i="27"/>
  <c r="J151" i="22"/>
  <c r="J145" i="68"/>
  <c r="J147" i="58"/>
  <c r="E149" i="58"/>
  <c r="F149" i="58" s="1"/>
  <c r="D150" i="58" s="1"/>
  <c r="B150" i="58" s="1"/>
  <c r="E151" i="39"/>
  <c r="F151" i="39" s="1"/>
  <c r="E148" i="63"/>
  <c r="F148" i="63" s="1"/>
  <c r="G148" i="63" s="1"/>
  <c r="I150" i="39"/>
  <c r="H150" i="39"/>
  <c r="H73" i="18"/>
  <c r="E149" i="53"/>
  <c r="F149" i="53" s="1"/>
  <c r="G149" i="53" s="1"/>
  <c r="J151" i="31"/>
  <c r="J144" i="79"/>
  <c r="J146" i="65"/>
  <c r="D72" i="73"/>
  <c r="E72" i="73" s="1"/>
  <c r="E73" i="73" s="1"/>
  <c r="I150" i="43"/>
  <c r="H150" i="43"/>
  <c r="I69" i="65"/>
  <c r="F154" i="30"/>
  <c r="G154" i="30" s="1"/>
  <c r="H154" i="30" s="1"/>
  <c r="H155" i="30" s="1"/>
  <c r="D68" i="59"/>
  <c r="E68" i="59" s="1"/>
  <c r="G72" i="18"/>
  <c r="G73" i="18" s="1"/>
  <c r="B71" i="20"/>
  <c r="F71" i="20"/>
  <c r="H71" i="20" s="1"/>
  <c r="B63" i="13"/>
  <c r="F63" i="13"/>
  <c r="G63" i="13" s="1"/>
  <c r="B65" i="33"/>
  <c r="F65" i="33"/>
  <c r="H65" i="33" s="1"/>
  <c r="B70" i="65"/>
  <c r="J146" i="61"/>
  <c r="J148" i="72"/>
  <c r="J150" i="41"/>
  <c r="B71" i="68"/>
  <c r="F71" i="68"/>
  <c r="G71" i="68" s="1"/>
  <c r="F65" i="25"/>
  <c r="G65" i="25" s="1"/>
  <c r="B65" i="25"/>
  <c r="E70" i="65"/>
  <c r="F70" i="65" s="1"/>
  <c r="B64" i="26"/>
  <c r="F64" i="26"/>
  <c r="G64" i="26" s="1"/>
  <c r="D152" i="41"/>
  <c r="G151" i="41"/>
  <c r="B71" i="66"/>
  <c r="F71" i="66"/>
  <c r="G71" i="66" s="1"/>
  <c r="F71" i="53"/>
  <c r="G71" i="53" s="1"/>
  <c r="B71" i="53"/>
  <c r="E151" i="43"/>
  <c r="F151" i="43" s="1"/>
  <c r="B151" i="43"/>
  <c r="B64" i="87"/>
  <c r="F64" i="87"/>
  <c r="F67" i="62"/>
  <c r="G67" i="62" s="1"/>
  <c r="B67" i="62"/>
  <c r="G149" i="74"/>
  <c r="D150" i="74"/>
  <c r="G152" i="31"/>
  <c r="D153" i="31"/>
  <c r="D154" i="71"/>
  <c r="G153" i="71"/>
  <c r="G146" i="66"/>
  <c r="D147" i="66"/>
  <c r="G147" i="65"/>
  <c r="D148" i="65"/>
  <c r="B148" i="65" s="1"/>
  <c r="J148" i="74"/>
  <c r="J147" i="46"/>
  <c r="D146" i="79"/>
  <c r="B146" i="79" s="1"/>
  <c r="G145" i="79"/>
  <c r="D144" i="86"/>
  <c r="B144" i="86" s="1"/>
  <c r="G143" i="86"/>
  <c r="I151" i="19"/>
  <c r="H151" i="19"/>
  <c r="I143" i="89"/>
  <c r="H143" i="89"/>
  <c r="G143" i="84"/>
  <c r="D144" i="84"/>
  <c r="B144" i="84" s="1"/>
  <c r="H144" i="81"/>
  <c r="I144" i="81"/>
  <c r="I143" i="91"/>
  <c r="H143" i="91"/>
  <c r="J146" i="60"/>
  <c r="H148" i="62"/>
  <c r="I148" i="62"/>
  <c r="J152" i="69"/>
  <c r="G143" i="90"/>
  <c r="D144" i="90"/>
  <c r="E144" i="90" s="1"/>
  <c r="J145" i="66"/>
  <c r="E153" i="32"/>
  <c r="F153" i="32" s="1"/>
  <c r="B153" i="32"/>
  <c r="J152" i="71"/>
  <c r="G147" i="61"/>
  <c r="D148" i="61"/>
  <c r="B149" i="62"/>
  <c r="E149" i="62"/>
  <c r="F149" i="62" s="1"/>
  <c r="J150" i="73"/>
  <c r="I144" i="26"/>
  <c r="H144" i="26"/>
  <c r="D154" i="69"/>
  <c r="G153" i="69"/>
  <c r="H153" i="70"/>
  <c r="I153" i="70"/>
  <c r="B146" i="78"/>
  <c r="J151" i="18"/>
  <c r="J153" i="30"/>
  <c r="G149" i="72"/>
  <c r="D150" i="72"/>
  <c r="H147" i="63"/>
  <c r="I147" i="63"/>
  <c r="G144" i="85"/>
  <c r="D145" i="85"/>
  <c r="B144" i="89"/>
  <c r="F144" i="89"/>
  <c r="I148" i="53"/>
  <c r="H148" i="53"/>
  <c r="B144" i="91"/>
  <c r="F144" i="91"/>
  <c r="D149" i="46"/>
  <c r="B149" i="46" s="1"/>
  <c r="G148" i="46"/>
  <c r="G143" i="88"/>
  <c r="D144" i="88"/>
  <c r="B144" i="88" s="1"/>
  <c r="D144" i="92"/>
  <c r="G143" i="92"/>
  <c r="E145" i="26"/>
  <c r="F145" i="26" s="1"/>
  <c r="B145" i="26"/>
  <c r="E152" i="20"/>
  <c r="F152" i="20" s="1"/>
  <c r="B152" i="20"/>
  <c r="G151" i="73"/>
  <c r="D152" i="73"/>
  <c r="E154" i="70"/>
  <c r="E155" i="70" s="1"/>
  <c r="B154" i="70"/>
  <c r="H145" i="78"/>
  <c r="I145" i="78"/>
  <c r="E152" i="19"/>
  <c r="F152" i="19" s="1"/>
  <c r="B152" i="19"/>
  <c r="E145" i="81"/>
  <c r="F145" i="81" s="1"/>
  <c r="B145" i="81"/>
  <c r="I146" i="68"/>
  <c r="H146" i="68"/>
  <c r="I151" i="20"/>
  <c r="H151" i="20"/>
  <c r="G147" i="60"/>
  <c r="D148" i="60"/>
  <c r="H152" i="32"/>
  <c r="I152" i="32"/>
  <c r="E146" i="78"/>
  <c r="F146" i="78" s="1"/>
  <c r="G148" i="59"/>
  <c r="D149" i="59"/>
  <c r="B149" i="59" s="1"/>
  <c r="J152" i="23"/>
  <c r="G152" i="18"/>
  <c r="D153" i="18"/>
  <c r="B153" i="18" s="1"/>
  <c r="J150" i="45"/>
  <c r="H149" i="56"/>
  <c r="I149" i="56"/>
  <c r="G151" i="45"/>
  <c r="D152" i="45"/>
  <c r="B152" i="45" s="1"/>
  <c r="E150" i="56"/>
  <c r="F150" i="56" s="1"/>
  <c r="B150" i="56"/>
  <c r="J151" i="17"/>
  <c r="J147" i="59"/>
  <c r="D154" i="23"/>
  <c r="E154" i="23" s="1"/>
  <c r="E155" i="23" s="1"/>
  <c r="G153" i="23"/>
  <c r="J153" i="28"/>
  <c r="J148" i="57"/>
  <c r="D150" i="57"/>
  <c r="G149" i="57"/>
  <c r="B146" i="75"/>
  <c r="B146" i="76"/>
  <c r="H145" i="77"/>
  <c r="I145" i="77"/>
  <c r="D151" i="44"/>
  <c r="G150" i="44"/>
  <c r="B151" i="42"/>
  <c r="H144" i="80"/>
  <c r="I144" i="80"/>
  <c r="B152" i="21"/>
  <c r="F152" i="21"/>
  <c r="F145" i="83"/>
  <c r="B145" i="83"/>
  <c r="B153" i="24"/>
  <c r="J149" i="44"/>
  <c r="H152" i="24"/>
  <c r="I152" i="24"/>
  <c r="H145" i="76"/>
  <c r="I145" i="76"/>
  <c r="H150" i="42"/>
  <c r="I150" i="42"/>
  <c r="F143" i="13"/>
  <c r="B143" i="13"/>
  <c r="B149" i="55"/>
  <c r="F149" i="55"/>
  <c r="I148" i="54"/>
  <c r="H148" i="54"/>
  <c r="D145" i="94"/>
  <c r="E145" i="94" s="1"/>
  <c r="G144" i="94"/>
  <c r="B144" i="93"/>
  <c r="F144" i="93"/>
  <c r="J150" i="3"/>
  <c r="G144" i="82"/>
  <c r="D145" i="82"/>
  <c r="E146" i="75"/>
  <c r="F146" i="75" s="1"/>
  <c r="E153" i="24"/>
  <c r="F153" i="24" s="1"/>
  <c r="F143" i="33"/>
  <c r="B143" i="33"/>
  <c r="D144" i="87"/>
  <c r="G143" i="87"/>
  <c r="F145" i="80"/>
  <c r="B145" i="80"/>
  <c r="G146" i="67"/>
  <c r="D147" i="67"/>
  <c r="E147" i="67" s="1"/>
  <c r="I142" i="13"/>
  <c r="H142" i="13"/>
  <c r="D152" i="3"/>
  <c r="E152" i="3" s="1"/>
  <c r="G151" i="3"/>
  <c r="H151" i="21"/>
  <c r="I151" i="21"/>
  <c r="G144" i="95"/>
  <c r="D145" i="95"/>
  <c r="E145" i="95" s="1"/>
  <c r="H144" i="83"/>
  <c r="I144" i="83"/>
  <c r="E146" i="76"/>
  <c r="F146" i="76" s="1"/>
  <c r="H145" i="75"/>
  <c r="I145" i="75"/>
  <c r="H142" i="33"/>
  <c r="I142" i="33"/>
  <c r="F146" i="77"/>
  <c r="B146" i="77"/>
  <c r="J145" i="67"/>
  <c r="G152" i="17"/>
  <c r="D153" i="17"/>
  <c r="E153" i="17" s="1"/>
  <c r="D153" i="34"/>
  <c r="E153" i="34" s="1"/>
  <c r="G152" i="34"/>
  <c r="E151" i="42"/>
  <c r="F151" i="42" s="1"/>
  <c r="I154" i="28"/>
  <c r="H154" i="28"/>
  <c r="H155" i="28" s="1"/>
  <c r="J151" i="34"/>
  <c r="I148" i="55"/>
  <c r="H148" i="55"/>
  <c r="F149" i="54"/>
  <c r="B149" i="54"/>
  <c r="G143" i="96"/>
  <c r="D144" i="96"/>
  <c r="E144" i="96" s="1"/>
  <c r="H143" i="93"/>
  <c r="I143" i="93"/>
  <c r="I65" i="98" l="1"/>
  <c r="G143" i="25"/>
  <c r="D144" i="25"/>
  <c r="J142" i="25"/>
  <c r="I148" i="58"/>
  <c r="J148" i="58" s="1"/>
  <c r="H66" i="98"/>
  <c r="I66" i="98" s="1"/>
  <c r="D67" i="98"/>
  <c r="E67" i="98" s="1"/>
  <c r="I72" i="72"/>
  <c r="I73" i="72" s="1"/>
  <c r="H73" i="58"/>
  <c r="I69" i="67"/>
  <c r="I72" i="34"/>
  <c r="I73" i="34" s="1"/>
  <c r="D144" i="99"/>
  <c r="G143" i="99"/>
  <c r="I66" i="80"/>
  <c r="B70" i="67"/>
  <c r="E70" i="67"/>
  <c r="F70" i="67" s="1"/>
  <c r="D71" i="67" s="1"/>
  <c r="E71" i="67" s="1"/>
  <c r="G72" i="39"/>
  <c r="G73" i="39" s="1"/>
  <c r="D153" i="22"/>
  <c r="B153" i="22" s="1"/>
  <c r="I67" i="85"/>
  <c r="B71" i="82"/>
  <c r="B147" i="68"/>
  <c r="D150" i="53"/>
  <c r="E150" i="53" s="1"/>
  <c r="F150" i="53" s="1"/>
  <c r="B144" i="98"/>
  <c r="E144" i="98"/>
  <c r="F144" i="98" s="1"/>
  <c r="I143" i="97"/>
  <c r="H143" i="97"/>
  <c r="H143" i="98"/>
  <c r="I143" i="98"/>
  <c r="F144" i="97"/>
  <c r="B144" i="97"/>
  <c r="J153" i="29"/>
  <c r="E155" i="29"/>
  <c r="F154" i="29"/>
  <c r="G154" i="29" s="1"/>
  <c r="E148" i="64"/>
  <c r="F148" i="64" s="1"/>
  <c r="H147" i="64"/>
  <c r="I147" i="64"/>
  <c r="G149" i="58"/>
  <c r="I149" i="58" s="1"/>
  <c r="E144" i="88"/>
  <c r="F144" i="88" s="1"/>
  <c r="I70" i="82"/>
  <c r="I70" i="54"/>
  <c r="I71" i="55"/>
  <c r="D70" i="61"/>
  <c r="B70" i="61" s="1"/>
  <c r="D68" i="80"/>
  <c r="G67" i="80"/>
  <c r="H67" i="80"/>
  <c r="D66" i="91"/>
  <c r="B66" i="91" s="1"/>
  <c r="H65" i="91"/>
  <c r="G65" i="91"/>
  <c r="I69" i="63"/>
  <c r="B69" i="61"/>
  <c r="H69" i="61"/>
  <c r="G69" i="61"/>
  <c r="E70" i="63"/>
  <c r="F70" i="63" s="1"/>
  <c r="B65" i="94"/>
  <c r="F65" i="94"/>
  <c r="G65" i="94" s="1"/>
  <c r="E67" i="93"/>
  <c r="F67" i="93" s="1"/>
  <c r="H67" i="93" s="1"/>
  <c r="B67" i="93"/>
  <c r="I63" i="96"/>
  <c r="G63" i="95"/>
  <c r="I65" i="93"/>
  <c r="F70" i="75"/>
  <c r="B70" i="75"/>
  <c r="E67" i="84"/>
  <c r="F67" i="84" s="1"/>
  <c r="B67" i="84"/>
  <c r="E72" i="55"/>
  <c r="E73" i="55" s="1"/>
  <c r="B72" i="55"/>
  <c r="I64" i="92"/>
  <c r="G67" i="90"/>
  <c r="I67" i="90" s="1"/>
  <c r="D68" i="90"/>
  <c r="B66" i="93"/>
  <c r="H66" i="93"/>
  <c r="G66" i="93"/>
  <c r="G68" i="86"/>
  <c r="D69" i="86"/>
  <c r="H68" i="86"/>
  <c r="E64" i="95"/>
  <c r="F64" i="95" s="1"/>
  <c r="B64" i="95"/>
  <c r="B66" i="81"/>
  <c r="F66" i="81"/>
  <c r="I65" i="81"/>
  <c r="I67" i="76"/>
  <c r="H68" i="76"/>
  <c r="I68" i="76" s="1"/>
  <c r="D69" i="76"/>
  <c r="E69" i="76" s="1"/>
  <c r="H68" i="77"/>
  <c r="E68" i="85"/>
  <c r="F68" i="85" s="1"/>
  <c r="B68" i="85"/>
  <c r="F64" i="96"/>
  <c r="B64" i="96"/>
  <c r="H71" i="68"/>
  <c r="I71" i="68" s="1"/>
  <c r="H63" i="95"/>
  <c r="I66" i="88"/>
  <c r="I69" i="57"/>
  <c r="D72" i="56"/>
  <c r="G71" i="56"/>
  <c r="H71" i="56"/>
  <c r="B67" i="78"/>
  <c r="B71" i="54"/>
  <c r="H71" i="53"/>
  <c r="I71" i="53" s="1"/>
  <c r="E69" i="77"/>
  <c r="F69" i="77" s="1"/>
  <c r="B69" i="77"/>
  <c r="B65" i="83"/>
  <c r="B65" i="92"/>
  <c r="F65" i="92"/>
  <c r="H65" i="92" s="1"/>
  <c r="D71" i="45"/>
  <c r="D71" i="64"/>
  <c r="E71" i="64" s="1"/>
  <c r="G70" i="45"/>
  <c r="E65" i="83"/>
  <c r="F65" i="83" s="1"/>
  <c r="H70" i="64"/>
  <c r="F72" i="60"/>
  <c r="B67" i="88"/>
  <c r="F67" i="88"/>
  <c r="H67" i="88" s="1"/>
  <c r="E70" i="57"/>
  <c r="F70" i="57" s="1"/>
  <c r="B70" i="57"/>
  <c r="I64" i="89"/>
  <c r="D67" i="79"/>
  <c r="E67" i="79" s="1"/>
  <c r="F67" i="79" s="1"/>
  <c r="D68" i="79" s="1"/>
  <c r="I154" i="30"/>
  <c r="I155" i="30" s="1"/>
  <c r="H70" i="45"/>
  <c r="G68" i="77"/>
  <c r="G66" i="79"/>
  <c r="I66" i="79" s="1"/>
  <c r="E67" i="78"/>
  <c r="F67" i="78" s="1"/>
  <c r="D68" i="78" s="1"/>
  <c r="G70" i="64"/>
  <c r="I72" i="44"/>
  <c r="I73" i="44" s="1"/>
  <c r="H73" i="44"/>
  <c r="E71" i="54"/>
  <c r="F71" i="54" s="1"/>
  <c r="H71" i="54" s="1"/>
  <c r="E65" i="89"/>
  <c r="F65" i="89" s="1"/>
  <c r="B65" i="89"/>
  <c r="J153" i="27"/>
  <c r="D149" i="63"/>
  <c r="B149" i="63" s="1"/>
  <c r="J148" i="62"/>
  <c r="E144" i="84"/>
  <c r="F144" i="84" s="1"/>
  <c r="E155" i="27"/>
  <c r="F154" i="27"/>
  <c r="G154" i="27" s="1"/>
  <c r="E144" i="86"/>
  <c r="F144" i="86" s="1"/>
  <c r="J151" i="20"/>
  <c r="J149" i="56"/>
  <c r="D152" i="39"/>
  <c r="G151" i="39"/>
  <c r="J151" i="21"/>
  <c r="J150" i="39"/>
  <c r="G151" i="43"/>
  <c r="D152" i="43"/>
  <c r="B152" i="43" s="1"/>
  <c r="D71" i="65"/>
  <c r="E71" i="65" s="1"/>
  <c r="H70" i="65"/>
  <c r="G70" i="65"/>
  <c r="D72" i="82"/>
  <c r="E72" i="82" s="1"/>
  <c r="E73" i="82" s="1"/>
  <c r="H71" i="82"/>
  <c r="G71" i="82"/>
  <c r="J148" i="53"/>
  <c r="D72" i="53"/>
  <c r="E72" i="53" s="1"/>
  <c r="E73" i="53" s="1"/>
  <c r="D72" i="66"/>
  <c r="E152" i="41"/>
  <c r="F152" i="41" s="1"/>
  <c r="B152" i="41"/>
  <c r="D72" i="20"/>
  <c r="E72" i="20" s="1"/>
  <c r="E73" i="20" s="1"/>
  <c r="D65" i="87"/>
  <c r="D65" i="26"/>
  <c r="E65" i="26" s="1"/>
  <c r="D66" i="33"/>
  <c r="E66" i="33" s="1"/>
  <c r="D64" i="13"/>
  <c r="E64" i="13" s="1"/>
  <c r="B68" i="59"/>
  <c r="F68" i="59"/>
  <c r="G68" i="59" s="1"/>
  <c r="F72" i="73"/>
  <c r="G72" i="73" s="1"/>
  <c r="G73" i="73" s="1"/>
  <c r="B72" i="73"/>
  <c r="J145" i="78"/>
  <c r="D68" i="62"/>
  <c r="E68" i="62" s="1"/>
  <c r="H64" i="87"/>
  <c r="D66" i="25"/>
  <c r="E66" i="25" s="1"/>
  <c r="D72" i="68"/>
  <c r="G65" i="33"/>
  <c r="I65" i="33" s="1"/>
  <c r="E149" i="46"/>
  <c r="F149" i="46" s="1"/>
  <c r="D150" i="46" s="1"/>
  <c r="H67" i="62"/>
  <c r="I67" i="62" s="1"/>
  <c r="G64" i="87"/>
  <c r="H71" i="66"/>
  <c r="I71" i="66" s="1"/>
  <c r="I151" i="41"/>
  <c r="H151" i="41"/>
  <c r="H64" i="26"/>
  <c r="I64" i="26" s="1"/>
  <c r="H65" i="25"/>
  <c r="I65" i="25" s="1"/>
  <c r="H63" i="13"/>
  <c r="I63" i="13" s="1"/>
  <c r="G71" i="20"/>
  <c r="I71" i="20" s="1"/>
  <c r="J150" i="43"/>
  <c r="I72" i="18"/>
  <c r="I73" i="18" s="1"/>
  <c r="D146" i="81"/>
  <c r="G145" i="81"/>
  <c r="D146" i="26"/>
  <c r="B146" i="26" s="1"/>
  <c r="G145" i="26"/>
  <c r="G146" i="78"/>
  <c r="D147" i="78"/>
  <c r="G152" i="19"/>
  <c r="D153" i="19"/>
  <c r="G152" i="20"/>
  <c r="D153" i="20"/>
  <c r="B153" i="20" s="1"/>
  <c r="I148" i="46"/>
  <c r="H148" i="46"/>
  <c r="D148" i="68"/>
  <c r="B148" i="68" s="1"/>
  <c r="G147" i="68"/>
  <c r="H144" i="85"/>
  <c r="I144" i="85"/>
  <c r="J153" i="70"/>
  <c r="I149" i="53"/>
  <c r="H149" i="53"/>
  <c r="D154" i="32"/>
  <c r="G153" i="32"/>
  <c r="I152" i="22"/>
  <c r="H152" i="22"/>
  <c r="E147" i="66"/>
  <c r="F147" i="66" s="1"/>
  <c r="B147" i="66"/>
  <c r="E153" i="31"/>
  <c r="F153" i="31" s="1"/>
  <c r="B153" i="31"/>
  <c r="H147" i="60"/>
  <c r="I147" i="60"/>
  <c r="J146" i="68"/>
  <c r="E152" i="73"/>
  <c r="F152" i="73" s="1"/>
  <c r="B152" i="73"/>
  <c r="G144" i="89"/>
  <c r="D145" i="89"/>
  <c r="B145" i="89" s="1"/>
  <c r="E150" i="72"/>
  <c r="F150" i="72" s="1"/>
  <c r="B150" i="72"/>
  <c r="J144" i="26"/>
  <c r="E150" i="58"/>
  <c r="F150" i="58" s="1"/>
  <c r="E148" i="61"/>
  <c r="F148" i="61" s="1"/>
  <c r="B148" i="61"/>
  <c r="B144" i="90"/>
  <c r="F144" i="90"/>
  <c r="I143" i="84"/>
  <c r="H143" i="84"/>
  <c r="J151" i="19"/>
  <c r="E146" i="79"/>
  <c r="F146" i="79" s="1"/>
  <c r="E148" i="65"/>
  <c r="F148" i="65" s="1"/>
  <c r="H146" i="66"/>
  <c r="I146" i="66"/>
  <c r="H152" i="31"/>
  <c r="I152" i="31"/>
  <c r="E149" i="59"/>
  <c r="F149" i="59" s="1"/>
  <c r="G149" i="59" s="1"/>
  <c r="J152" i="32"/>
  <c r="I151" i="73"/>
  <c r="H151" i="73"/>
  <c r="H143" i="92"/>
  <c r="I143" i="92"/>
  <c r="I143" i="88"/>
  <c r="H143" i="88"/>
  <c r="G144" i="91"/>
  <c r="D145" i="91"/>
  <c r="H149" i="72"/>
  <c r="I149" i="72"/>
  <c r="I153" i="69"/>
  <c r="H153" i="69"/>
  <c r="I147" i="61"/>
  <c r="H147" i="61"/>
  <c r="I143" i="90"/>
  <c r="H143" i="90"/>
  <c r="I145" i="79"/>
  <c r="H145" i="79"/>
  <c r="I153" i="71"/>
  <c r="H153" i="71"/>
  <c r="E150" i="74"/>
  <c r="F150" i="74" s="1"/>
  <c r="B150" i="74"/>
  <c r="E148" i="60"/>
  <c r="F148" i="60" s="1"/>
  <c r="B148" i="60"/>
  <c r="J150" i="42"/>
  <c r="F154" i="70"/>
  <c r="G154" i="70" s="1"/>
  <c r="E144" i="92"/>
  <c r="F144" i="92" s="1"/>
  <c r="B144" i="92"/>
  <c r="E145" i="85"/>
  <c r="F145" i="85" s="1"/>
  <c r="B145" i="85"/>
  <c r="J147" i="63"/>
  <c r="E154" i="69"/>
  <c r="E155" i="69" s="1"/>
  <c r="B154" i="69"/>
  <c r="D150" i="62"/>
  <c r="G149" i="62"/>
  <c r="H148" i="63"/>
  <c r="I148" i="63"/>
  <c r="I143" i="86"/>
  <c r="H143" i="86"/>
  <c r="I147" i="65"/>
  <c r="H147" i="65"/>
  <c r="E154" i="71"/>
  <c r="E155" i="71" s="1"/>
  <c r="B154" i="71"/>
  <c r="I149" i="74"/>
  <c r="H149" i="74"/>
  <c r="D151" i="56"/>
  <c r="G150" i="56"/>
  <c r="I153" i="23"/>
  <c r="H153" i="23"/>
  <c r="H151" i="45"/>
  <c r="I151" i="45"/>
  <c r="E153" i="18"/>
  <c r="F153" i="18" s="1"/>
  <c r="B154" i="23"/>
  <c r="F154" i="23"/>
  <c r="G154" i="23" s="1"/>
  <c r="J148" i="55"/>
  <c r="J148" i="54"/>
  <c r="E152" i="45"/>
  <c r="F152" i="45" s="1"/>
  <c r="H152" i="18"/>
  <c r="I152" i="18"/>
  <c r="I148" i="59"/>
  <c r="H148" i="59"/>
  <c r="J152" i="24"/>
  <c r="B150" i="57"/>
  <c r="J145" i="77"/>
  <c r="E150" i="57"/>
  <c r="F150" i="57" s="1"/>
  <c r="I149" i="57"/>
  <c r="H149" i="57"/>
  <c r="G146" i="75"/>
  <c r="D147" i="75"/>
  <c r="E147" i="75" s="1"/>
  <c r="D152" i="42"/>
  <c r="E152" i="42" s="1"/>
  <c r="G151" i="42"/>
  <c r="G146" i="76"/>
  <c r="D147" i="76"/>
  <c r="E147" i="76" s="1"/>
  <c r="D154" i="24"/>
  <c r="E154" i="24" s="1"/>
  <c r="E155" i="24" s="1"/>
  <c r="G153" i="24"/>
  <c r="D150" i="54"/>
  <c r="E150" i="54" s="1"/>
  <c r="G149" i="54"/>
  <c r="I143" i="96"/>
  <c r="H143" i="96"/>
  <c r="J154" i="28"/>
  <c r="J155" i="28" s="1"/>
  <c r="I155" i="28"/>
  <c r="I152" i="34"/>
  <c r="H152" i="34"/>
  <c r="F153" i="17"/>
  <c r="B153" i="17"/>
  <c r="G146" i="77"/>
  <c r="D147" i="77"/>
  <c r="E147" i="77" s="1"/>
  <c r="F145" i="95"/>
  <c r="B145" i="95"/>
  <c r="I146" i="67"/>
  <c r="H146" i="67"/>
  <c r="I143" i="87"/>
  <c r="H143" i="87"/>
  <c r="B145" i="82"/>
  <c r="D145" i="93"/>
  <c r="E145" i="93" s="1"/>
  <c r="G144" i="93"/>
  <c r="I144" i="94"/>
  <c r="H144" i="94"/>
  <c r="H150" i="44"/>
  <c r="I150" i="44"/>
  <c r="I152" i="17"/>
  <c r="H152" i="17"/>
  <c r="I144" i="95"/>
  <c r="H144" i="95"/>
  <c r="B144" i="87"/>
  <c r="D144" i="33"/>
  <c r="E144" i="33" s="1"/>
  <c r="G143" i="33"/>
  <c r="I144" i="82"/>
  <c r="H144" i="82"/>
  <c r="D144" i="13"/>
  <c r="G143" i="13"/>
  <c r="D153" i="21"/>
  <c r="E153" i="21" s="1"/>
  <c r="G152" i="21"/>
  <c r="B151" i="44"/>
  <c r="F153" i="34"/>
  <c r="B153" i="34"/>
  <c r="I151" i="3"/>
  <c r="H151" i="3"/>
  <c r="D146" i="80"/>
  <c r="G145" i="80"/>
  <c r="F145" i="94"/>
  <c r="B145" i="94"/>
  <c r="D150" i="55"/>
  <c r="E150" i="55" s="1"/>
  <c r="G149" i="55"/>
  <c r="G145" i="83"/>
  <c r="D146" i="83"/>
  <c r="E146" i="83" s="1"/>
  <c r="B144" i="96"/>
  <c r="F144" i="96"/>
  <c r="J142" i="33"/>
  <c r="J145" i="75"/>
  <c r="B152" i="3"/>
  <c r="F152" i="3"/>
  <c r="B147" i="67"/>
  <c r="F147" i="67"/>
  <c r="E144" i="87"/>
  <c r="F144" i="87" s="1"/>
  <c r="E145" i="82"/>
  <c r="F145" i="82" s="1"/>
  <c r="J145" i="76"/>
  <c r="E151" i="44"/>
  <c r="F151" i="44" s="1"/>
  <c r="B71" i="67" l="1"/>
  <c r="H149" i="58"/>
  <c r="B144" i="25"/>
  <c r="E144" i="25"/>
  <c r="F144" i="25" s="1"/>
  <c r="H143" i="25"/>
  <c r="I143" i="25"/>
  <c r="B67" i="98"/>
  <c r="F67" i="98"/>
  <c r="D68" i="98" s="1"/>
  <c r="E68" i="98" s="1"/>
  <c r="F68" i="98" s="1"/>
  <c r="D69" i="98" s="1"/>
  <c r="B69" i="98" s="1"/>
  <c r="H70" i="67"/>
  <c r="I72" i="39"/>
  <c r="I73" i="39" s="1"/>
  <c r="H143" i="99"/>
  <c r="I143" i="99"/>
  <c r="E153" i="22"/>
  <c r="F153" i="22" s="1"/>
  <c r="G153" i="22" s="1"/>
  <c r="E144" i="99"/>
  <c r="F144" i="99" s="1"/>
  <c r="B144" i="99"/>
  <c r="F71" i="67"/>
  <c r="H71" i="67" s="1"/>
  <c r="G70" i="67"/>
  <c r="B150" i="53"/>
  <c r="G149" i="46"/>
  <c r="H149" i="46" s="1"/>
  <c r="I68" i="77"/>
  <c r="I65" i="91"/>
  <c r="H68" i="59"/>
  <c r="I68" i="59" s="1"/>
  <c r="E149" i="63"/>
  <c r="F149" i="63" s="1"/>
  <c r="D150" i="63" s="1"/>
  <c r="D145" i="98"/>
  <c r="G144" i="98"/>
  <c r="D145" i="97"/>
  <c r="G144" i="97"/>
  <c r="G144" i="88"/>
  <c r="I144" i="88" s="1"/>
  <c r="D145" i="88"/>
  <c r="E145" i="88" s="1"/>
  <c r="F145" i="88" s="1"/>
  <c r="E153" i="20"/>
  <c r="F153" i="20" s="1"/>
  <c r="G153" i="20" s="1"/>
  <c r="H153" i="20" s="1"/>
  <c r="E148" i="68"/>
  <c r="F148" i="68" s="1"/>
  <c r="D149" i="64"/>
  <c r="B149" i="64" s="1"/>
  <c r="G148" i="64"/>
  <c r="I154" i="29"/>
  <c r="H154" i="29"/>
  <c r="H155" i="29" s="1"/>
  <c r="J147" i="64"/>
  <c r="J154" i="30"/>
  <c r="J155" i="30" s="1"/>
  <c r="D150" i="59"/>
  <c r="E150" i="59" s="1"/>
  <c r="F150" i="59" s="1"/>
  <c r="I63" i="95"/>
  <c r="E66" i="91"/>
  <c r="F66" i="91" s="1"/>
  <c r="G65" i="92"/>
  <c r="I65" i="92" s="1"/>
  <c r="H65" i="94"/>
  <c r="I65" i="94" s="1"/>
  <c r="D66" i="94"/>
  <c r="I69" i="61"/>
  <c r="I67" i="80"/>
  <c r="E68" i="80"/>
  <c r="F68" i="80" s="1"/>
  <c r="B68" i="80"/>
  <c r="I66" i="93"/>
  <c r="D71" i="63"/>
  <c r="G70" i="63"/>
  <c r="H70" i="63"/>
  <c r="E70" i="61"/>
  <c r="F70" i="61" s="1"/>
  <c r="I71" i="56"/>
  <c r="G67" i="84"/>
  <c r="D68" i="84"/>
  <c r="D71" i="75"/>
  <c r="E71" i="75" s="1"/>
  <c r="D68" i="93"/>
  <c r="E68" i="93" s="1"/>
  <c r="F68" i="93" s="1"/>
  <c r="E68" i="90"/>
  <c r="F68" i="90" s="1"/>
  <c r="G68" i="90" s="1"/>
  <c r="B68" i="90"/>
  <c r="H67" i="84"/>
  <c r="H70" i="75"/>
  <c r="F72" i="55"/>
  <c r="G70" i="75"/>
  <c r="G67" i="93"/>
  <c r="I67" i="93" s="1"/>
  <c r="G68" i="85"/>
  <c r="D69" i="85"/>
  <c r="E69" i="85" s="1"/>
  <c r="F69" i="85" s="1"/>
  <c r="H68" i="85"/>
  <c r="H72" i="73"/>
  <c r="I72" i="73" s="1"/>
  <c r="I73" i="73" s="1"/>
  <c r="D67" i="81"/>
  <c r="D65" i="95"/>
  <c r="E65" i="95" s="1"/>
  <c r="F65" i="95" s="1"/>
  <c r="B69" i="86"/>
  <c r="G64" i="96"/>
  <c r="D65" i="96"/>
  <c r="E65" i="96" s="1"/>
  <c r="B69" i="76"/>
  <c r="F69" i="76"/>
  <c r="H69" i="76" s="1"/>
  <c r="H64" i="95"/>
  <c r="E69" i="86"/>
  <c r="F69" i="86" s="1"/>
  <c r="H66" i="81"/>
  <c r="G67" i="88"/>
  <c r="I67" i="88" s="1"/>
  <c r="H64" i="96"/>
  <c r="G66" i="81"/>
  <c r="G64" i="95"/>
  <c r="I68" i="86"/>
  <c r="E68" i="79"/>
  <c r="F68" i="79" s="1"/>
  <c r="B68" i="79"/>
  <c r="D66" i="89"/>
  <c r="E66" i="89" s="1"/>
  <c r="F66" i="89" s="1"/>
  <c r="D67" i="89" s="1"/>
  <c r="G65" i="89"/>
  <c r="H65" i="89"/>
  <c r="H70" i="57"/>
  <c r="D71" i="57"/>
  <c r="E71" i="57" s="1"/>
  <c r="H72" i="60"/>
  <c r="G72" i="60"/>
  <c r="G73" i="60" s="1"/>
  <c r="H65" i="83"/>
  <c r="D66" i="83"/>
  <c r="E66" i="83" s="1"/>
  <c r="D70" i="77"/>
  <c r="E70" i="77" s="1"/>
  <c r="I71" i="82"/>
  <c r="I70" i="65"/>
  <c r="D72" i="54"/>
  <c r="E72" i="54" s="1"/>
  <c r="E73" i="54" s="1"/>
  <c r="I70" i="45"/>
  <c r="I70" i="64"/>
  <c r="B71" i="64"/>
  <c r="F71" i="64"/>
  <c r="H71" i="64" s="1"/>
  <c r="H69" i="77"/>
  <c r="G71" i="54"/>
  <c r="I71" i="54" s="1"/>
  <c r="G67" i="78"/>
  <c r="E68" i="78"/>
  <c r="F68" i="78" s="1"/>
  <c r="B68" i="78"/>
  <c r="B67" i="79"/>
  <c r="G67" i="79"/>
  <c r="H67" i="79"/>
  <c r="G70" i="57"/>
  <c r="D68" i="88"/>
  <c r="E68" i="88" s="1"/>
  <c r="B71" i="45"/>
  <c r="D66" i="92"/>
  <c r="G65" i="83"/>
  <c r="G69" i="77"/>
  <c r="H67" i="78"/>
  <c r="E72" i="56"/>
  <c r="E73" i="56" s="1"/>
  <c r="B72" i="56"/>
  <c r="E71" i="45"/>
  <c r="F71" i="45" s="1"/>
  <c r="H154" i="27"/>
  <c r="H155" i="27" s="1"/>
  <c r="I154" i="27"/>
  <c r="J145" i="79"/>
  <c r="J147" i="61"/>
  <c r="J151" i="41"/>
  <c r="J152" i="31"/>
  <c r="J147" i="65"/>
  <c r="J148" i="63"/>
  <c r="F154" i="69"/>
  <c r="G154" i="69" s="1"/>
  <c r="I154" i="69" s="1"/>
  <c r="I155" i="69" s="1"/>
  <c r="J151" i="45"/>
  <c r="H151" i="39"/>
  <c r="I151" i="39"/>
  <c r="B152" i="39"/>
  <c r="E152" i="39"/>
  <c r="F152" i="39" s="1"/>
  <c r="D153" i="41"/>
  <c r="G152" i="41"/>
  <c r="J152" i="34"/>
  <c r="B65" i="87"/>
  <c r="B72" i="66"/>
  <c r="B72" i="68"/>
  <c r="F66" i="25"/>
  <c r="G66" i="25" s="1"/>
  <c r="B66" i="25"/>
  <c r="F68" i="62"/>
  <c r="G68" i="62" s="1"/>
  <c r="B68" i="62"/>
  <c r="D69" i="59"/>
  <c r="B64" i="13"/>
  <c r="F64" i="13"/>
  <c r="E65" i="87"/>
  <c r="F65" i="87" s="1"/>
  <c r="F72" i="20"/>
  <c r="G72" i="20" s="1"/>
  <c r="G73" i="20" s="1"/>
  <c r="B72" i="20"/>
  <c r="E72" i="66"/>
  <c r="E73" i="66" s="1"/>
  <c r="F72" i="82"/>
  <c r="H72" i="82" s="1"/>
  <c r="B72" i="82"/>
  <c r="I151" i="43"/>
  <c r="H151" i="43"/>
  <c r="E72" i="68"/>
  <c r="E73" i="68" s="1"/>
  <c r="I64" i="87"/>
  <c r="F65" i="26"/>
  <c r="G65" i="26" s="1"/>
  <c r="B65" i="26"/>
  <c r="F71" i="65"/>
  <c r="H71" i="65" s="1"/>
  <c r="B71" i="65"/>
  <c r="J148" i="59"/>
  <c r="J146" i="66"/>
  <c r="J147" i="60"/>
  <c r="F66" i="33"/>
  <c r="H66" i="33" s="1"/>
  <c r="B66" i="33"/>
  <c r="B72" i="53"/>
  <c r="F72" i="53"/>
  <c r="H72" i="53" s="1"/>
  <c r="E152" i="43"/>
  <c r="F152" i="43" s="1"/>
  <c r="D151" i="74"/>
  <c r="G150" i="74"/>
  <c r="G153" i="31"/>
  <c r="D154" i="31"/>
  <c r="G144" i="92"/>
  <c r="D145" i="92"/>
  <c r="G148" i="60"/>
  <c r="D149" i="60"/>
  <c r="B149" i="60" s="1"/>
  <c r="D148" i="66"/>
  <c r="B148" i="66" s="1"/>
  <c r="G147" i="66"/>
  <c r="D149" i="61"/>
  <c r="G148" i="61"/>
  <c r="G150" i="72"/>
  <c r="D151" i="72"/>
  <c r="G152" i="73"/>
  <c r="D153" i="73"/>
  <c r="B153" i="73" s="1"/>
  <c r="F154" i="71"/>
  <c r="G154" i="71" s="1"/>
  <c r="H149" i="62"/>
  <c r="I149" i="62"/>
  <c r="G145" i="85"/>
  <c r="D146" i="85"/>
  <c r="E150" i="46"/>
  <c r="F150" i="46" s="1"/>
  <c r="B150" i="46"/>
  <c r="H154" i="70"/>
  <c r="H155" i="70" s="1"/>
  <c r="I154" i="70"/>
  <c r="J149" i="72"/>
  <c r="H144" i="91"/>
  <c r="I144" i="91"/>
  <c r="D147" i="79"/>
  <c r="B147" i="79" s="1"/>
  <c r="G146" i="79"/>
  <c r="G144" i="90"/>
  <c r="D145" i="90"/>
  <c r="I144" i="89"/>
  <c r="H144" i="89"/>
  <c r="E154" i="32"/>
  <c r="E155" i="32" s="1"/>
  <c r="B154" i="32"/>
  <c r="H152" i="19"/>
  <c r="I152" i="19"/>
  <c r="H145" i="26"/>
  <c r="I145" i="26"/>
  <c r="D151" i="53"/>
  <c r="G150" i="53"/>
  <c r="E150" i="62"/>
  <c r="F150" i="62" s="1"/>
  <c r="B150" i="62"/>
  <c r="G149" i="63"/>
  <c r="G150" i="58"/>
  <c r="D151" i="58"/>
  <c r="E147" i="78"/>
  <c r="F147" i="78" s="1"/>
  <c r="B147" i="78"/>
  <c r="J149" i="74"/>
  <c r="G144" i="84"/>
  <c r="D145" i="84"/>
  <c r="J149" i="58"/>
  <c r="J153" i="71"/>
  <c r="G144" i="86"/>
  <c r="D145" i="86"/>
  <c r="J151" i="73"/>
  <c r="E145" i="89"/>
  <c r="F145" i="89" s="1"/>
  <c r="J152" i="22"/>
  <c r="J149" i="53"/>
  <c r="J148" i="46"/>
  <c r="I152" i="20"/>
  <c r="H152" i="20"/>
  <c r="H146" i="78"/>
  <c r="I146" i="78"/>
  <c r="I145" i="81"/>
  <c r="H145" i="81"/>
  <c r="J153" i="69"/>
  <c r="E145" i="91"/>
  <c r="F145" i="91" s="1"/>
  <c r="B145" i="91"/>
  <c r="D149" i="65"/>
  <c r="B149" i="65" s="1"/>
  <c r="G148" i="65"/>
  <c r="H153" i="32"/>
  <c r="I153" i="32"/>
  <c r="H147" i="68"/>
  <c r="I147" i="68"/>
  <c r="H144" i="88"/>
  <c r="E153" i="19"/>
  <c r="F153" i="19" s="1"/>
  <c r="B153" i="19"/>
  <c r="E146" i="26"/>
  <c r="F146" i="26" s="1"/>
  <c r="E146" i="81"/>
  <c r="F146" i="81" s="1"/>
  <c r="B146" i="81"/>
  <c r="D153" i="45"/>
  <c r="B153" i="45" s="1"/>
  <c r="G152" i="45"/>
  <c r="J153" i="23"/>
  <c r="J152" i="18"/>
  <c r="H149" i="59"/>
  <c r="I149" i="59"/>
  <c r="I150" i="56"/>
  <c r="H150" i="56"/>
  <c r="H154" i="23"/>
  <c r="H155" i="23" s="1"/>
  <c r="I154" i="23"/>
  <c r="I155" i="23" s="1"/>
  <c r="G153" i="18"/>
  <c r="D154" i="18"/>
  <c r="E151" i="56"/>
  <c r="F151" i="56" s="1"/>
  <c r="B151" i="56"/>
  <c r="G150" i="57"/>
  <c r="D151" i="57"/>
  <c r="B151" i="57" s="1"/>
  <c r="J152" i="17"/>
  <c r="J146" i="67"/>
  <c r="J149" i="57"/>
  <c r="I153" i="20"/>
  <c r="G144" i="87"/>
  <c r="D145" i="87"/>
  <c r="E145" i="87" s="1"/>
  <c r="D146" i="82"/>
  <c r="E146" i="82" s="1"/>
  <c r="G145" i="82"/>
  <c r="D152" i="44"/>
  <c r="E152" i="44" s="1"/>
  <c r="G151" i="44"/>
  <c r="B146" i="80"/>
  <c r="G153" i="34"/>
  <c r="D154" i="34"/>
  <c r="E154" i="34" s="1"/>
  <c r="E155" i="34" s="1"/>
  <c r="B144" i="13"/>
  <c r="J150" i="44"/>
  <c r="G145" i="95"/>
  <c r="D146" i="95"/>
  <c r="E146" i="95" s="1"/>
  <c r="F147" i="77"/>
  <c r="B147" i="77"/>
  <c r="H153" i="24"/>
  <c r="I153" i="24"/>
  <c r="F146" i="83"/>
  <c r="B146" i="83"/>
  <c r="B150" i="55"/>
  <c r="F150" i="55"/>
  <c r="B153" i="21"/>
  <c r="F153" i="21"/>
  <c r="H143" i="33"/>
  <c r="I143" i="33"/>
  <c r="F145" i="93"/>
  <c r="B145" i="93"/>
  <c r="H146" i="77"/>
  <c r="I146" i="77"/>
  <c r="G153" i="17"/>
  <c r="D154" i="17"/>
  <c r="E154" i="17" s="1"/>
  <c r="E155" i="17" s="1"/>
  <c r="H149" i="54"/>
  <c r="I149" i="54"/>
  <c r="F154" i="24"/>
  <c r="G154" i="24" s="1"/>
  <c r="B154" i="24"/>
  <c r="I146" i="75"/>
  <c r="H146" i="75"/>
  <c r="G152" i="3"/>
  <c r="D153" i="3"/>
  <c r="E153" i="3" s="1"/>
  <c r="H145" i="83"/>
  <c r="I145" i="83"/>
  <c r="I145" i="80"/>
  <c r="H145" i="80"/>
  <c r="J151" i="3"/>
  <c r="E144" i="13"/>
  <c r="F144" i="13" s="1"/>
  <c r="F147" i="76"/>
  <c r="B147" i="76"/>
  <c r="H151" i="42"/>
  <c r="I151" i="42"/>
  <c r="D148" i="67"/>
  <c r="E148" i="67" s="1"/>
  <c r="G147" i="67"/>
  <c r="G144" i="96"/>
  <c r="D145" i="96"/>
  <c r="E145" i="96" s="1"/>
  <c r="H149" i="55"/>
  <c r="I149" i="55"/>
  <c r="G145" i="94"/>
  <c r="D146" i="94"/>
  <c r="E146" i="94" s="1"/>
  <c r="E146" i="80"/>
  <c r="F146" i="80" s="1"/>
  <c r="H152" i="21"/>
  <c r="I152" i="21"/>
  <c r="I143" i="13"/>
  <c r="H143" i="13"/>
  <c r="F144" i="33"/>
  <c r="B144" i="33"/>
  <c r="H144" i="93"/>
  <c r="I144" i="93"/>
  <c r="B150" i="54"/>
  <c r="F150" i="54"/>
  <c r="H146" i="76"/>
  <c r="I146" i="76"/>
  <c r="F152" i="42"/>
  <c r="B152" i="42"/>
  <c r="F147" i="75"/>
  <c r="B147" i="75"/>
  <c r="J143" i="25" l="1"/>
  <c r="G67" i="98"/>
  <c r="G144" i="25"/>
  <c r="D145" i="25"/>
  <c r="H68" i="98"/>
  <c r="H67" i="98"/>
  <c r="I67" i="98" s="1"/>
  <c r="E69" i="98"/>
  <c r="F69" i="98" s="1"/>
  <c r="D70" i="98" s="1"/>
  <c r="E70" i="98" s="1"/>
  <c r="F70" i="98" s="1"/>
  <c r="G70" i="98" s="1"/>
  <c r="G68" i="98"/>
  <c r="I68" i="98" s="1"/>
  <c r="B68" i="98"/>
  <c r="D154" i="22"/>
  <c r="E154" i="22" s="1"/>
  <c r="E155" i="22" s="1"/>
  <c r="D72" i="67"/>
  <c r="E72" i="67" s="1"/>
  <c r="E73" i="67" s="1"/>
  <c r="G71" i="67"/>
  <c r="I71" i="67" s="1"/>
  <c r="G66" i="33"/>
  <c r="I66" i="33" s="1"/>
  <c r="I70" i="67"/>
  <c r="D145" i="99"/>
  <c r="G144" i="99"/>
  <c r="I65" i="83"/>
  <c r="I149" i="46"/>
  <c r="J149" i="46" s="1"/>
  <c r="B145" i="88"/>
  <c r="D154" i="20"/>
  <c r="B150" i="59"/>
  <c r="I144" i="97"/>
  <c r="H144" i="97"/>
  <c r="E145" i="97"/>
  <c r="F145" i="97" s="1"/>
  <c r="B145" i="97"/>
  <c r="H144" i="98"/>
  <c r="I144" i="98"/>
  <c r="E145" i="98"/>
  <c r="F145" i="98" s="1"/>
  <c r="B145" i="98"/>
  <c r="G148" i="68"/>
  <c r="D149" i="68"/>
  <c r="H154" i="69"/>
  <c r="H155" i="69" s="1"/>
  <c r="E149" i="64"/>
  <c r="F149" i="64" s="1"/>
  <c r="G149" i="64" s="1"/>
  <c r="I155" i="29"/>
  <c r="J154" i="29"/>
  <c r="J155" i="29" s="1"/>
  <c r="H148" i="64"/>
  <c r="I148" i="64"/>
  <c r="G66" i="91"/>
  <c r="H66" i="91"/>
  <c r="D67" i="91"/>
  <c r="G69" i="76"/>
  <c r="I69" i="76" s="1"/>
  <c r="G71" i="65"/>
  <c r="I71" i="65" s="1"/>
  <c r="I67" i="84"/>
  <c r="D69" i="80"/>
  <c r="E69" i="80" s="1"/>
  <c r="F69" i="80" s="1"/>
  <c r="H68" i="80"/>
  <c r="G68" i="80"/>
  <c r="B66" i="94"/>
  <c r="H73" i="73"/>
  <c r="E71" i="63"/>
  <c r="F71" i="63" s="1"/>
  <c r="B71" i="63"/>
  <c r="E66" i="94"/>
  <c r="F66" i="94" s="1"/>
  <c r="I64" i="96"/>
  <c r="G70" i="61"/>
  <c r="H70" i="61"/>
  <c r="D71" i="61"/>
  <c r="I70" i="75"/>
  <c r="I70" i="63"/>
  <c r="D69" i="93"/>
  <c r="E69" i="93" s="1"/>
  <c r="H66" i="25"/>
  <c r="I66" i="25" s="1"/>
  <c r="F72" i="56"/>
  <c r="G72" i="56" s="1"/>
  <c r="G73" i="56" s="1"/>
  <c r="I64" i="95"/>
  <c r="G72" i="55"/>
  <c r="G73" i="55" s="1"/>
  <c r="H72" i="55"/>
  <c r="D69" i="90"/>
  <c r="B68" i="93"/>
  <c r="G68" i="93"/>
  <c r="H68" i="93"/>
  <c r="E68" i="84"/>
  <c r="F68" i="84" s="1"/>
  <c r="H68" i="84" s="1"/>
  <c r="B68" i="84"/>
  <c r="I66" i="81"/>
  <c r="I67" i="78"/>
  <c r="I68" i="85"/>
  <c r="H68" i="90"/>
  <c r="I68" i="90" s="1"/>
  <c r="B71" i="75"/>
  <c r="F71" i="75"/>
  <c r="G71" i="75" s="1"/>
  <c r="D69" i="79"/>
  <c r="H68" i="79"/>
  <c r="D66" i="95"/>
  <c r="E66" i="95" s="1"/>
  <c r="F66" i="95" s="1"/>
  <c r="D67" i="95" s="1"/>
  <c r="D70" i="85"/>
  <c r="E70" i="85" s="1"/>
  <c r="F70" i="85" s="1"/>
  <c r="D71" i="85" s="1"/>
  <c r="G71" i="64"/>
  <c r="I71" i="64" s="1"/>
  <c r="H69" i="86"/>
  <c r="D70" i="86"/>
  <c r="G69" i="86"/>
  <c r="B67" i="81"/>
  <c r="G72" i="53"/>
  <c r="G73" i="53" s="1"/>
  <c r="G72" i="82"/>
  <c r="G73" i="82" s="1"/>
  <c r="H72" i="20"/>
  <c r="I72" i="20" s="1"/>
  <c r="I73" i="20" s="1"/>
  <c r="B65" i="96"/>
  <c r="F65" i="96"/>
  <c r="B65" i="95"/>
  <c r="H65" i="95"/>
  <c r="G65" i="95"/>
  <c r="B69" i="85"/>
  <c r="H69" i="85"/>
  <c r="G69" i="85"/>
  <c r="H65" i="26"/>
  <c r="I65" i="26" s="1"/>
  <c r="D70" i="76"/>
  <c r="E70" i="76" s="1"/>
  <c r="E67" i="81"/>
  <c r="F67" i="81" s="1"/>
  <c r="D68" i="81" s="1"/>
  <c r="H71" i="45"/>
  <c r="D72" i="45"/>
  <c r="G71" i="45"/>
  <c r="E67" i="89"/>
  <c r="F67" i="89" s="1"/>
  <c r="B67" i="89"/>
  <c r="B66" i="92"/>
  <c r="H68" i="78"/>
  <c r="D69" i="78"/>
  <c r="E69" i="78" s="1"/>
  <c r="F69" i="78" s="1"/>
  <c r="D70" i="78" s="1"/>
  <c r="I70" i="57"/>
  <c r="B68" i="88"/>
  <c r="F68" i="88"/>
  <c r="G68" i="88" s="1"/>
  <c r="B72" i="54"/>
  <c r="F72" i="54"/>
  <c r="H72" i="54" s="1"/>
  <c r="F66" i="83"/>
  <c r="G66" i="83" s="1"/>
  <c r="B66" i="83"/>
  <c r="I72" i="60"/>
  <c r="I73" i="60" s="1"/>
  <c r="H73" i="60"/>
  <c r="G68" i="78"/>
  <c r="D72" i="64"/>
  <c r="E72" i="64" s="1"/>
  <c r="E73" i="64" s="1"/>
  <c r="B66" i="89"/>
  <c r="H66" i="89"/>
  <c r="G66" i="89"/>
  <c r="E66" i="92"/>
  <c r="F66" i="92" s="1"/>
  <c r="I67" i="79"/>
  <c r="I69" i="77"/>
  <c r="F70" i="77"/>
  <c r="H70" i="77" s="1"/>
  <c r="B70" i="77"/>
  <c r="B71" i="57"/>
  <c r="F71" i="57"/>
  <c r="D72" i="57" s="1"/>
  <c r="I65" i="89"/>
  <c r="G68" i="79"/>
  <c r="J151" i="43"/>
  <c r="J151" i="42"/>
  <c r="J149" i="62"/>
  <c r="J154" i="27"/>
  <c r="J155" i="27" s="1"/>
  <c r="I155" i="27"/>
  <c r="J151" i="39"/>
  <c r="G152" i="39"/>
  <c r="D153" i="39"/>
  <c r="E148" i="66"/>
  <c r="F148" i="66" s="1"/>
  <c r="G148" i="66" s="1"/>
  <c r="J153" i="32"/>
  <c r="D66" i="87"/>
  <c r="E66" i="87" s="1"/>
  <c r="G65" i="87"/>
  <c r="H65" i="87"/>
  <c r="H73" i="82"/>
  <c r="D65" i="13"/>
  <c r="E65" i="13" s="1"/>
  <c r="B69" i="59"/>
  <c r="J147" i="68"/>
  <c r="J152" i="20"/>
  <c r="G64" i="13"/>
  <c r="H68" i="62"/>
  <c r="I68" i="62" s="1"/>
  <c r="F72" i="66"/>
  <c r="J146" i="78"/>
  <c r="D67" i="33"/>
  <c r="E67" i="33" s="1"/>
  <c r="D72" i="65"/>
  <c r="D66" i="26"/>
  <c r="E66" i="26" s="1"/>
  <c r="F72" i="68"/>
  <c r="I152" i="41"/>
  <c r="H152" i="41"/>
  <c r="D153" i="43"/>
  <c r="G152" i="43"/>
  <c r="H73" i="53"/>
  <c r="H64" i="13"/>
  <c r="E69" i="59"/>
  <c r="F69" i="59" s="1"/>
  <c r="D69" i="62"/>
  <c r="D67" i="25"/>
  <c r="E67" i="25" s="1"/>
  <c r="E153" i="41"/>
  <c r="F153" i="41" s="1"/>
  <c r="B153" i="41"/>
  <c r="G146" i="81"/>
  <c r="D147" i="81"/>
  <c r="G147" i="78"/>
  <c r="D148" i="78"/>
  <c r="G153" i="19"/>
  <c r="D154" i="19"/>
  <c r="B154" i="19" s="1"/>
  <c r="E153" i="45"/>
  <c r="F153" i="45" s="1"/>
  <c r="G153" i="45" s="1"/>
  <c r="E149" i="65"/>
  <c r="F149" i="65" s="1"/>
  <c r="D146" i="91"/>
  <c r="B146" i="91" s="1"/>
  <c r="G145" i="91"/>
  <c r="I144" i="86"/>
  <c r="H144" i="86"/>
  <c r="I144" i="84"/>
  <c r="H144" i="84"/>
  <c r="E150" i="63"/>
  <c r="F150" i="63" s="1"/>
  <c r="B150" i="63"/>
  <c r="E151" i="53"/>
  <c r="F151" i="53" s="1"/>
  <c r="B151" i="53"/>
  <c r="F154" i="32"/>
  <c r="G154" i="32" s="1"/>
  <c r="H146" i="79"/>
  <c r="I146" i="79"/>
  <c r="I154" i="71"/>
  <c r="H154" i="71"/>
  <c r="H155" i="71" s="1"/>
  <c r="E151" i="72"/>
  <c r="F151" i="72" s="1"/>
  <c r="B151" i="72"/>
  <c r="E154" i="31"/>
  <c r="E155" i="31" s="1"/>
  <c r="B154" i="31"/>
  <c r="I148" i="65"/>
  <c r="H148" i="65"/>
  <c r="H153" i="22"/>
  <c r="I153" i="22"/>
  <c r="G145" i="89"/>
  <c r="D146" i="89"/>
  <c r="E146" i="89" s="1"/>
  <c r="E151" i="58"/>
  <c r="F151" i="58" s="1"/>
  <c r="B151" i="58"/>
  <c r="J145" i="26"/>
  <c r="E145" i="90"/>
  <c r="F145" i="90" s="1"/>
  <c r="B145" i="90"/>
  <c r="J154" i="70"/>
  <c r="J155" i="70" s="1"/>
  <c r="I155" i="70"/>
  <c r="E153" i="73"/>
  <c r="F153" i="73" s="1"/>
  <c r="H150" i="72"/>
  <c r="I150" i="72"/>
  <c r="H147" i="66"/>
  <c r="I147" i="66"/>
  <c r="I148" i="60"/>
  <c r="H148" i="60"/>
  <c r="H153" i="31"/>
  <c r="I153" i="31"/>
  <c r="D147" i="26"/>
  <c r="G146" i="26"/>
  <c r="H150" i="58"/>
  <c r="I150" i="58"/>
  <c r="G150" i="62"/>
  <c r="D151" i="62"/>
  <c r="D146" i="88"/>
  <c r="B146" i="88" s="1"/>
  <c r="G145" i="88"/>
  <c r="H144" i="90"/>
  <c r="I144" i="90"/>
  <c r="E146" i="85"/>
  <c r="F146" i="85" s="1"/>
  <c r="B146" i="85"/>
  <c r="H148" i="61"/>
  <c r="I148" i="61"/>
  <c r="E145" i="92"/>
  <c r="F145" i="92" s="1"/>
  <c r="B145" i="92"/>
  <c r="H150" i="74"/>
  <c r="I150" i="74"/>
  <c r="J154" i="23"/>
  <c r="J155" i="23" s="1"/>
  <c r="J149" i="59"/>
  <c r="E145" i="86"/>
  <c r="F145" i="86" s="1"/>
  <c r="B145" i="86"/>
  <c r="E145" i="84"/>
  <c r="F145" i="84" s="1"/>
  <c r="B145" i="84"/>
  <c r="I149" i="63"/>
  <c r="H149" i="63"/>
  <c r="I150" i="53"/>
  <c r="H150" i="53"/>
  <c r="J152" i="19"/>
  <c r="E147" i="79"/>
  <c r="F147" i="79" s="1"/>
  <c r="G150" i="46"/>
  <c r="D151" i="46"/>
  <c r="B151" i="46" s="1"/>
  <c r="H145" i="85"/>
  <c r="I145" i="85"/>
  <c r="H152" i="73"/>
  <c r="I152" i="73"/>
  <c r="E149" i="61"/>
  <c r="F149" i="61" s="1"/>
  <c r="B149" i="61"/>
  <c r="E149" i="60"/>
  <c r="F149" i="60" s="1"/>
  <c r="I144" i="92"/>
  <c r="H144" i="92"/>
  <c r="E151" i="74"/>
  <c r="F151" i="74" s="1"/>
  <c r="B151" i="74"/>
  <c r="D151" i="59"/>
  <c r="G150" i="59"/>
  <c r="D152" i="56"/>
  <c r="E152" i="56" s="1"/>
  <c r="G151" i="56"/>
  <c r="E154" i="18"/>
  <c r="E155" i="18" s="1"/>
  <c r="B154" i="18"/>
  <c r="J150" i="56"/>
  <c r="H152" i="45"/>
  <c r="I152" i="45"/>
  <c r="J146" i="77"/>
  <c r="I153" i="18"/>
  <c r="H153" i="18"/>
  <c r="J146" i="76"/>
  <c r="J146" i="75"/>
  <c r="J153" i="20"/>
  <c r="E151" i="57"/>
  <c r="F151" i="57" s="1"/>
  <c r="H150" i="57"/>
  <c r="I150" i="57"/>
  <c r="D147" i="80"/>
  <c r="E147" i="80" s="1"/>
  <c r="G146" i="80"/>
  <c r="G144" i="13"/>
  <c r="D145" i="13"/>
  <c r="H145" i="94"/>
  <c r="I145" i="94"/>
  <c r="J152" i="21"/>
  <c r="J149" i="55"/>
  <c r="B145" i="96"/>
  <c r="F145" i="96"/>
  <c r="H147" i="67"/>
  <c r="I147" i="67"/>
  <c r="G147" i="76"/>
  <c r="D148" i="76"/>
  <c r="E148" i="76" s="1"/>
  <c r="J149" i="54"/>
  <c r="I153" i="17"/>
  <c r="H153" i="17"/>
  <c r="J143" i="33"/>
  <c r="G146" i="83"/>
  <c r="D147" i="83"/>
  <c r="J153" i="24"/>
  <c r="H145" i="95"/>
  <c r="I145" i="95"/>
  <c r="H153" i="34"/>
  <c r="I153" i="34"/>
  <c r="I145" i="82"/>
  <c r="H145" i="82"/>
  <c r="I144" i="87"/>
  <c r="H144" i="87"/>
  <c r="G150" i="54"/>
  <c r="D151" i="54"/>
  <c r="E151" i="54" s="1"/>
  <c r="I144" i="96"/>
  <c r="H144" i="96"/>
  <c r="F148" i="67"/>
  <c r="B148" i="67"/>
  <c r="B153" i="3"/>
  <c r="F153" i="3"/>
  <c r="I154" i="24"/>
  <c r="H154" i="24"/>
  <c r="H155" i="24" s="1"/>
  <c r="D151" i="55"/>
  <c r="E151" i="55" s="1"/>
  <c r="G150" i="55"/>
  <c r="I151" i="44"/>
  <c r="H151" i="44"/>
  <c r="B146" i="82"/>
  <c r="F146" i="82"/>
  <c r="G147" i="75"/>
  <c r="D148" i="75"/>
  <c r="D153" i="42"/>
  <c r="E153" i="42" s="1"/>
  <c r="G152" i="42"/>
  <c r="G144" i="33"/>
  <c r="D145" i="33"/>
  <c r="E145" i="33" s="1"/>
  <c r="B146" i="94"/>
  <c r="F146" i="94"/>
  <c r="I152" i="3"/>
  <c r="H152" i="3"/>
  <c r="G153" i="21"/>
  <c r="D154" i="21"/>
  <c r="E154" i="21" s="1"/>
  <c r="E155" i="21" s="1"/>
  <c r="G147" i="77"/>
  <c r="D148" i="77"/>
  <c r="E148" i="77" s="1"/>
  <c r="F152" i="44"/>
  <c r="B152" i="44"/>
  <c r="F154" i="17"/>
  <c r="G154" i="17" s="1"/>
  <c r="B154" i="17"/>
  <c r="G145" i="93"/>
  <c r="D146" i="93"/>
  <c r="E146" i="93" s="1"/>
  <c r="B146" i="95"/>
  <c r="F146" i="95"/>
  <c r="B154" i="34"/>
  <c r="F154" i="34"/>
  <c r="G154" i="34" s="1"/>
  <c r="B145" i="87"/>
  <c r="F145" i="87"/>
  <c r="F72" i="67" l="1"/>
  <c r="D149" i="66"/>
  <c r="B149" i="66" s="1"/>
  <c r="E145" i="25"/>
  <c r="F145" i="25" s="1"/>
  <c r="B145" i="25"/>
  <c r="I144" i="25"/>
  <c r="H144" i="25"/>
  <c r="H69" i="98"/>
  <c r="B70" i="98"/>
  <c r="B72" i="67"/>
  <c r="G69" i="98"/>
  <c r="I72" i="82"/>
  <c r="I73" i="82" s="1"/>
  <c r="B154" i="22"/>
  <c r="D71" i="98"/>
  <c r="E71" i="98" s="1"/>
  <c r="F71" i="98" s="1"/>
  <c r="D72" i="98" s="1"/>
  <c r="H70" i="98"/>
  <c r="I70" i="98" s="1"/>
  <c r="H144" i="99"/>
  <c r="I144" i="99"/>
  <c r="E145" i="99"/>
  <c r="F145" i="99" s="1"/>
  <c r="B145" i="99"/>
  <c r="I66" i="91"/>
  <c r="J154" i="69"/>
  <c r="J155" i="69" s="1"/>
  <c r="E154" i="20"/>
  <c r="B154" i="20"/>
  <c r="E69" i="79"/>
  <c r="F69" i="79" s="1"/>
  <c r="H72" i="56"/>
  <c r="I72" i="56" s="1"/>
  <c r="I73" i="56" s="1"/>
  <c r="G145" i="98"/>
  <c r="D146" i="98"/>
  <c r="E146" i="98" s="1"/>
  <c r="G145" i="97"/>
  <c r="D146" i="97"/>
  <c r="D150" i="64"/>
  <c r="B150" i="64" s="1"/>
  <c r="J148" i="64"/>
  <c r="B149" i="68"/>
  <c r="E149" i="68"/>
  <c r="F149" i="68" s="1"/>
  <c r="H148" i="68"/>
  <c r="I148" i="68"/>
  <c r="I149" i="64"/>
  <c r="H149" i="64"/>
  <c r="I65" i="95"/>
  <c r="E67" i="91"/>
  <c r="F67" i="91" s="1"/>
  <c r="D68" i="91" s="1"/>
  <c r="B67" i="91"/>
  <c r="B69" i="79"/>
  <c r="I70" i="61"/>
  <c r="I72" i="53"/>
  <c r="I73" i="53" s="1"/>
  <c r="D67" i="94"/>
  <c r="E67" i="94" s="1"/>
  <c r="F67" i="94" s="1"/>
  <c r="H66" i="94"/>
  <c r="G66" i="94"/>
  <c r="D70" i="80"/>
  <c r="E70" i="80" s="1"/>
  <c r="F70" i="80" s="1"/>
  <c r="H71" i="63"/>
  <c r="G71" i="63"/>
  <c r="D72" i="63"/>
  <c r="I68" i="80"/>
  <c r="H73" i="20"/>
  <c r="G72" i="54"/>
  <c r="G73" i="54" s="1"/>
  <c r="I68" i="79"/>
  <c r="I68" i="93"/>
  <c r="B71" i="61"/>
  <c r="E71" i="61"/>
  <c r="F71" i="61" s="1"/>
  <c r="B69" i="80"/>
  <c r="H69" i="80"/>
  <c r="G69" i="80"/>
  <c r="D72" i="75"/>
  <c r="E72" i="75" s="1"/>
  <c r="E73" i="75" s="1"/>
  <c r="B69" i="90"/>
  <c r="G68" i="84"/>
  <c r="I68" i="84" s="1"/>
  <c r="D69" i="84"/>
  <c r="I72" i="55"/>
  <c r="I73" i="55" s="1"/>
  <c r="H73" i="55"/>
  <c r="H71" i="75"/>
  <c r="E69" i="90"/>
  <c r="F69" i="90" s="1"/>
  <c r="G69" i="90" s="1"/>
  <c r="B69" i="93"/>
  <c r="F69" i="93"/>
  <c r="H69" i="93" s="1"/>
  <c r="E71" i="85"/>
  <c r="F71" i="85" s="1"/>
  <c r="H71" i="85" s="1"/>
  <c r="B71" i="85"/>
  <c r="E67" i="95"/>
  <c r="F67" i="95" s="1"/>
  <c r="B67" i="95"/>
  <c r="H68" i="88"/>
  <c r="I68" i="88" s="1"/>
  <c r="F70" i="76"/>
  <c r="H70" i="76" s="1"/>
  <c r="B70" i="76"/>
  <c r="G65" i="96"/>
  <c r="D66" i="96"/>
  <c r="I69" i="86"/>
  <c r="B66" i="95"/>
  <c r="G66" i="95"/>
  <c r="H66" i="95"/>
  <c r="I69" i="85"/>
  <c r="H65" i="96"/>
  <c r="G67" i="81"/>
  <c r="B70" i="86"/>
  <c r="E70" i="86"/>
  <c r="F70" i="86" s="1"/>
  <c r="E68" i="81"/>
  <c r="F68" i="81" s="1"/>
  <c r="H68" i="81" s="1"/>
  <c r="B68" i="81"/>
  <c r="H67" i="81"/>
  <c r="B70" i="85"/>
  <c r="G70" i="85"/>
  <c r="H70" i="85"/>
  <c r="D68" i="89"/>
  <c r="G67" i="89"/>
  <c r="H67" i="89"/>
  <c r="H66" i="92"/>
  <c r="D67" i="92"/>
  <c r="E67" i="92" s="1"/>
  <c r="F67" i="92" s="1"/>
  <c r="D68" i="92" s="1"/>
  <c r="G66" i="92"/>
  <c r="H73" i="54"/>
  <c r="I65" i="87"/>
  <c r="G71" i="57"/>
  <c r="I66" i="89"/>
  <c r="B72" i="64"/>
  <c r="F72" i="64"/>
  <c r="E72" i="57"/>
  <c r="E73" i="57" s="1"/>
  <c r="B72" i="57"/>
  <c r="D67" i="83"/>
  <c r="E67" i="83" s="1"/>
  <c r="F67" i="83" s="1"/>
  <c r="D69" i="88"/>
  <c r="E70" i="78"/>
  <c r="F70" i="78" s="1"/>
  <c r="B70" i="78"/>
  <c r="E72" i="45"/>
  <c r="E73" i="45" s="1"/>
  <c r="B72" i="45"/>
  <c r="I64" i="13"/>
  <c r="H71" i="57"/>
  <c r="G70" i="77"/>
  <c r="I70" i="77" s="1"/>
  <c r="D71" i="77"/>
  <c r="E71" i="77" s="1"/>
  <c r="F71" i="77" s="1"/>
  <c r="D72" i="77" s="1"/>
  <c r="G72" i="67"/>
  <c r="G73" i="67" s="1"/>
  <c r="H72" i="67"/>
  <c r="I68" i="78"/>
  <c r="H66" i="83"/>
  <c r="B69" i="78"/>
  <c r="H69" i="78"/>
  <c r="G69" i="78"/>
  <c r="I71" i="45"/>
  <c r="D154" i="45"/>
  <c r="E154" i="45" s="1"/>
  <c r="E155" i="45" s="1"/>
  <c r="J150" i="72"/>
  <c r="J147" i="66"/>
  <c r="J152" i="41"/>
  <c r="J152" i="45"/>
  <c r="E153" i="39"/>
  <c r="F153" i="39" s="1"/>
  <c r="B153" i="39"/>
  <c r="J150" i="74"/>
  <c r="F154" i="22"/>
  <c r="G154" i="22" s="1"/>
  <c r="H154" i="22" s="1"/>
  <c r="H155" i="22" s="1"/>
  <c r="H152" i="39"/>
  <c r="I152" i="39"/>
  <c r="D70" i="59"/>
  <c r="E70" i="59" s="1"/>
  <c r="G69" i="59"/>
  <c r="H69" i="59"/>
  <c r="B69" i="62"/>
  <c r="B72" i="65"/>
  <c r="H72" i="66"/>
  <c r="G72" i="66"/>
  <c r="G73" i="66" s="1"/>
  <c r="J150" i="57"/>
  <c r="J152" i="73"/>
  <c r="E151" i="46"/>
  <c r="F151" i="46" s="1"/>
  <c r="G151" i="46" s="1"/>
  <c r="J149" i="63"/>
  <c r="E146" i="88"/>
  <c r="F146" i="88" s="1"/>
  <c r="D147" i="88" s="1"/>
  <c r="J146" i="79"/>
  <c r="E69" i="62"/>
  <c r="F69" i="62" s="1"/>
  <c r="H152" i="43"/>
  <c r="I152" i="43"/>
  <c r="D154" i="41"/>
  <c r="G153" i="41"/>
  <c r="E153" i="43"/>
  <c r="F153" i="43" s="1"/>
  <c r="B153" i="43"/>
  <c r="H72" i="68"/>
  <c r="G72" i="68"/>
  <c r="G73" i="68" s="1"/>
  <c r="B66" i="26"/>
  <c r="F66" i="26"/>
  <c r="G66" i="26" s="1"/>
  <c r="B67" i="33"/>
  <c r="F67" i="33"/>
  <c r="G67" i="33" s="1"/>
  <c r="F65" i="13"/>
  <c r="G65" i="13" s="1"/>
  <c r="B65" i="13"/>
  <c r="F154" i="31"/>
  <c r="G154" i="31" s="1"/>
  <c r="I154" i="31" s="1"/>
  <c r="B67" i="25"/>
  <c r="F67" i="25"/>
  <c r="G67" i="25" s="1"/>
  <c r="E72" i="65"/>
  <c r="E73" i="65" s="1"/>
  <c r="B66" i="87"/>
  <c r="F66" i="87"/>
  <c r="G66" i="87" s="1"/>
  <c r="D150" i="61"/>
  <c r="G149" i="61"/>
  <c r="G150" i="63"/>
  <c r="D151" i="63"/>
  <c r="G145" i="92"/>
  <c r="D146" i="92"/>
  <c r="B146" i="92" s="1"/>
  <c r="H150" i="46"/>
  <c r="I150" i="46"/>
  <c r="J150" i="53"/>
  <c r="J148" i="61"/>
  <c r="H145" i="88"/>
  <c r="I145" i="88"/>
  <c r="J150" i="58"/>
  <c r="J153" i="31"/>
  <c r="G153" i="73"/>
  <c r="D154" i="73"/>
  <c r="D152" i="58"/>
  <c r="E152" i="58" s="1"/>
  <c r="G151" i="58"/>
  <c r="J148" i="65"/>
  <c r="E149" i="66"/>
  <c r="F149" i="66" s="1"/>
  <c r="G151" i="53"/>
  <c r="D152" i="53"/>
  <c r="E146" i="91"/>
  <c r="F146" i="91" s="1"/>
  <c r="E148" i="78"/>
  <c r="F148" i="78" s="1"/>
  <c r="B148" i="78"/>
  <c r="G147" i="79"/>
  <c r="D148" i="79"/>
  <c r="J153" i="22"/>
  <c r="I148" i="66"/>
  <c r="H148" i="66"/>
  <c r="H145" i="91"/>
  <c r="I145" i="91"/>
  <c r="E154" i="19"/>
  <c r="I147" i="78"/>
  <c r="H147" i="78"/>
  <c r="G151" i="74"/>
  <c r="D152" i="74"/>
  <c r="B152" i="74" s="1"/>
  <c r="D150" i="60"/>
  <c r="G149" i="60"/>
  <c r="D146" i="86"/>
  <c r="G145" i="86"/>
  <c r="G146" i="85"/>
  <c r="D147" i="85"/>
  <c r="B151" i="62"/>
  <c r="E151" i="62"/>
  <c r="F151" i="62" s="1"/>
  <c r="I146" i="26"/>
  <c r="H146" i="26"/>
  <c r="F146" i="89"/>
  <c r="B146" i="89"/>
  <c r="G151" i="72"/>
  <c r="D152" i="72"/>
  <c r="J154" i="71"/>
  <c r="J155" i="71" s="1"/>
  <c r="I155" i="71"/>
  <c r="H154" i="32"/>
  <c r="H155" i="32" s="1"/>
  <c r="I154" i="32"/>
  <c r="E147" i="81"/>
  <c r="F147" i="81" s="1"/>
  <c r="B147" i="81"/>
  <c r="D146" i="84"/>
  <c r="B146" i="84" s="1"/>
  <c r="G145" i="84"/>
  <c r="H150" i="62"/>
  <c r="I150" i="62"/>
  <c r="B147" i="26"/>
  <c r="E147" i="26"/>
  <c r="F147" i="26" s="1"/>
  <c r="J148" i="60"/>
  <c r="D146" i="90"/>
  <c r="G145" i="90"/>
  <c r="H145" i="89"/>
  <c r="I145" i="89"/>
  <c r="G149" i="65"/>
  <c r="D150" i="65"/>
  <c r="H153" i="19"/>
  <c r="I153" i="19"/>
  <c r="I146" i="81"/>
  <c r="H146" i="81"/>
  <c r="J153" i="18"/>
  <c r="H153" i="45"/>
  <c r="I153" i="45"/>
  <c r="F152" i="56"/>
  <c r="B152" i="56"/>
  <c r="H150" i="59"/>
  <c r="I150" i="59"/>
  <c r="J147" i="67"/>
  <c r="F154" i="18"/>
  <c r="G154" i="18" s="1"/>
  <c r="H151" i="56"/>
  <c r="I151" i="56"/>
  <c r="E151" i="59"/>
  <c r="F151" i="59" s="1"/>
  <c r="B151" i="59"/>
  <c r="D152" i="57"/>
  <c r="G151" i="57"/>
  <c r="H150" i="54"/>
  <c r="I150" i="54"/>
  <c r="B151" i="55"/>
  <c r="F151" i="55"/>
  <c r="H147" i="76"/>
  <c r="I147" i="76"/>
  <c r="B145" i="13"/>
  <c r="H154" i="34"/>
  <c r="H155" i="34" s="1"/>
  <c r="I154" i="34"/>
  <c r="H147" i="77"/>
  <c r="I147" i="77"/>
  <c r="I153" i="21"/>
  <c r="H153" i="21"/>
  <c r="H144" i="33"/>
  <c r="I144" i="33"/>
  <c r="H152" i="42"/>
  <c r="I152" i="42"/>
  <c r="H147" i="75"/>
  <c r="I147" i="75"/>
  <c r="J151" i="44"/>
  <c r="I146" i="83"/>
  <c r="H146" i="83"/>
  <c r="G145" i="96"/>
  <c r="D146" i="96"/>
  <c r="E146" i="96" s="1"/>
  <c r="H144" i="13"/>
  <c r="I144" i="13"/>
  <c r="B147" i="83"/>
  <c r="G152" i="44"/>
  <c r="D153" i="44"/>
  <c r="E153" i="44" s="1"/>
  <c r="F154" i="21"/>
  <c r="G154" i="21" s="1"/>
  <c r="B154" i="21"/>
  <c r="B148" i="75"/>
  <c r="G153" i="3"/>
  <c r="D154" i="3"/>
  <c r="D149" i="67"/>
  <c r="E149" i="67" s="1"/>
  <c r="G148" i="67"/>
  <c r="E147" i="83"/>
  <c r="F147" i="83" s="1"/>
  <c r="F147" i="80"/>
  <c r="B147" i="80"/>
  <c r="F146" i="93"/>
  <c r="B146" i="93"/>
  <c r="H154" i="17"/>
  <c r="H155" i="17" s="1"/>
  <c r="I154" i="17"/>
  <c r="J152" i="3"/>
  <c r="D147" i="94"/>
  <c r="E147" i="94" s="1"/>
  <c r="G146" i="94"/>
  <c r="E148" i="75"/>
  <c r="F148" i="75" s="1"/>
  <c r="D147" i="82"/>
  <c r="E147" i="82" s="1"/>
  <c r="G146" i="82"/>
  <c r="I150" i="55"/>
  <c r="H150" i="55"/>
  <c r="F151" i="54"/>
  <c r="B151" i="54"/>
  <c r="J153" i="34"/>
  <c r="J153" i="17"/>
  <c r="E145" i="13"/>
  <c r="F145" i="13" s="1"/>
  <c r="H146" i="80"/>
  <c r="I146" i="80"/>
  <c r="H145" i="93"/>
  <c r="I145" i="93"/>
  <c r="B148" i="76"/>
  <c r="F148" i="76"/>
  <c r="B153" i="42"/>
  <c r="F153" i="42"/>
  <c r="G145" i="87"/>
  <c r="D146" i="87"/>
  <c r="E146" i="87" s="1"/>
  <c r="D147" i="95"/>
  <c r="E147" i="95" s="1"/>
  <c r="G146" i="95"/>
  <c r="B148" i="77"/>
  <c r="F148" i="77"/>
  <c r="F145" i="33"/>
  <c r="B145" i="33"/>
  <c r="J154" i="24"/>
  <c r="J155" i="24" s="1"/>
  <c r="I155" i="24"/>
  <c r="H73" i="56" l="1"/>
  <c r="J144" i="25"/>
  <c r="G145" i="25"/>
  <c r="D146" i="25"/>
  <c r="I69" i="98"/>
  <c r="E72" i="98"/>
  <c r="E73" i="98" s="1"/>
  <c r="B72" i="98"/>
  <c r="B71" i="98"/>
  <c r="G71" i="98"/>
  <c r="H71" i="98"/>
  <c r="B154" i="45"/>
  <c r="G145" i="99"/>
  <c r="D146" i="99"/>
  <c r="B146" i="99" s="1"/>
  <c r="G146" i="88"/>
  <c r="H146" i="88" s="1"/>
  <c r="E150" i="64"/>
  <c r="F150" i="64" s="1"/>
  <c r="G150" i="64" s="1"/>
  <c r="E155" i="20"/>
  <c r="F154" i="20"/>
  <c r="G154" i="20" s="1"/>
  <c r="H69" i="79"/>
  <c r="D70" i="79"/>
  <c r="E70" i="79" s="1"/>
  <c r="G69" i="79"/>
  <c r="D152" i="46"/>
  <c r="B152" i="46" s="1"/>
  <c r="I145" i="97"/>
  <c r="H145" i="97"/>
  <c r="B146" i="98"/>
  <c r="F146" i="98"/>
  <c r="E146" i="97"/>
  <c r="F146" i="97" s="1"/>
  <c r="B146" i="97"/>
  <c r="H145" i="98"/>
  <c r="I145" i="98"/>
  <c r="J148" i="68"/>
  <c r="G149" i="68"/>
  <c r="D150" i="68"/>
  <c r="J149" i="64"/>
  <c r="I154" i="22"/>
  <c r="J154" i="22" s="1"/>
  <c r="J155" i="22" s="1"/>
  <c r="I65" i="96"/>
  <c r="G67" i="91"/>
  <c r="H67" i="91"/>
  <c r="E68" i="91"/>
  <c r="F68" i="91" s="1"/>
  <c r="G68" i="91" s="1"/>
  <c r="B68" i="91"/>
  <c r="I71" i="63"/>
  <c r="G67" i="94"/>
  <c r="D68" i="94"/>
  <c r="G69" i="93"/>
  <c r="I66" i="94"/>
  <c r="I72" i="54"/>
  <c r="I73" i="54" s="1"/>
  <c r="I70" i="85"/>
  <c r="I69" i="80"/>
  <c r="G70" i="80"/>
  <c r="B70" i="80"/>
  <c r="H70" i="80"/>
  <c r="G71" i="61"/>
  <c r="D72" i="61"/>
  <c r="B72" i="61" s="1"/>
  <c r="H71" i="61"/>
  <c r="B72" i="63"/>
  <c r="E72" i="63"/>
  <c r="D71" i="80"/>
  <c r="E71" i="80" s="1"/>
  <c r="F71" i="80" s="1"/>
  <c r="D72" i="80" s="1"/>
  <c r="B67" i="94"/>
  <c r="H67" i="94"/>
  <c r="I69" i="93"/>
  <c r="F72" i="45"/>
  <c r="G72" i="45" s="1"/>
  <c r="G73" i="45" s="1"/>
  <c r="F72" i="57"/>
  <c r="H72" i="57" s="1"/>
  <c r="H73" i="57" s="1"/>
  <c r="I71" i="75"/>
  <c r="D70" i="93"/>
  <c r="E70" i="93" s="1"/>
  <c r="H69" i="90"/>
  <c r="I69" i="90" s="1"/>
  <c r="F72" i="75"/>
  <c r="H72" i="75" s="1"/>
  <c r="B72" i="75"/>
  <c r="D70" i="90"/>
  <c r="E70" i="90" s="1"/>
  <c r="F70" i="90" s="1"/>
  <c r="E69" i="84"/>
  <c r="F69" i="84" s="1"/>
  <c r="G69" i="84" s="1"/>
  <c r="B69" i="84"/>
  <c r="G67" i="95"/>
  <c r="D68" i="95"/>
  <c r="H67" i="95"/>
  <c r="D69" i="81"/>
  <c r="B66" i="96"/>
  <c r="G70" i="86"/>
  <c r="H70" i="86"/>
  <c r="D71" i="86"/>
  <c r="G70" i="76"/>
  <c r="I70" i="76" s="1"/>
  <c r="D71" i="76"/>
  <c r="I67" i="81"/>
  <c r="G68" i="81"/>
  <c r="I68" i="81" s="1"/>
  <c r="G71" i="85"/>
  <c r="I71" i="85" s="1"/>
  <c r="D72" i="85"/>
  <c r="E72" i="85" s="1"/>
  <c r="E73" i="85" s="1"/>
  <c r="I66" i="95"/>
  <c r="E66" i="96"/>
  <c r="F66" i="96" s="1"/>
  <c r="I69" i="78"/>
  <c r="I67" i="89"/>
  <c r="D68" i="83"/>
  <c r="E68" i="92"/>
  <c r="F68" i="92" s="1"/>
  <c r="B68" i="92"/>
  <c r="B69" i="88"/>
  <c r="I66" i="92"/>
  <c r="I69" i="59"/>
  <c r="I71" i="57"/>
  <c r="G72" i="64"/>
  <c r="G73" i="64" s="1"/>
  <c r="H72" i="64"/>
  <c r="H73" i="67"/>
  <c r="I72" i="67"/>
  <c r="I73" i="67" s="1"/>
  <c r="H67" i="33"/>
  <c r="I67" i="33" s="1"/>
  <c r="E72" i="77"/>
  <c r="E73" i="77" s="1"/>
  <c r="B72" i="77"/>
  <c r="B67" i="83"/>
  <c r="G67" i="83"/>
  <c r="H67" i="83"/>
  <c r="I66" i="83"/>
  <c r="H70" i="78"/>
  <c r="D71" i="78"/>
  <c r="E71" i="78" s="1"/>
  <c r="F71" i="78" s="1"/>
  <c r="D72" i="78" s="1"/>
  <c r="H66" i="26"/>
  <c r="I66" i="26" s="1"/>
  <c r="B71" i="77"/>
  <c r="H71" i="77"/>
  <c r="G71" i="77"/>
  <c r="G70" i="78"/>
  <c r="E69" i="88"/>
  <c r="F69" i="88" s="1"/>
  <c r="B67" i="92"/>
  <c r="H67" i="92"/>
  <c r="G67" i="92"/>
  <c r="E68" i="89"/>
  <c r="F68" i="89" s="1"/>
  <c r="B68" i="89"/>
  <c r="H154" i="31"/>
  <c r="H155" i="31" s="1"/>
  <c r="J147" i="78"/>
  <c r="J152" i="39"/>
  <c r="J147" i="77"/>
  <c r="D154" i="39"/>
  <c r="G153" i="39"/>
  <c r="D70" i="62"/>
  <c r="E70" i="62" s="1"/>
  <c r="H69" i="62"/>
  <c r="G69" i="62"/>
  <c r="D67" i="87"/>
  <c r="E67" i="87" s="1"/>
  <c r="D68" i="25"/>
  <c r="G153" i="43"/>
  <c r="D154" i="43"/>
  <c r="E154" i="41"/>
  <c r="E155" i="41" s="1"/>
  <c r="B154" i="41"/>
  <c r="J152" i="43"/>
  <c r="H66" i="87"/>
  <c r="I66" i="87" s="1"/>
  <c r="D66" i="13"/>
  <c r="E66" i="13" s="1"/>
  <c r="J150" i="62"/>
  <c r="H67" i="25"/>
  <c r="I67" i="25" s="1"/>
  <c r="H65" i="13"/>
  <c r="I65" i="13" s="1"/>
  <c r="D68" i="33"/>
  <c r="E68" i="33" s="1"/>
  <c r="D67" i="26"/>
  <c r="E67" i="26" s="1"/>
  <c r="I72" i="68"/>
  <c r="I73" i="68" s="1"/>
  <c r="H73" i="68"/>
  <c r="H153" i="41"/>
  <c r="I153" i="41"/>
  <c r="I72" i="66"/>
  <c r="I73" i="66" s="1"/>
  <c r="H73" i="66"/>
  <c r="F72" i="65"/>
  <c r="B70" i="59"/>
  <c r="F70" i="59"/>
  <c r="G70" i="59" s="1"/>
  <c r="G147" i="81"/>
  <c r="D148" i="81"/>
  <c r="H149" i="65"/>
  <c r="I149" i="65"/>
  <c r="E146" i="90"/>
  <c r="F146" i="90" s="1"/>
  <c r="B146" i="90"/>
  <c r="E146" i="84"/>
  <c r="F146" i="84" s="1"/>
  <c r="J154" i="32"/>
  <c r="J155" i="32" s="1"/>
  <c r="I155" i="32"/>
  <c r="E152" i="72"/>
  <c r="F152" i="72" s="1"/>
  <c r="B152" i="72"/>
  <c r="G151" i="62"/>
  <c r="D152" i="62"/>
  <c r="H145" i="86"/>
  <c r="I145" i="86"/>
  <c r="E155" i="19"/>
  <c r="F154" i="19"/>
  <c r="G154" i="19" s="1"/>
  <c r="J148" i="66"/>
  <c r="I147" i="79"/>
  <c r="H147" i="79"/>
  <c r="G146" i="91"/>
  <c r="D147" i="91"/>
  <c r="D150" i="66"/>
  <c r="G149" i="66"/>
  <c r="I155" i="31"/>
  <c r="E151" i="63"/>
  <c r="F151" i="63" s="1"/>
  <c r="B151" i="63"/>
  <c r="J153" i="19"/>
  <c r="H145" i="84"/>
  <c r="I145" i="84"/>
  <c r="I151" i="72"/>
  <c r="H151" i="72"/>
  <c r="G146" i="89"/>
  <c r="D147" i="89"/>
  <c r="B147" i="89" s="1"/>
  <c r="E146" i="86"/>
  <c r="F146" i="86" s="1"/>
  <c r="B146" i="86"/>
  <c r="I149" i="60"/>
  <c r="H149" i="60"/>
  <c r="I151" i="74"/>
  <c r="H151" i="74"/>
  <c r="G148" i="78"/>
  <c r="D149" i="78"/>
  <c r="B149" i="78" s="1"/>
  <c r="E152" i="53"/>
  <c r="F152" i="53" s="1"/>
  <c r="B152" i="53"/>
  <c r="F152" i="58"/>
  <c r="B152" i="58"/>
  <c r="E146" i="92"/>
  <c r="F146" i="92" s="1"/>
  <c r="H150" i="63"/>
  <c r="I150" i="63"/>
  <c r="G147" i="26"/>
  <c r="D148" i="26"/>
  <c r="I146" i="88"/>
  <c r="E147" i="85"/>
  <c r="F147" i="85" s="1"/>
  <c r="B147" i="85"/>
  <c r="E152" i="46"/>
  <c r="F152" i="46" s="1"/>
  <c r="E150" i="60"/>
  <c r="F150" i="60" s="1"/>
  <c r="B150" i="60"/>
  <c r="H151" i="53"/>
  <c r="I151" i="53"/>
  <c r="E154" i="73"/>
  <c r="E155" i="73" s="1"/>
  <c r="B154" i="73"/>
  <c r="I149" i="61"/>
  <c r="H149" i="61"/>
  <c r="E150" i="65"/>
  <c r="F150" i="65" s="1"/>
  <c r="B150" i="65"/>
  <c r="H145" i="90"/>
  <c r="I145" i="90"/>
  <c r="E147" i="88"/>
  <c r="F147" i="88" s="1"/>
  <c r="B147" i="88"/>
  <c r="J146" i="26"/>
  <c r="H146" i="85"/>
  <c r="I146" i="85"/>
  <c r="I151" i="46"/>
  <c r="H151" i="46"/>
  <c r="E152" i="74"/>
  <c r="F152" i="74" s="1"/>
  <c r="E148" i="79"/>
  <c r="F148" i="79" s="1"/>
  <c r="B148" i="79"/>
  <c r="H151" i="58"/>
  <c r="I151" i="58"/>
  <c r="I153" i="73"/>
  <c r="H153" i="73"/>
  <c r="J150" i="46"/>
  <c r="H145" i="92"/>
  <c r="I145" i="92"/>
  <c r="E150" i="61"/>
  <c r="F150" i="61" s="1"/>
  <c r="B150" i="61"/>
  <c r="J151" i="56"/>
  <c r="J150" i="59"/>
  <c r="G151" i="59"/>
  <c r="D152" i="59"/>
  <c r="E152" i="59" s="1"/>
  <c r="J147" i="75"/>
  <c r="J144" i="33"/>
  <c r="I154" i="18"/>
  <c r="H154" i="18"/>
  <c r="H155" i="18" s="1"/>
  <c r="F154" i="45"/>
  <c r="G154" i="45" s="1"/>
  <c r="D153" i="56"/>
  <c r="G152" i="56"/>
  <c r="J153" i="45"/>
  <c r="J152" i="42"/>
  <c r="H151" i="57"/>
  <c r="I151" i="57"/>
  <c r="E152" i="57"/>
  <c r="F152" i="57" s="1"/>
  <c r="B152" i="57"/>
  <c r="J150" i="55"/>
  <c r="G145" i="13"/>
  <c r="D146" i="13"/>
  <c r="E146" i="13" s="1"/>
  <c r="G147" i="83"/>
  <c r="D148" i="83"/>
  <c r="E148" i="83" s="1"/>
  <c r="G148" i="75"/>
  <c r="D149" i="75"/>
  <c r="E149" i="75" s="1"/>
  <c r="G145" i="33"/>
  <c r="D146" i="33"/>
  <c r="E146" i="33" s="1"/>
  <c r="H146" i="82"/>
  <c r="I146" i="82"/>
  <c r="H146" i="94"/>
  <c r="I146" i="94"/>
  <c r="G146" i="93"/>
  <c r="D147" i="93"/>
  <c r="B154" i="3"/>
  <c r="J147" i="76"/>
  <c r="D149" i="77"/>
  <c r="G148" i="77"/>
  <c r="H146" i="95"/>
  <c r="I146" i="95"/>
  <c r="B146" i="87"/>
  <c r="F146" i="87"/>
  <c r="G148" i="76"/>
  <c r="D149" i="76"/>
  <c r="E149" i="76" s="1"/>
  <c r="B147" i="82"/>
  <c r="F147" i="82"/>
  <c r="B147" i="94"/>
  <c r="F147" i="94"/>
  <c r="J154" i="17"/>
  <c r="J155" i="17" s="1"/>
  <c r="I155" i="17"/>
  <c r="H148" i="67"/>
  <c r="I148" i="67"/>
  <c r="I153" i="3"/>
  <c r="H153" i="3"/>
  <c r="F153" i="44"/>
  <c r="B153" i="44"/>
  <c r="I145" i="87"/>
  <c r="H145" i="87"/>
  <c r="G147" i="80"/>
  <c r="D148" i="80"/>
  <c r="E148" i="80" s="1"/>
  <c r="F149" i="67"/>
  <c r="B149" i="67"/>
  <c r="H152" i="44"/>
  <c r="I152" i="44"/>
  <c r="B146" i="96"/>
  <c r="F146" i="96"/>
  <c r="J153" i="21"/>
  <c r="J154" i="34"/>
  <c r="J155" i="34" s="1"/>
  <c r="I155" i="34"/>
  <c r="G151" i="55"/>
  <c r="D152" i="55"/>
  <c r="E152" i="55" s="1"/>
  <c r="J150" i="54"/>
  <c r="B147" i="95"/>
  <c r="F147" i="95"/>
  <c r="D154" i="42"/>
  <c r="E154" i="42" s="1"/>
  <c r="E155" i="42" s="1"/>
  <c r="G153" i="42"/>
  <c r="D152" i="54"/>
  <c r="E152" i="54" s="1"/>
  <c r="G151" i="54"/>
  <c r="E154" i="3"/>
  <c r="E155" i="3" s="1"/>
  <c r="I154" i="21"/>
  <c r="H154" i="21"/>
  <c r="H155" i="21" s="1"/>
  <c r="H145" i="96"/>
  <c r="I145" i="96"/>
  <c r="B146" i="25" l="1"/>
  <c r="E146" i="25"/>
  <c r="F146" i="25" s="1"/>
  <c r="H145" i="25"/>
  <c r="I145" i="25"/>
  <c r="D151" i="64"/>
  <c r="E151" i="64" s="1"/>
  <c r="F151" i="64" s="1"/>
  <c r="I71" i="98"/>
  <c r="F72" i="98"/>
  <c r="I67" i="94"/>
  <c r="E146" i="99"/>
  <c r="F146" i="99" s="1"/>
  <c r="H145" i="99"/>
  <c r="I145" i="99"/>
  <c r="I67" i="91"/>
  <c r="B70" i="79"/>
  <c r="I69" i="79"/>
  <c r="G72" i="57"/>
  <c r="G73" i="57" s="1"/>
  <c r="I155" i="22"/>
  <c r="H154" i="20"/>
  <c r="H155" i="20" s="1"/>
  <c r="I154" i="20"/>
  <c r="F70" i="79"/>
  <c r="D71" i="79" s="1"/>
  <c r="B71" i="79" s="1"/>
  <c r="H72" i="45"/>
  <c r="I72" i="45" s="1"/>
  <c r="I73" i="45" s="1"/>
  <c r="D147" i="98"/>
  <c r="G146" i="98"/>
  <c r="D147" i="97"/>
  <c r="G146" i="97"/>
  <c r="E150" i="68"/>
  <c r="F150" i="68" s="1"/>
  <c r="B150" i="68"/>
  <c r="H149" i="68"/>
  <c r="I149" i="68"/>
  <c r="B151" i="64"/>
  <c r="H150" i="64"/>
  <c r="I150" i="64"/>
  <c r="D69" i="91"/>
  <c r="E69" i="91" s="1"/>
  <c r="F69" i="91" s="1"/>
  <c r="D70" i="91" s="1"/>
  <c r="H68" i="91"/>
  <c r="I68" i="91" s="1"/>
  <c r="I70" i="86"/>
  <c r="I71" i="61"/>
  <c r="E72" i="80"/>
  <c r="E73" i="80" s="1"/>
  <c r="B72" i="80"/>
  <c r="J154" i="31"/>
  <c r="J155" i="31" s="1"/>
  <c r="G72" i="75"/>
  <c r="G73" i="75" s="1"/>
  <c r="B71" i="80"/>
  <c r="H71" i="80"/>
  <c r="G71" i="80"/>
  <c r="E72" i="61"/>
  <c r="E73" i="61" s="1"/>
  <c r="I70" i="80"/>
  <c r="E68" i="94"/>
  <c r="F68" i="94" s="1"/>
  <c r="H68" i="94" s="1"/>
  <c r="B68" i="94"/>
  <c r="I70" i="78"/>
  <c r="E73" i="63"/>
  <c r="F72" i="63"/>
  <c r="D70" i="84"/>
  <c r="E70" i="84" s="1"/>
  <c r="F70" i="84" s="1"/>
  <c r="B70" i="93"/>
  <c r="F70" i="93"/>
  <c r="H70" i="93" s="1"/>
  <c r="H69" i="84"/>
  <c r="I69" i="84" s="1"/>
  <c r="H70" i="90"/>
  <c r="D71" i="90"/>
  <c r="H73" i="75"/>
  <c r="B70" i="90"/>
  <c r="G70" i="90"/>
  <c r="E72" i="78"/>
  <c r="E73" i="78" s="1"/>
  <c r="H66" i="96"/>
  <c r="D67" i="96"/>
  <c r="E67" i="96" s="1"/>
  <c r="G66" i="96"/>
  <c r="I67" i="92"/>
  <c r="E71" i="76"/>
  <c r="F71" i="76" s="1"/>
  <c r="B71" i="76"/>
  <c r="B69" i="81"/>
  <c r="E71" i="86"/>
  <c r="F71" i="86" s="1"/>
  <c r="B71" i="86"/>
  <c r="E69" i="81"/>
  <c r="F69" i="81" s="1"/>
  <c r="I67" i="95"/>
  <c r="B72" i="85"/>
  <c r="F72" i="85"/>
  <c r="H72" i="85" s="1"/>
  <c r="E68" i="95"/>
  <c r="F68" i="95" s="1"/>
  <c r="B68" i="95"/>
  <c r="D69" i="92"/>
  <c r="G68" i="92"/>
  <c r="H68" i="92"/>
  <c r="H69" i="88"/>
  <c r="D70" i="88"/>
  <c r="G69" i="88"/>
  <c r="D69" i="89"/>
  <c r="I72" i="64"/>
  <c r="I73" i="64" s="1"/>
  <c r="H73" i="64"/>
  <c r="H68" i="89"/>
  <c r="I71" i="77"/>
  <c r="B71" i="78"/>
  <c r="G71" i="78"/>
  <c r="H71" i="78"/>
  <c r="F72" i="77"/>
  <c r="B68" i="83"/>
  <c r="B72" i="78"/>
  <c r="G68" i="89"/>
  <c r="I67" i="83"/>
  <c r="E68" i="83"/>
  <c r="F68" i="83" s="1"/>
  <c r="J153" i="41"/>
  <c r="F154" i="73"/>
  <c r="G154" i="73" s="1"/>
  <c r="I154" i="73" s="1"/>
  <c r="I155" i="73" s="1"/>
  <c r="J149" i="60"/>
  <c r="I153" i="39"/>
  <c r="H153" i="39"/>
  <c r="E154" i="39"/>
  <c r="B154" i="39"/>
  <c r="E149" i="78"/>
  <c r="F149" i="78" s="1"/>
  <c r="G149" i="78" s="1"/>
  <c r="E154" i="43"/>
  <c r="E155" i="43" s="1"/>
  <c r="B154" i="43"/>
  <c r="B68" i="25"/>
  <c r="D71" i="59"/>
  <c r="E71" i="59" s="1"/>
  <c r="F66" i="13"/>
  <c r="H66" i="13" s="1"/>
  <c r="B66" i="13"/>
  <c r="F154" i="41"/>
  <c r="G154" i="41" s="1"/>
  <c r="I153" i="43"/>
  <c r="H153" i="43"/>
  <c r="E68" i="25"/>
  <c r="F68" i="25" s="1"/>
  <c r="I69" i="62"/>
  <c r="J151" i="46"/>
  <c r="J151" i="72"/>
  <c r="H70" i="59"/>
  <c r="I70" i="59" s="1"/>
  <c r="G72" i="65"/>
  <c r="G73" i="65" s="1"/>
  <c r="H72" i="65"/>
  <c r="B68" i="33"/>
  <c r="F68" i="33"/>
  <c r="G68" i="33" s="1"/>
  <c r="F67" i="26"/>
  <c r="G67" i="26" s="1"/>
  <c r="B67" i="26"/>
  <c r="F67" i="87"/>
  <c r="B67" i="87"/>
  <c r="B70" i="62"/>
  <c r="F70" i="62"/>
  <c r="G70" i="62" s="1"/>
  <c r="G150" i="61"/>
  <c r="D151" i="61"/>
  <c r="B151" i="61" s="1"/>
  <c r="D148" i="88"/>
  <c r="G147" i="88"/>
  <c r="D151" i="65"/>
  <c r="G150" i="65"/>
  <c r="G152" i="53"/>
  <c r="D153" i="53"/>
  <c r="G150" i="60"/>
  <c r="D151" i="60"/>
  <c r="J151" i="58"/>
  <c r="J149" i="61"/>
  <c r="J151" i="53"/>
  <c r="H147" i="26"/>
  <c r="I147" i="26"/>
  <c r="E147" i="89"/>
  <c r="F147" i="89" s="1"/>
  <c r="I146" i="91"/>
  <c r="H146" i="91"/>
  <c r="I154" i="19"/>
  <c r="H154" i="19"/>
  <c r="H155" i="19" s="1"/>
  <c r="B152" i="62"/>
  <c r="E152" i="62"/>
  <c r="F152" i="62" s="1"/>
  <c r="G152" i="74"/>
  <c r="D153" i="74"/>
  <c r="D153" i="46"/>
  <c r="B153" i="46" s="1"/>
  <c r="G152" i="46"/>
  <c r="J150" i="63"/>
  <c r="G152" i="58"/>
  <c r="D153" i="58"/>
  <c r="I149" i="66"/>
  <c r="H149" i="66"/>
  <c r="H151" i="62"/>
  <c r="I151" i="62"/>
  <c r="D147" i="90"/>
  <c r="G146" i="90"/>
  <c r="B148" i="81"/>
  <c r="G148" i="79"/>
  <c r="D149" i="79"/>
  <c r="G147" i="85"/>
  <c r="D148" i="85"/>
  <c r="J151" i="74"/>
  <c r="D147" i="86"/>
  <c r="G146" i="86"/>
  <c r="H146" i="89"/>
  <c r="I146" i="89"/>
  <c r="D152" i="63"/>
  <c r="G151" i="63"/>
  <c r="E150" i="66"/>
  <c r="F150" i="66" s="1"/>
  <c r="B150" i="66"/>
  <c r="J147" i="79"/>
  <c r="G152" i="72"/>
  <c r="D153" i="72"/>
  <c r="I147" i="81"/>
  <c r="H147" i="81"/>
  <c r="J153" i="73"/>
  <c r="E148" i="26"/>
  <c r="F148" i="26" s="1"/>
  <c r="B148" i="26"/>
  <c r="G146" i="92"/>
  <c r="D147" i="92"/>
  <c r="H148" i="78"/>
  <c r="I148" i="78"/>
  <c r="E147" i="91"/>
  <c r="F147" i="91" s="1"/>
  <c r="B147" i="91"/>
  <c r="G146" i="84"/>
  <c r="D147" i="84"/>
  <c r="J149" i="65"/>
  <c r="E148" i="81"/>
  <c r="F148" i="81" s="1"/>
  <c r="J153" i="3"/>
  <c r="J151" i="57"/>
  <c r="I154" i="45"/>
  <c r="H154" i="45"/>
  <c r="H155" i="45" s="1"/>
  <c r="H151" i="59"/>
  <c r="I151" i="59"/>
  <c r="I152" i="56"/>
  <c r="H152" i="56"/>
  <c r="J154" i="18"/>
  <c r="J155" i="18" s="1"/>
  <c r="I155" i="18"/>
  <c r="E153" i="56"/>
  <c r="F153" i="56" s="1"/>
  <c r="B153" i="56"/>
  <c r="F152" i="59"/>
  <c r="B152" i="59"/>
  <c r="D153" i="57"/>
  <c r="E153" i="57" s="1"/>
  <c r="G152" i="57"/>
  <c r="D148" i="95"/>
  <c r="E148" i="95" s="1"/>
  <c r="G147" i="95"/>
  <c r="H151" i="55"/>
  <c r="I151" i="55"/>
  <c r="J152" i="44"/>
  <c r="G153" i="44"/>
  <c r="D154" i="44"/>
  <c r="E154" i="44" s="1"/>
  <c r="E155" i="44" s="1"/>
  <c r="B149" i="77"/>
  <c r="H145" i="33"/>
  <c r="I145" i="33"/>
  <c r="B152" i="54"/>
  <c r="F152" i="54"/>
  <c r="H153" i="42"/>
  <c r="I153" i="42"/>
  <c r="B148" i="80"/>
  <c r="F148" i="80"/>
  <c r="G147" i="94"/>
  <c r="D148" i="94"/>
  <c r="E148" i="94" s="1"/>
  <c r="B149" i="76"/>
  <c r="F149" i="76"/>
  <c r="B147" i="93"/>
  <c r="B149" i="75"/>
  <c r="F149" i="75"/>
  <c r="G146" i="96"/>
  <c r="D147" i="96"/>
  <c r="E147" i="96" s="1"/>
  <c r="H147" i="80"/>
  <c r="I147" i="80"/>
  <c r="H148" i="76"/>
  <c r="I148" i="76"/>
  <c r="G146" i="87"/>
  <c r="D147" i="87"/>
  <c r="E147" i="87" s="1"/>
  <c r="H148" i="77"/>
  <c r="I148" i="77"/>
  <c r="F154" i="3"/>
  <c r="G154" i="3" s="1"/>
  <c r="I146" i="93"/>
  <c r="H146" i="93"/>
  <c r="I148" i="75"/>
  <c r="H148" i="75"/>
  <c r="B148" i="83"/>
  <c r="F148" i="83"/>
  <c r="F146" i="13"/>
  <c r="B146" i="13"/>
  <c r="J154" i="21"/>
  <c r="J155" i="21" s="1"/>
  <c r="I155" i="21"/>
  <c r="H151" i="54"/>
  <c r="I151" i="54"/>
  <c r="B154" i="42"/>
  <c r="F154" i="42"/>
  <c r="G154" i="42" s="1"/>
  <c r="B152" i="55"/>
  <c r="F152" i="55"/>
  <c r="G149" i="67"/>
  <c r="D150" i="67"/>
  <c r="E150" i="67" s="1"/>
  <c r="J148" i="67"/>
  <c r="G147" i="82"/>
  <c r="D148" i="82"/>
  <c r="E148" i="82" s="1"/>
  <c r="E149" i="77"/>
  <c r="F149" i="77" s="1"/>
  <c r="E147" i="93"/>
  <c r="F147" i="93" s="1"/>
  <c r="B146" i="33"/>
  <c r="F146" i="33"/>
  <c r="I147" i="83"/>
  <c r="H147" i="83"/>
  <c r="I145" i="13"/>
  <c r="H145" i="13"/>
  <c r="I70" i="90" l="1"/>
  <c r="J145" i="25"/>
  <c r="I72" i="57"/>
  <c r="I73" i="57" s="1"/>
  <c r="G146" i="25"/>
  <c r="D147" i="25"/>
  <c r="H72" i="98"/>
  <c r="G72" i="98"/>
  <c r="G73" i="98" s="1"/>
  <c r="D147" i="99"/>
  <c r="G146" i="99"/>
  <c r="G70" i="79"/>
  <c r="H70" i="79"/>
  <c r="E71" i="79"/>
  <c r="F71" i="79" s="1"/>
  <c r="H71" i="79" s="1"/>
  <c r="H73" i="45"/>
  <c r="H154" i="73"/>
  <c r="H155" i="73" s="1"/>
  <c r="J154" i="20"/>
  <c r="J155" i="20" s="1"/>
  <c r="I155" i="20"/>
  <c r="F72" i="80"/>
  <c r="H72" i="80" s="1"/>
  <c r="H73" i="80" s="1"/>
  <c r="D150" i="78"/>
  <c r="E150" i="78" s="1"/>
  <c r="F150" i="78" s="1"/>
  <c r="J150" i="64"/>
  <c r="J149" i="68"/>
  <c r="I146" i="97"/>
  <c r="H146" i="97"/>
  <c r="E147" i="97"/>
  <c r="F147" i="97" s="1"/>
  <c r="B147" i="97"/>
  <c r="H146" i="98"/>
  <c r="I146" i="98"/>
  <c r="E147" i="98"/>
  <c r="F147" i="98" s="1"/>
  <c r="B147" i="98"/>
  <c r="G150" i="68"/>
  <c r="D151" i="68"/>
  <c r="G151" i="64"/>
  <c r="D152" i="64"/>
  <c r="J148" i="78"/>
  <c r="G68" i="94"/>
  <c r="I68" i="94" s="1"/>
  <c r="G70" i="93"/>
  <c r="I70" i="93" s="1"/>
  <c r="E70" i="91"/>
  <c r="F70" i="91" s="1"/>
  <c r="G70" i="91" s="1"/>
  <c r="B70" i="91"/>
  <c r="B69" i="91"/>
  <c r="H69" i="91"/>
  <c r="G69" i="91"/>
  <c r="I71" i="80"/>
  <c r="H68" i="33"/>
  <c r="I68" i="33" s="1"/>
  <c r="F72" i="61"/>
  <c r="G66" i="13"/>
  <c r="I66" i="13" s="1"/>
  <c r="G72" i="85"/>
  <c r="G73" i="85" s="1"/>
  <c r="D69" i="94"/>
  <c r="E69" i="94" s="1"/>
  <c r="F69" i="94" s="1"/>
  <c r="H72" i="63"/>
  <c r="G72" i="63"/>
  <c r="G73" i="63" s="1"/>
  <c r="I72" i="75"/>
  <c r="I73" i="75" s="1"/>
  <c r="D71" i="84"/>
  <c r="E71" i="90"/>
  <c r="F71" i="90" s="1"/>
  <c r="B71" i="90"/>
  <c r="B70" i="84"/>
  <c r="G70" i="84"/>
  <c r="H70" i="84"/>
  <c r="D71" i="93"/>
  <c r="E71" i="93" s="1"/>
  <c r="F71" i="93" s="1"/>
  <c r="G68" i="95"/>
  <c r="D69" i="95"/>
  <c r="H68" i="95"/>
  <c r="H71" i="86"/>
  <c r="G71" i="86"/>
  <c r="D72" i="86"/>
  <c r="G71" i="76"/>
  <c r="D72" i="76"/>
  <c r="H71" i="76"/>
  <c r="H69" i="81"/>
  <c r="D70" i="81"/>
  <c r="G69" i="81"/>
  <c r="F67" i="96"/>
  <c r="H67" i="96" s="1"/>
  <c r="B67" i="96"/>
  <c r="H73" i="85"/>
  <c r="H67" i="26"/>
  <c r="I67" i="26" s="1"/>
  <c r="I66" i="96"/>
  <c r="F72" i="78"/>
  <c r="I69" i="88"/>
  <c r="D69" i="83"/>
  <c r="E69" i="83" s="1"/>
  <c r="F69" i="83" s="1"/>
  <c r="D70" i="83" s="1"/>
  <c r="G68" i="83"/>
  <c r="H68" i="83"/>
  <c r="I71" i="78"/>
  <c r="I68" i="92"/>
  <c r="H72" i="77"/>
  <c r="G72" i="77"/>
  <c r="G73" i="77" s="1"/>
  <c r="H70" i="62"/>
  <c r="I70" i="62" s="1"/>
  <c r="I68" i="89"/>
  <c r="E70" i="88"/>
  <c r="F70" i="88" s="1"/>
  <c r="D71" i="88" s="1"/>
  <c r="B70" i="88"/>
  <c r="B69" i="92"/>
  <c r="B69" i="89"/>
  <c r="E69" i="89"/>
  <c r="F69" i="89" s="1"/>
  <c r="E69" i="92"/>
  <c r="F69" i="92" s="1"/>
  <c r="E155" i="39"/>
  <c r="F154" i="39"/>
  <c r="G154" i="39" s="1"/>
  <c r="J153" i="39"/>
  <c r="D69" i="25"/>
  <c r="E69" i="25" s="1"/>
  <c r="H68" i="25"/>
  <c r="G68" i="25"/>
  <c r="J151" i="62"/>
  <c r="J154" i="73"/>
  <c r="J155" i="73" s="1"/>
  <c r="D68" i="87"/>
  <c r="B71" i="59"/>
  <c r="F71" i="59"/>
  <c r="G71" i="59" s="1"/>
  <c r="J152" i="56"/>
  <c r="D71" i="62"/>
  <c r="E71" i="62" s="1"/>
  <c r="H67" i="87"/>
  <c r="D69" i="33"/>
  <c r="E69" i="33" s="1"/>
  <c r="I72" i="65"/>
  <c r="I73" i="65" s="1"/>
  <c r="H73" i="65"/>
  <c r="J153" i="43"/>
  <c r="D67" i="13"/>
  <c r="E67" i="13" s="1"/>
  <c r="F154" i="43"/>
  <c r="G154" i="43" s="1"/>
  <c r="G67" i="87"/>
  <c r="D68" i="26"/>
  <c r="E68" i="26" s="1"/>
  <c r="H154" i="41"/>
  <c r="H155" i="41" s="1"/>
  <c r="I154" i="41"/>
  <c r="G150" i="66"/>
  <c r="D151" i="66"/>
  <c r="D148" i="91"/>
  <c r="B148" i="91" s="1"/>
  <c r="G147" i="91"/>
  <c r="G152" i="62"/>
  <c r="D153" i="62"/>
  <c r="B153" i="62" s="1"/>
  <c r="G148" i="81"/>
  <c r="D149" i="81"/>
  <c r="B149" i="81" s="1"/>
  <c r="G148" i="26"/>
  <c r="D149" i="26"/>
  <c r="B149" i="26" s="1"/>
  <c r="E148" i="85"/>
  <c r="F148" i="85" s="1"/>
  <c r="B148" i="85"/>
  <c r="J154" i="19"/>
  <c r="J155" i="19" s="1"/>
  <c r="I155" i="19"/>
  <c r="J147" i="26"/>
  <c r="H152" i="53"/>
  <c r="I152" i="53"/>
  <c r="E148" i="88"/>
  <c r="F148" i="88" s="1"/>
  <c r="B148" i="88"/>
  <c r="H146" i="84"/>
  <c r="I146" i="84"/>
  <c r="H152" i="72"/>
  <c r="I152" i="72"/>
  <c r="J151" i="54"/>
  <c r="J151" i="55"/>
  <c r="H151" i="63"/>
  <c r="I151" i="63"/>
  <c r="I146" i="86"/>
  <c r="H146" i="86"/>
  <c r="H147" i="85"/>
  <c r="I147" i="85"/>
  <c r="H149" i="78"/>
  <c r="I149" i="78"/>
  <c r="E153" i="46"/>
  <c r="F153" i="46" s="1"/>
  <c r="E151" i="60"/>
  <c r="F151" i="60" s="1"/>
  <c r="B151" i="60"/>
  <c r="H150" i="65"/>
  <c r="I150" i="65"/>
  <c r="E151" i="61"/>
  <c r="F151" i="61" s="1"/>
  <c r="E147" i="92"/>
  <c r="F147" i="92" s="1"/>
  <c r="B147" i="92"/>
  <c r="E152" i="63"/>
  <c r="F152" i="63" s="1"/>
  <c r="B152" i="63"/>
  <c r="E147" i="86"/>
  <c r="F147" i="86" s="1"/>
  <c r="B147" i="86"/>
  <c r="E149" i="79"/>
  <c r="F149" i="79" s="1"/>
  <c r="B149" i="79"/>
  <c r="I146" i="90"/>
  <c r="H146" i="90"/>
  <c r="E153" i="58"/>
  <c r="F153" i="58" s="1"/>
  <c r="B153" i="58"/>
  <c r="H152" i="46"/>
  <c r="I152" i="46"/>
  <c r="E153" i="74"/>
  <c r="F153" i="74" s="1"/>
  <c r="B153" i="74"/>
  <c r="H150" i="60"/>
  <c r="I150" i="60"/>
  <c r="E151" i="65"/>
  <c r="F151" i="65" s="1"/>
  <c r="B151" i="65"/>
  <c r="J153" i="42"/>
  <c r="E147" i="84"/>
  <c r="F147" i="84" s="1"/>
  <c r="B147" i="84"/>
  <c r="I146" i="92"/>
  <c r="H146" i="92"/>
  <c r="E153" i="72"/>
  <c r="F153" i="72" s="1"/>
  <c r="B153" i="72"/>
  <c r="I148" i="79"/>
  <c r="H148" i="79"/>
  <c r="E147" i="90"/>
  <c r="F147" i="90" s="1"/>
  <c r="B147" i="90"/>
  <c r="J149" i="66"/>
  <c r="I152" i="58"/>
  <c r="H152" i="58"/>
  <c r="H152" i="74"/>
  <c r="I152" i="74"/>
  <c r="G147" i="89"/>
  <c r="D148" i="89"/>
  <c r="E153" i="53"/>
  <c r="F153" i="53" s="1"/>
  <c r="B153" i="53"/>
  <c r="I147" i="88"/>
  <c r="H147" i="88"/>
  <c r="H150" i="61"/>
  <c r="I150" i="61"/>
  <c r="D154" i="56"/>
  <c r="G153" i="56"/>
  <c r="J148" i="77"/>
  <c r="D153" i="59"/>
  <c r="G152" i="59"/>
  <c r="J154" i="45"/>
  <c r="J155" i="45" s="1"/>
  <c r="I155" i="45"/>
  <c r="J151" i="59"/>
  <c r="J145" i="33"/>
  <c r="H152" i="57"/>
  <c r="I152" i="57"/>
  <c r="B153" i="57"/>
  <c r="F153" i="57"/>
  <c r="G147" i="93"/>
  <c r="D148" i="93"/>
  <c r="E148" i="93" s="1"/>
  <c r="D150" i="77"/>
  <c r="E150" i="77" s="1"/>
  <c r="G149" i="77"/>
  <c r="I154" i="42"/>
  <c r="H154" i="42"/>
  <c r="H155" i="42" s="1"/>
  <c r="I154" i="3"/>
  <c r="H154" i="3"/>
  <c r="H155" i="3" s="1"/>
  <c r="J148" i="76"/>
  <c r="G149" i="75"/>
  <c r="D150" i="75"/>
  <c r="E150" i="75" s="1"/>
  <c r="H147" i="94"/>
  <c r="I147" i="94"/>
  <c r="H153" i="44"/>
  <c r="I153" i="44"/>
  <c r="B148" i="82"/>
  <c r="F148" i="82"/>
  <c r="B150" i="67"/>
  <c r="F150" i="67"/>
  <c r="G146" i="13"/>
  <c r="D147" i="13"/>
  <c r="E147" i="13" s="1"/>
  <c r="D149" i="80"/>
  <c r="E149" i="80" s="1"/>
  <c r="G148" i="80"/>
  <c r="D153" i="54"/>
  <c r="E153" i="54" s="1"/>
  <c r="G152" i="54"/>
  <c r="B148" i="95"/>
  <c r="F148" i="95"/>
  <c r="H147" i="82"/>
  <c r="I147" i="82"/>
  <c r="I149" i="67"/>
  <c r="H149" i="67"/>
  <c r="D153" i="55"/>
  <c r="E153" i="55" s="1"/>
  <c r="G152" i="55"/>
  <c r="G148" i="83"/>
  <c r="D149" i="83"/>
  <c r="E149" i="83" s="1"/>
  <c r="F147" i="87"/>
  <c r="B147" i="87"/>
  <c r="F147" i="96"/>
  <c r="B147" i="96"/>
  <c r="D150" i="76"/>
  <c r="G149" i="76"/>
  <c r="G146" i="33"/>
  <c r="D147" i="33"/>
  <c r="E147" i="33" s="1"/>
  <c r="J148" i="75"/>
  <c r="I146" i="87"/>
  <c r="H146" i="87"/>
  <c r="I146" i="96"/>
  <c r="H146" i="96"/>
  <c r="B148" i="94"/>
  <c r="F148" i="94"/>
  <c r="B154" i="44"/>
  <c r="F154" i="44"/>
  <c r="G154" i="44" s="1"/>
  <c r="I147" i="95"/>
  <c r="H147" i="95"/>
  <c r="B147" i="25" l="1"/>
  <c r="E147" i="25"/>
  <c r="F147" i="25" s="1"/>
  <c r="I146" i="25"/>
  <c r="H146" i="25"/>
  <c r="I70" i="79"/>
  <c r="D72" i="79"/>
  <c r="E72" i="79" s="1"/>
  <c r="E73" i="79" s="1"/>
  <c r="G71" i="79"/>
  <c r="I71" i="79" s="1"/>
  <c r="H73" i="98"/>
  <c r="I72" i="98"/>
  <c r="I73" i="98" s="1"/>
  <c r="H146" i="99"/>
  <c r="I146" i="99"/>
  <c r="E147" i="99"/>
  <c r="F147" i="99" s="1"/>
  <c r="B147" i="99"/>
  <c r="G72" i="80"/>
  <c r="G73" i="80" s="1"/>
  <c r="B150" i="78"/>
  <c r="D148" i="98"/>
  <c r="G147" i="98"/>
  <c r="D148" i="97"/>
  <c r="G147" i="97"/>
  <c r="B151" i="68"/>
  <c r="E151" i="68"/>
  <c r="F151" i="68" s="1"/>
  <c r="H150" i="68"/>
  <c r="I150" i="68"/>
  <c r="E152" i="64"/>
  <c r="F152" i="64" s="1"/>
  <c r="B152" i="64"/>
  <c r="I151" i="64"/>
  <c r="H151" i="64"/>
  <c r="H70" i="91"/>
  <c r="I70" i="91" s="1"/>
  <c r="I69" i="91"/>
  <c r="D71" i="91"/>
  <c r="E71" i="91" s="1"/>
  <c r="F71" i="91" s="1"/>
  <c r="D70" i="94"/>
  <c r="E70" i="94" s="1"/>
  <c r="F70" i="94" s="1"/>
  <c r="I72" i="85"/>
  <c r="I73" i="85" s="1"/>
  <c r="I68" i="95"/>
  <c r="H72" i="61"/>
  <c r="G72" i="61"/>
  <c r="G73" i="61" s="1"/>
  <c r="I72" i="63"/>
  <c r="I73" i="63" s="1"/>
  <c r="H73" i="63"/>
  <c r="B69" i="94"/>
  <c r="G69" i="94"/>
  <c r="H69" i="94"/>
  <c r="D72" i="90"/>
  <c r="H71" i="90"/>
  <c r="G71" i="90"/>
  <c r="D72" i="93"/>
  <c r="E72" i="93" s="1"/>
  <c r="E73" i="93" s="1"/>
  <c r="B71" i="93"/>
  <c r="H71" i="93"/>
  <c r="G71" i="93"/>
  <c r="B71" i="84"/>
  <c r="I70" i="84"/>
  <c r="E71" i="84"/>
  <c r="F71" i="84" s="1"/>
  <c r="D72" i="84" s="1"/>
  <c r="G67" i="96"/>
  <c r="I67" i="96" s="1"/>
  <c r="D68" i="96"/>
  <c r="I71" i="76"/>
  <c r="H72" i="78"/>
  <c r="G72" i="78"/>
  <c r="G73" i="78" s="1"/>
  <c r="E72" i="76"/>
  <c r="E73" i="76" s="1"/>
  <c r="B72" i="76"/>
  <c r="E70" i="81"/>
  <c r="F70" i="81" s="1"/>
  <c r="B70" i="81"/>
  <c r="E72" i="86"/>
  <c r="E73" i="86" s="1"/>
  <c r="B72" i="86"/>
  <c r="E69" i="95"/>
  <c r="F69" i="95" s="1"/>
  <c r="B69" i="95"/>
  <c r="I69" i="81"/>
  <c r="I71" i="86"/>
  <c r="D70" i="92"/>
  <c r="E70" i="92" s="1"/>
  <c r="F70" i="92" s="1"/>
  <c r="D71" i="92" s="1"/>
  <c r="H69" i="92"/>
  <c r="G69" i="92"/>
  <c r="E70" i="83"/>
  <c r="F70" i="83" s="1"/>
  <c r="D71" i="83" s="1"/>
  <c r="B70" i="83"/>
  <c r="E71" i="88"/>
  <c r="F71" i="88" s="1"/>
  <c r="B71" i="88"/>
  <c r="I68" i="83"/>
  <c r="I67" i="87"/>
  <c r="D70" i="89"/>
  <c r="E70" i="89" s="1"/>
  <c r="G69" i="89"/>
  <c r="G70" i="88"/>
  <c r="B72" i="79"/>
  <c r="F72" i="79"/>
  <c r="G72" i="79" s="1"/>
  <c r="G73" i="79" s="1"/>
  <c r="H69" i="89"/>
  <c r="H70" i="88"/>
  <c r="I72" i="77"/>
  <c r="I73" i="77" s="1"/>
  <c r="H73" i="77"/>
  <c r="B69" i="83"/>
  <c r="H69" i="83"/>
  <c r="G69" i="83"/>
  <c r="J148" i="79"/>
  <c r="E149" i="81"/>
  <c r="F149" i="81" s="1"/>
  <c r="D150" i="81" s="1"/>
  <c r="B150" i="81" s="1"/>
  <c r="E149" i="26"/>
  <c r="F149" i="26" s="1"/>
  <c r="I154" i="39"/>
  <c r="H154" i="39"/>
  <c r="H155" i="39" s="1"/>
  <c r="J149" i="78"/>
  <c r="F68" i="26"/>
  <c r="G68" i="26" s="1"/>
  <c r="B68" i="26"/>
  <c r="D72" i="59"/>
  <c r="J150" i="61"/>
  <c r="J150" i="60"/>
  <c r="J151" i="63"/>
  <c r="J152" i="72"/>
  <c r="E153" i="62"/>
  <c r="F153" i="62" s="1"/>
  <c r="D154" i="62" s="1"/>
  <c r="B154" i="62" s="1"/>
  <c r="J154" i="41"/>
  <c r="J155" i="41" s="1"/>
  <c r="I155" i="41"/>
  <c r="H154" i="43"/>
  <c r="H155" i="43" s="1"/>
  <c r="I154" i="43"/>
  <c r="B68" i="87"/>
  <c r="F69" i="25"/>
  <c r="G69" i="25" s="1"/>
  <c r="B69" i="25"/>
  <c r="E68" i="87"/>
  <c r="F68" i="87" s="1"/>
  <c r="F67" i="13"/>
  <c r="G67" i="13" s="1"/>
  <c r="B67" i="13"/>
  <c r="B69" i="33"/>
  <c r="F69" i="33"/>
  <c r="G69" i="33" s="1"/>
  <c r="B71" i="62"/>
  <c r="F71" i="62"/>
  <c r="H71" i="62" s="1"/>
  <c r="H71" i="59"/>
  <c r="I71" i="59" s="1"/>
  <c r="I68" i="25"/>
  <c r="G151" i="65"/>
  <c r="D152" i="65"/>
  <c r="G153" i="53"/>
  <c r="D154" i="53"/>
  <c r="D150" i="79"/>
  <c r="G149" i="79"/>
  <c r="G147" i="92"/>
  <c r="D148" i="92"/>
  <c r="B148" i="92" s="1"/>
  <c r="D148" i="84"/>
  <c r="B148" i="84" s="1"/>
  <c r="G147" i="84"/>
  <c r="G147" i="90"/>
  <c r="D148" i="90"/>
  <c r="G148" i="85"/>
  <c r="D149" i="85"/>
  <c r="H147" i="91"/>
  <c r="I147" i="91"/>
  <c r="E148" i="89"/>
  <c r="F148" i="89" s="1"/>
  <c r="B148" i="89"/>
  <c r="D154" i="72"/>
  <c r="G153" i="72"/>
  <c r="G147" i="86"/>
  <c r="D148" i="86"/>
  <c r="B148" i="86" s="1"/>
  <c r="D153" i="63"/>
  <c r="G152" i="63"/>
  <c r="D152" i="60"/>
  <c r="B152" i="60" s="1"/>
  <c r="G151" i="60"/>
  <c r="D154" i="46"/>
  <c r="E154" i="46" s="1"/>
  <c r="E155" i="46" s="1"/>
  <c r="G153" i="46"/>
  <c r="G148" i="88"/>
  <c r="D149" i="88"/>
  <c r="G150" i="78"/>
  <c r="D151" i="78"/>
  <c r="H148" i="26"/>
  <c r="I148" i="26"/>
  <c r="I147" i="89"/>
  <c r="H147" i="89"/>
  <c r="J152" i="58"/>
  <c r="D154" i="58"/>
  <c r="G153" i="58"/>
  <c r="D152" i="61"/>
  <c r="G151" i="61"/>
  <c r="I152" i="62"/>
  <c r="H152" i="62"/>
  <c r="E151" i="66"/>
  <c r="F151" i="66" s="1"/>
  <c r="B151" i="66"/>
  <c r="G153" i="74"/>
  <c r="D154" i="74"/>
  <c r="J152" i="74"/>
  <c r="J152" i="46"/>
  <c r="J150" i="65"/>
  <c r="J152" i="53"/>
  <c r="H148" i="81"/>
  <c r="I148" i="81"/>
  <c r="E148" i="91"/>
  <c r="F148" i="91" s="1"/>
  <c r="I150" i="66"/>
  <c r="H150" i="66"/>
  <c r="E153" i="59"/>
  <c r="F153" i="59" s="1"/>
  <c r="B153" i="59"/>
  <c r="H153" i="56"/>
  <c r="I153" i="56"/>
  <c r="H152" i="59"/>
  <c r="I152" i="59"/>
  <c r="E154" i="56"/>
  <c r="E155" i="56" s="1"/>
  <c r="B154" i="56"/>
  <c r="J152" i="57"/>
  <c r="J149" i="67"/>
  <c r="D154" i="57"/>
  <c r="G153" i="57"/>
  <c r="B150" i="76"/>
  <c r="B147" i="33"/>
  <c r="F147" i="33"/>
  <c r="H149" i="76"/>
  <c r="I149" i="76"/>
  <c r="D148" i="96"/>
  <c r="E148" i="96" s="1"/>
  <c r="G147" i="96"/>
  <c r="D148" i="87"/>
  <c r="E148" i="87" s="1"/>
  <c r="G147" i="87"/>
  <c r="F153" i="55"/>
  <c r="B153" i="55"/>
  <c r="F150" i="75"/>
  <c r="B150" i="75"/>
  <c r="G148" i="94"/>
  <c r="D149" i="94"/>
  <c r="E149" i="94" s="1"/>
  <c r="H146" i="33"/>
  <c r="I146" i="33"/>
  <c r="E150" i="76"/>
  <c r="F150" i="76" s="1"/>
  <c r="H152" i="54"/>
  <c r="I152" i="54"/>
  <c r="B149" i="80"/>
  <c r="F149" i="80"/>
  <c r="D151" i="67"/>
  <c r="E151" i="67" s="1"/>
  <c r="G150" i="67"/>
  <c r="G148" i="82"/>
  <c r="D149" i="82"/>
  <c r="E149" i="82" s="1"/>
  <c r="J153" i="44"/>
  <c r="H149" i="75"/>
  <c r="I149" i="75"/>
  <c r="I149" i="77"/>
  <c r="H149" i="77"/>
  <c r="B148" i="93"/>
  <c r="F148" i="93"/>
  <c r="I154" i="44"/>
  <c r="H154" i="44"/>
  <c r="H155" i="44" s="1"/>
  <c r="B149" i="83"/>
  <c r="F149" i="83"/>
  <c r="H152" i="55"/>
  <c r="I152" i="55"/>
  <c r="F153" i="54"/>
  <c r="B153" i="54"/>
  <c r="B147" i="13"/>
  <c r="F147" i="13"/>
  <c r="H147" i="93"/>
  <c r="I147" i="93"/>
  <c r="H148" i="83"/>
  <c r="I148" i="83"/>
  <c r="D149" i="95"/>
  <c r="E149" i="95" s="1"/>
  <c r="G148" i="95"/>
  <c r="I148" i="80"/>
  <c r="H148" i="80"/>
  <c r="H146" i="13"/>
  <c r="I146" i="13"/>
  <c r="J154" i="3"/>
  <c r="J155" i="3" s="1"/>
  <c r="I155" i="3"/>
  <c r="J154" i="42"/>
  <c r="J155" i="42" s="1"/>
  <c r="I155" i="42"/>
  <c r="B150" i="77"/>
  <c r="F150" i="77"/>
  <c r="J146" i="25" l="1"/>
  <c r="G147" i="25"/>
  <c r="D148" i="25"/>
  <c r="D148" i="99"/>
  <c r="B148" i="99" s="1"/>
  <c r="G147" i="99"/>
  <c r="I72" i="80"/>
  <c r="I73" i="80" s="1"/>
  <c r="G149" i="81"/>
  <c r="H149" i="81" s="1"/>
  <c r="E154" i="62"/>
  <c r="E155" i="62" s="1"/>
  <c r="I147" i="97"/>
  <c r="H147" i="97"/>
  <c r="B148" i="97"/>
  <c r="H147" i="98"/>
  <c r="I147" i="98"/>
  <c r="J150" i="68"/>
  <c r="E148" i="97"/>
  <c r="F148" i="97" s="1"/>
  <c r="E148" i="98"/>
  <c r="F148" i="98" s="1"/>
  <c r="B148" i="98"/>
  <c r="G151" i="68"/>
  <c r="D152" i="68"/>
  <c r="J151" i="64"/>
  <c r="D153" i="64"/>
  <c r="G152" i="64"/>
  <c r="I69" i="94"/>
  <c r="D72" i="91"/>
  <c r="B71" i="91"/>
  <c r="G71" i="91"/>
  <c r="H71" i="91"/>
  <c r="D71" i="94"/>
  <c r="E71" i="94" s="1"/>
  <c r="F71" i="94" s="1"/>
  <c r="I72" i="61"/>
  <c r="I73" i="61" s="1"/>
  <c r="H73" i="61"/>
  <c r="B70" i="94"/>
  <c r="H70" i="94"/>
  <c r="G70" i="94"/>
  <c r="G71" i="84"/>
  <c r="I71" i="93"/>
  <c r="G70" i="83"/>
  <c r="H71" i="84"/>
  <c r="I71" i="90"/>
  <c r="E72" i="84"/>
  <c r="E73" i="84" s="1"/>
  <c r="B72" i="84"/>
  <c r="B72" i="93"/>
  <c r="F72" i="93"/>
  <c r="H72" i="93" s="1"/>
  <c r="H73" i="93" s="1"/>
  <c r="E72" i="90"/>
  <c r="E73" i="90" s="1"/>
  <c r="B72" i="90"/>
  <c r="G69" i="95"/>
  <c r="D70" i="95"/>
  <c r="H69" i="95"/>
  <c r="G70" i="81"/>
  <c r="D71" i="81"/>
  <c r="H70" i="81"/>
  <c r="I69" i="83"/>
  <c r="E68" i="96"/>
  <c r="F68" i="96" s="1"/>
  <c r="B68" i="96"/>
  <c r="F72" i="86"/>
  <c r="F72" i="76"/>
  <c r="I72" i="78"/>
  <c r="I73" i="78" s="1"/>
  <c r="H73" i="78"/>
  <c r="D72" i="88"/>
  <c r="G71" i="88"/>
  <c r="H71" i="88"/>
  <c r="E71" i="92"/>
  <c r="F71" i="92" s="1"/>
  <c r="G71" i="92" s="1"/>
  <c r="B71" i="92"/>
  <c r="H69" i="33"/>
  <c r="I69" i="33" s="1"/>
  <c r="I69" i="89"/>
  <c r="B70" i="89"/>
  <c r="F70" i="89"/>
  <c r="G70" i="89" s="1"/>
  <c r="E71" i="83"/>
  <c r="F71" i="83" s="1"/>
  <c r="B71" i="83"/>
  <c r="I69" i="92"/>
  <c r="H72" i="79"/>
  <c r="I70" i="88"/>
  <c r="H70" i="83"/>
  <c r="I70" i="83" s="1"/>
  <c r="B70" i="92"/>
  <c r="H70" i="92"/>
  <c r="G70" i="92"/>
  <c r="G153" i="62"/>
  <c r="J152" i="62"/>
  <c r="E148" i="84"/>
  <c r="F148" i="84" s="1"/>
  <c r="G148" i="84" s="1"/>
  <c r="D150" i="26"/>
  <c r="G149" i="26"/>
  <c r="J154" i="39"/>
  <c r="J155" i="39" s="1"/>
  <c r="I155" i="39"/>
  <c r="D69" i="87"/>
  <c r="H68" i="87"/>
  <c r="G68" i="87"/>
  <c r="D72" i="62"/>
  <c r="J154" i="43"/>
  <c r="J155" i="43" s="1"/>
  <c r="I155" i="43"/>
  <c r="D68" i="13"/>
  <c r="E68" i="13" s="1"/>
  <c r="D70" i="25"/>
  <c r="E70" i="25" s="1"/>
  <c r="B72" i="59"/>
  <c r="D69" i="26"/>
  <c r="J150" i="66"/>
  <c r="E148" i="86"/>
  <c r="F148" i="86" s="1"/>
  <c r="G148" i="86" s="1"/>
  <c r="G71" i="62"/>
  <c r="I71" i="62" s="1"/>
  <c r="D70" i="33"/>
  <c r="E70" i="33" s="1"/>
  <c r="H67" i="13"/>
  <c r="I67" i="13" s="1"/>
  <c r="H69" i="25"/>
  <c r="I69" i="25" s="1"/>
  <c r="E72" i="59"/>
  <c r="E73" i="59" s="1"/>
  <c r="H68" i="26"/>
  <c r="I68" i="26" s="1"/>
  <c r="D149" i="89"/>
  <c r="G148" i="89"/>
  <c r="G151" i="66"/>
  <c r="D152" i="66"/>
  <c r="B154" i="74"/>
  <c r="H151" i="60"/>
  <c r="I151" i="60"/>
  <c r="H153" i="72"/>
  <c r="I153" i="72"/>
  <c r="E154" i="53"/>
  <c r="E155" i="53" s="1"/>
  <c r="B154" i="53"/>
  <c r="H153" i="74"/>
  <c r="I153" i="74"/>
  <c r="H153" i="58"/>
  <c r="I153" i="58"/>
  <c r="E150" i="81"/>
  <c r="F150" i="81" s="1"/>
  <c r="H150" i="78"/>
  <c r="I150" i="78"/>
  <c r="H153" i="46"/>
  <c r="I153" i="46"/>
  <c r="B154" i="72"/>
  <c r="I148" i="85"/>
  <c r="H148" i="85"/>
  <c r="I147" i="84"/>
  <c r="H147" i="84"/>
  <c r="I147" i="92"/>
  <c r="H147" i="92"/>
  <c r="H153" i="53"/>
  <c r="I153" i="53"/>
  <c r="E151" i="78"/>
  <c r="F151" i="78" s="1"/>
  <c r="B151" i="78"/>
  <c r="E149" i="85"/>
  <c r="F149" i="85" s="1"/>
  <c r="B149" i="85"/>
  <c r="E154" i="58"/>
  <c r="E155" i="58" s="1"/>
  <c r="B154" i="58"/>
  <c r="E149" i="88"/>
  <c r="F149" i="88" s="1"/>
  <c r="B149" i="88"/>
  <c r="B154" i="46"/>
  <c r="F154" i="46"/>
  <c r="G154" i="46" s="1"/>
  <c r="I152" i="63"/>
  <c r="H152" i="63"/>
  <c r="H147" i="86"/>
  <c r="I147" i="86"/>
  <c r="E148" i="90"/>
  <c r="F148" i="90" s="1"/>
  <c r="B148" i="90"/>
  <c r="I149" i="79"/>
  <c r="H149" i="79"/>
  <c r="E152" i="65"/>
  <c r="F152" i="65" s="1"/>
  <c r="B152" i="65"/>
  <c r="E152" i="61"/>
  <c r="F152" i="61" s="1"/>
  <c r="B152" i="61"/>
  <c r="F154" i="56"/>
  <c r="G154" i="56" s="1"/>
  <c r="H154" i="56" s="1"/>
  <c r="H155" i="56" s="1"/>
  <c r="G148" i="91"/>
  <c r="D149" i="91"/>
  <c r="B149" i="91" s="1"/>
  <c r="E154" i="74"/>
  <c r="E155" i="74" s="1"/>
  <c r="I151" i="61"/>
  <c r="H151" i="61"/>
  <c r="J148" i="26"/>
  <c r="I148" i="88"/>
  <c r="H148" i="88"/>
  <c r="E152" i="60"/>
  <c r="F152" i="60" s="1"/>
  <c r="E153" i="63"/>
  <c r="F153" i="63" s="1"/>
  <c r="B153" i="63"/>
  <c r="E154" i="72"/>
  <c r="E155" i="72" s="1"/>
  <c r="I147" i="90"/>
  <c r="H147" i="90"/>
  <c r="E148" i="92"/>
  <c r="F148" i="92" s="1"/>
  <c r="E150" i="79"/>
  <c r="F150" i="79" s="1"/>
  <c r="B150" i="79"/>
  <c r="H151" i="65"/>
  <c r="I151" i="65"/>
  <c r="G153" i="59"/>
  <c r="D154" i="59"/>
  <c r="J153" i="56"/>
  <c r="J152" i="55"/>
  <c r="J152" i="59"/>
  <c r="J149" i="77"/>
  <c r="B154" i="57"/>
  <c r="J149" i="75"/>
  <c r="J149" i="76"/>
  <c r="H153" i="57"/>
  <c r="I153" i="57"/>
  <c r="J152" i="54"/>
  <c r="E154" i="57"/>
  <c r="E155" i="57" s="1"/>
  <c r="G150" i="76"/>
  <c r="D151" i="76"/>
  <c r="E151" i="76" s="1"/>
  <c r="I148" i="95"/>
  <c r="H148" i="95"/>
  <c r="G153" i="54"/>
  <c r="D154" i="54"/>
  <c r="J154" i="44"/>
  <c r="J155" i="44" s="1"/>
  <c r="I155" i="44"/>
  <c r="G153" i="55"/>
  <c r="D154" i="55"/>
  <c r="E154" i="55" s="1"/>
  <c r="E155" i="55" s="1"/>
  <c r="H147" i="96"/>
  <c r="I147" i="96"/>
  <c r="D150" i="83"/>
  <c r="E150" i="83" s="1"/>
  <c r="G149" i="83"/>
  <c r="D149" i="93"/>
  <c r="E149" i="93" s="1"/>
  <c r="G148" i="93"/>
  <c r="H150" i="67"/>
  <c r="I150" i="67"/>
  <c r="G147" i="33"/>
  <c r="D148" i="33"/>
  <c r="E148" i="33" s="1"/>
  <c r="B149" i="95"/>
  <c r="F149" i="95"/>
  <c r="F149" i="82"/>
  <c r="B149" i="82"/>
  <c r="B151" i="67"/>
  <c r="F151" i="67"/>
  <c r="G149" i="80"/>
  <c r="D150" i="80"/>
  <c r="E150" i="80" s="1"/>
  <c r="J146" i="33"/>
  <c r="F149" i="94"/>
  <c r="B149" i="94"/>
  <c r="I147" i="87"/>
  <c r="H147" i="87"/>
  <c r="F148" i="96"/>
  <c r="B148" i="96"/>
  <c r="D151" i="77"/>
  <c r="E151" i="77" s="1"/>
  <c r="G150" i="77"/>
  <c r="D148" i="13"/>
  <c r="G147" i="13"/>
  <c r="I148" i="82"/>
  <c r="H148" i="82"/>
  <c r="I148" i="94"/>
  <c r="H148" i="94"/>
  <c r="D151" i="75"/>
  <c r="G150" i="75"/>
  <c r="F148" i="87"/>
  <c r="B148" i="87"/>
  <c r="E148" i="25" l="1"/>
  <c r="F148" i="25" s="1"/>
  <c r="B148" i="25"/>
  <c r="H147" i="25"/>
  <c r="I147" i="25"/>
  <c r="I149" i="81"/>
  <c r="E148" i="99"/>
  <c r="F148" i="99" s="1"/>
  <c r="H147" i="99"/>
  <c r="I147" i="99"/>
  <c r="F154" i="62"/>
  <c r="G154" i="62" s="1"/>
  <c r="H154" i="62" s="1"/>
  <c r="F72" i="90"/>
  <c r="G72" i="90" s="1"/>
  <c r="G73" i="90" s="1"/>
  <c r="I71" i="88"/>
  <c r="D149" i="84"/>
  <c r="B149" i="84" s="1"/>
  <c r="D149" i="97"/>
  <c r="B149" i="97" s="1"/>
  <c r="G148" i="97"/>
  <c r="D149" i="98"/>
  <c r="G148" i="98"/>
  <c r="B152" i="68"/>
  <c r="E152" i="68"/>
  <c r="F152" i="68" s="1"/>
  <c r="H151" i="68"/>
  <c r="I151" i="68"/>
  <c r="H152" i="64"/>
  <c r="I152" i="64"/>
  <c r="E153" i="64"/>
  <c r="F153" i="64" s="1"/>
  <c r="B153" i="64"/>
  <c r="G72" i="93"/>
  <c r="G73" i="93" s="1"/>
  <c r="D149" i="86"/>
  <c r="B149" i="86" s="1"/>
  <c r="B72" i="91"/>
  <c r="I71" i="91"/>
  <c r="E72" i="91"/>
  <c r="E73" i="91" s="1"/>
  <c r="I71" i="84"/>
  <c r="D72" i="94"/>
  <c r="E72" i="94" s="1"/>
  <c r="E73" i="94" s="1"/>
  <c r="I70" i="94"/>
  <c r="B71" i="94"/>
  <c r="H71" i="94"/>
  <c r="G71" i="94"/>
  <c r="F72" i="84"/>
  <c r="I154" i="56"/>
  <c r="I155" i="56" s="1"/>
  <c r="I69" i="95"/>
  <c r="H68" i="96"/>
  <c r="D69" i="96"/>
  <c r="E69" i="96" s="1"/>
  <c r="F69" i="96" s="1"/>
  <c r="D70" i="96" s="1"/>
  <c r="G68" i="96"/>
  <c r="G72" i="86"/>
  <c r="G73" i="86" s="1"/>
  <c r="H72" i="86"/>
  <c r="G72" i="76"/>
  <c r="G73" i="76" s="1"/>
  <c r="H72" i="76"/>
  <c r="I70" i="81"/>
  <c r="E70" i="95"/>
  <c r="F70" i="95" s="1"/>
  <c r="D71" i="95" s="1"/>
  <c r="B70" i="95"/>
  <c r="E71" i="81"/>
  <c r="F71" i="81" s="1"/>
  <c r="H71" i="81" s="1"/>
  <c r="B71" i="81"/>
  <c r="I70" i="92"/>
  <c r="H71" i="83"/>
  <c r="D72" i="83"/>
  <c r="E72" i="83" s="1"/>
  <c r="E73" i="83" s="1"/>
  <c r="G71" i="83"/>
  <c r="I68" i="87"/>
  <c r="H71" i="92"/>
  <c r="I71" i="92" s="1"/>
  <c r="D72" i="92"/>
  <c r="B72" i="88"/>
  <c r="I72" i="79"/>
  <c r="I73" i="79" s="1"/>
  <c r="H73" i="79"/>
  <c r="H70" i="89"/>
  <c r="D71" i="89"/>
  <c r="E71" i="89" s="1"/>
  <c r="E72" i="88"/>
  <c r="E73" i="88" s="1"/>
  <c r="H153" i="62"/>
  <c r="I153" i="62"/>
  <c r="J153" i="74"/>
  <c r="J153" i="72"/>
  <c r="E150" i="26"/>
  <c r="F150" i="26" s="1"/>
  <c r="B150" i="26"/>
  <c r="I149" i="26"/>
  <c r="H149" i="26"/>
  <c r="B69" i="26"/>
  <c r="B72" i="62"/>
  <c r="J151" i="61"/>
  <c r="F70" i="33"/>
  <c r="G70" i="33" s="1"/>
  <c r="B70" i="33"/>
  <c r="B69" i="87"/>
  <c r="B70" i="25"/>
  <c r="F70" i="25"/>
  <c r="H70" i="25" s="1"/>
  <c r="F68" i="13"/>
  <c r="H68" i="13" s="1"/>
  <c r="B68" i="13"/>
  <c r="E69" i="87"/>
  <c r="F69" i="87" s="1"/>
  <c r="J151" i="65"/>
  <c r="F154" i="53"/>
  <c r="G154" i="53" s="1"/>
  <c r="I154" i="53" s="1"/>
  <c r="E69" i="26"/>
  <c r="F69" i="26" s="1"/>
  <c r="F72" i="59"/>
  <c r="E72" i="62"/>
  <c r="E73" i="62" s="1"/>
  <c r="D154" i="63"/>
  <c r="G153" i="63"/>
  <c r="G152" i="65"/>
  <c r="D153" i="65"/>
  <c r="B153" i="65" s="1"/>
  <c r="G148" i="90"/>
  <c r="D149" i="90"/>
  <c r="I148" i="91"/>
  <c r="H148" i="91"/>
  <c r="H148" i="84"/>
  <c r="I148" i="84"/>
  <c r="G152" i="60"/>
  <c r="D153" i="60"/>
  <c r="J152" i="63"/>
  <c r="D150" i="88"/>
  <c r="G149" i="88"/>
  <c r="J153" i="46"/>
  <c r="G150" i="81"/>
  <c r="D151" i="81"/>
  <c r="F154" i="74"/>
  <c r="G154" i="74" s="1"/>
  <c r="H148" i="89"/>
  <c r="I148" i="89"/>
  <c r="D149" i="92"/>
  <c r="B149" i="92" s="1"/>
  <c r="G148" i="92"/>
  <c r="E149" i="91"/>
  <c r="F149" i="91" s="1"/>
  <c r="J149" i="79"/>
  <c r="I154" i="46"/>
  <c r="H154" i="46"/>
  <c r="H155" i="46" s="1"/>
  <c r="G149" i="85"/>
  <c r="D150" i="85"/>
  <c r="J153" i="58"/>
  <c r="I148" i="86"/>
  <c r="H148" i="86"/>
  <c r="B149" i="89"/>
  <c r="D151" i="79"/>
  <c r="G150" i="79"/>
  <c r="G152" i="61"/>
  <c r="D153" i="61"/>
  <c r="D152" i="78"/>
  <c r="G151" i="78"/>
  <c r="H151" i="66"/>
  <c r="I151" i="66"/>
  <c r="F154" i="58"/>
  <c r="G154" i="58" s="1"/>
  <c r="J153" i="53"/>
  <c r="F154" i="72"/>
  <c r="G154" i="72" s="1"/>
  <c r="J150" i="78"/>
  <c r="J151" i="60"/>
  <c r="E152" i="66"/>
  <c r="F152" i="66" s="1"/>
  <c r="B152" i="66"/>
  <c r="E149" i="89"/>
  <c r="F149" i="89" s="1"/>
  <c r="F154" i="57"/>
  <c r="G154" i="57" s="1"/>
  <c r="I154" i="57" s="1"/>
  <c r="I153" i="59"/>
  <c r="H153" i="59"/>
  <c r="I154" i="62"/>
  <c r="E154" i="59"/>
  <c r="E155" i="59" s="1"/>
  <c r="B154" i="59"/>
  <c r="J153" i="57"/>
  <c r="J150" i="67"/>
  <c r="B151" i="75"/>
  <c r="B148" i="13"/>
  <c r="H147" i="33"/>
  <c r="I147" i="33"/>
  <c r="I149" i="83"/>
  <c r="H149" i="83"/>
  <c r="B154" i="54"/>
  <c r="D149" i="87"/>
  <c r="G148" i="87"/>
  <c r="F150" i="80"/>
  <c r="B150" i="80"/>
  <c r="B149" i="93"/>
  <c r="F149" i="93"/>
  <c r="F154" i="55"/>
  <c r="G154" i="55" s="1"/>
  <c r="B154" i="55"/>
  <c r="E154" i="54"/>
  <c r="E155" i="54" s="1"/>
  <c r="I150" i="77"/>
  <c r="H150" i="77"/>
  <c r="E151" i="75"/>
  <c r="F151" i="75" s="1"/>
  <c r="E148" i="13"/>
  <c r="F148" i="13" s="1"/>
  <c r="G148" i="96"/>
  <c r="D149" i="96"/>
  <c r="E149" i="96" s="1"/>
  <c r="G149" i="94"/>
  <c r="D150" i="94"/>
  <c r="E150" i="94" s="1"/>
  <c r="I149" i="80"/>
  <c r="H149" i="80"/>
  <c r="D150" i="82"/>
  <c r="E150" i="82" s="1"/>
  <c r="G149" i="82"/>
  <c r="F150" i="83"/>
  <c r="B150" i="83"/>
  <c r="H153" i="55"/>
  <c r="I153" i="55"/>
  <c r="I153" i="54"/>
  <c r="H153" i="54"/>
  <c r="F151" i="76"/>
  <c r="B151" i="76"/>
  <c r="H150" i="75"/>
  <c r="I150" i="75"/>
  <c r="H147" i="13"/>
  <c r="I147" i="13"/>
  <c r="B151" i="77"/>
  <c r="F151" i="77"/>
  <c r="G151" i="67"/>
  <c r="D152" i="67"/>
  <c r="E152" i="67" s="1"/>
  <c r="G149" i="95"/>
  <c r="D150" i="95"/>
  <c r="E150" i="95" s="1"/>
  <c r="B148" i="33"/>
  <c r="F148" i="33"/>
  <c r="I148" i="93"/>
  <c r="H148" i="93"/>
  <c r="I150" i="76"/>
  <c r="H150" i="76"/>
  <c r="G148" i="25" l="1"/>
  <c r="D149" i="25"/>
  <c r="J147" i="25"/>
  <c r="D149" i="99"/>
  <c r="G148" i="99"/>
  <c r="H72" i="90"/>
  <c r="I72" i="90" s="1"/>
  <c r="I73" i="90" s="1"/>
  <c r="I72" i="93"/>
  <c r="I73" i="93" s="1"/>
  <c r="E149" i="97"/>
  <c r="F149" i="97" s="1"/>
  <c r="D150" i="97" s="1"/>
  <c r="E149" i="84"/>
  <c r="F149" i="84" s="1"/>
  <c r="D150" i="84" s="1"/>
  <c r="B150" i="84" s="1"/>
  <c r="E149" i="86"/>
  <c r="F149" i="86" s="1"/>
  <c r="G149" i="86" s="1"/>
  <c r="H155" i="62"/>
  <c r="J154" i="56"/>
  <c r="J155" i="56" s="1"/>
  <c r="J152" i="64"/>
  <c r="E149" i="98"/>
  <c r="F149" i="98" s="1"/>
  <c r="B149" i="98"/>
  <c r="I148" i="97"/>
  <c r="H148" i="97"/>
  <c r="J151" i="68"/>
  <c r="H148" i="98"/>
  <c r="I148" i="98"/>
  <c r="G152" i="68"/>
  <c r="D153" i="68"/>
  <c r="G153" i="64"/>
  <c r="D154" i="64"/>
  <c r="B154" i="64" s="1"/>
  <c r="J153" i="62"/>
  <c r="F72" i="91"/>
  <c r="I68" i="96"/>
  <c r="I71" i="94"/>
  <c r="B72" i="94"/>
  <c r="F72" i="94"/>
  <c r="H72" i="84"/>
  <c r="G72" i="84"/>
  <c r="G73" i="84" s="1"/>
  <c r="E70" i="96"/>
  <c r="F70" i="96" s="1"/>
  <c r="B70" i="96"/>
  <c r="G70" i="95"/>
  <c r="I72" i="76"/>
  <c r="I73" i="76" s="1"/>
  <c r="H73" i="76"/>
  <c r="H70" i="95"/>
  <c r="E71" i="95"/>
  <c r="F71" i="95" s="1"/>
  <c r="B71" i="95"/>
  <c r="H73" i="86"/>
  <c r="I72" i="86"/>
  <c r="I73" i="86" s="1"/>
  <c r="B69" i="96"/>
  <c r="H69" i="96"/>
  <c r="G69" i="96"/>
  <c r="G71" i="81"/>
  <c r="I71" i="81" s="1"/>
  <c r="D72" i="81"/>
  <c r="F71" i="89"/>
  <c r="G71" i="89" s="1"/>
  <c r="B71" i="89"/>
  <c r="E72" i="92"/>
  <c r="E73" i="92" s="1"/>
  <c r="B72" i="92"/>
  <c r="I70" i="89"/>
  <c r="B72" i="83"/>
  <c r="F72" i="83"/>
  <c r="H72" i="83" s="1"/>
  <c r="F72" i="88"/>
  <c r="I71" i="83"/>
  <c r="H154" i="53"/>
  <c r="H155" i="53" s="1"/>
  <c r="J149" i="26"/>
  <c r="H154" i="57"/>
  <c r="H155" i="57" s="1"/>
  <c r="D151" i="26"/>
  <c r="G150" i="26"/>
  <c r="F154" i="59"/>
  <c r="G154" i="59" s="1"/>
  <c r="H154" i="59" s="1"/>
  <c r="H155" i="59" s="1"/>
  <c r="D70" i="26"/>
  <c r="E70" i="26" s="1"/>
  <c r="H69" i="26"/>
  <c r="G69" i="26"/>
  <c r="D70" i="87"/>
  <c r="E70" i="87" s="1"/>
  <c r="G69" i="87"/>
  <c r="H69" i="87"/>
  <c r="D71" i="25"/>
  <c r="E71" i="25" s="1"/>
  <c r="J150" i="76"/>
  <c r="H72" i="59"/>
  <c r="G72" i="59"/>
  <c r="G73" i="59" s="1"/>
  <c r="D69" i="13"/>
  <c r="E69" i="13" s="1"/>
  <c r="G68" i="13"/>
  <c r="I68" i="13" s="1"/>
  <c r="D71" i="33"/>
  <c r="E71" i="33" s="1"/>
  <c r="J154" i="46"/>
  <c r="J155" i="46" s="1"/>
  <c r="G70" i="25"/>
  <c r="I70" i="25" s="1"/>
  <c r="H70" i="33"/>
  <c r="I70" i="33" s="1"/>
  <c r="F72" i="62"/>
  <c r="I155" i="57"/>
  <c r="D150" i="89"/>
  <c r="G149" i="89"/>
  <c r="D153" i="66"/>
  <c r="B153" i="66" s="1"/>
  <c r="G152" i="66"/>
  <c r="E152" i="78"/>
  <c r="F152" i="78" s="1"/>
  <c r="B152" i="78"/>
  <c r="I155" i="53"/>
  <c r="E153" i="60"/>
  <c r="F153" i="60" s="1"/>
  <c r="B153" i="60"/>
  <c r="I154" i="58"/>
  <c r="H154" i="58"/>
  <c r="H155" i="58" s="1"/>
  <c r="H152" i="61"/>
  <c r="I152" i="61"/>
  <c r="E150" i="84"/>
  <c r="F150" i="84" s="1"/>
  <c r="D150" i="91"/>
  <c r="G149" i="91"/>
  <c r="E151" i="81"/>
  <c r="F151" i="81" s="1"/>
  <c r="B151" i="81"/>
  <c r="H149" i="88"/>
  <c r="I149" i="88"/>
  <c r="H152" i="60"/>
  <c r="I152" i="60"/>
  <c r="H148" i="90"/>
  <c r="I148" i="90"/>
  <c r="H153" i="63"/>
  <c r="I153" i="63"/>
  <c r="I154" i="72"/>
  <c r="H154" i="72"/>
  <c r="H155" i="72" s="1"/>
  <c r="E151" i="79"/>
  <c r="F151" i="79" s="1"/>
  <c r="B151" i="79"/>
  <c r="H149" i="85"/>
  <c r="I149" i="85"/>
  <c r="H148" i="92"/>
  <c r="I148" i="92"/>
  <c r="I155" i="46"/>
  <c r="I149" i="86"/>
  <c r="H149" i="86"/>
  <c r="E153" i="61"/>
  <c r="F153" i="61" s="1"/>
  <c r="B153" i="61"/>
  <c r="I154" i="74"/>
  <c r="H154" i="74"/>
  <c r="H155" i="74" s="1"/>
  <c r="E149" i="90"/>
  <c r="F149" i="90" s="1"/>
  <c r="B149" i="90"/>
  <c r="H152" i="65"/>
  <c r="I152" i="65"/>
  <c r="J151" i="66"/>
  <c r="I151" i="78"/>
  <c r="H151" i="78"/>
  <c r="I150" i="79"/>
  <c r="H150" i="79"/>
  <c r="E150" i="85"/>
  <c r="F150" i="85" s="1"/>
  <c r="B150" i="85"/>
  <c r="E149" i="92"/>
  <c r="F149" i="92" s="1"/>
  <c r="I150" i="81"/>
  <c r="H150" i="81"/>
  <c r="E150" i="88"/>
  <c r="F150" i="88" s="1"/>
  <c r="B150" i="88"/>
  <c r="E153" i="65"/>
  <c r="F153" i="65" s="1"/>
  <c r="E154" i="63"/>
  <c r="E155" i="63" s="1"/>
  <c r="B154" i="63"/>
  <c r="J154" i="62"/>
  <c r="J155" i="62" s="1"/>
  <c r="I155" i="62"/>
  <c r="J153" i="59"/>
  <c r="G148" i="13"/>
  <c r="D149" i="13"/>
  <c r="E149" i="13" s="1"/>
  <c r="G151" i="75"/>
  <c r="D152" i="75"/>
  <c r="D149" i="33"/>
  <c r="E149" i="33" s="1"/>
  <c r="G148" i="33"/>
  <c r="H149" i="95"/>
  <c r="I149" i="95"/>
  <c r="I151" i="67"/>
  <c r="H151" i="67"/>
  <c r="D152" i="76"/>
  <c r="E152" i="76" s="1"/>
  <c r="G151" i="76"/>
  <c r="B149" i="87"/>
  <c r="I149" i="82"/>
  <c r="H149" i="82"/>
  <c r="B149" i="96"/>
  <c r="F149" i="96"/>
  <c r="H154" i="55"/>
  <c r="H155" i="55" s="1"/>
  <c r="I154" i="55"/>
  <c r="D151" i="80"/>
  <c r="E151" i="80" s="1"/>
  <c r="G150" i="80"/>
  <c r="F154" i="54"/>
  <c r="G154" i="54" s="1"/>
  <c r="J153" i="54"/>
  <c r="D151" i="83"/>
  <c r="G150" i="83"/>
  <c r="F150" i="82"/>
  <c r="B150" i="82"/>
  <c r="F150" i="94"/>
  <c r="B150" i="94"/>
  <c r="H148" i="96"/>
  <c r="I148" i="96"/>
  <c r="J150" i="77"/>
  <c r="G149" i="93"/>
  <c r="D150" i="93"/>
  <c r="E150" i="93" s="1"/>
  <c r="E149" i="87"/>
  <c r="F149" i="87" s="1"/>
  <c r="F150" i="95"/>
  <c r="B150" i="95"/>
  <c r="F152" i="67"/>
  <c r="B152" i="67"/>
  <c r="D152" i="77"/>
  <c r="E152" i="77" s="1"/>
  <c r="G151" i="77"/>
  <c r="J150" i="75"/>
  <c r="J153" i="55"/>
  <c r="H149" i="94"/>
  <c r="I149" i="94"/>
  <c r="I148" i="87"/>
  <c r="H148" i="87"/>
  <c r="J147" i="33"/>
  <c r="H73" i="90" l="1"/>
  <c r="G149" i="97"/>
  <c r="H149" i="97" s="1"/>
  <c r="E149" i="25"/>
  <c r="F149" i="25" s="1"/>
  <c r="B149" i="25"/>
  <c r="H148" i="25"/>
  <c r="I148" i="25"/>
  <c r="I148" i="99"/>
  <c r="H148" i="99"/>
  <c r="E149" i="99"/>
  <c r="F149" i="99" s="1"/>
  <c r="B149" i="99"/>
  <c r="D150" i="86"/>
  <c r="G149" i="84"/>
  <c r="I149" i="84" s="1"/>
  <c r="I149" i="97"/>
  <c r="G149" i="98"/>
  <c r="D150" i="98"/>
  <c r="E150" i="97"/>
  <c r="F150" i="97" s="1"/>
  <c r="B150" i="97"/>
  <c r="B153" i="68"/>
  <c r="E153" i="68"/>
  <c r="F153" i="68" s="1"/>
  <c r="H152" i="68"/>
  <c r="I152" i="68"/>
  <c r="E154" i="64"/>
  <c r="H153" i="64"/>
  <c r="I153" i="64"/>
  <c r="G72" i="91"/>
  <c r="G73" i="91" s="1"/>
  <c r="H72" i="91"/>
  <c r="H72" i="94"/>
  <c r="G72" i="94"/>
  <c r="G73" i="94" s="1"/>
  <c r="H73" i="84"/>
  <c r="I72" i="84"/>
  <c r="I73" i="84" s="1"/>
  <c r="D71" i="96"/>
  <c r="E71" i="96" s="1"/>
  <c r="G70" i="96"/>
  <c r="H70" i="96"/>
  <c r="E72" i="81"/>
  <c r="E73" i="81" s="1"/>
  <c r="B72" i="81"/>
  <c r="G71" i="95"/>
  <c r="D72" i="95"/>
  <c r="E72" i="95" s="1"/>
  <c r="E73" i="95" s="1"/>
  <c r="I69" i="96"/>
  <c r="H71" i="95"/>
  <c r="I70" i="95"/>
  <c r="H73" i="83"/>
  <c r="G72" i="83"/>
  <c r="G73" i="83" s="1"/>
  <c r="J154" i="53"/>
  <c r="J155" i="53" s="1"/>
  <c r="I69" i="26"/>
  <c r="G72" i="88"/>
  <c r="G73" i="88" s="1"/>
  <c r="H72" i="88"/>
  <c r="F72" i="92"/>
  <c r="H71" i="89"/>
  <c r="D72" i="89"/>
  <c r="E72" i="89" s="1"/>
  <c r="E73" i="89" s="1"/>
  <c r="I154" i="59"/>
  <c r="J154" i="59" s="1"/>
  <c r="J155" i="59" s="1"/>
  <c r="J152" i="65"/>
  <c r="J150" i="79"/>
  <c r="J154" i="57"/>
  <c r="J155" i="57" s="1"/>
  <c r="E153" i="66"/>
  <c r="F153" i="66" s="1"/>
  <c r="I150" i="26"/>
  <c r="H150" i="26"/>
  <c r="E151" i="26"/>
  <c r="F151" i="26" s="1"/>
  <c r="B151" i="26"/>
  <c r="J152" i="61"/>
  <c r="G72" i="62"/>
  <c r="G73" i="62" s="1"/>
  <c r="H72" i="62"/>
  <c r="I69" i="87"/>
  <c r="B71" i="33"/>
  <c r="F71" i="33"/>
  <c r="H71" i="33" s="1"/>
  <c r="B69" i="13"/>
  <c r="F69" i="13"/>
  <c r="H69" i="13" s="1"/>
  <c r="F71" i="25"/>
  <c r="G71" i="25" s="1"/>
  <c r="B71" i="25"/>
  <c r="F70" i="26"/>
  <c r="H70" i="26" s="1"/>
  <c r="B70" i="26"/>
  <c r="I72" i="59"/>
  <c r="I73" i="59" s="1"/>
  <c r="H73" i="59"/>
  <c r="B70" i="87"/>
  <c r="F70" i="87"/>
  <c r="H70" i="87" s="1"/>
  <c r="D152" i="81"/>
  <c r="G151" i="81"/>
  <c r="G149" i="90"/>
  <c r="D150" i="90"/>
  <c r="G151" i="79"/>
  <c r="D152" i="79"/>
  <c r="G152" i="78"/>
  <c r="D153" i="78"/>
  <c r="G150" i="88"/>
  <c r="D151" i="88"/>
  <c r="G150" i="84"/>
  <c r="D151" i="84"/>
  <c r="D154" i="60"/>
  <c r="E154" i="60" s="1"/>
  <c r="E155" i="60" s="1"/>
  <c r="G153" i="60"/>
  <c r="I149" i="91"/>
  <c r="H149" i="91"/>
  <c r="J154" i="58"/>
  <c r="J155" i="58" s="1"/>
  <c r="I155" i="58"/>
  <c r="H149" i="89"/>
  <c r="I149" i="89"/>
  <c r="G150" i="85"/>
  <c r="D151" i="85"/>
  <c r="E150" i="91"/>
  <c r="F150" i="91" s="1"/>
  <c r="B150" i="91"/>
  <c r="B150" i="89"/>
  <c r="J151" i="67"/>
  <c r="G153" i="65"/>
  <c r="D154" i="65"/>
  <c r="E154" i="65" s="1"/>
  <c r="E155" i="65" s="1"/>
  <c r="J151" i="78"/>
  <c r="J154" i="72"/>
  <c r="J155" i="72" s="1"/>
  <c r="I155" i="72"/>
  <c r="D154" i="61"/>
  <c r="G153" i="61"/>
  <c r="H152" i="66"/>
  <c r="I152" i="66"/>
  <c r="F154" i="63"/>
  <c r="G154" i="63" s="1"/>
  <c r="G149" i="92"/>
  <c r="D150" i="92"/>
  <c r="J154" i="74"/>
  <c r="J155" i="74" s="1"/>
  <c r="I155" i="74"/>
  <c r="J153" i="63"/>
  <c r="J152" i="60"/>
  <c r="E150" i="89"/>
  <c r="F150" i="89" s="1"/>
  <c r="G149" i="87"/>
  <c r="D150" i="87"/>
  <c r="I149" i="93"/>
  <c r="H149" i="93"/>
  <c r="B151" i="83"/>
  <c r="B152" i="76"/>
  <c r="F152" i="76"/>
  <c r="B152" i="75"/>
  <c r="H148" i="13"/>
  <c r="I148" i="13"/>
  <c r="H151" i="77"/>
  <c r="I151" i="77"/>
  <c r="F152" i="77"/>
  <c r="B152" i="77"/>
  <c r="G150" i="95"/>
  <c r="D151" i="95"/>
  <c r="E151" i="95" s="1"/>
  <c r="G150" i="82"/>
  <c r="D151" i="82"/>
  <c r="E151" i="82" s="1"/>
  <c r="I150" i="80"/>
  <c r="H150" i="80"/>
  <c r="G149" i="96"/>
  <c r="D150" i="96"/>
  <c r="E150" i="96" s="1"/>
  <c r="I148" i="33"/>
  <c r="H148" i="33"/>
  <c r="E152" i="75"/>
  <c r="F152" i="75" s="1"/>
  <c r="E151" i="83"/>
  <c r="F151" i="83" s="1"/>
  <c r="I154" i="54"/>
  <c r="H154" i="54"/>
  <c r="H155" i="54" s="1"/>
  <c r="H151" i="76"/>
  <c r="I151" i="76"/>
  <c r="I151" i="75"/>
  <c r="H151" i="75"/>
  <c r="D153" i="67"/>
  <c r="G152" i="67"/>
  <c r="B150" i="93"/>
  <c r="F150" i="93"/>
  <c r="D151" i="94"/>
  <c r="G150" i="94"/>
  <c r="H150" i="83"/>
  <c r="I150" i="83"/>
  <c r="B151" i="80"/>
  <c r="F151" i="80"/>
  <c r="J154" i="55"/>
  <c r="J155" i="55" s="1"/>
  <c r="I155" i="55"/>
  <c r="B149" i="33"/>
  <c r="F149" i="33"/>
  <c r="B149" i="13"/>
  <c r="F149" i="13"/>
  <c r="D150" i="25" l="1"/>
  <c r="G149" i="25"/>
  <c r="J148" i="25"/>
  <c r="D150" i="99"/>
  <c r="G149" i="99"/>
  <c r="J152" i="68"/>
  <c r="B150" i="86"/>
  <c r="E150" i="86"/>
  <c r="F150" i="86" s="1"/>
  <c r="H149" i="84"/>
  <c r="B150" i="98"/>
  <c r="D151" i="97"/>
  <c r="G150" i="97"/>
  <c r="I149" i="98"/>
  <c r="H149" i="98"/>
  <c r="E150" i="98"/>
  <c r="F150" i="98" s="1"/>
  <c r="G153" i="68"/>
  <c r="D154" i="68"/>
  <c r="J153" i="64"/>
  <c r="E155" i="64"/>
  <c r="F154" i="64"/>
  <c r="G154" i="64" s="1"/>
  <c r="I71" i="95"/>
  <c r="I72" i="91"/>
  <c r="I73" i="91" s="1"/>
  <c r="H73" i="91"/>
  <c r="I72" i="94"/>
  <c r="I73" i="94" s="1"/>
  <c r="H73" i="94"/>
  <c r="I70" i="96"/>
  <c r="F72" i="95"/>
  <c r="G72" i="95" s="1"/>
  <c r="G73" i="95" s="1"/>
  <c r="B72" i="95"/>
  <c r="F72" i="81"/>
  <c r="F71" i="96"/>
  <c r="D72" i="96" s="1"/>
  <c r="B71" i="96"/>
  <c r="I155" i="59"/>
  <c r="G70" i="87"/>
  <c r="I70" i="87" s="1"/>
  <c r="G70" i="26"/>
  <c r="I70" i="26" s="1"/>
  <c r="H71" i="25"/>
  <c r="I71" i="25" s="1"/>
  <c r="I72" i="88"/>
  <c r="I73" i="88" s="1"/>
  <c r="H73" i="88"/>
  <c r="H72" i="92"/>
  <c r="G72" i="92"/>
  <c r="G73" i="92" s="1"/>
  <c r="B72" i="89"/>
  <c r="F72" i="89"/>
  <c r="G72" i="89" s="1"/>
  <c r="G73" i="89" s="1"/>
  <c r="I71" i="89"/>
  <c r="I72" i="83"/>
  <c r="I73" i="83" s="1"/>
  <c r="G153" i="66"/>
  <c r="D154" i="66"/>
  <c r="D152" i="26"/>
  <c r="B152" i="26" s="1"/>
  <c r="G151" i="26"/>
  <c r="J150" i="26"/>
  <c r="D70" i="13"/>
  <c r="D72" i="33"/>
  <c r="E72" i="33" s="1"/>
  <c r="E73" i="33" s="1"/>
  <c r="I72" i="62"/>
  <c r="I73" i="62" s="1"/>
  <c r="H73" i="62"/>
  <c r="D71" i="87"/>
  <c r="E71" i="87" s="1"/>
  <c r="D71" i="26"/>
  <c r="E71" i="26" s="1"/>
  <c r="D72" i="25"/>
  <c r="E72" i="25" s="1"/>
  <c r="E73" i="25" s="1"/>
  <c r="G69" i="13"/>
  <c r="I69" i="13" s="1"/>
  <c r="G71" i="33"/>
  <c r="I71" i="33" s="1"/>
  <c r="D151" i="91"/>
  <c r="G150" i="91"/>
  <c r="G150" i="89"/>
  <c r="D151" i="89"/>
  <c r="B151" i="89" s="1"/>
  <c r="E150" i="92"/>
  <c r="F150" i="92" s="1"/>
  <c r="B150" i="92"/>
  <c r="E152" i="81"/>
  <c r="F152" i="81" s="1"/>
  <c r="B152" i="81"/>
  <c r="E151" i="84"/>
  <c r="F151" i="84" s="1"/>
  <c r="B151" i="84"/>
  <c r="E150" i="90"/>
  <c r="F150" i="90" s="1"/>
  <c r="B150" i="90"/>
  <c r="I154" i="63"/>
  <c r="H154" i="63"/>
  <c r="H155" i="63" s="1"/>
  <c r="I153" i="61"/>
  <c r="H153" i="61"/>
  <c r="B154" i="65"/>
  <c r="F154" i="65"/>
  <c r="G154" i="65" s="1"/>
  <c r="E151" i="85"/>
  <c r="F151" i="85" s="1"/>
  <c r="B151" i="85"/>
  <c r="H150" i="84"/>
  <c r="I150" i="84"/>
  <c r="H152" i="78"/>
  <c r="I152" i="78"/>
  <c r="H149" i="90"/>
  <c r="I149" i="90"/>
  <c r="B154" i="60"/>
  <c r="F154" i="60"/>
  <c r="G154" i="60" s="1"/>
  <c r="I150" i="88"/>
  <c r="H150" i="88"/>
  <c r="I151" i="79"/>
  <c r="H151" i="79"/>
  <c r="I149" i="92"/>
  <c r="H149" i="92"/>
  <c r="E153" i="78"/>
  <c r="F153" i="78" s="1"/>
  <c r="B153" i="78"/>
  <c r="J151" i="77"/>
  <c r="J152" i="66"/>
  <c r="E154" i="61"/>
  <c r="E155" i="61" s="1"/>
  <c r="B154" i="61"/>
  <c r="I153" i="65"/>
  <c r="H153" i="65"/>
  <c r="H150" i="85"/>
  <c r="I150" i="85"/>
  <c r="H153" i="60"/>
  <c r="I153" i="60"/>
  <c r="E151" i="88"/>
  <c r="F151" i="88" s="1"/>
  <c r="B151" i="88"/>
  <c r="E152" i="79"/>
  <c r="F152" i="79" s="1"/>
  <c r="B152" i="79"/>
  <c r="H151" i="81"/>
  <c r="I151" i="81"/>
  <c r="J148" i="33"/>
  <c r="J151" i="76"/>
  <c r="D152" i="83"/>
  <c r="E152" i="83" s="1"/>
  <c r="G151" i="83"/>
  <c r="D150" i="13"/>
  <c r="E150" i="13" s="1"/>
  <c r="G149" i="13"/>
  <c r="D152" i="80"/>
  <c r="E152" i="80" s="1"/>
  <c r="G151" i="80"/>
  <c r="I149" i="96"/>
  <c r="H149" i="96"/>
  <c r="B153" i="67"/>
  <c r="G152" i="76"/>
  <c r="D153" i="76"/>
  <c r="E153" i="76" s="1"/>
  <c r="I149" i="87"/>
  <c r="H149" i="87"/>
  <c r="B151" i="94"/>
  <c r="H152" i="67"/>
  <c r="I152" i="67"/>
  <c r="G152" i="75"/>
  <c r="D153" i="75"/>
  <c r="I150" i="94"/>
  <c r="H150" i="94"/>
  <c r="F151" i="82"/>
  <c r="B151" i="82"/>
  <c r="F151" i="95"/>
  <c r="B151" i="95"/>
  <c r="G152" i="77"/>
  <c r="D153" i="77"/>
  <c r="E153" i="77" s="1"/>
  <c r="G149" i="33"/>
  <c r="D150" i="33"/>
  <c r="B150" i="87"/>
  <c r="E151" i="94"/>
  <c r="F151" i="94" s="1"/>
  <c r="G150" i="93"/>
  <c r="D151" i="93"/>
  <c r="E151" i="93" s="1"/>
  <c r="E153" i="67"/>
  <c r="F153" i="67" s="1"/>
  <c r="J151" i="75"/>
  <c r="J154" i="54"/>
  <c r="J155" i="54" s="1"/>
  <c r="I155" i="54"/>
  <c r="B150" i="96"/>
  <c r="F150" i="96"/>
  <c r="I150" i="82"/>
  <c r="H150" i="82"/>
  <c r="I150" i="95"/>
  <c r="H150" i="95"/>
  <c r="E150" i="87"/>
  <c r="F150" i="87" s="1"/>
  <c r="H149" i="25" l="1"/>
  <c r="I149" i="25"/>
  <c r="E150" i="25"/>
  <c r="F150" i="25" s="1"/>
  <c r="B150" i="25"/>
  <c r="H149" i="99"/>
  <c r="I149" i="99"/>
  <c r="E150" i="99"/>
  <c r="F150" i="99" s="1"/>
  <c r="B150" i="99"/>
  <c r="D151" i="86"/>
  <c r="G150" i="86"/>
  <c r="D151" i="98"/>
  <c r="G150" i="98"/>
  <c r="I150" i="97"/>
  <c r="H150" i="97"/>
  <c r="E151" i="97"/>
  <c r="F151" i="97" s="1"/>
  <c r="B151" i="97"/>
  <c r="E154" i="68"/>
  <c r="B154" i="68"/>
  <c r="H153" i="68"/>
  <c r="I153" i="68"/>
  <c r="H154" i="64"/>
  <c r="H155" i="64" s="1"/>
  <c r="I154" i="64"/>
  <c r="H71" i="96"/>
  <c r="E72" i="96"/>
  <c r="E73" i="96" s="1"/>
  <c r="B72" i="96"/>
  <c r="G71" i="96"/>
  <c r="H72" i="81"/>
  <c r="G72" i="81"/>
  <c r="G73" i="81" s="1"/>
  <c r="H72" i="95"/>
  <c r="H72" i="89"/>
  <c r="I72" i="92"/>
  <c r="I73" i="92" s="1"/>
  <c r="H73" i="92"/>
  <c r="E154" i="66"/>
  <c r="E155" i="66" s="1"/>
  <c r="B154" i="66"/>
  <c r="E152" i="26"/>
  <c r="F152" i="26" s="1"/>
  <c r="I153" i="66"/>
  <c r="H153" i="66"/>
  <c r="F154" i="61"/>
  <c r="G154" i="61" s="1"/>
  <c r="H154" i="61" s="1"/>
  <c r="H155" i="61" s="1"/>
  <c r="I151" i="26"/>
  <c r="H151" i="26"/>
  <c r="J152" i="78"/>
  <c r="B70" i="13"/>
  <c r="B72" i="25"/>
  <c r="F72" i="25"/>
  <c r="H72" i="25" s="1"/>
  <c r="F71" i="87"/>
  <c r="H71" i="87" s="1"/>
  <c r="B71" i="87"/>
  <c r="E70" i="13"/>
  <c r="F70" i="13" s="1"/>
  <c r="F72" i="33"/>
  <c r="H72" i="33" s="1"/>
  <c r="B72" i="33"/>
  <c r="B71" i="26"/>
  <c r="F71" i="26"/>
  <c r="D152" i="88"/>
  <c r="G151" i="88"/>
  <c r="D152" i="84"/>
  <c r="G151" i="84"/>
  <c r="G150" i="90"/>
  <c r="D151" i="90"/>
  <c r="B151" i="90" s="1"/>
  <c r="G151" i="85"/>
  <c r="D152" i="85"/>
  <c r="I155" i="63"/>
  <c r="J154" i="63"/>
  <c r="J155" i="63" s="1"/>
  <c r="J151" i="79"/>
  <c r="D153" i="81"/>
  <c r="B153" i="81" s="1"/>
  <c r="G152" i="81"/>
  <c r="I150" i="89"/>
  <c r="H150" i="89"/>
  <c r="G153" i="78"/>
  <c r="D154" i="78"/>
  <c r="E154" i="78" s="1"/>
  <c r="E155" i="78" s="1"/>
  <c r="H154" i="60"/>
  <c r="H155" i="60" s="1"/>
  <c r="I154" i="60"/>
  <c r="D151" i="92"/>
  <c r="G150" i="92"/>
  <c r="J153" i="60"/>
  <c r="J153" i="61"/>
  <c r="H150" i="91"/>
  <c r="I150" i="91"/>
  <c r="D153" i="79"/>
  <c r="B153" i="79" s="1"/>
  <c r="G152" i="79"/>
  <c r="J153" i="65"/>
  <c r="H154" i="65"/>
  <c r="H155" i="65" s="1"/>
  <c r="I154" i="65"/>
  <c r="I155" i="65" s="1"/>
  <c r="E151" i="89"/>
  <c r="F151" i="89" s="1"/>
  <c r="E151" i="91"/>
  <c r="F151" i="91" s="1"/>
  <c r="B151" i="91"/>
  <c r="D151" i="87"/>
  <c r="E151" i="87" s="1"/>
  <c r="G150" i="87"/>
  <c r="D154" i="67"/>
  <c r="G153" i="67"/>
  <c r="D152" i="94"/>
  <c r="G151" i="94"/>
  <c r="B153" i="75"/>
  <c r="I152" i="76"/>
  <c r="H152" i="76"/>
  <c r="H149" i="13"/>
  <c r="I149" i="13"/>
  <c r="I149" i="33"/>
  <c r="H149" i="33"/>
  <c r="B153" i="77"/>
  <c r="F153" i="77"/>
  <c r="E153" i="75"/>
  <c r="F153" i="75" s="1"/>
  <c r="H151" i="83"/>
  <c r="I151" i="83"/>
  <c r="G150" i="96"/>
  <c r="D151" i="96"/>
  <c r="B151" i="93"/>
  <c r="F151" i="93"/>
  <c r="H152" i="77"/>
  <c r="I152" i="77"/>
  <c r="D152" i="82"/>
  <c r="E152" i="82" s="1"/>
  <c r="G151" i="82"/>
  <c r="H152" i="75"/>
  <c r="I152" i="75"/>
  <c r="H151" i="80"/>
  <c r="I151" i="80"/>
  <c r="F150" i="13"/>
  <c r="B150" i="13"/>
  <c r="B150" i="33"/>
  <c r="D152" i="95"/>
  <c r="G151" i="95"/>
  <c r="I150" i="93"/>
  <c r="H150" i="93"/>
  <c r="E150" i="33"/>
  <c r="F150" i="33" s="1"/>
  <c r="J152" i="67"/>
  <c r="B153" i="76"/>
  <c r="F153" i="76"/>
  <c r="B152" i="80"/>
  <c r="F152" i="80"/>
  <c r="F152" i="83"/>
  <c r="B152" i="83"/>
  <c r="J149" i="25" l="1"/>
  <c r="G150" i="25"/>
  <c r="D151" i="25"/>
  <c r="D151" i="99"/>
  <c r="G150" i="99"/>
  <c r="G71" i="87"/>
  <c r="I71" i="87" s="1"/>
  <c r="I150" i="86"/>
  <c r="H150" i="86"/>
  <c r="B151" i="86"/>
  <c r="E151" i="86"/>
  <c r="F151" i="86" s="1"/>
  <c r="J153" i="68"/>
  <c r="G151" i="97"/>
  <c r="D152" i="97"/>
  <c r="H150" i="98"/>
  <c r="I150" i="98"/>
  <c r="E151" i="98"/>
  <c r="F151" i="98" s="1"/>
  <c r="B151" i="98"/>
  <c r="E155" i="68"/>
  <c r="F154" i="68"/>
  <c r="G154" i="68" s="1"/>
  <c r="I155" i="64"/>
  <c r="J154" i="64"/>
  <c r="J155" i="64" s="1"/>
  <c r="F72" i="96"/>
  <c r="G72" i="96" s="1"/>
  <c r="G73" i="96" s="1"/>
  <c r="I72" i="81"/>
  <c r="I73" i="81" s="1"/>
  <c r="H73" i="81"/>
  <c r="G72" i="33"/>
  <c r="G73" i="33" s="1"/>
  <c r="H73" i="95"/>
  <c r="I72" i="95"/>
  <c r="I73" i="95" s="1"/>
  <c r="I71" i="96"/>
  <c r="G72" i="25"/>
  <c r="G73" i="25" s="1"/>
  <c r="I72" i="89"/>
  <c r="I73" i="89" s="1"/>
  <c r="H73" i="89"/>
  <c r="I154" i="61"/>
  <c r="I155" i="61" s="1"/>
  <c r="F154" i="66"/>
  <c r="G154" i="66" s="1"/>
  <c r="I154" i="66" s="1"/>
  <c r="J153" i="66"/>
  <c r="G152" i="26"/>
  <c r="D153" i="26"/>
  <c r="J151" i="26"/>
  <c r="H73" i="25"/>
  <c r="H73" i="33"/>
  <c r="D71" i="13"/>
  <c r="H70" i="13"/>
  <c r="G70" i="13"/>
  <c r="E153" i="79"/>
  <c r="F153" i="79" s="1"/>
  <c r="G153" i="79" s="1"/>
  <c r="E151" i="90"/>
  <c r="F151" i="90" s="1"/>
  <c r="G151" i="90" s="1"/>
  <c r="D72" i="26"/>
  <c r="G71" i="26"/>
  <c r="H71" i="26"/>
  <c r="D72" i="87"/>
  <c r="G151" i="91"/>
  <c r="D152" i="91"/>
  <c r="H152" i="79"/>
  <c r="I152" i="79"/>
  <c r="E151" i="92"/>
  <c r="F151" i="92" s="1"/>
  <c r="B151" i="92"/>
  <c r="E152" i="84"/>
  <c r="F152" i="84" s="1"/>
  <c r="B152" i="84"/>
  <c r="G151" i="89"/>
  <c r="D152" i="89"/>
  <c r="J154" i="60"/>
  <c r="J155" i="60" s="1"/>
  <c r="I155" i="60"/>
  <c r="H153" i="78"/>
  <c r="I153" i="78"/>
  <c r="H151" i="85"/>
  <c r="I151" i="85"/>
  <c r="H151" i="88"/>
  <c r="I151" i="88"/>
  <c r="I150" i="92"/>
  <c r="H150" i="92"/>
  <c r="I152" i="81"/>
  <c r="H152" i="81"/>
  <c r="I151" i="84"/>
  <c r="H151" i="84"/>
  <c r="B154" i="78"/>
  <c r="F154" i="78"/>
  <c r="G154" i="78" s="1"/>
  <c r="E152" i="85"/>
  <c r="F152" i="85" s="1"/>
  <c r="B152" i="85"/>
  <c r="J154" i="65"/>
  <c r="J155" i="65" s="1"/>
  <c r="E153" i="81"/>
  <c r="F153" i="81" s="1"/>
  <c r="H150" i="90"/>
  <c r="I150" i="90"/>
  <c r="E152" i="88"/>
  <c r="F152" i="88" s="1"/>
  <c r="B152" i="88"/>
  <c r="J149" i="33"/>
  <c r="J152" i="75"/>
  <c r="D151" i="33"/>
  <c r="G150" i="33"/>
  <c r="D154" i="75"/>
  <c r="E154" i="75" s="1"/>
  <c r="E155" i="75" s="1"/>
  <c r="G153" i="75"/>
  <c r="B154" i="67"/>
  <c r="D153" i="83"/>
  <c r="G152" i="83"/>
  <c r="G152" i="80"/>
  <c r="D153" i="80"/>
  <c r="B152" i="82"/>
  <c r="F152" i="82"/>
  <c r="H150" i="96"/>
  <c r="I150" i="96"/>
  <c r="G153" i="77"/>
  <c r="D154" i="77"/>
  <c r="E154" i="77" s="1"/>
  <c r="E155" i="77" s="1"/>
  <c r="J152" i="76"/>
  <c r="B152" i="94"/>
  <c r="B152" i="95"/>
  <c r="B151" i="96"/>
  <c r="D154" i="76"/>
  <c r="E154" i="76" s="1"/>
  <c r="E155" i="76" s="1"/>
  <c r="G153" i="76"/>
  <c r="H151" i="95"/>
  <c r="I151" i="95"/>
  <c r="J152" i="77"/>
  <c r="G151" i="93"/>
  <c r="D152" i="93"/>
  <c r="E152" i="93" s="1"/>
  <c r="E151" i="96"/>
  <c r="F151" i="96" s="1"/>
  <c r="E154" i="67"/>
  <c r="E155" i="67" s="1"/>
  <c r="H150" i="87"/>
  <c r="I150" i="87"/>
  <c r="G150" i="13"/>
  <c r="D151" i="13"/>
  <c r="E151" i="13" s="1"/>
  <c r="I151" i="82"/>
  <c r="H151" i="82"/>
  <c r="I151" i="94"/>
  <c r="H151" i="94"/>
  <c r="E152" i="95"/>
  <c r="F152" i="95" s="1"/>
  <c r="E152" i="94"/>
  <c r="F152" i="94" s="1"/>
  <c r="H153" i="67"/>
  <c r="I153" i="67"/>
  <c r="F151" i="87"/>
  <c r="B151" i="87"/>
  <c r="B151" i="25" l="1"/>
  <c r="E151" i="25"/>
  <c r="F151" i="25" s="1"/>
  <c r="I150" i="25"/>
  <c r="H150" i="25"/>
  <c r="I150" i="99"/>
  <c r="H150" i="99"/>
  <c r="E151" i="99"/>
  <c r="F151" i="99" s="1"/>
  <c r="B151" i="99"/>
  <c r="I72" i="33"/>
  <c r="I73" i="33" s="1"/>
  <c r="I72" i="25"/>
  <c r="I73" i="25" s="1"/>
  <c r="G151" i="86"/>
  <c r="D152" i="86"/>
  <c r="B152" i="86" s="1"/>
  <c r="H72" i="96"/>
  <c r="J154" i="61"/>
  <c r="J155" i="61" s="1"/>
  <c r="G151" i="98"/>
  <c r="D152" i="98"/>
  <c r="E152" i="97"/>
  <c r="F152" i="97" s="1"/>
  <c r="B152" i="97"/>
  <c r="I151" i="97"/>
  <c r="H151" i="97"/>
  <c r="H154" i="68"/>
  <c r="H155" i="68" s="1"/>
  <c r="I154" i="68"/>
  <c r="I71" i="26"/>
  <c r="I70" i="13"/>
  <c r="D154" i="79"/>
  <c r="E154" i="79" s="1"/>
  <c r="E155" i="79" s="1"/>
  <c r="H154" i="66"/>
  <c r="H155" i="66" s="1"/>
  <c r="H152" i="26"/>
  <c r="I152" i="26"/>
  <c r="D152" i="90"/>
  <c r="E152" i="90" s="1"/>
  <c r="F152" i="90" s="1"/>
  <c r="I155" i="66"/>
  <c r="B153" i="26"/>
  <c r="E153" i="26"/>
  <c r="F153" i="26" s="1"/>
  <c r="B72" i="87"/>
  <c r="B72" i="26"/>
  <c r="E72" i="26"/>
  <c r="E73" i="26" s="1"/>
  <c r="B71" i="13"/>
  <c r="E72" i="87"/>
  <c r="E73" i="87" s="1"/>
  <c r="E71" i="13"/>
  <c r="F71" i="13" s="1"/>
  <c r="G152" i="85"/>
  <c r="D153" i="85"/>
  <c r="G152" i="84"/>
  <c r="D153" i="84"/>
  <c r="B153" i="84" s="1"/>
  <c r="G152" i="88"/>
  <c r="D153" i="88"/>
  <c r="B153" i="88" s="1"/>
  <c r="G153" i="81"/>
  <c r="D154" i="81"/>
  <c r="H151" i="90"/>
  <c r="I151" i="90"/>
  <c r="H154" i="78"/>
  <c r="H155" i="78" s="1"/>
  <c r="I154" i="78"/>
  <c r="I155" i="78" s="1"/>
  <c r="H151" i="89"/>
  <c r="I151" i="89"/>
  <c r="J153" i="78"/>
  <c r="D152" i="92"/>
  <c r="G151" i="92"/>
  <c r="E152" i="91"/>
  <c r="F152" i="91" s="1"/>
  <c r="B152" i="91"/>
  <c r="E152" i="89"/>
  <c r="F152" i="89" s="1"/>
  <c r="B152" i="89"/>
  <c r="J152" i="79"/>
  <c r="I153" i="79"/>
  <c r="H153" i="79"/>
  <c r="I151" i="91"/>
  <c r="H151" i="91"/>
  <c r="D152" i="96"/>
  <c r="G151" i="96"/>
  <c r="G152" i="94"/>
  <c r="D153" i="94"/>
  <c r="E153" i="94" s="1"/>
  <c r="D153" i="95"/>
  <c r="E153" i="95" s="1"/>
  <c r="G152" i="95"/>
  <c r="D152" i="87"/>
  <c r="G151" i="87"/>
  <c r="B153" i="83"/>
  <c r="J153" i="67"/>
  <c r="F151" i="13"/>
  <c r="B151" i="13"/>
  <c r="H153" i="76"/>
  <c r="I153" i="76"/>
  <c r="F154" i="77"/>
  <c r="G154" i="77" s="1"/>
  <c r="B154" i="77"/>
  <c r="G152" i="82"/>
  <c r="D153" i="82"/>
  <c r="E153" i="82" s="1"/>
  <c r="I152" i="80"/>
  <c r="H152" i="80"/>
  <c r="F154" i="67"/>
  <c r="G154" i="67" s="1"/>
  <c r="I153" i="75"/>
  <c r="H153" i="75"/>
  <c r="H150" i="33"/>
  <c r="I150" i="33"/>
  <c r="B153" i="80"/>
  <c r="H150" i="13"/>
  <c r="I150" i="13"/>
  <c r="B152" i="93"/>
  <c r="F152" i="93"/>
  <c r="B154" i="76"/>
  <c r="F154" i="76"/>
  <c r="G154" i="76" s="1"/>
  <c r="H152" i="83"/>
  <c r="I152" i="83"/>
  <c r="B151" i="33"/>
  <c r="I151" i="93"/>
  <c r="H151" i="93"/>
  <c r="H153" i="77"/>
  <c r="I153" i="77"/>
  <c r="E153" i="80"/>
  <c r="F153" i="80" s="1"/>
  <c r="E153" i="83"/>
  <c r="F153" i="83" s="1"/>
  <c r="B154" i="75"/>
  <c r="F154" i="75"/>
  <c r="G154" i="75" s="1"/>
  <c r="E151" i="33"/>
  <c r="F151" i="33" s="1"/>
  <c r="J150" i="25" l="1"/>
  <c r="G151" i="25"/>
  <c r="D152" i="25"/>
  <c r="G151" i="99"/>
  <c r="D152" i="99"/>
  <c r="E152" i="86"/>
  <c r="F152" i="86" s="1"/>
  <c r="G152" i="86" s="1"/>
  <c r="I151" i="86"/>
  <c r="H151" i="86"/>
  <c r="I72" i="96"/>
  <c r="I73" i="96" s="1"/>
  <c r="H73" i="96"/>
  <c r="B152" i="90"/>
  <c r="G152" i="97"/>
  <c r="D153" i="97"/>
  <c r="E152" i="98"/>
  <c r="F152" i="98" s="1"/>
  <c r="B152" i="98"/>
  <c r="H151" i="98"/>
  <c r="I151" i="98"/>
  <c r="F154" i="79"/>
  <c r="G154" i="79" s="1"/>
  <c r="I154" i="79" s="1"/>
  <c r="I155" i="79" s="1"/>
  <c r="B154" i="79"/>
  <c r="J154" i="68"/>
  <c r="J155" i="68" s="1"/>
  <c r="I155" i="68"/>
  <c r="F72" i="26"/>
  <c r="J154" i="66"/>
  <c r="J155" i="66" s="1"/>
  <c r="J152" i="26"/>
  <c r="D154" i="26"/>
  <c r="G153" i="26"/>
  <c r="D72" i="13"/>
  <c r="E72" i="13" s="1"/>
  <c r="E73" i="13" s="1"/>
  <c r="G71" i="13"/>
  <c r="H71" i="13"/>
  <c r="J154" i="78"/>
  <c r="J155" i="78" s="1"/>
  <c r="E153" i="88"/>
  <c r="F153" i="88" s="1"/>
  <c r="D154" i="88" s="1"/>
  <c r="F72" i="87"/>
  <c r="D153" i="91"/>
  <c r="G152" i="91"/>
  <c r="H152" i="84"/>
  <c r="I152" i="84"/>
  <c r="J153" i="79"/>
  <c r="D153" i="89"/>
  <c r="G152" i="89"/>
  <c r="G152" i="90"/>
  <c r="D153" i="90"/>
  <c r="B153" i="90" s="1"/>
  <c r="E154" i="81"/>
  <c r="E155" i="81" s="1"/>
  <c r="B154" i="81"/>
  <c r="I152" i="88"/>
  <c r="H152" i="88"/>
  <c r="E153" i="85"/>
  <c r="F153" i="85" s="1"/>
  <c r="B153" i="85"/>
  <c r="E152" i="92"/>
  <c r="F152" i="92" s="1"/>
  <c r="B152" i="92"/>
  <c r="H151" i="92"/>
  <c r="I151" i="92"/>
  <c r="H153" i="81"/>
  <c r="I153" i="81"/>
  <c r="E153" i="84"/>
  <c r="F153" i="84" s="1"/>
  <c r="H152" i="85"/>
  <c r="I152" i="85"/>
  <c r="D152" i="33"/>
  <c r="E152" i="33" s="1"/>
  <c r="G151" i="33"/>
  <c r="G153" i="80"/>
  <c r="D154" i="80"/>
  <c r="E154" i="80" s="1"/>
  <c r="E155" i="80" s="1"/>
  <c r="G153" i="83"/>
  <c r="D154" i="83"/>
  <c r="E154" i="83" s="1"/>
  <c r="E155" i="83" s="1"/>
  <c r="G152" i="93"/>
  <c r="D153" i="93"/>
  <c r="E153" i="93" s="1"/>
  <c r="B152" i="87"/>
  <c r="B152" i="96"/>
  <c r="I154" i="75"/>
  <c r="H154" i="75"/>
  <c r="H155" i="75" s="1"/>
  <c r="J153" i="77"/>
  <c r="J153" i="75"/>
  <c r="I154" i="77"/>
  <c r="H154" i="77"/>
  <c r="H155" i="77" s="1"/>
  <c r="D152" i="13"/>
  <c r="E152" i="13" s="1"/>
  <c r="G151" i="13"/>
  <c r="I152" i="95"/>
  <c r="H152" i="95"/>
  <c r="H152" i="94"/>
  <c r="I152" i="94"/>
  <c r="I154" i="76"/>
  <c r="H154" i="76"/>
  <c r="H155" i="76" s="1"/>
  <c r="J150" i="33"/>
  <c r="I154" i="67"/>
  <c r="H154" i="67"/>
  <c r="H155" i="67" s="1"/>
  <c r="B153" i="82"/>
  <c r="F153" i="82"/>
  <c r="J153" i="76"/>
  <c r="E152" i="87"/>
  <c r="F152" i="87" s="1"/>
  <c r="H151" i="96"/>
  <c r="I151" i="96"/>
  <c r="H152" i="82"/>
  <c r="I152" i="82"/>
  <c r="I151" i="87"/>
  <c r="H151" i="87"/>
  <c r="B153" i="95"/>
  <c r="F153" i="95"/>
  <c r="B153" i="94"/>
  <c r="F153" i="94"/>
  <c r="E152" i="96"/>
  <c r="F152" i="96" s="1"/>
  <c r="I71" i="13" l="1"/>
  <c r="E152" i="25"/>
  <c r="B152" i="25"/>
  <c r="F152" i="25"/>
  <c r="H151" i="25"/>
  <c r="I151" i="25"/>
  <c r="B152" i="99"/>
  <c r="E152" i="99"/>
  <c r="F152" i="99" s="1"/>
  <c r="D153" i="86"/>
  <c r="B153" i="86" s="1"/>
  <c r="I151" i="99"/>
  <c r="H151" i="99"/>
  <c r="H152" i="86"/>
  <c r="I152" i="86"/>
  <c r="G153" i="88"/>
  <c r="I153" i="88" s="1"/>
  <c r="D153" i="98"/>
  <c r="G152" i="98"/>
  <c r="E153" i="97"/>
  <c r="F153" i="97" s="1"/>
  <c r="B153" i="97"/>
  <c r="I152" i="97"/>
  <c r="H152" i="97"/>
  <c r="H154" i="79"/>
  <c r="H155" i="79" s="1"/>
  <c r="G72" i="26"/>
  <c r="G73" i="26" s="1"/>
  <c r="H72" i="26"/>
  <c r="E153" i="90"/>
  <c r="F153" i="90" s="1"/>
  <c r="F154" i="81"/>
  <c r="G154" i="81" s="1"/>
  <c r="H154" i="81" s="1"/>
  <c r="H155" i="81" s="1"/>
  <c r="H153" i="26"/>
  <c r="I153" i="26"/>
  <c r="B154" i="26"/>
  <c r="E154" i="26"/>
  <c r="H72" i="87"/>
  <c r="G72" i="87"/>
  <c r="G73" i="87" s="1"/>
  <c r="F72" i="13"/>
  <c r="G72" i="13" s="1"/>
  <c r="G73" i="13" s="1"/>
  <c r="B72" i="13"/>
  <c r="D154" i="85"/>
  <c r="E154" i="85" s="1"/>
  <c r="E155" i="85" s="1"/>
  <c r="G153" i="85"/>
  <c r="B154" i="88"/>
  <c r="G152" i="92"/>
  <c r="D153" i="92"/>
  <c r="E154" i="88"/>
  <c r="E155" i="88" s="1"/>
  <c r="I152" i="90"/>
  <c r="H152" i="90"/>
  <c r="I152" i="91"/>
  <c r="H152" i="91"/>
  <c r="E153" i="89"/>
  <c r="F153" i="89" s="1"/>
  <c r="B153" i="89"/>
  <c r="D154" i="84"/>
  <c r="G153" i="84"/>
  <c r="I152" i="89"/>
  <c r="H152" i="89"/>
  <c r="E153" i="91"/>
  <c r="F153" i="91" s="1"/>
  <c r="B153" i="91"/>
  <c r="D153" i="87"/>
  <c r="E153" i="87" s="1"/>
  <c r="G152" i="87"/>
  <c r="D153" i="96"/>
  <c r="G152" i="96"/>
  <c r="D154" i="95"/>
  <c r="E154" i="95" s="1"/>
  <c r="E155" i="95" s="1"/>
  <c r="G153" i="95"/>
  <c r="J154" i="76"/>
  <c r="J155" i="76" s="1"/>
  <c r="I155" i="76"/>
  <c r="B152" i="13"/>
  <c r="F152" i="13"/>
  <c r="J154" i="75"/>
  <c r="J155" i="75" s="1"/>
  <c r="I155" i="75"/>
  <c r="I153" i="80"/>
  <c r="H153" i="80"/>
  <c r="J154" i="67"/>
  <c r="J155" i="67" s="1"/>
  <c r="I155" i="67"/>
  <c r="B153" i="93"/>
  <c r="F153" i="93"/>
  <c r="H151" i="33"/>
  <c r="I151" i="33"/>
  <c r="H153" i="83"/>
  <c r="I153" i="83"/>
  <c r="G153" i="94"/>
  <c r="D154" i="94"/>
  <c r="E154" i="94" s="1"/>
  <c r="E155" i="94" s="1"/>
  <c r="G153" i="82"/>
  <c r="D154" i="82"/>
  <c r="E154" i="82" s="1"/>
  <c r="E155" i="82" s="1"/>
  <c r="I151" i="13"/>
  <c r="H151" i="13"/>
  <c r="J154" i="77"/>
  <c r="J155" i="77" s="1"/>
  <c r="I155" i="77"/>
  <c r="I152" i="93"/>
  <c r="H152" i="93"/>
  <c r="F154" i="83"/>
  <c r="G154" i="83" s="1"/>
  <c r="B154" i="83"/>
  <c r="F154" i="80"/>
  <c r="G154" i="80" s="1"/>
  <c r="B154" i="80"/>
  <c r="B152" i="33"/>
  <c r="F152" i="33"/>
  <c r="G152" i="25" l="1"/>
  <c r="D153" i="25"/>
  <c r="J151" i="25"/>
  <c r="H153" i="88"/>
  <c r="G152" i="99"/>
  <c r="D153" i="99"/>
  <c r="E153" i="86"/>
  <c r="F153" i="86" s="1"/>
  <c r="J154" i="79"/>
  <c r="J155" i="79" s="1"/>
  <c r="G153" i="97"/>
  <c r="D154" i="97"/>
  <c r="I152" i="98"/>
  <c r="H152" i="98"/>
  <c r="E153" i="98"/>
  <c r="F153" i="98" s="1"/>
  <c r="B153" i="98"/>
  <c r="I154" i="81"/>
  <c r="I155" i="81" s="1"/>
  <c r="H72" i="13"/>
  <c r="I72" i="13" s="1"/>
  <c r="I73" i="13" s="1"/>
  <c r="I72" i="26"/>
  <c r="I73" i="26" s="1"/>
  <c r="H73" i="26"/>
  <c r="D154" i="90"/>
  <c r="E154" i="90" s="1"/>
  <c r="E155" i="90" s="1"/>
  <c r="G153" i="90"/>
  <c r="H153" i="90" s="1"/>
  <c r="J153" i="26"/>
  <c r="J151" i="33"/>
  <c r="E155" i="26"/>
  <c r="F154" i="26"/>
  <c r="G154" i="26" s="1"/>
  <c r="F154" i="88"/>
  <c r="G154" i="88" s="1"/>
  <c r="H154" i="88" s="1"/>
  <c r="I72" i="87"/>
  <c r="I73" i="87" s="1"/>
  <c r="H73" i="87"/>
  <c r="D154" i="91"/>
  <c r="E154" i="91" s="1"/>
  <c r="E155" i="91" s="1"/>
  <c r="G153" i="91"/>
  <c r="D154" i="89"/>
  <c r="G153" i="89"/>
  <c r="H152" i="92"/>
  <c r="I152" i="92"/>
  <c r="I153" i="84"/>
  <c r="H153" i="84"/>
  <c r="H153" i="85"/>
  <c r="I153" i="85"/>
  <c r="E153" i="92"/>
  <c r="F153" i="92" s="1"/>
  <c r="B153" i="92"/>
  <c r="E154" i="84"/>
  <c r="E155" i="84" s="1"/>
  <c r="B154" i="84"/>
  <c r="B154" i="85"/>
  <c r="F154" i="85"/>
  <c r="G154" i="85" s="1"/>
  <c r="B154" i="82"/>
  <c r="F154" i="82"/>
  <c r="G154" i="82" s="1"/>
  <c r="I153" i="95"/>
  <c r="H153" i="95"/>
  <c r="B153" i="96"/>
  <c r="H154" i="80"/>
  <c r="H155" i="80" s="1"/>
  <c r="I154" i="80"/>
  <c r="I155" i="80" s="1"/>
  <c r="D153" i="33"/>
  <c r="G152" i="33"/>
  <c r="I153" i="82"/>
  <c r="H153" i="82"/>
  <c r="B154" i="94"/>
  <c r="F154" i="94"/>
  <c r="G154" i="94" s="1"/>
  <c r="D154" i="93"/>
  <c r="E154" i="93" s="1"/>
  <c r="E155" i="93" s="1"/>
  <c r="G153" i="93"/>
  <c r="G152" i="13"/>
  <c r="D153" i="13"/>
  <c r="E153" i="13" s="1"/>
  <c r="H152" i="96"/>
  <c r="I152" i="96"/>
  <c r="I152" i="87"/>
  <c r="H152" i="87"/>
  <c r="I154" i="83"/>
  <c r="I155" i="83" s="1"/>
  <c r="H154" i="83"/>
  <c r="H155" i="83" s="1"/>
  <c r="H153" i="94"/>
  <c r="I153" i="94"/>
  <c r="B154" i="95"/>
  <c r="F154" i="95"/>
  <c r="G154" i="95" s="1"/>
  <c r="E153" i="96"/>
  <c r="F153" i="96" s="1"/>
  <c r="F153" i="87"/>
  <c r="B153" i="87"/>
  <c r="H155" i="88" l="1"/>
  <c r="E153" i="25"/>
  <c r="F153" i="25" s="1"/>
  <c r="B153" i="25"/>
  <c r="H152" i="25"/>
  <c r="I152" i="25"/>
  <c r="I153" i="90"/>
  <c r="H73" i="13"/>
  <c r="G153" i="86"/>
  <c r="H153" i="86" s="1"/>
  <c r="D154" i="86"/>
  <c r="E154" i="86" s="1"/>
  <c r="E155" i="86" s="1"/>
  <c r="B153" i="99"/>
  <c r="E153" i="99"/>
  <c r="F153" i="99" s="1"/>
  <c r="I152" i="99"/>
  <c r="H152" i="99"/>
  <c r="G153" i="98"/>
  <c r="D154" i="98"/>
  <c r="E154" i="97"/>
  <c r="E155" i="97" s="1"/>
  <c r="B154" i="97"/>
  <c r="H153" i="97"/>
  <c r="I153" i="97"/>
  <c r="B154" i="90"/>
  <c r="I154" i="88"/>
  <c r="I155" i="88" s="1"/>
  <c r="I154" i="26"/>
  <c r="H154" i="26"/>
  <c r="H155" i="26" s="1"/>
  <c r="F154" i="84"/>
  <c r="G154" i="84" s="1"/>
  <c r="I154" i="84" s="1"/>
  <c r="I155" i="84" s="1"/>
  <c r="G153" i="92"/>
  <c r="D154" i="92"/>
  <c r="E154" i="92" s="1"/>
  <c r="E155" i="92" s="1"/>
  <c r="B154" i="89"/>
  <c r="I154" i="85"/>
  <c r="I155" i="85" s="1"/>
  <c r="H154" i="85"/>
  <c r="H155" i="85" s="1"/>
  <c r="E154" i="89"/>
  <c r="E155" i="89" s="1"/>
  <c r="H153" i="91"/>
  <c r="I153" i="91"/>
  <c r="F154" i="90"/>
  <c r="G154" i="90" s="1"/>
  <c r="H153" i="89"/>
  <c r="I153" i="89"/>
  <c r="B154" i="91"/>
  <c r="F154" i="91"/>
  <c r="G154" i="91" s="1"/>
  <c r="G153" i="96"/>
  <c r="D154" i="96"/>
  <c r="I154" i="94"/>
  <c r="I155" i="94" s="1"/>
  <c r="H154" i="94"/>
  <c r="H155" i="94" s="1"/>
  <c r="I152" i="33"/>
  <c r="H152" i="33"/>
  <c r="H154" i="95"/>
  <c r="H155" i="95" s="1"/>
  <c r="I154" i="95"/>
  <c r="I155" i="95" s="1"/>
  <c r="H153" i="93"/>
  <c r="I153" i="93"/>
  <c r="B153" i="33"/>
  <c r="B153" i="13"/>
  <c r="F153" i="13"/>
  <c r="B154" i="93"/>
  <c r="F154" i="93"/>
  <c r="G154" i="93" s="1"/>
  <c r="H154" i="82"/>
  <c r="H155" i="82" s="1"/>
  <c r="I154" i="82"/>
  <c r="I155" i="82" s="1"/>
  <c r="D154" i="87"/>
  <c r="G153" i="87"/>
  <c r="I152" i="13"/>
  <c r="H152" i="13"/>
  <c r="E153" i="33"/>
  <c r="F153" i="33" s="1"/>
  <c r="G153" i="25" l="1"/>
  <c r="D154" i="25"/>
  <c r="J152" i="25"/>
  <c r="I153" i="86"/>
  <c r="B154" i="86"/>
  <c r="G153" i="99"/>
  <c r="D154" i="99"/>
  <c r="F154" i="86"/>
  <c r="G154" i="86" s="1"/>
  <c r="H154" i="86" s="1"/>
  <c r="H155" i="86" s="1"/>
  <c r="F154" i="97"/>
  <c r="G154" i="97" s="1"/>
  <c r="I154" i="97" s="1"/>
  <c r="I155" i="97" s="1"/>
  <c r="E154" i="98"/>
  <c r="E155" i="98" s="1"/>
  <c r="B154" i="98"/>
  <c r="H153" i="98"/>
  <c r="I153" i="98"/>
  <c r="H154" i="84"/>
  <c r="H155" i="84" s="1"/>
  <c r="J154" i="26"/>
  <c r="J155" i="26" s="1"/>
  <c r="I155" i="26"/>
  <c r="F154" i="89"/>
  <c r="G154" i="89" s="1"/>
  <c r="I154" i="89" s="1"/>
  <c r="I155" i="89" s="1"/>
  <c r="B154" i="92"/>
  <c r="F154" i="92"/>
  <c r="G154" i="92" s="1"/>
  <c r="H154" i="91"/>
  <c r="H155" i="91" s="1"/>
  <c r="I154" i="91"/>
  <c r="I155" i="91" s="1"/>
  <c r="I154" i="90"/>
  <c r="I155" i="90" s="1"/>
  <c r="H154" i="90"/>
  <c r="H155" i="90" s="1"/>
  <c r="I153" i="92"/>
  <c r="H153" i="92"/>
  <c r="D154" i="33"/>
  <c r="E154" i="33" s="1"/>
  <c r="E155" i="33" s="1"/>
  <c r="G153" i="33"/>
  <c r="H154" i="93"/>
  <c r="H155" i="93" s="1"/>
  <c r="I154" i="93"/>
  <c r="I155" i="93" s="1"/>
  <c r="B154" i="96"/>
  <c r="B154" i="87"/>
  <c r="E154" i="87"/>
  <c r="E155" i="87" s="1"/>
  <c r="J152" i="33"/>
  <c r="E154" i="96"/>
  <c r="E155" i="96" s="1"/>
  <c r="H153" i="87"/>
  <c r="I153" i="87"/>
  <c r="G153" i="13"/>
  <c r="D154" i="13"/>
  <c r="I153" i="96"/>
  <c r="H153" i="96"/>
  <c r="E154" i="25" l="1"/>
  <c r="E155" i="25" s="1"/>
  <c r="B154" i="25"/>
  <c r="I153" i="25"/>
  <c r="H153" i="25"/>
  <c r="I154" i="86"/>
  <c r="I155" i="86" s="1"/>
  <c r="H154" i="97"/>
  <c r="H155" i="97" s="1"/>
  <c r="E154" i="99"/>
  <c r="E155" i="99" s="1"/>
  <c r="B154" i="99"/>
  <c r="I153" i="99"/>
  <c r="H153" i="99"/>
  <c r="F154" i="98"/>
  <c r="G154" i="98" s="1"/>
  <c r="H154" i="89"/>
  <c r="H155" i="89" s="1"/>
  <c r="H154" i="92"/>
  <c r="H155" i="92" s="1"/>
  <c r="I154" i="92"/>
  <c r="I155" i="92" s="1"/>
  <c r="F154" i="96"/>
  <c r="G154" i="96" s="1"/>
  <c r="H154" i="96" s="1"/>
  <c r="H155" i="96" s="1"/>
  <c r="B154" i="13"/>
  <c r="F154" i="87"/>
  <c r="G154" i="87" s="1"/>
  <c r="E154" i="13"/>
  <c r="E155" i="13" s="1"/>
  <c r="H153" i="33"/>
  <c r="I153" i="33"/>
  <c r="I153" i="13"/>
  <c r="H153" i="13"/>
  <c r="F154" i="33"/>
  <c r="G154" i="33" s="1"/>
  <c r="B154" i="33"/>
  <c r="J153" i="25" l="1"/>
  <c r="F154" i="25"/>
  <c r="G154" i="25" s="1"/>
  <c r="I154" i="25" s="1"/>
  <c r="F154" i="99"/>
  <c r="G154" i="99" s="1"/>
  <c r="I154" i="99" s="1"/>
  <c r="I155" i="99" s="1"/>
  <c r="H154" i="98"/>
  <c r="H155" i="98" s="1"/>
  <c r="I154" i="98"/>
  <c r="I155" i="98" s="1"/>
  <c r="I154" i="96"/>
  <c r="I155" i="96" s="1"/>
  <c r="J153" i="33"/>
  <c r="H154" i="87"/>
  <c r="H155" i="87" s="1"/>
  <c r="I154" i="87"/>
  <c r="I155" i="87" s="1"/>
  <c r="H154" i="33"/>
  <c r="H155" i="33" s="1"/>
  <c r="I154" i="33"/>
  <c r="F154" i="13"/>
  <c r="G154" i="13" s="1"/>
  <c r="H154" i="25" l="1"/>
  <c r="H155" i="25" s="1"/>
  <c r="H154" i="99"/>
  <c r="H155" i="99" s="1"/>
  <c r="I155" i="25"/>
  <c r="J154" i="33"/>
  <c r="J155" i="33" s="1"/>
  <c r="I155" i="33"/>
  <c r="I154" i="13"/>
  <c r="I155" i="13" s="1"/>
  <c r="H154" i="13"/>
  <c r="H155" i="13" s="1"/>
  <c r="J154" i="25" l="1"/>
  <c r="J155" i="25" s="1"/>
  <c r="L57" i="36"/>
  <c r="L41" i="36"/>
  <c r="L90" i="36"/>
  <c r="L58" i="36"/>
  <c r="L38" i="36"/>
  <c r="L71" i="36"/>
  <c r="L30" i="36"/>
  <c r="L26" i="36"/>
  <c r="L85" i="36"/>
  <c r="L39" i="36"/>
  <c r="L37" i="36"/>
  <c r="L82" i="36"/>
  <c r="L76" i="36"/>
  <c r="L79" i="36"/>
  <c r="L62" i="36"/>
  <c r="L78" i="36"/>
  <c r="L33" i="36"/>
  <c r="L32" i="36"/>
  <c r="L51" i="36"/>
  <c r="L86" i="36"/>
  <c r="L88" i="36"/>
  <c r="L29" i="36"/>
  <c r="L45" i="36"/>
  <c r="L55" i="36"/>
  <c r="L74" i="36"/>
  <c r="L89" i="36"/>
  <c r="L83" i="36"/>
  <c r="L46" i="36"/>
  <c r="L87" i="36"/>
  <c r="L69" i="36"/>
  <c r="L50" i="36"/>
  <c r="L21" i="36"/>
  <c r="L73" i="36"/>
  <c r="L91" i="36"/>
  <c r="L65" i="36"/>
  <c r="L61" i="36"/>
  <c r="L42" i="36"/>
  <c r="L66" i="36"/>
  <c r="L60" i="36"/>
  <c r="L20" i="36"/>
  <c r="L19" i="36"/>
  <c r="L84" i="36"/>
  <c r="L35" i="36"/>
  <c r="L27" i="36"/>
  <c r="L47" i="36"/>
  <c r="L43" i="36"/>
  <c r="L28" i="36"/>
  <c r="L44" i="36"/>
  <c r="L68" i="36"/>
  <c r="L56" i="36"/>
  <c r="L63" i="36"/>
  <c r="L80" i="36"/>
  <c r="L81" i="36"/>
  <c r="L70" i="36"/>
  <c r="L77" i="36"/>
  <c r="L53" i="36"/>
  <c r="L25" i="36"/>
  <c r="L24" i="36"/>
  <c r="L22" i="36"/>
  <c r="L72" i="36"/>
  <c r="L31" i="36"/>
  <c r="L40" i="36"/>
  <c r="L54" i="36"/>
  <c r="L67" i="36"/>
  <c r="L48" i="36"/>
  <c r="L75" i="36"/>
  <c r="L64" i="36"/>
  <c r="L52" i="36"/>
  <c r="L23" i="36"/>
  <c r="L59" i="36"/>
  <c r="L18" i="36"/>
  <c r="L34" i="36"/>
  <c r="L36" i="36"/>
  <c r="L49" i="36"/>
  <c r="V49" i="36" l="1"/>
  <c r="V75" i="36"/>
  <c r="V24" i="36"/>
  <c r="V70" i="36"/>
  <c r="V43" i="36"/>
  <c r="V66" i="36"/>
  <c r="V69" i="36"/>
  <c r="V29" i="36"/>
  <c r="V79" i="36"/>
  <c r="V36" i="36"/>
  <c r="V23" i="36"/>
  <c r="V48" i="36"/>
  <c r="V31" i="36"/>
  <c r="V25" i="36"/>
  <c r="V81" i="36"/>
  <c r="V68" i="36"/>
  <c r="V47" i="36"/>
  <c r="V19" i="36"/>
  <c r="V42" i="36"/>
  <c r="V73" i="36"/>
  <c r="V87" i="36"/>
  <c r="V74" i="36"/>
  <c r="V88" i="36"/>
  <c r="V33" i="36"/>
  <c r="V76" i="36"/>
  <c r="V85" i="36"/>
  <c r="V38" i="36"/>
  <c r="V41" i="36"/>
  <c r="V34" i="36"/>
  <c r="V52" i="36"/>
  <c r="V67" i="36"/>
  <c r="V72" i="36"/>
  <c r="V53" i="36"/>
  <c r="V80" i="36"/>
  <c r="V44" i="36"/>
  <c r="V27" i="36"/>
  <c r="V20" i="36"/>
  <c r="V61" i="36"/>
  <c r="V21" i="36"/>
  <c r="V46" i="36"/>
  <c r="V55" i="36"/>
  <c r="V86" i="36"/>
  <c r="V78" i="36"/>
  <c r="V82" i="36"/>
  <c r="V26" i="36"/>
  <c r="K97" i="36"/>
  <c r="V57" i="36"/>
  <c r="V64" i="36"/>
  <c r="V54" i="36"/>
  <c r="V22" i="36"/>
  <c r="V77" i="36"/>
  <c r="V63" i="36"/>
  <c r="V28" i="36"/>
  <c r="V35" i="36"/>
  <c r="V60" i="36"/>
  <c r="V65" i="36"/>
  <c r="V50" i="36"/>
  <c r="V83" i="36"/>
  <c r="V45" i="36"/>
  <c r="V51" i="36"/>
  <c r="V62" i="36"/>
  <c r="V37" i="36"/>
  <c r="V30" i="36"/>
  <c r="V58" i="36"/>
  <c r="V18" i="36"/>
  <c r="L96" i="36"/>
  <c r="V59" i="36"/>
  <c r="V40" i="36"/>
  <c r="V56" i="36"/>
  <c r="V84" i="36"/>
  <c r="V91" i="36"/>
  <c r="V89" i="36"/>
  <c r="V32" i="36"/>
  <c r="V39" i="36"/>
  <c r="V71" i="36"/>
  <c r="V90" i="36"/>
  <c r="V96" i="36" l="1"/>
  <c r="Q26" i="36" l="1"/>
  <c r="R26" i="36" s="1"/>
  <c r="T26" i="36" s="1"/>
  <c r="Q22" i="36"/>
  <c r="R22" i="36" s="1"/>
  <c r="T22" i="36" s="1"/>
  <c r="Q63" i="36"/>
  <c r="R63" i="36" s="1"/>
  <c r="T63" i="36" s="1"/>
  <c r="Q44" i="36"/>
  <c r="R44" i="36" s="1"/>
  <c r="T44" i="36" s="1"/>
  <c r="Q68" i="36"/>
  <c r="R68" i="36" s="1"/>
  <c r="T68" i="36" s="1"/>
  <c r="Q35" i="36"/>
  <c r="R35" i="36" s="1"/>
  <c r="T35" i="36" s="1"/>
  <c r="Q73" i="36"/>
  <c r="R73" i="36" s="1"/>
  <c r="T73" i="36" s="1"/>
  <c r="Q85" i="36"/>
  <c r="R85" i="36" s="1"/>
  <c r="T85" i="36" s="1"/>
  <c r="Q76" i="36"/>
  <c r="R76" i="36" s="1"/>
  <c r="T76" i="36" s="1"/>
  <c r="Q30" i="36"/>
  <c r="R30" i="36" s="1"/>
  <c r="T30" i="36" s="1"/>
  <c r="Q84" i="36"/>
  <c r="R84" i="36" s="1"/>
  <c r="T84" i="36" s="1"/>
  <c r="Q77" i="36"/>
  <c r="R77" i="36" s="1"/>
  <c r="T77" i="36" s="1"/>
  <c r="Q82" i="36"/>
  <c r="R82" i="36" s="1"/>
  <c r="T82" i="36" s="1"/>
  <c r="Q33" i="36"/>
  <c r="R33" i="36" s="1"/>
  <c r="T33" i="36" s="1"/>
  <c r="Q86" i="36"/>
  <c r="R86" i="36" s="1"/>
  <c r="T86" i="36" s="1"/>
  <c r="Q27" i="36"/>
  <c r="R27" i="36" s="1"/>
  <c r="T27" i="36" s="1"/>
  <c r="Q31" i="36"/>
  <c r="R31" i="36" s="1"/>
  <c r="T31" i="36" s="1"/>
  <c r="Q69" i="36"/>
  <c r="R69" i="36" s="1"/>
  <c r="T69" i="36" s="1"/>
  <c r="Q83" i="36"/>
  <c r="R83" i="36" s="1"/>
  <c r="T83" i="36" s="1"/>
  <c r="Q29" i="36"/>
  <c r="R29" i="36" s="1"/>
  <c r="T29" i="36" s="1"/>
  <c r="Q72" i="36"/>
  <c r="R72" i="36" s="1"/>
  <c r="T72" i="36" s="1"/>
  <c r="Q42" i="36"/>
  <c r="R42" i="36" s="1"/>
  <c r="T42" i="36" s="1"/>
  <c r="Q87" i="36"/>
  <c r="R87" i="36" s="1"/>
  <c r="T87" i="36" s="1"/>
  <c r="Q62" i="36"/>
  <c r="R62" i="36" s="1"/>
  <c r="T62" i="36" s="1"/>
  <c r="Q40" i="36"/>
  <c r="R40" i="36" s="1"/>
  <c r="T40" i="36" s="1"/>
  <c r="Q90" i="36"/>
  <c r="R90" i="36" s="1"/>
  <c r="T90" i="36" s="1"/>
  <c r="Q50" i="36"/>
  <c r="R50" i="36" s="1"/>
  <c r="T50" i="36" s="1"/>
  <c r="Q54" i="36"/>
  <c r="R54" i="36" s="1"/>
  <c r="T54" i="36" s="1"/>
  <c r="Q47" i="36"/>
  <c r="R47" i="36" s="1"/>
  <c r="T47" i="36" s="1"/>
  <c r="Q64" i="36"/>
  <c r="R64" i="36" s="1"/>
  <c r="T64" i="36" s="1"/>
  <c r="Q52" i="36"/>
  <c r="R52" i="36" s="1"/>
  <c r="T52" i="36" s="1"/>
  <c r="Q32" i="36"/>
  <c r="R32" i="36" s="1"/>
  <c r="T32" i="36" s="1"/>
  <c r="Q28" i="36"/>
  <c r="R28" i="36" s="1"/>
  <c r="T28" i="36" s="1"/>
  <c r="Q34" i="36"/>
  <c r="R34" i="36" s="1"/>
  <c r="T34" i="36" s="1"/>
  <c r="Q91" i="36"/>
  <c r="R91" i="36" s="1"/>
  <c r="T91" i="36" s="1"/>
  <c r="Q56" i="36"/>
  <c r="R56" i="36" s="1"/>
  <c r="T56" i="36" s="1"/>
  <c r="Q71" i="36"/>
  <c r="R71" i="36" s="1"/>
  <c r="T71" i="36" s="1"/>
  <c r="Q80" i="36"/>
  <c r="R80" i="36" s="1"/>
  <c r="T80" i="36" s="1"/>
  <c r="Q79" i="36"/>
  <c r="R79" i="36" s="1"/>
  <c r="T79" i="36" s="1"/>
  <c r="Q65" i="36"/>
  <c r="R65" i="36" s="1"/>
  <c r="T65" i="36" s="1"/>
  <c r="Q57" i="36"/>
  <c r="R57" i="36" s="1"/>
  <c r="T57" i="36" s="1"/>
  <c r="Q60" i="36"/>
  <c r="R60" i="36" s="1"/>
  <c r="T60" i="36" s="1"/>
  <c r="Q78" i="36"/>
  <c r="R78" i="36" s="1"/>
  <c r="T78" i="36" s="1"/>
  <c r="Q24" i="36"/>
  <c r="R24" i="36" s="1"/>
  <c r="T24" i="36" s="1"/>
  <c r="Q53" i="36"/>
  <c r="R53" i="36" s="1"/>
  <c r="T53" i="36" s="1"/>
  <c r="Q49" i="36"/>
  <c r="R49" i="36" s="1"/>
  <c r="T49" i="36" s="1"/>
  <c r="Q21" i="36"/>
  <c r="R21" i="36" s="1"/>
  <c r="T21" i="36" s="1"/>
  <c r="Q61" i="36"/>
  <c r="R61" i="36" s="1"/>
  <c r="T61" i="36" s="1"/>
  <c r="Q66" i="36"/>
  <c r="R66" i="36" s="1"/>
  <c r="T66" i="36" s="1"/>
  <c r="Q43" i="36"/>
  <c r="R43" i="36" s="1"/>
  <c r="T43" i="36" s="1"/>
  <c r="Q55" i="36"/>
  <c r="R55" i="36" s="1"/>
  <c r="T55" i="36" s="1"/>
  <c r="Q70" i="36"/>
  <c r="R70" i="36" s="1"/>
  <c r="T70" i="36" s="1"/>
  <c r="Q59" i="36"/>
  <c r="R59" i="36" s="1"/>
  <c r="T59" i="36" s="1"/>
  <c r="Q19" i="36"/>
  <c r="R19" i="36" s="1"/>
  <c r="T19" i="36" s="1"/>
  <c r="Q89" i="36"/>
  <c r="R89" i="36" s="1"/>
  <c r="T89" i="36" s="1"/>
  <c r="Q48" i="36"/>
  <c r="R48" i="36" s="1"/>
  <c r="T48" i="36" s="1"/>
  <c r="Q38" i="36"/>
  <c r="R38" i="36" s="1"/>
  <c r="T38" i="36" s="1"/>
  <c r="Q20" i="36"/>
  <c r="R20" i="36" s="1"/>
  <c r="T20" i="36" s="1"/>
  <c r="Q74" i="36"/>
  <c r="R74" i="36" s="1"/>
  <c r="T74" i="36" s="1"/>
  <c r="Q36" i="36"/>
  <c r="R36" i="36" s="1"/>
  <c r="T36" i="36" s="1"/>
  <c r="Q37" i="36"/>
  <c r="R37" i="36" s="1"/>
  <c r="T37" i="36" s="1"/>
  <c r="Q18" i="36"/>
  <c r="Q39" i="36"/>
  <c r="R39" i="36" s="1"/>
  <c r="T39" i="36" s="1"/>
  <c r="Q88" i="36"/>
  <c r="R88" i="36" s="1"/>
  <c r="T88" i="36" s="1"/>
  <c r="Q51" i="36"/>
  <c r="R51" i="36" s="1"/>
  <c r="T51" i="36" s="1"/>
  <c r="Q23" i="36"/>
  <c r="R23" i="36" s="1"/>
  <c r="T23" i="36" s="1"/>
  <c r="Q25" i="36"/>
  <c r="R25" i="36" s="1"/>
  <c r="T25" i="36" s="1"/>
  <c r="Q81" i="36"/>
  <c r="R81" i="36" s="1"/>
  <c r="T81" i="36" s="1"/>
  <c r="Q46" i="36"/>
  <c r="R46" i="36" s="1"/>
  <c r="T46" i="36" s="1"/>
  <c r="Q75" i="36"/>
  <c r="R75" i="36" s="1"/>
  <c r="T75" i="36" s="1"/>
  <c r="Q58" i="36"/>
  <c r="R58" i="36" s="1"/>
  <c r="T58" i="36" s="1"/>
  <c r="Q45" i="36"/>
  <c r="R45" i="36" s="1"/>
  <c r="T45" i="36" s="1"/>
  <c r="Q41" i="36"/>
  <c r="R41" i="36" s="1"/>
  <c r="T41" i="36" s="1"/>
  <c r="Q67" i="36"/>
  <c r="R67" i="36" s="1"/>
  <c r="T67" i="36" s="1"/>
  <c r="R18" i="36" l="1"/>
  <c r="R96" i="36" s="1"/>
  <c r="Q97" i="36"/>
  <c r="T18" i="36" l="1"/>
  <c r="T96" i="3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  <author>AEP</author>
    <author>rlp</author>
  </authors>
  <commentList>
    <comment ref="C16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WS-F cell D7.</t>
        </r>
      </text>
    </comment>
    <comment ref="D16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WS-F cell D11.</t>
        </r>
      </text>
    </comment>
    <comment ref="E16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WS-F cell N5.</t>
        </r>
      </text>
    </comment>
    <comment ref="F16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in cell M89.</t>
        </r>
      </text>
    </comment>
    <comment ref="J16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</t>
        </r>
        <r>
          <rPr>
            <sz val="8"/>
            <color indexed="81"/>
            <rFont val="Tahoma"/>
            <family val="2"/>
          </rPr>
          <t>" by project, column R values.</t>
        </r>
      </text>
    </comment>
    <comment ref="K16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 xr:uid="{00000000-0006-0000-0000-000009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 xr:uid="{00000000-0006-0000-0000-00000A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J96" authorId="0" shapeId="0" xr:uid="{00000000-0006-0000-0000-000055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normally should equal last year's SWEPCO total Adj ARR effective prior July 1st on same sheet.    </t>
        </r>
      </text>
    </comment>
    <comment ref="K96" authorId="2" shapeId="0" xr:uid="{00000000-0006-0000-0000-000056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amount was booked by AEP during CY 2016  Represents Sch. 11 revenues remitted from SPP&gt;</t>
        </r>
      </text>
    </comment>
    <comment ref="Q96" authorId="2" shapeId="0" xr:uid="{00000000-0006-0000-0000-000057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from the "33" Base Plan Interest xls file.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99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'09 template calculations (first published).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 hist values from 2008 template WS-F calculations.</t>
        </r>
      </text>
    </comment>
    <comment ref="D99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in WS-F.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and prior historic values from 2010 FR Correction template calculations.  Hist values not previously published.</t>
        </r>
      </text>
    </comment>
    <comment ref="K18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2008/9 ARRs set to zero since project on Dist WO same years.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hist values from 09 template (first published).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dtsoa33</author>
  </authors>
  <commentList>
    <comment ref="M87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mew:</t>
        </r>
        <r>
          <rPr>
            <sz val="8"/>
            <color indexed="81"/>
            <rFont val="Tahoma"/>
            <family val="2"/>
          </rPr>
          <t xml:space="preserve">
Prior yr projected ARR being forced to zero.  Initial year (2008) investment for this multi-yr project is being included in project S.003 from the 2011 update forward. (May 12, 2011)
If the value is not set to zero, a negative ARR is calculated which would result in a refund which would reflect a project's removal from base plan status.  This case is a transfer of a  project's (S.020) investment into project (S.003).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Martin</author>
  </authors>
  <commentList>
    <comment ref="C99" authorId="0" shapeId="0" xr:uid="{00000000-0006-0000-3D00-000001000000}">
      <text>
        <r>
          <rPr>
            <b/>
            <sz val="22"/>
            <color indexed="81"/>
            <rFont val="Tahoma"/>
            <family val="2"/>
          </rPr>
          <t>Jim Martin:</t>
        </r>
        <r>
          <rPr>
            <sz val="22"/>
            <color indexed="81"/>
            <rFont val="Tahoma"/>
            <family val="2"/>
          </rPr>
          <t xml:space="preserve">
FIX THIS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Martin</author>
  </authors>
  <commentList>
    <comment ref="G17" authorId="0" shapeId="0" xr:uid="{00000000-0006-0000-3E00-000001000000}">
      <text>
        <r>
          <rPr>
            <b/>
            <sz val="9"/>
            <color indexed="81"/>
            <rFont val="Tahoma"/>
            <family val="2"/>
          </rPr>
          <t>Jim Martin:</t>
        </r>
        <r>
          <rPr>
            <sz val="9"/>
            <color indexed="81"/>
            <rFont val="Tahoma"/>
            <family val="2"/>
          </rPr>
          <t xml:space="preserve">
did not have a projected revenue requiremnt in 2016 update so this is a 0.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L1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M16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cell comes from Formula Template file.  Then, it drives all the S.xxx sheets.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E1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depreciation calculated by or published in this year's template due to originanl estimated Dec in-service month.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Historical values input as if calculated (and shown) from 2009 template.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7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These hist values from pg 66 of 87 of '08 template (1st project in WS-F that year).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K18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Prior Yr Projected ARR was $1,203,444.  However, this value is being set to $0 to force a negative Adjusted  Tot. Rev. Requirement equal to the amount actually collected (billed) by SPP for 2008 T-service related to this project.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B20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 actual total investment update in 2010.</t>
        </r>
      </text>
    </comment>
    <comment ref="E99" authorId="0" shapeId="0" xr:uid="{00000000-0006-0000-0E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year's depreciation input as if the 2008 template WS-G calculated values had been shown.</t>
        </r>
      </text>
    </comment>
    <comment ref="B101" authorId="0" shapeId="0" xr:uid="{00000000-0006-0000-0E00-000003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not an actual update to total investment this year.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2006/7 hist values precede FR eff. Date.  Thus, we input calculated historical data from 09 template formulas.</t>
        </r>
      </text>
    </comment>
    <comment ref="D100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see comment for 2007 hist values in WS-F.</t>
        </r>
      </text>
    </comment>
  </commentList>
</comments>
</file>

<file path=xl/sharedStrings.xml><?xml version="1.0" encoding="utf-8"?>
<sst xmlns="http://schemas.openxmlformats.org/spreadsheetml/2006/main" count="9295" uniqueCount="566">
  <si>
    <t>I.</t>
  </si>
  <si>
    <t xml:space="preserve">   Project ROE Incentive Adder (Enter as whole number)</t>
  </si>
  <si>
    <t>&lt;==Incentive ROE  Cannot Exceed 12.45%</t>
  </si>
  <si>
    <t xml:space="preserve">   Determine R  ( cost of long term debt, cost of preferred stock and percent is from Attachment H, lns 158 through160)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</si>
  <si>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</si>
  <si>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</si>
  <si>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</si>
  <si>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</si>
  <si>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</si>
  <si>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</si>
  <si>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</si>
  <si>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</si>
  <si>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</si>
  <si>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</si>
  <si>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</si>
  <si>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</si>
  <si>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</si>
  <si>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</si>
  <si>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</si>
  <si>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</si>
  <si>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</si>
  <si>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</si>
  <si>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</si>
  <si>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</si>
  <si>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</si>
  <si>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</si>
  <si>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</si>
  <si>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</si>
  <si>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</si>
  <si>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</si>
  <si>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</si>
  <si>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</si>
  <si>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</si>
  <si>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</si>
  <si>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</si>
  <si>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</si>
  <si>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</si>
  <si>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</si>
  <si>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Transmission Plant @ Beginning of Period (P.206, ln 58)</t>
  </si>
  <si>
    <t>&lt;==From Input on Worksheet B</t>
  </si>
  <si>
    <t>Transmission Plant @ End of Period (P.207, ln 58)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</si>
  <si>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</si>
  <si>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</si>
  <si>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</si>
  <si>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</si>
  <si>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</si>
  <si>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</si>
  <si>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</si>
  <si>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</si>
  <si>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</si>
  <si>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</si>
  <si>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Investment</t>
  </si>
  <si>
    <t>Current Year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</si>
  <si>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</si>
  <si>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</si>
  <si>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</si>
  <si>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</si>
  <si>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</si>
  <si>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</si>
  <si>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</si>
  <si>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</si>
  <si>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</si>
  <si>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</si>
  <si>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</si>
  <si>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</si>
  <si>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</si>
  <si>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</si>
  <si>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</si>
  <si>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</si>
  <si>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</si>
  <si>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</si>
  <si>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</si>
  <si>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</si>
  <si>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</si>
  <si>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</si>
  <si>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</si>
  <si>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</si>
  <si>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</si>
  <si>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</si>
  <si>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</si>
  <si>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</si>
  <si>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</si>
  <si>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</si>
  <si>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</si>
  <si>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</si>
  <si>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</si>
  <si>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</si>
  <si>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</si>
  <si>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</si>
  <si>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</si>
  <si>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</si>
  <si>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</si>
  <si>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</si>
  <si>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</si>
  <si>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</si>
  <si>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</si>
  <si>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</si>
  <si>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</si>
  <si>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Long Term Debt %</t>
  </si>
  <si>
    <t>Long Term Debt Cost</t>
  </si>
  <si>
    <t>Preferred Stock %</t>
  </si>
  <si>
    <t>Preferred Stock Cost</t>
  </si>
  <si>
    <t>Common Stock %</t>
  </si>
  <si>
    <t>STEP 2</t>
  </si>
  <si>
    <t>STEP 3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</si>
  <si>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</si>
  <si>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</si>
  <si>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</si>
  <si>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</si>
  <si>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</si>
  <si>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</si>
  <si>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</si>
  <si>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</si>
  <si>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</si>
  <si>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</si>
  <si>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</si>
  <si>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</si>
  <si>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</si>
  <si>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</si>
  <si>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</si>
  <si>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</si>
  <si>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</si>
  <si>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</si>
  <si>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</si>
  <si>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</si>
  <si>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</si>
  <si>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</si>
  <si>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&lt;----Worksheet data is for</t>
  </si>
  <si>
    <t>(Worksheet G)</t>
  </si>
  <si>
    <t>(Worksheet F)</t>
  </si>
  <si>
    <t>Worksheet F</t>
  </si>
  <si>
    <t>Worksheet G</t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</si>
  <si>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</si>
  <si>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Worksheet F  --  SOUTHWESTERN ELECTRIC POWER COMPANY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</si>
  <si>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Worksheet G  --  SOUTHWESTERN ELECTRIC POWER COMPANY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</si>
  <si>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t>SOUTHWESTERN ELECTRIC POWER COMPANY</t>
  </si>
  <si>
    <t>EXPORT DATA to Template SWEPCO WS F</t>
  </si>
  <si>
    <t>Worksheet F --- DATA INPUT (Paste.Values) from TEMPLATE SWEPCO WS F</t>
  </si>
  <si>
    <t>DATA INPUT (Paste.Values) from main FR TEMPLATE SWEPCO WS G</t>
  </si>
  <si>
    <t>EXPORT DATA to main FR Template SWEPCO WS G</t>
  </si>
  <si>
    <t>TP2007057</t>
  </si>
  <si>
    <t>TP2007060</t>
  </si>
  <si>
    <t>TP2007103</t>
  </si>
  <si>
    <t>TP2007114</t>
  </si>
  <si>
    <t>TP2007120</t>
  </si>
  <si>
    <t>TP2007165</t>
  </si>
  <si>
    <t>TP2008080</t>
  </si>
  <si>
    <t>TP2002085</t>
  </si>
  <si>
    <t>TP2006130</t>
  </si>
  <si>
    <t>TP2004036</t>
  </si>
  <si>
    <t xml:space="preserve">Carthage REC - Carthage T 138 kV </t>
  </si>
  <si>
    <t>TP2004139</t>
  </si>
  <si>
    <t>TP2006089</t>
  </si>
  <si>
    <t>TP2004148</t>
  </si>
  <si>
    <t>TP2005142</t>
  </si>
  <si>
    <t>basis points</t>
  </si>
  <si>
    <t xml:space="preserve">True-Up Adjustment  </t>
  </si>
  <si>
    <t>Current Projected Year ARR</t>
  </si>
  <si>
    <t>Current Projected Year ARR w/ Incentive</t>
  </si>
  <si>
    <t>w/Incentives</t>
  </si>
  <si>
    <t xml:space="preserve"> Worksheet G</t>
  </si>
  <si>
    <t>TRUE-UP Adjustment from Prior Year WS-G</t>
  </si>
  <si>
    <t>TP2008017</t>
  </si>
  <si>
    <t>TP2007019</t>
  </si>
  <si>
    <t>Knox Lee - Oak Hill #2 138 kV line, S. Shreveport  (SWE Minor Proj II)</t>
  </si>
  <si>
    <t>ok</t>
  </si>
  <si>
    <t>AEP Transmission Formula Rate Template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</si>
  <si>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</si>
  <si>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</si>
  <si>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</si>
  <si>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</si>
  <si>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</si>
  <si>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</si>
  <si>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</si>
  <si>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</si>
  <si>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</si>
  <si>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</si>
  <si>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</si>
  <si>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Sheet Name</t>
  </si>
  <si>
    <t>Owner</t>
  </si>
  <si>
    <t>Year in Service</t>
  </si>
  <si>
    <t>Base ARR</t>
  </si>
  <si>
    <t>Incentive</t>
  </si>
  <si>
    <t>Total</t>
  </si>
  <si>
    <t>True-up</t>
  </si>
  <si>
    <t>As Billed</t>
  </si>
  <si>
    <t>Change</t>
  </si>
  <si>
    <t>Interest</t>
  </si>
  <si>
    <t>Indirect References</t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</si>
  <si>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</si>
  <si>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S.001</t>
  </si>
  <si>
    <t>SWE</t>
  </si>
  <si>
    <t>S.002</t>
  </si>
  <si>
    <t>S.003</t>
  </si>
  <si>
    <t>S.004</t>
  </si>
  <si>
    <t>S.005</t>
  </si>
  <si>
    <t>S.006</t>
  </si>
  <si>
    <t>S.007</t>
  </si>
  <si>
    <t>S.008</t>
  </si>
  <si>
    <t>S.009</t>
  </si>
  <si>
    <t>S.010</t>
  </si>
  <si>
    <t>S.011</t>
  </si>
  <si>
    <t>S.012</t>
  </si>
  <si>
    <t>S.013</t>
  </si>
  <si>
    <t>S.014</t>
  </si>
  <si>
    <t>S.015</t>
  </si>
  <si>
    <t>S.016</t>
  </si>
  <si>
    <t>S.017</t>
  </si>
  <si>
    <t>S.018</t>
  </si>
  <si>
    <t>S.019</t>
  </si>
  <si>
    <t>S.020</t>
  </si>
  <si>
    <r>
      <t xml:space="preserve">TRUE-UP Adjustment </t>
    </r>
    <r>
      <rPr>
        <sz val="10"/>
        <rFont val="Arial"/>
        <family val="2"/>
      </rPr>
      <t>(WS-G)</t>
    </r>
  </si>
  <si>
    <t>(J)</t>
  </si>
  <si>
    <t>from WS-F &amp; G</t>
  </si>
  <si>
    <t>Do NOT delete.</t>
  </si>
  <si>
    <t>COLLECTION Adjustment</t>
  </si>
  <si>
    <t>(L)</t>
  </si>
  <si>
    <t>(O)</t>
  </si>
  <si>
    <t>Incentive ARR</t>
  </si>
  <si>
    <r>
      <t xml:space="preserve">Total Adjustments
</t>
    </r>
    <r>
      <rPr>
        <sz val="8"/>
        <rFont val="Arial"/>
        <family val="2"/>
      </rPr>
      <t>(Forecast, Billing, &amp; Interest)</t>
    </r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</si>
  <si>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</si>
  <si>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</si>
  <si>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</si>
  <si>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</si>
  <si>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</si>
  <si>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Arsenal Hill Auto xfmr &amp; AH to Water Works line</t>
  </si>
  <si>
    <t>SW Shreveport (sub work &amp; tap)</t>
  </si>
  <si>
    <t>PROJECTED Rev. Req't From Prior Year Template</t>
  </si>
  <si>
    <t>TRUE-UP Rev. Req't.From Prior Year Template</t>
  </si>
  <si>
    <t>Rebuild N. Magazine - Danville 161 kV Line</t>
  </si>
  <si>
    <t>Dyess to S. Fayetteville 69 kV Convert to 161 kV (multi-projects)</t>
  </si>
  <si>
    <t>Northwest Texarkana-Bann-Alumax Tap 138kV -- reconductor</t>
  </si>
  <si>
    <r>
      <t xml:space="preserve">As Billed
by SPP
</t>
    </r>
    <r>
      <rPr>
        <sz val="10"/>
        <rFont val="Arial"/>
        <family val="2"/>
      </rPr>
      <t>(for Prior Yr
T-Service)</t>
    </r>
  </si>
  <si>
    <t>NW Henderson - Oak Hill 138 kV line*</t>
  </si>
  <si>
    <t>Linwood 138 Station Switch Replacement*</t>
  </si>
  <si>
    <t>Tontitown - Elm Springs REC 161 kV line***</t>
  </si>
  <si>
    <t>Siloam Springs - Chamber Springs 161 kV line***</t>
  </si>
  <si>
    <t>Daingerfield - Jenkins REC 69 kV CB Repl**</t>
  </si>
  <si>
    <t>Linwood-McWillie 138 kV Rebuild</t>
  </si>
  <si>
    <t>Port Robson-Caplis Line (SW 138 kV Loop -- 2009)</t>
  </si>
  <si>
    <t>Wallace Lake-Prt Robson-Red Point 138 kV Loop</t>
  </si>
  <si>
    <t>[NW Ark Area Improve - 2008]  Elm Springs, East Rogers, Shipe Road Stations</t>
  </si>
  <si>
    <t>[NW Ark Area Improve - 2009]  E. Centerton-Flint Crk, E Rogers-N Rogers, Centerton</t>
  </si>
  <si>
    <t>[Greenwood, AR Area Improve]  N Huntington, Greenwood, Reeves, Bonanza</t>
  </si>
  <si>
    <t>Arsenal Hill 138kV Device (Cap. Bank)</t>
  </si>
  <si>
    <t xml:space="preserve">∑ Prior Year Projected  (WS-F)  </t>
  </si>
  <si>
    <t xml:space="preserve">∑ Prior Year True-Up  (WS-G)  </t>
  </si>
  <si>
    <t>SWEPCO Total</t>
  </si>
  <si>
    <t>TP2006077</t>
  </si>
  <si>
    <t>TP2008014</t>
  </si>
  <si>
    <t>Reconductor: Greggton-Lake Lamond &amp; Quitman-Westwood 69 kV lines</t>
  </si>
  <si>
    <t>TP2008015</t>
  </si>
  <si>
    <t>TP2008026</t>
  </si>
  <si>
    <t>Rebuild/reconductor Dyess-Elm Springs REC [Dyess Station-Flint Creek]</t>
  </si>
  <si>
    <t>TP2009012</t>
  </si>
  <si>
    <t>S.021</t>
  </si>
  <si>
    <t>S.022</t>
  </si>
  <si>
    <t>S.023</t>
  </si>
  <si>
    <t>S.024</t>
  </si>
  <si>
    <t>S.025</t>
  </si>
  <si>
    <t>Additional Annual Rev.</t>
  </si>
  <si>
    <t>Reconductor 4 mi. of McNabb-Turk</t>
  </si>
  <si>
    <t>Longwood: r&amp;r switches, upgrade bus</t>
  </si>
  <si>
    <t>TP______</t>
  </si>
  <si>
    <t>Projected ADJUSTED ARR from Prior Update</t>
  </si>
  <si>
    <t>Port Robson (SW 138 kV Loop -- 2008)</t>
  </si>
  <si>
    <t>*</t>
  </si>
  <si>
    <t>*&lt;$100K investment, **AI xfer, ***Non-BPU (to be removed from list in future).</t>
  </si>
  <si>
    <t>Replace switch at Diana*</t>
  </si>
  <si>
    <t>column to left (Q).</t>
  </si>
  <si>
    <t>NOTE:  Delete duplicate project.  Will track this multi-element multi-year project via 1 set of worksheet F and G tables (S.006).</t>
  </si>
  <si>
    <t>NOTE:  $310K Investment still on Dist plant accounts at YE2009.  Thus YE2009 Trans investment set to $0.</t>
  </si>
  <si>
    <t>NOTE:  Investment expected to be transferred from Distribution to Transmission during 2010.</t>
  </si>
  <si>
    <t>Whitney repl CB and Switches</t>
  </si>
  <si>
    <t>S.026</t>
  </si>
  <si>
    <t>***2008 INVESTMENT NOW INCLUDED IN PROJECT S.003 ABOVE***</t>
  </si>
  <si>
    <t>NOTE:  Transfer project.  Initial yr investment included in project S.003.</t>
  </si>
  <si>
    <t>PID 452, UIP 10586</t>
  </si>
  <si>
    <t>TP2009015</t>
  </si>
  <si>
    <t>Linwood - Powell Street 138 kV</t>
  </si>
  <si>
    <t>TP2008027</t>
  </si>
  <si>
    <t>TP2010062</t>
  </si>
  <si>
    <t xml:space="preserve">Knox Lee - Pirkey 138 kV / Pirkey - Whitney 138 kV - Replace Breaker,  Wavetraps, and reset relays and CT's </t>
  </si>
  <si>
    <t>NW Texarkana - Turk 345</t>
  </si>
  <si>
    <t>TP2009100</t>
  </si>
  <si>
    <t>Lone Star South - Pittsburg 138 kV - Replace Wavetraps, reset CT's and Relays</t>
  </si>
  <si>
    <t>Howell-Kilgore 69 kV rebuild</t>
  </si>
  <si>
    <t xml:space="preserve"> Flint Creek-Shipe Road 345 kV Line</t>
  </si>
  <si>
    <t>S.027</t>
  </si>
  <si>
    <t>S.028</t>
  </si>
  <si>
    <t>S.029</t>
  </si>
  <si>
    <t>S.030</t>
  </si>
  <si>
    <t>S.031</t>
  </si>
  <si>
    <t>S.032</t>
  </si>
  <si>
    <t>S.033</t>
  </si>
  <si>
    <t>TP2011024</t>
  </si>
  <si>
    <t>Diana - Replace North Autotransformer #3</t>
  </si>
  <si>
    <t>Bann - LS Ordnance - Hooks 69 kV - Rebuild 7.1 mi</t>
  </si>
  <si>
    <t>TP2010065</t>
  </si>
  <si>
    <t>Osburn 161 kV Line Work</t>
  </si>
  <si>
    <t>TP2010066</t>
  </si>
  <si>
    <t>SW Shreveport to Spring Ridge REC 138 kV Line Rebuild</t>
  </si>
  <si>
    <t>TP2010064</t>
  </si>
  <si>
    <t>Eastex Switching Station - Whitney 138 kV Station - Rebuild 2.5 miles of 138 Kv</t>
  </si>
  <si>
    <t>S.034</t>
  </si>
  <si>
    <t>S.035</t>
  </si>
  <si>
    <t>S.036</t>
  </si>
  <si>
    <t>S.037</t>
  </si>
  <si>
    <t>S.038</t>
  </si>
  <si>
    <t>TP2009092</t>
  </si>
  <si>
    <t xml:space="preserve">Rock Hill to Carthage 69 kV Rebuild 11.4 Miles </t>
  </si>
  <si>
    <t>TP2010103</t>
  </si>
  <si>
    <t>Broadmoor to Fern Street 69 kV Rebuild 1 mile</t>
  </si>
  <si>
    <t>TP2004031</t>
  </si>
  <si>
    <t>Northwest Henderson to Poynter 69 kV Rebuild 3.2 miles</t>
  </si>
  <si>
    <t>TP2011023</t>
  </si>
  <si>
    <t>Diana to Perdue 138 kV Rebuild 21.8 miles; Station Upgrades at Diana and Perdue</t>
  </si>
  <si>
    <t>S.039</t>
  </si>
  <si>
    <t>S.040</t>
  </si>
  <si>
    <t>S.041</t>
  </si>
  <si>
    <t>S.042</t>
  </si>
  <si>
    <t>S.043</t>
  </si>
  <si>
    <t xml:space="preserve">  SPP Project ID = 681</t>
  </si>
  <si>
    <t xml:space="preserve">  SPP Project ID = 502</t>
  </si>
  <si>
    <t xml:space="preserve">  SPP Project ID = 882</t>
  </si>
  <si>
    <t xml:space="preserve">  SPP Project ID = 770 (split between PSO &amp; SWEPCO)</t>
  </si>
  <si>
    <r>
      <t xml:space="preserve">Ashdown West - Craig Junction 138KV Rebuild </t>
    </r>
    <r>
      <rPr>
        <sz val="10"/>
        <color indexed="12"/>
        <rFont val="Arial"/>
        <family val="2"/>
      </rPr>
      <t>(tie w/PSO)</t>
    </r>
  </si>
  <si>
    <t>TP2002006</t>
  </si>
  <si>
    <t>Pittsburg-Winnsboro-North Mineola</t>
  </si>
  <si>
    <t>TP2005152</t>
  </si>
  <si>
    <t>CHAMBER SPRINGS - TONTITOWN 161KV CKT 1</t>
  </si>
  <si>
    <t>TP2002123</t>
  </si>
  <si>
    <t>CHAMBER SPRINGS - TONTITOWN 345KV CKT 1</t>
  </si>
  <si>
    <t>FULTON - HOPE 115KV CKT 1</t>
  </si>
  <si>
    <t>TP2007166</t>
  </si>
  <si>
    <t>MINEOLA - NORTH MINEOLA 69KV CKT 1</t>
  </si>
  <si>
    <t>TP2004032</t>
  </si>
  <si>
    <t xml:space="preserve">SUGAR HILL 138/69KV TRANSFORMER CKT 1 </t>
  </si>
  <si>
    <t>Dekalb-New Boston 69 kV</t>
  </si>
  <si>
    <t>Hardy Street-Waterworks 69 kV</t>
  </si>
  <si>
    <t>Red Oak (State Line)-North Huntington 69 kV</t>
  </si>
  <si>
    <t>Mt. Pleasant - West Mt. Pleasant 69 kV Ckt 1)</t>
  </si>
  <si>
    <t>Benteler - Port Robson 138 kV Ckt 1 and 2</t>
  </si>
  <si>
    <t>S.044</t>
  </si>
  <si>
    <t>S.045</t>
  </si>
  <si>
    <t>S.046</t>
  </si>
  <si>
    <t>S.047</t>
  </si>
  <si>
    <t>S.048</t>
  </si>
  <si>
    <t>S.049</t>
  </si>
  <si>
    <t>S.050</t>
  </si>
  <si>
    <t>S.051</t>
  </si>
  <si>
    <t>S.052</t>
  </si>
  <si>
    <t>S.053</t>
  </si>
  <si>
    <t>S.054</t>
  </si>
  <si>
    <t xml:space="preserve">***Sch. 11 recovery commenced in the 2015 rate year *** </t>
  </si>
  <si>
    <t>Ellerbe Rd-S Shreveport 69 kv Build</t>
  </si>
  <si>
    <t>TP201154</t>
  </si>
  <si>
    <t>Logansport 138 kv</t>
  </si>
  <si>
    <t>TP2011022</t>
  </si>
  <si>
    <t>Winnsboro 138 kw</t>
  </si>
  <si>
    <t>TP2013122</t>
  </si>
  <si>
    <t>Rock Hill-Springridge Pan-Harr REC 138 kv</t>
  </si>
  <si>
    <t>Brownlee-North Mrket 69 kv Rebuild</t>
  </si>
  <si>
    <t>S.055</t>
  </si>
  <si>
    <t>S.056</t>
  </si>
  <si>
    <t>S.057</t>
  </si>
  <si>
    <t>S.058</t>
  </si>
  <si>
    <t>S.059</t>
  </si>
  <si>
    <t xml:space="preserve"> &lt;--- this value goes to sched 11 interest support file line 18</t>
  </si>
  <si>
    <t>2013</t>
  </si>
  <si>
    <t xml:space="preserve">***Sch. 11 recovery commenced in the 2015 rate year.  Beg Bal = to depreciated balance as of 1/1/15. *** </t>
  </si>
  <si>
    <t>S.060</t>
  </si>
  <si>
    <t>S.061</t>
  </si>
  <si>
    <t>S.062</t>
  </si>
  <si>
    <t>S.063</t>
  </si>
  <si>
    <t>S.064</t>
  </si>
  <si>
    <t>S.065</t>
  </si>
  <si>
    <t>S.066</t>
  </si>
  <si>
    <t>S.067</t>
  </si>
  <si>
    <t>Valliant-NW Texarkana 345 kV</t>
  </si>
  <si>
    <t>Messick 500/230 kV</t>
  </si>
  <si>
    <t>TP2011033</t>
  </si>
  <si>
    <t>Letourneau 69 kV Capacitor Bank Addition</t>
  </si>
  <si>
    <t>Brooks Street - Edwards Street 69 kV Line Rebuild</t>
  </si>
  <si>
    <t>Hallsville - Marshall New 69 kV Circuit</t>
  </si>
  <si>
    <t>Daingerfield - Jenkins Rebuild</t>
  </si>
  <si>
    <t>Broadmoor - Fort Humbug Rebuild</t>
  </si>
  <si>
    <t>Chamber Springs - Farmington 161 kV Line</t>
  </si>
  <si>
    <t>Beg/Ending 
Average
Revenue</t>
  </si>
  <si>
    <t>Beg/Ending
Average
Revenue Req't.</t>
  </si>
  <si>
    <t>insert project name here</t>
  </si>
  <si>
    <t xml:space="preserve">True-Up Year Projected  (WS-F)  </t>
  </si>
  <si>
    <t xml:space="preserve">True-Up Year Actual  (WS-G)  </t>
  </si>
  <si>
    <t xml:space="preserve">       Taxable Percentage of Revenue (22%)</t>
  </si>
  <si>
    <t xml:space="preserve"> Worksheet F</t>
  </si>
  <si>
    <t xml:space="preserve">  SPP Project ID = 221</t>
  </si>
  <si>
    <t xml:space="preserve">  SPP Project ID = 294</t>
  </si>
  <si>
    <t xml:space="preserve">  SPP Project ID = 30471</t>
  </si>
  <si>
    <t xml:space="preserve">  SPP Project ID = 30472</t>
  </si>
  <si>
    <t xml:space="preserve">  SPP Project ID = 30731</t>
  </si>
  <si>
    <t xml:space="preserve">  SPP Project ID = 30769</t>
  </si>
  <si>
    <t xml:space="preserve">  SPP Project ID = 30298</t>
  </si>
  <si>
    <t xml:space="preserve">  SPP Project ID = 30296</t>
  </si>
  <si>
    <t>TP2010067</t>
  </si>
  <si>
    <t xml:space="preserve">  SPP Project ID = 30449</t>
  </si>
  <si>
    <t xml:space="preserve">  SPP Project ID = 504</t>
  </si>
  <si>
    <t>TP2009104</t>
  </si>
  <si>
    <t>TP2015106</t>
  </si>
  <si>
    <t xml:space="preserve">  SPP Project ID = 30598</t>
  </si>
  <si>
    <t>TP2014138</t>
  </si>
  <si>
    <t xml:space="preserve">  SPP Project ID = 30895</t>
  </si>
  <si>
    <t>TP2013167</t>
  </si>
  <si>
    <t xml:space="preserve">  SPP Project ID = 30576</t>
  </si>
  <si>
    <t>TP2013166</t>
  </si>
  <si>
    <t xml:space="preserve">  SPP Project ID = 30574</t>
  </si>
  <si>
    <t>TP2013165</t>
  </si>
  <si>
    <t xml:space="preserve">  SPP Project ID = 30573</t>
  </si>
  <si>
    <t>TP2011147</t>
  </si>
  <si>
    <t xml:space="preserve">  SPP Project ID = 451</t>
  </si>
  <si>
    <t>TP2010100</t>
  </si>
  <si>
    <t xml:space="preserve">  SPP Project ID = 501</t>
  </si>
  <si>
    <t>Evenside - Northwest Henderson 69 KV Line Rebuild</t>
  </si>
  <si>
    <t xml:space="preserve">  SPP Project ID = 30575</t>
  </si>
  <si>
    <t>Hallsville - Longview Heights 69 KV Line Rebuild</t>
  </si>
  <si>
    <t>TP2014139</t>
  </si>
  <si>
    <t xml:space="preserve">  SPP Project ID = 30889</t>
  </si>
  <si>
    <t>TP2017012</t>
  </si>
  <si>
    <t xml:space="preserve">  SPP Project ID = 31186</t>
  </si>
  <si>
    <t>S.068</t>
  </si>
  <si>
    <t>S.069</t>
  </si>
  <si>
    <t>S.070</t>
  </si>
  <si>
    <t>S.071</t>
  </si>
  <si>
    <t>Linwood - South Shreveport 138 KV Kine Rebuild</t>
  </si>
  <si>
    <t>IPC 138 KV Capacitor Bank Addition</t>
  </si>
  <si>
    <t xml:space="preserve">   ROE w/o incentives  (True-Up TCOS, ln 135)</t>
  </si>
  <si>
    <t xml:space="preserve">                         -  </t>
  </si>
  <si>
    <t xml:space="preserve">   Excess DFIT Adjustment  (TCOS, ln 109)</t>
  </si>
  <si>
    <t xml:space="preserve">   Tax Effect of Permanent and Flow Through Differences (TCOS, ln 110)</t>
  </si>
  <si>
    <t xml:space="preserve">   Net Transmission Plant  (TCOS, ln 37)</t>
  </si>
  <si>
    <t xml:space="preserve">   FCR less Depreciation  (TCOS, ln 10)</t>
  </si>
  <si>
    <t>S.073</t>
  </si>
  <si>
    <t>S.072</t>
  </si>
  <si>
    <t>Siloam Springs - Siloam Springs City 161 kV Rebuild</t>
  </si>
  <si>
    <t>Ellerbe Road - Lucas 69 kV Rebuild</t>
  </si>
  <si>
    <t>Figure Five - VBI North 69 kV Rebuild</t>
  </si>
  <si>
    <t>TA2016806</t>
  </si>
  <si>
    <t>S.074</t>
  </si>
  <si>
    <t>Transmission Plant Average Balance for 2019</t>
  </si>
  <si>
    <t>Annual Depreciation Expense  (True-Up TCOS,  ln 86)</t>
  </si>
  <si>
    <t xml:space="preserve">   Rate Base  (TCOS, ln 63)</t>
  </si>
  <si>
    <t xml:space="preserve">   Tax Rate  (TCOS, ln 99)</t>
  </si>
  <si>
    <t xml:space="preserve">   ITC Adjustment  (TCOS, ln 108)</t>
  </si>
  <si>
    <t xml:space="preserve">   Net Revenue Requirement  (TCOS, ln 117)</t>
  </si>
  <si>
    <t xml:space="preserve">   Return  (TCOS, ln 112)</t>
  </si>
  <si>
    <t xml:space="preserve">   Income Taxes  (TCOS, ln 111)</t>
  </si>
  <si>
    <t xml:space="preserve">  Gross Margin Taxes  (TCOS, ln 116)</t>
  </si>
  <si>
    <t xml:space="preserve">   Less: Depreciation  (TCOS, ln 86)</t>
  </si>
  <si>
    <t xml:space="preserve">  SPP Project ID = 31131</t>
  </si>
  <si>
    <t>TP2017010</t>
  </si>
  <si>
    <t xml:space="preserve">  SPP Project ID = 51300</t>
  </si>
  <si>
    <t>TP2014154</t>
  </si>
  <si>
    <t xml:space="preserve">  SPP Project ID = 30762</t>
  </si>
  <si>
    <t>Bloomburg-Texarkana Plant</t>
  </si>
  <si>
    <t>TP2008126</t>
  </si>
  <si>
    <t>TP2010102</t>
  </si>
  <si>
    <t>TP2012144</t>
  </si>
  <si>
    <t>TP2012146</t>
  </si>
  <si>
    <t>TP2012164</t>
  </si>
  <si>
    <t>TP2013081</t>
  </si>
  <si>
    <t>TP2012172</t>
  </si>
  <si>
    <t>TP2009089</t>
  </si>
  <si>
    <t xml:space="preserve">  SPP Project ID = 108</t>
  </si>
  <si>
    <t xml:space="preserve">  SPP Project ID = 224</t>
  </si>
  <si>
    <t xml:space="preserve">  SPP Project ID = 229</t>
  </si>
  <si>
    <t xml:space="preserve">  SPP Project ID = 225</t>
  </si>
  <si>
    <t xml:space="preserve">  SPP Project ID = 217</t>
  </si>
  <si>
    <t xml:space="preserve">  SPP Project ID = 113</t>
  </si>
  <si>
    <t xml:space="preserve">  SPP Project ID = 109</t>
  </si>
  <si>
    <t xml:space="preserve">  SPP Project ID = 30151</t>
  </si>
  <si>
    <t xml:space="preserve">  SPP Project ID = 115</t>
  </si>
  <si>
    <t xml:space="preserve">  SPP Project ID = 41</t>
  </si>
  <si>
    <t xml:space="preserve">  SPP Project ID = 5</t>
  </si>
  <si>
    <t xml:space="preserve">  SPP Project ID = 48</t>
  </si>
  <si>
    <t xml:space="preserve">  SPP Project ID = 30000</t>
  </si>
  <si>
    <t xml:space="preserve">  SPP Project ID = 227</t>
  </si>
  <si>
    <t xml:space="preserve">  SPP Project ID = 120</t>
  </si>
  <si>
    <t xml:space="preserve">  SPP Project ID = 349</t>
  </si>
  <si>
    <t xml:space="preserve">  SPP Project ID = 30153</t>
  </si>
  <si>
    <t xml:space="preserve">  SPP Project ID = 30152</t>
  </si>
  <si>
    <t xml:space="preserve">  SPP Project ID = 30157</t>
  </si>
  <si>
    <t xml:space="preserve">  SPP Project ID = 30318</t>
  </si>
  <si>
    <t xml:space="preserve">  SPP Project ID = 30142</t>
  </si>
  <si>
    <t xml:space="preserve">  SPP Project ID = 391</t>
  </si>
  <si>
    <t xml:space="preserve">  SPP Project ID = 392</t>
  </si>
  <si>
    <t xml:space="preserve">  SPP Project ID = 450</t>
  </si>
  <si>
    <t xml:space="preserve">  SPP Project ID = 1081</t>
  </si>
  <si>
    <t xml:space="preserve">  SPP Project ID = 30316</t>
  </si>
  <si>
    <t xml:space="preserve">  SPP Project ID = 443</t>
  </si>
  <si>
    <t xml:space="preserve">  SPP Project ID = 1023</t>
  </si>
  <si>
    <t xml:space="preserve">  SPP Project ID = 1024</t>
  </si>
  <si>
    <t xml:space="preserve">  SPP Project ID = 1012</t>
  </si>
  <si>
    <t xml:space="preserve">  SPP Project ID = 10</t>
  </si>
  <si>
    <t xml:space="preserve">  SPP Project ID = 45</t>
  </si>
  <si>
    <t xml:space="preserve">  SPP Project ID = 117</t>
  </si>
  <si>
    <t xml:space="preserve">  SPP Project ID = 875</t>
  </si>
  <si>
    <t xml:space="preserve">  SPP Project ID = 30473</t>
  </si>
  <si>
    <t xml:space="preserve">  SPP Project ID = 512</t>
  </si>
  <si>
    <t xml:space="preserve">  SPP Project ID = 936</t>
  </si>
  <si>
    <t xml:space="preserve">  SPP Project ID = 30495</t>
  </si>
  <si>
    <t>Projected Year</t>
  </si>
  <si>
    <t xml:space="preserve">   ROE w/o incentives  (TCOS, ln 143)</t>
  </si>
  <si>
    <t xml:space="preserve">   Tax Effect of Permanent and Flow Through Differences  (TCOS, ln 110)</t>
  </si>
  <si>
    <t>Annual Depreciation Expense  (TCOS, ln 86)</t>
  </si>
  <si>
    <t>Project Name check</t>
  </si>
  <si>
    <t>Transmission Plant Average Balance for 2023 (WS A-1 Ln 14 Col (d))</t>
  </si>
  <si>
    <t>AH auto &amp; line (TP2007057)</t>
  </si>
  <si>
    <t>SW Shreveport (TP2007060)</t>
  </si>
  <si>
    <t>NW Ark 2009 (TP2007103)</t>
  </si>
  <si>
    <t>N-Mag-Danville (TP2007114)</t>
  </si>
  <si>
    <t>Greenwod, AR area (TP2007120)</t>
  </si>
  <si>
    <t>Port Robson - Caplis - Red Point (SE 138 loop) (TP2007165)</t>
  </si>
  <si>
    <t>Linwood 1238 switch r&amp;r (TP2008080)</t>
  </si>
  <si>
    <t>Dyess-S.Fayetteville 69 convert to 161 (TP2002085)</t>
  </si>
  <si>
    <t>NW Texkna-Bann-Alumax 138 reconductor (TP2006130)</t>
  </si>
  <si>
    <t>Tontitown-Elm Springs REC 161</t>
  </si>
  <si>
    <t>Siloam Sprgs - Chamber Sprgs 161 line</t>
  </si>
  <si>
    <t>Knox Lee - Oak Hill#2 1328 line, S.Shreveport (TP2004036)</t>
  </si>
  <si>
    <t>Carthage REC - Carthage T 138 (TP2004139)</t>
  </si>
  <si>
    <t>NW Henderson - Oak Hill 138 line (TP2006089)</t>
  </si>
  <si>
    <t>Arsenal Hill 138 kV cap (TP2004148)</t>
  </si>
  <si>
    <t>Daingerfield repl CB 1M90 (TP2008017)</t>
  </si>
  <si>
    <t>Linwood-McWillie (TP2007019)</t>
  </si>
  <si>
    <t>Port Robson - Caplis
(SE 1238 kV loop - 2008) (TP2007165)</t>
  </si>
  <si>
    <t>Wallace Lake - Port Robson (TP2005142)</t>
  </si>
  <si>
    <t xml:space="preserve">[NW Ark Area Improve - 2008] Elm Springs, East Rogers,Shipe Rd stations </t>
  </si>
  <si>
    <t>McNabb-Turk 4mi reconductor</t>
  </si>
  <si>
    <t>Longwood: r&amp;r switches &amp; bus upgrade</t>
  </si>
  <si>
    <t>Reconductor: Greggton-Lake Lamond &amp; Quitman-Westwood 69 kV lines (TP2008015)</t>
  </si>
  <si>
    <t>Rebuild/recondutor Dyess-ElmSprings REC [Dyess Station-Flint Creek] (TP2008026)</t>
  </si>
  <si>
    <t>Replace sw @ Diana</t>
  </si>
  <si>
    <t>Bloomburg-Texarkana Plant (TP2008027)</t>
  </si>
  <si>
    <t>Knox Lee - Pirkey 138 kV / Pirkey - Whitney 138 kV - Replace Breaker,  Wavetraps, and reset relays and CT's (TP2010062)</t>
  </si>
  <si>
    <t>Lone Star South - Pittsburg 138 kV - Replace Wavetraps, reset CT's and Relays (TP2009100)</t>
  </si>
  <si>
    <t xml:space="preserve"> Flint Creek-Shipe Road 345 kV Line (TP2008126)</t>
  </si>
  <si>
    <t>Bann - LS Ordnance - Hooks 69 kV - Rebuild 7.1 mi (TP2011024)</t>
  </si>
  <si>
    <t>Diana - Replace North Autotransformer #3 (TP2010065)</t>
  </si>
  <si>
    <t>SW Shreveport to Spring Ridge REC 138 kV Line Rebuild (TP2010066)</t>
  </si>
  <si>
    <t>Eastex Switching Station - Whitney 138 kV Station - Rebuild 2.5 miles of 138 kV (TP2010064)</t>
  </si>
  <si>
    <t>Ashdown West - Craig Junction 138KV Rebuild (TP2009092)</t>
  </si>
  <si>
    <t>Rock Hill to Carthage 69 kV Rebuild 11.4 Miles (TP2010102)</t>
  </si>
  <si>
    <t>Broadmoor to Fern Street 69 kV Rebuild 1 mile (TP2010103)</t>
  </si>
  <si>
    <t>Northwest Henderson to Poynter 69 kV Rebuild 3.2 miles (TP2004031)</t>
  </si>
  <si>
    <t>Diana to Perdue 138 kV Rebuild 21.8 miles; Station Upgrades at Diana and Perdue (TP2011023)</t>
  </si>
  <si>
    <t>SUGAR HILL 138/69KV TRANSFORMER CKT 1</t>
  </si>
  <si>
    <t>Mt. Pleasant - West Mt. Pleasant 69 kV Ckt 1</t>
  </si>
  <si>
    <t>Ellerbe Rd - South Shreveport 69 kV Build (TP201154)</t>
  </si>
  <si>
    <t>Logansport 138 kV (TP2011022)</t>
  </si>
  <si>
    <t>Winnsboro 138 kV (TP2013122)</t>
  </si>
  <si>
    <t>Rock Hill-Springridge Pan-Harr REC 138 kV Ckt 1</t>
  </si>
  <si>
    <t>Brownlee-North Market 69 kV Rebuild</t>
  </si>
  <si>
    <t>Messick 500/230 kV (TP2011033)</t>
  </si>
  <si>
    <t>Broadmoor - Fort Humbug 69 kV Rebuild</t>
  </si>
  <si>
    <t>Evenside - Northwest Henderson 69 kV Line Rebuild</t>
  </si>
  <si>
    <t>Hallsville - Longview Heights 69 kV Line Rebuild</t>
  </si>
  <si>
    <t>Linwood - South Shreveport 138 kV Line Rebuild</t>
  </si>
  <si>
    <t>IPC 138 kV Capacitor Bank Addition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</si>
</sst>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00000_);_(* \(#,##0.0000000000\);_(* &quot;-&quot;_);_(@_)"/>
    <numFmt numFmtId="175" formatCode="_(* #,##0.00000_);_(* \(#,##0.00000\);_(* &quot;-&quot;??_);_(@_)"/>
    <numFmt numFmtId="176" formatCode="_(* #,##0.0000000_);_(* \(#,##0.0000000\);_(* &quot;-&quot;_);_(@_)"/>
    <numFmt numFmtId="177" formatCode="_(* #,##0.00000000_);_(* \(#,##0.00000000\);_(* &quot;-&quot;??_);_(@_)"/>
    <numFmt numFmtId="178" formatCode="&quot;$&quot;#,##0\ ;\(&quot;$&quot;#,##0\)"/>
    <numFmt numFmtId="179" formatCode="_(* #,##0.0,_);_(* \(#,##0.0,\);_(* &quot;-   &quot;_);_(@_)"/>
    <numFmt numFmtId="180" formatCode="0_);\(0\)"/>
  </numFmts>
  <fonts count="127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4"/>
      <color indexed="12"/>
      <name val="Arial"/>
      <family val="2"/>
    </font>
    <font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22"/>
      <color indexed="81"/>
      <name val="Tahoma"/>
      <family val="2"/>
    </font>
    <font>
      <sz val="22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0"/>
      <color indexed="3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sz val="10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61">
    <xf numFmtId="0" fontId="0" fillId="0" borderId="0"/>
    <xf numFmtId="0" fontId="2" fillId="2" borderId="0" applyNumberFormat="0" applyBorder="0" applyAlignment="0" applyProtection="0"/>
    <xf numFmtId="0" fontId="108" fillId="29" borderId="0" applyNumberFormat="0" applyBorder="0" applyAlignment="0" applyProtection="0"/>
    <xf numFmtId="0" fontId="80" fillId="2" borderId="0" applyNumberFormat="0" applyBorder="0" applyAlignment="0" applyProtection="0"/>
    <xf numFmtId="0" fontId="108" fillId="29" borderId="0" applyNumberFormat="0" applyBorder="0" applyAlignment="0" applyProtection="0"/>
    <xf numFmtId="0" fontId="2" fillId="2" borderId="0" applyNumberFormat="0" applyBorder="0" applyAlignment="0" applyProtection="0"/>
    <xf numFmtId="0" fontId="80" fillId="2" borderId="0" applyNumberFormat="0" applyBorder="0" applyAlignment="0" applyProtection="0"/>
    <xf numFmtId="0" fontId="2" fillId="3" borderId="0" applyNumberFormat="0" applyBorder="0" applyAlignment="0" applyProtection="0"/>
    <xf numFmtId="0" fontId="108" fillId="30" borderId="0" applyNumberFormat="0" applyBorder="0" applyAlignment="0" applyProtection="0"/>
    <xf numFmtId="0" fontId="80" fillId="3" borderId="0" applyNumberFormat="0" applyBorder="0" applyAlignment="0" applyProtection="0"/>
    <xf numFmtId="0" fontId="108" fillId="30" borderId="0" applyNumberFormat="0" applyBorder="0" applyAlignment="0" applyProtection="0"/>
    <xf numFmtId="0" fontId="2" fillId="3" borderId="0" applyNumberFormat="0" applyBorder="0" applyAlignment="0" applyProtection="0"/>
    <xf numFmtId="0" fontId="80" fillId="3" borderId="0" applyNumberFormat="0" applyBorder="0" applyAlignment="0" applyProtection="0"/>
    <xf numFmtId="0" fontId="2" fillId="4" borderId="0" applyNumberFormat="0" applyBorder="0" applyAlignment="0" applyProtection="0"/>
    <xf numFmtId="0" fontId="108" fillId="31" borderId="0" applyNumberFormat="0" applyBorder="0" applyAlignment="0" applyProtection="0"/>
    <xf numFmtId="0" fontId="80" fillId="4" borderId="0" applyNumberFormat="0" applyBorder="0" applyAlignment="0" applyProtection="0"/>
    <xf numFmtId="0" fontId="108" fillId="31" borderId="0" applyNumberFormat="0" applyBorder="0" applyAlignment="0" applyProtection="0"/>
    <xf numFmtId="0" fontId="2" fillId="4" borderId="0" applyNumberFormat="0" applyBorder="0" applyAlignment="0" applyProtection="0"/>
    <xf numFmtId="0" fontId="80" fillId="4" borderId="0" applyNumberFormat="0" applyBorder="0" applyAlignment="0" applyProtection="0"/>
    <xf numFmtId="0" fontId="2" fillId="5" borderId="0" applyNumberFormat="0" applyBorder="0" applyAlignment="0" applyProtection="0"/>
    <xf numFmtId="0" fontId="108" fillId="32" borderId="0" applyNumberFormat="0" applyBorder="0" applyAlignment="0" applyProtection="0"/>
    <xf numFmtId="0" fontId="80" fillId="5" borderId="0" applyNumberFormat="0" applyBorder="0" applyAlignment="0" applyProtection="0"/>
    <xf numFmtId="0" fontId="108" fillId="32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6" borderId="0" applyNumberFormat="0" applyBorder="0" applyAlignment="0" applyProtection="0"/>
    <xf numFmtId="0" fontId="108" fillId="33" borderId="0" applyNumberFormat="0" applyBorder="0" applyAlignment="0" applyProtection="0"/>
    <xf numFmtId="0" fontId="80" fillId="6" borderId="0" applyNumberFormat="0" applyBorder="0" applyAlignment="0" applyProtection="0"/>
    <xf numFmtId="0" fontId="108" fillId="33" borderId="0" applyNumberFormat="0" applyBorder="0" applyAlignment="0" applyProtection="0"/>
    <xf numFmtId="0" fontId="2" fillId="6" borderId="0" applyNumberFormat="0" applyBorder="0" applyAlignment="0" applyProtection="0"/>
    <xf numFmtId="0" fontId="80" fillId="6" borderId="0" applyNumberFormat="0" applyBorder="0" applyAlignment="0" applyProtection="0"/>
    <xf numFmtId="0" fontId="2" fillId="7" borderId="0" applyNumberFormat="0" applyBorder="0" applyAlignment="0" applyProtection="0"/>
    <xf numFmtId="0" fontId="108" fillId="34" borderId="0" applyNumberFormat="0" applyBorder="0" applyAlignment="0" applyProtection="0"/>
    <xf numFmtId="0" fontId="80" fillId="7" borderId="0" applyNumberFormat="0" applyBorder="0" applyAlignment="0" applyProtection="0"/>
    <xf numFmtId="0" fontId="108" fillId="34" borderId="0" applyNumberFormat="0" applyBorder="0" applyAlignment="0" applyProtection="0"/>
    <xf numFmtId="0" fontId="2" fillId="7" borderId="0" applyNumberFormat="0" applyBorder="0" applyAlignment="0" applyProtection="0"/>
    <xf numFmtId="0" fontId="80" fillId="7" borderId="0" applyNumberFormat="0" applyBorder="0" applyAlignment="0" applyProtection="0"/>
    <xf numFmtId="0" fontId="2" fillId="8" borderId="0" applyNumberFormat="0" applyBorder="0" applyAlignment="0" applyProtection="0"/>
    <xf numFmtId="0" fontId="108" fillId="35" borderId="0" applyNumberFormat="0" applyBorder="0" applyAlignment="0" applyProtection="0"/>
    <xf numFmtId="0" fontId="80" fillId="8" borderId="0" applyNumberFormat="0" applyBorder="0" applyAlignment="0" applyProtection="0"/>
    <xf numFmtId="0" fontId="108" fillId="35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9" borderId="0" applyNumberFormat="0" applyBorder="0" applyAlignment="0" applyProtection="0"/>
    <xf numFmtId="0" fontId="108" fillId="36" borderId="0" applyNumberFormat="0" applyBorder="0" applyAlignment="0" applyProtection="0"/>
    <xf numFmtId="0" fontId="80" fillId="9" borderId="0" applyNumberFormat="0" applyBorder="0" applyAlignment="0" applyProtection="0"/>
    <xf numFmtId="0" fontId="108" fillId="36" borderId="0" applyNumberFormat="0" applyBorder="0" applyAlignment="0" applyProtection="0"/>
    <xf numFmtId="0" fontId="2" fillId="9" borderId="0" applyNumberFormat="0" applyBorder="0" applyAlignment="0" applyProtection="0"/>
    <xf numFmtId="0" fontId="80" fillId="9" borderId="0" applyNumberFormat="0" applyBorder="0" applyAlignment="0" applyProtection="0"/>
    <xf numFmtId="0" fontId="2" fillId="10" borderId="0" applyNumberFormat="0" applyBorder="0" applyAlignment="0" applyProtection="0"/>
    <xf numFmtId="0" fontId="108" fillId="37" borderId="0" applyNumberFormat="0" applyBorder="0" applyAlignment="0" applyProtection="0"/>
    <xf numFmtId="0" fontId="80" fillId="10" borderId="0" applyNumberFormat="0" applyBorder="0" applyAlignment="0" applyProtection="0"/>
    <xf numFmtId="0" fontId="108" fillId="37" borderId="0" applyNumberFormat="0" applyBorder="0" applyAlignment="0" applyProtection="0"/>
    <xf numFmtId="0" fontId="2" fillId="10" borderId="0" applyNumberFormat="0" applyBorder="0" applyAlignment="0" applyProtection="0"/>
    <xf numFmtId="0" fontId="80" fillId="10" borderId="0" applyNumberFormat="0" applyBorder="0" applyAlignment="0" applyProtection="0"/>
    <xf numFmtId="0" fontId="2" fillId="5" borderId="0" applyNumberFormat="0" applyBorder="0" applyAlignment="0" applyProtection="0"/>
    <xf numFmtId="0" fontId="108" fillId="38" borderId="0" applyNumberFormat="0" applyBorder="0" applyAlignment="0" applyProtection="0"/>
    <xf numFmtId="0" fontId="80" fillId="5" borderId="0" applyNumberFormat="0" applyBorder="0" applyAlignment="0" applyProtection="0"/>
    <xf numFmtId="0" fontId="108" fillId="38" borderId="0" applyNumberFormat="0" applyBorder="0" applyAlignment="0" applyProtection="0"/>
    <xf numFmtId="0" fontId="2" fillId="5" borderId="0" applyNumberFormat="0" applyBorder="0" applyAlignment="0" applyProtection="0"/>
    <xf numFmtId="0" fontId="80" fillId="5" borderId="0" applyNumberFormat="0" applyBorder="0" applyAlignment="0" applyProtection="0"/>
    <xf numFmtId="0" fontId="2" fillId="8" borderId="0" applyNumberFormat="0" applyBorder="0" applyAlignment="0" applyProtection="0"/>
    <xf numFmtId="0" fontId="108" fillId="39" borderId="0" applyNumberFormat="0" applyBorder="0" applyAlignment="0" applyProtection="0"/>
    <xf numFmtId="0" fontId="80" fillId="8" borderId="0" applyNumberFormat="0" applyBorder="0" applyAlignment="0" applyProtection="0"/>
    <xf numFmtId="0" fontId="108" fillId="39" borderId="0" applyNumberFormat="0" applyBorder="0" applyAlignment="0" applyProtection="0"/>
    <xf numFmtId="0" fontId="2" fillId="8" borderId="0" applyNumberFormat="0" applyBorder="0" applyAlignment="0" applyProtection="0"/>
    <xf numFmtId="0" fontId="80" fillId="8" borderId="0" applyNumberFormat="0" applyBorder="0" applyAlignment="0" applyProtection="0"/>
    <xf numFmtId="0" fontId="2" fillId="11" borderId="0" applyNumberFormat="0" applyBorder="0" applyAlignment="0" applyProtection="0"/>
    <xf numFmtId="0" fontId="108" fillId="40" borderId="0" applyNumberFormat="0" applyBorder="0" applyAlignment="0" applyProtection="0"/>
    <xf numFmtId="0" fontId="80" fillId="11" borderId="0" applyNumberFormat="0" applyBorder="0" applyAlignment="0" applyProtection="0"/>
    <xf numFmtId="0" fontId="108" fillId="40" borderId="0" applyNumberFormat="0" applyBorder="0" applyAlignment="0" applyProtection="0"/>
    <xf numFmtId="0" fontId="2" fillId="11" borderId="0" applyNumberFormat="0" applyBorder="0" applyAlignment="0" applyProtection="0"/>
    <xf numFmtId="0" fontId="80" fillId="11" borderId="0" applyNumberFormat="0" applyBorder="0" applyAlignment="0" applyProtection="0"/>
    <xf numFmtId="0" fontId="3" fillId="12" borderId="0" applyNumberFormat="0" applyBorder="0" applyAlignment="0" applyProtection="0"/>
    <xf numFmtId="0" fontId="109" fillId="41" borderId="0" applyNumberFormat="0" applyBorder="0" applyAlignment="0" applyProtection="0"/>
    <xf numFmtId="0" fontId="90" fillId="12" borderId="0" applyNumberFormat="0" applyBorder="0" applyAlignment="0" applyProtection="0"/>
    <xf numFmtId="0" fontId="109" fillId="41" borderId="0" applyNumberFormat="0" applyBorder="0" applyAlignment="0" applyProtection="0"/>
    <xf numFmtId="0" fontId="3" fillId="12" borderId="0" applyNumberFormat="0" applyBorder="0" applyAlignment="0" applyProtection="0"/>
    <xf numFmtId="0" fontId="90" fillId="12" borderId="0" applyNumberFormat="0" applyBorder="0" applyAlignment="0" applyProtection="0"/>
    <xf numFmtId="0" fontId="3" fillId="9" borderId="0" applyNumberFormat="0" applyBorder="0" applyAlignment="0" applyProtection="0"/>
    <xf numFmtId="0" fontId="109" fillId="42" borderId="0" applyNumberFormat="0" applyBorder="0" applyAlignment="0" applyProtection="0"/>
    <xf numFmtId="0" fontId="90" fillId="9" borderId="0" applyNumberFormat="0" applyBorder="0" applyAlignment="0" applyProtection="0"/>
    <xf numFmtId="0" fontId="109" fillId="42" borderId="0" applyNumberFormat="0" applyBorder="0" applyAlignment="0" applyProtection="0"/>
    <xf numFmtId="0" fontId="3" fillId="9" borderId="0" applyNumberFormat="0" applyBorder="0" applyAlignment="0" applyProtection="0"/>
    <xf numFmtId="0" fontId="90" fillId="9" borderId="0" applyNumberFormat="0" applyBorder="0" applyAlignment="0" applyProtection="0"/>
    <xf numFmtId="0" fontId="3" fillId="10" borderId="0" applyNumberFormat="0" applyBorder="0" applyAlignment="0" applyProtection="0"/>
    <xf numFmtId="0" fontId="109" fillId="43" borderId="0" applyNumberFormat="0" applyBorder="0" applyAlignment="0" applyProtection="0"/>
    <xf numFmtId="0" fontId="90" fillId="10" borderId="0" applyNumberFormat="0" applyBorder="0" applyAlignment="0" applyProtection="0"/>
    <xf numFmtId="0" fontId="109" fillId="43" borderId="0" applyNumberFormat="0" applyBorder="0" applyAlignment="0" applyProtection="0"/>
    <xf numFmtId="0" fontId="3" fillId="10" borderId="0" applyNumberFormat="0" applyBorder="0" applyAlignment="0" applyProtection="0"/>
    <xf numFmtId="0" fontId="90" fillId="10" borderId="0" applyNumberFormat="0" applyBorder="0" applyAlignment="0" applyProtection="0"/>
    <xf numFmtId="0" fontId="3" fillId="13" borderId="0" applyNumberFormat="0" applyBorder="0" applyAlignment="0" applyProtection="0"/>
    <xf numFmtId="0" fontId="109" fillId="44" borderId="0" applyNumberFormat="0" applyBorder="0" applyAlignment="0" applyProtection="0"/>
    <xf numFmtId="0" fontId="90" fillId="13" borderId="0" applyNumberFormat="0" applyBorder="0" applyAlignment="0" applyProtection="0"/>
    <xf numFmtId="0" fontId="109" fillId="44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45" borderId="0" applyNumberFormat="0" applyBorder="0" applyAlignment="0" applyProtection="0"/>
    <xf numFmtId="0" fontId="90" fillId="14" borderId="0" applyNumberFormat="0" applyBorder="0" applyAlignment="0" applyProtection="0"/>
    <xf numFmtId="0" fontId="109" fillId="45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5" borderId="0" applyNumberFormat="0" applyBorder="0" applyAlignment="0" applyProtection="0"/>
    <xf numFmtId="0" fontId="109" fillId="46" borderId="0" applyNumberFormat="0" applyBorder="0" applyAlignment="0" applyProtection="0"/>
    <xf numFmtId="0" fontId="90" fillId="15" borderId="0" applyNumberFormat="0" applyBorder="0" applyAlignment="0" applyProtection="0"/>
    <xf numFmtId="0" fontId="109" fillId="46" borderId="0" applyNumberFormat="0" applyBorder="0" applyAlignment="0" applyProtection="0"/>
    <xf numFmtId="0" fontId="3" fillId="15" borderId="0" applyNumberFormat="0" applyBorder="0" applyAlignment="0" applyProtection="0"/>
    <xf numFmtId="0" fontId="90" fillId="15" borderId="0" applyNumberFormat="0" applyBorder="0" applyAlignment="0" applyProtection="0"/>
    <xf numFmtId="0" fontId="3" fillId="16" borderId="0" applyNumberFormat="0" applyBorder="0" applyAlignment="0" applyProtection="0"/>
    <xf numFmtId="0" fontId="109" fillId="47" borderId="0" applyNumberFormat="0" applyBorder="0" applyAlignment="0" applyProtection="0"/>
    <xf numFmtId="0" fontId="90" fillId="16" borderId="0" applyNumberFormat="0" applyBorder="0" applyAlignment="0" applyProtection="0"/>
    <xf numFmtId="0" fontId="109" fillId="47" borderId="0" applyNumberFormat="0" applyBorder="0" applyAlignment="0" applyProtection="0"/>
    <xf numFmtId="0" fontId="3" fillId="16" borderId="0" applyNumberFormat="0" applyBorder="0" applyAlignment="0" applyProtection="0"/>
    <xf numFmtId="0" fontId="90" fillId="16" borderId="0" applyNumberFormat="0" applyBorder="0" applyAlignment="0" applyProtection="0"/>
    <xf numFmtId="0" fontId="3" fillId="17" borderId="0" applyNumberFormat="0" applyBorder="0" applyAlignment="0" applyProtection="0"/>
    <xf numFmtId="0" fontId="109" fillId="48" borderId="0" applyNumberFormat="0" applyBorder="0" applyAlignment="0" applyProtection="0"/>
    <xf numFmtId="0" fontId="90" fillId="17" borderId="0" applyNumberFormat="0" applyBorder="0" applyAlignment="0" applyProtection="0"/>
    <xf numFmtId="0" fontId="109" fillId="48" borderId="0" applyNumberFormat="0" applyBorder="0" applyAlignment="0" applyProtection="0"/>
    <xf numFmtId="0" fontId="3" fillId="17" borderId="0" applyNumberFormat="0" applyBorder="0" applyAlignment="0" applyProtection="0"/>
    <xf numFmtId="0" fontId="90" fillId="17" borderId="0" applyNumberFormat="0" applyBorder="0" applyAlignment="0" applyProtection="0"/>
    <xf numFmtId="0" fontId="3" fillId="18" borderId="0" applyNumberFormat="0" applyBorder="0" applyAlignment="0" applyProtection="0"/>
    <xf numFmtId="0" fontId="109" fillId="49" borderId="0" applyNumberFormat="0" applyBorder="0" applyAlignment="0" applyProtection="0"/>
    <xf numFmtId="0" fontId="90" fillId="18" borderId="0" applyNumberFormat="0" applyBorder="0" applyAlignment="0" applyProtection="0"/>
    <xf numFmtId="0" fontId="109" fillId="49" borderId="0" applyNumberFormat="0" applyBorder="0" applyAlignment="0" applyProtection="0"/>
    <xf numFmtId="0" fontId="3" fillId="18" borderId="0" applyNumberFormat="0" applyBorder="0" applyAlignment="0" applyProtection="0"/>
    <xf numFmtId="0" fontId="90" fillId="18" borderId="0" applyNumberFormat="0" applyBorder="0" applyAlignment="0" applyProtection="0"/>
    <xf numFmtId="0" fontId="3" fillId="13" borderId="0" applyNumberFormat="0" applyBorder="0" applyAlignment="0" applyProtection="0"/>
    <xf numFmtId="0" fontId="109" fillId="50" borderId="0" applyNumberFormat="0" applyBorder="0" applyAlignment="0" applyProtection="0"/>
    <xf numFmtId="0" fontId="90" fillId="13" borderId="0" applyNumberFormat="0" applyBorder="0" applyAlignment="0" applyProtection="0"/>
    <xf numFmtId="0" fontId="109" fillId="50" borderId="0" applyNumberFormat="0" applyBorder="0" applyAlignment="0" applyProtection="0"/>
    <xf numFmtId="0" fontId="3" fillId="13" borderId="0" applyNumberFormat="0" applyBorder="0" applyAlignment="0" applyProtection="0"/>
    <xf numFmtId="0" fontId="90" fillId="13" borderId="0" applyNumberFormat="0" applyBorder="0" applyAlignment="0" applyProtection="0"/>
    <xf numFmtId="0" fontId="3" fillId="14" borderId="0" applyNumberFormat="0" applyBorder="0" applyAlignment="0" applyProtection="0"/>
    <xf numFmtId="0" fontId="109" fillId="51" borderId="0" applyNumberFormat="0" applyBorder="0" applyAlignment="0" applyProtection="0"/>
    <xf numFmtId="0" fontId="90" fillId="14" borderId="0" applyNumberFormat="0" applyBorder="0" applyAlignment="0" applyProtection="0"/>
    <xf numFmtId="0" fontId="109" fillId="51" borderId="0" applyNumberFormat="0" applyBorder="0" applyAlignment="0" applyProtection="0"/>
    <xf numFmtId="0" fontId="3" fillId="14" borderId="0" applyNumberFormat="0" applyBorder="0" applyAlignment="0" applyProtection="0"/>
    <xf numFmtId="0" fontId="90" fillId="14" borderId="0" applyNumberFormat="0" applyBorder="0" applyAlignment="0" applyProtection="0"/>
    <xf numFmtId="0" fontId="3" fillId="19" borderId="0" applyNumberFormat="0" applyBorder="0" applyAlignment="0" applyProtection="0"/>
    <xf numFmtId="0" fontId="109" fillId="52" borderId="0" applyNumberFormat="0" applyBorder="0" applyAlignment="0" applyProtection="0"/>
    <xf numFmtId="0" fontId="90" fillId="19" borderId="0" applyNumberFormat="0" applyBorder="0" applyAlignment="0" applyProtection="0"/>
    <xf numFmtId="0" fontId="109" fillId="52" borderId="0" applyNumberFormat="0" applyBorder="0" applyAlignment="0" applyProtection="0"/>
    <xf numFmtId="0" fontId="3" fillId="19" borderId="0" applyNumberFormat="0" applyBorder="0" applyAlignment="0" applyProtection="0"/>
    <xf numFmtId="0" fontId="90" fillId="19" borderId="0" applyNumberFormat="0" applyBorder="0" applyAlignment="0" applyProtection="0"/>
    <xf numFmtId="0" fontId="4" fillId="3" borderId="0" applyNumberFormat="0" applyBorder="0" applyAlignment="0" applyProtection="0"/>
    <xf numFmtId="0" fontId="110" fillId="53" borderId="0" applyNumberFormat="0" applyBorder="0" applyAlignment="0" applyProtection="0"/>
    <xf numFmtId="0" fontId="91" fillId="3" borderId="0" applyNumberFormat="0" applyBorder="0" applyAlignment="0" applyProtection="0"/>
    <xf numFmtId="0" fontId="110" fillId="53" borderId="0" applyNumberFormat="0" applyBorder="0" applyAlignment="0" applyProtection="0"/>
    <xf numFmtId="0" fontId="4" fillId="3" borderId="0" applyNumberFormat="0" applyBorder="0" applyAlignment="0" applyProtection="0"/>
    <xf numFmtId="0" fontId="91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11" fillId="54" borderId="48" applyNumberFormat="0" applyAlignment="0" applyProtection="0"/>
    <xf numFmtId="0" fontId="92" fillId="20" borderId="3" applyNumberFormat="0" applyAlignment="0" applyProtection="0"/>
    <xf numFmtId="0" fontId="111" fillId="54" borderId="48" applyNumberFormat="0" applyAlignment="0" applyProtection="0"/>
    <xf numFmtId="0" fontId="22" fillId="20" borderId="3" applyNumberFormat="0" applyAlignment="0" applyProtection="0"/>
    <xf numFmtId="0" fontId="92" fillId="20" borderId="3" applyNumberFormat="0" applyAlignment="0" applyProtection="0"/>
    <xf numFmtId="0" fontId="23" fillId="21" borderId="4" applyNumberFormat="0" applyAlignment="0" applyProtection="0"/>
    <xf numFmtId="0" fontId="112" fillId="55" borderId="49" applyNumberFormat="0" applyAlignment="0" applyProtection="0"/>
    <xf numFmtId="0" fontId="93" fillId="21" borderId="4" applyNumberFormat="0" applyAlignment="0" applyProtection="0"/>
    <xf numFmtId="0" fontId="112" fillId="55" borderId="49" applyNumberFormat="0" applyAlignment="0" applyProtection="0"/>
    <xf numFmtId="0" fontId="23" fillId="21" borderId="4" applyNumberFormat="0" applyAlignment="0" applyProtection="0"/>
    <xf numFmtId="0" fontId="93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6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6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5" fontId="7" fillId="0" borderId="0" applyFont="0" applyFill="0" applyBorder="0" applyAlignment="0" applyProtection="0"/>
    <xf numFmtId="5" fontId="7" fillId="0" borderId="0" applyFont="0" applyFill="0" applyBorder="0" applyAlignment="0" applyProtection="0"/>
    <xf numFmtId="178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14" fontId="7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02" fillId="0" borderId="0" applyFont="0" applyFill="0" applyBorder="0" applyAlignment="0" applyProtection="0"/>
    <xf numFmtId="0" fontId="25" fillId="4" borderId="0" applyNumberFormat="0" applyBorder="0" applyAlignment="0" applyProtection="0"/>
    <xf numFmtId="0" fontId="114" fillId="56" borderId="0" applyNumberFormat="0" applyBorder="0" applyAlignment="0" applyProtection="0"/>
    <xf numFmtId="0" fontId="95" fillId="4" borderId="0" applyNumberFormat="0" applyBorder="0" applyAlignment="0" applyProtection="0"/>
    <xf numFmtId="0" fontId="114" fillId="56" borderId="0" applyNumberFormat="0" applyBorder="0" applyAlignment="0" applyProtection="0"/>
    <xf numFmtId="0" fontId="25" fillId="4" borderId="0" applyNumberFormat="0" applyBorder="0" applyAlignment="0" applyProtection="0"/>
    <xf numFmtId="0" fontId="95" fillId="4" borderId="0" applyNumberFormat="0" applyBorder="0" applyAlignment="0" applyProtection="0"/>
    <xf numFmtId="0" fontId="26" fillId="0" borderId="0" applyFont="0" applyFill="0" applyBorder="0" applyAlignment="0" applyProtection="0"/>
    <xf numFmtId="0" fontId="115" fillId="0" borderId="50" applyNumberFormat="0" applyFill="0" applyAlignment="0" applyProtection="0"/>
    <xf numFmtId="0" fontId="104" fillId="0" borderId="0" applyNumberFormat="0" applyFill="0" applyBorder="0" applyAlignment="0" applyProtection="0"/>
    <xf numFmtId="0" fontId="115" fillId="0" borderId="50" applyNumberFormat="0" applyFill="0" applyAlignment="0" applyProtection="0"/>
    <xf numFmtId="0" fontId="26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16" fillId="0" borderId="51" applyNumberFormat="0" applyFill="0" applyAlignment="0" applyProtection="0"/>
    <xf numFmtId="0" fontId="105" fillId="0" borderId="0" applyNumberFormat="0" applyFill="0" applyBorder="0" applyAlignment="0" applyProtection="0"/>
    <xf numFmtId="0" fontId="116" fillId="0" borderId="51" applyNumberFormat="0" applyFill="0" applyAlignment="0" applyProtection="0"/>
    <xf numFmtId="0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7" fillId="0" borderId="52" applyNumberFormat="0" applyFill="0" applyAlignment="0" applyProtection="0"/>
    <xf numFmtId="0" fontId="96" fillId="0" borderId="5" applyNumberFormat="0" applyFill="0" applyAlignment="0" applyProtection="0"/>
    <xf numFmtId="0" fontId="117" fillId="0" borderId="52" applyNumberFormat="0" applyFill="0" applyAlignment="0" applyProtection="0"/>
    <xf numFmtId="0" fontId="27" fillId="0" borderId="5" applyNumberFormat="0" applyFill="0" applyAlignment="0" applyProtection="0"/>
    <xf numFmtId="0" fontId="96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8" fillId="57" borderId="48" applyNumberFormat="0" applyAlignment="0" applyProtection="0"/>
    <xf numFmtId="0" fontId="97" fillId="7" borderId="3" applyNumberFormat="0" applyAlignment="0" applyProtection="0"/>
    <xf numFmtId="0" fontId="118" fillId="57" borderId="48" applyNumberFormat="0" applyAlignment="0" applyProtection="0"/>
    <xf numFmtId="0" fontId="30" fillId="7" borderId="3" applyNumberFormat="0" applyAlignment="0" applyProtection="0"/>
    <xf numFmtId="0" fontId="97" fillId="7" borderId="3" applyNumberFormat="0" applyAlignment="0" applyProtection="0"/>
    <xf numFmtId="0" fontId="31" fillId="0" borderId="7" applyNumberFormat="0" applyFill="0" applyAlignment="0" applyProtection="0"/>
    <xf numFmtId="0" fontId="119" fillId="0" borderId="53" applyNumberFormat="0" applyFill="0" applyAlignment="0" applyProtection="0"/>
    <xf numFmtId="0" fontId="98" fillId="0" borderId="7" applyNumberFormat="0" applyFill="0" applyAlignment="0" applyProtection="0"/>
    <xf numFmtId="0" fontId="119" fillId="0" borderId="53" applyNumberFormat="0" applyFill="0" applyAlignment="0" applyProtection="0"/>
    <xf numFmtId="0" fontId="31" fillId="0" borderId="7" applyNumberFormat="0" applyFill="0" applyAlignment="0" applyProtection="0"/>
    <xf numFmtId="0" fontId="98" fillId="0" borderId="7" applyNumberFormat="0" applyFill="0" applyAlignment="0" applyProtection="0"/>
    <xf numFmtId="179" fontId="81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106" fillId="0" borderId="0"/>
    <xf numFmtId="0" fontId="32" fillId="22" borderId="0" applyNumberFormat="0" applyBorder="0" applyAlignment="0" applyProtection="0"/>
    <xf numFmtId="0" fontId="120" fillId="58" borderId="0" applyNumberFormat="0" applyBorder="0" applyAlignment="0" applyProtection="0"/>
    <xf numFmtId="0" fontId="99" fillId="22" borderId="0" applyNumberFormat="0" applyBorder="0" applyAlignment="0" applyProtection="0"/>
    <xf numFmtId="0" fontId="120" fillId="58" borderId="0" applyNumberFormat="0" applyBorder="0" applyAlignment="0" applyProtection="0"/>
    <xf numFmtId="0" fontId="32" fillId="22" borderId="0" applyNumberFormat="0" applyBorder="0" applyAlignment="0" applyProtection="0"/>
    <xf numFmtId="0" fontId="99" fillId="22" borderId="0" applyNumberFormat="0" applyBorder="0" applyAlignment="0" applyProtection="0"/>
    <xf numFmtId="0" fontId="108" fillId="0" borderId="0"/>
    <xf numFmtId="0" fontId="35" fillId="0" borderId="0"/>
    <xf numFmtId="3" fontId="7" fillId="0" borderId="0"/>
    <xf numFmtId="3" fontId="7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35" fillId="0" borderId="0"/>
    <xf numFmtId="0" fontId="108" fillId="0" borderId="0"/>
    <xf numFmtId="3" fontId="7" fillId="0" borderId="0"/>
    <xf numFmtId="3" fontId="7" fillId="0" borderId="0"/>
    <xf numFmtId="3" fontId="7" fillId="0" borderId="0"/>
    <xf numFmtId="0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103" fillId="0" borderId="0"/>
    <xf numFmtId="0" fontId="7" fillId="0" borderId="0"/>
    <xf numFmtId="0" fontId="121" fillId="0" borderId="0"/>
    <xf numFmtId="0" fontId="103" fillId="0" borderId="0"/>
    <xf numFmtId="0" fontId="7" fillId="0" borderId="0"/>
    <xf numFmtId="0" fontId="7" fillId="0" borderId="0"/>
    <xf numFmtId="0" fontId="121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3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7" fillId="0" borderId="0"/>
    <xf numFmtId="0" fontId="103" fillId="0" borderId="0"/>
    <xf numFmtId="0" fontId="7" fillId="0" borderId="0"/>
    <xf numFmtId="3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0"/>
    <xf numFmtId="0" fontId="7" fillId="0" borderId="0"/>
    <xf numFmtId="0" fontId="8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3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106" fillId="0" borderId="0"/>
    <xf numFmtId="0" fontId="7" fillId="0" borderId="0"/>
    <xf numFmtId="0" fontId="7" fillId="0" borderId="0"/>
    <xf numFmtId="0" fontId="106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3" fontId="7" fillId="0" borderId="0"/>
    <xf numFmtId="3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08" fillId="0" borderId="0"/>
    <xf numFmtId="0" fontId="7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0" fontId="108" fillId="0" borderId="0"/>
    <xf numFmtId="0" fontId="35" fillId="0" borderId="0"/>
    <xf numFmtId="0" fontId="7" fillId="0" borderId="0"/>
    <xf numFmtId="169" fontId="33" fillId="0" borderId="0" applyProtection="0"/>
    <xf numFmtId="0" fontId="33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7" fillId="23" borderId="8" applyNumberFormat="0" applyFont="0" applyAlignment="0" applyProtection="0"/>
    <xf numFmtId="0" fontId="80" fillId="59" borderId="54" applyNumberFormat="0" applyFont="0" applyAlignment="0" applyProtection="0"/>
    <xf numFmtId="0" fontId="80" fillId="59" borderId="54" applyNumberFormat="0" applyFont="0" applyAlignment="0" applyProtection="0"/>
    <xf numFmtId="0" fontId="33" fillId="23" borderId="8" applyNumberFormat="0" applyFont="0" applyAlignment="0" applyProtection="0"/>
    <xf numFmtId="0" fontId="7" fillId="23" borderId="8" applyNumberFormat="0" applyFont="0" applyAlignment="0" applyProtection="0"/>
    <xf numFmtId="0" fontId="34" fillId="20" borderId="9" applyNumberFormat="0" applyAlignment="0" applyProtection="0"/>
    <xf numFmtId="0" fontId="122" fillId="54" borderId="55" applyNumberFormat="0" applyAlignment="0" applyProtection="0"/>
    <xf numFmtId="0" fontId="100" fillId="20" borderId="9" applyNumberFormat="0" applyAlignment="0" applyProtection="0"/>
    <xf numFmtId="0" fontId="122" fillId="54" borderId="55" applyNumberFormat="0" applyAlignment="0" applyProtection="0"/>
    <xf numFmtId="0" fontId="34" fillId="20" borderId="9" applyNumberFormat="0" applyAlignment="0" applyProtection="0"/>
    <xf numFmtId="0" fontId="100" fillId="20" borderId="9" applyNumberFormat="0" applyAlignment="0" applyProtection="0"/>
    <xf numFmtId="9" fontId="1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24" fillId="0" borderId="56" applyNumberFormat="0" applyFill="0" applyAlignment="0" applyProtection="0"/>
    <xf numFmtId="0" fontId="102" fillId="0" borderId="1" applyNumberFormat="0" applyFont="0" applyFill="0" applyAlignment="0" applyProtection="0"/>
    <xf numFmtId="0" fontId="124" fillId="0" borderId="56" applyNumberFormat="0" applyFill="0" applyAlignment="0" applyProtection="0"/>
    <xf numFmtId="0" fontId="7" fillId="0" borderId="0" applyFont="0" applyFill="0" applyBorder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102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1" fillId="0" borderId="0" applyNumberFormat="0" applyFill="0" applyBorder="0" applyAlignment="0" applyProtection="0"/>
  </cellStyleXfs>
  <cellXfs count="693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98" applyNumberFormat="1" applyFont="1"/>
    <xf numFmtId="0" fontId="7" fillId="0" borderId="0" xfId="0" applyFont="1" applyBorder="1"/>
    <xf numFmtId="0" fontId="47" fillId="0" borderId="0" xfId="0" applyFont="1" applyFill="1"/>
    <xf numFmtId="0" fontId="0" fillId="0" borderId="0" xfId="0" applyAlignment="1">
      <alignment wrapText="1"/>
    </xf>
    <xf numFmtId="0" fontId="0" fillId="0" borderId="0" xfId="0" applyBorder="1"/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Border="1"/>
    <xf numFmtId="10" fontId="7" fillId="0" borderId="0" xfId="0" applyNumberFormat="1" applyFont="1" applyBorder="1"/>
    <xf numFmtId="0" fontId="7" fillId="0" borderId="0" xfId="0" applyFont="1" applyFill="1" applyBorder="1" applyAlignment="1"/>
    <xf numFmtId="0" fontId="14" fillId="0" borderId="0" xfId="995" applyNumberFormat="1" applyFont="1" applyFill="1" applyBorder="1" applyAlignment="1" applyProtection="1">
      <protection locked="0"/>
    </xf>
    <xf numFmtId="0" fontId="6" fillId="0" borderId="0" xfId="0" applyFont="1" applyFill="1"/>
    <xf numFmtId="10" fontId="7" fillId="0" borderId="0" xfId="0" applyNumberFormat="1" applyFont="1"/>
    <xf numFmtId="0" fontId="7" fillId="0" borderId="0" xfId="0" applyFont="1" applyFill="1" applyBorder="1" applyAlignment="1">
      <alignment wrapText="1"/>
    </xf>
    <xf numFmtId="0" fontId="0" fillId="0" borderId="0" xfId="0" applyFill="1"/>
    <xf numFmtId="170" fontId="7" fillId="0" borderId="0" xfId="0" applyNumberFormat="1" applyFont="1"/>
    <xf numFmtId="0" fontId="50" fillId="0" borderId="0" xfId="0" applyFont="1"/>
    <xf numFmtId="0" fontId="46" fillId="0" borderId="0" xfId="0" applyFont="1" applyAlignment="1">
      <alignment horizontal="right"/>
    </xf>
    <xf numFmtId="0" fontId="46" fillId="0" borderId="0" xfId="0" applyFont="1" applyFill="1" applyAlignment="1">
      <alignment horizontal="right"/>
    </xf>
    <xf numFmtId="170" fontId="7" fillId="0" borderId="0" xfId="198" applyNumberFormat="1" applyFont="1" applyBorder="1"/>
    <xf numFmtId="0" fontId="39" fillId="0" borderId="0" xfId="0" applyFont="1" applyAlignment="1">
      <alignment horizontal="left"/>
    </xf>
    <xf numFmtId="0" fontId="51" fillId="27" borderId="0" xfId="198" applyNumberFormat="1" applyFont="1" applyFill="1" applyAlignment="1">
      <alignment horizontal="left"/>
    </xf>
    <xf numFmtId="0" fontId="39" fillId="0" borderId="17" xfId="0" applyFont="1" applyBorder="1"/>
    <xf numFmtId="0" fontId="7" fillId="0" borderId="17" xfId="0" applyFont="1" applyBorder="1"/>
    <xf numFmtId="170" fontId="39" fillId="0" borderId="18" xfId="198" applyNumberFormat="1" applyFont="1" applyBorder="1"/>
    <xf numFmtId="0" fontId="14" fillId="0" borderId="0" xfId="198" applyNumberFormat="1" applyFont="1" applyFill="1" applyAlignment="1">
      <alignment horizontal="left"/>
    </xf>
    <xf numFmtId="0" fontId="14" fillId="0" borderId="0" xfId="198" applyNumberFormat="1" applyFont="1" applyFill="1" applyBorder="1" applyAlignment="1">
      <alignment horizontal="left"/>
    </xf>
    <xf numFmtId="0" fontId="9" fillId="0" borderId="0" xfId="198" applyNumberFormat="1" applyFont="1" applyFill="1" applyBorder="1" applyAlignment="1">
      <alignment horizontal="left"/>
    </xf>
    <xf numFmtId="170" fontId="39" fillId="0" borderId="19" xfId="198" applyNumberFormat="1" applyFont="1" applyBorder="1"/>
    <xf numFmtId="0" fontId="39" fillId="0" borderId="0" xfId="0" applyFont="1" applyFill="1"/>
    <xf numFmtId="170" fontId="39" fillId="0" borderId="15" xfId="198" applyNumberFormat="1" applyFont="1" applyBorder="1"/>
    <xf numFmtId="170" fontId="7" fillId="0" borderId="6" xfId="198" applyNumberFormat="1" applyFont="1" applyBorder="1"/>
    <xf numFmtId="170" fontId="7" fillId="0" borderId="16" xfId="198" applyNumberFormat="1" applyFont="1" applyBorder="1"/>
    <xf numFmtId="0" fontId="53" fillId="0" borderId="0" xfId="0" applyFont="1" applyFill="1" applyAlignment="1"/>
    <xf numFmtId="0" fontId="7" fillId="0" borderId="0" xfId="0" applyFont="1" applyFill="1" applyAlignment="1">
      <alignment wrapText="1"/>
    </xf>
    <xf numFmtId="0" fontId="39" fillId="0" borderId="20" xfId="0" applyFont="1" applyFill="1" applyBorder="1" applyAlignment="1">
      <alignment horizontal="center"/>
    </xf>
    <xf numFmtId="0" fontId="39" fillId="0" borderId="21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0" fillId="0" borderId="0" xfId="0" applyBorder="1" applyAlignment="1"/>
    <xf numFmtId="0" fontId="7" fillId="0" borderId="13" xfId="0" applyFont="1" applyFill="1" applyBorder="1" applyAlignment="1"/>
    <xf numFmtId="170" fontId="54" fillId="27" borderId="14" xfId="198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39" fillId="0" borderId="18" xfId="0" applyFont="1" applyFill="1" applyBorder="1" applyAlignment="1">
      <alignment horizontal="center"/>
    </xf>
    <xf numFmtId="0" fontId="7" fillId="0" borderId="13" xfId="0" applyFont="1" applyFill="1" applyBorder="1"/>
    <xf numFmtId="0" fontId="54" fillId="27" borderId="14" xfId="0" applyFont="1" applyFill="1" applyBorder="1" applyAlignment="1">
      <alignment horizontal="right"/>
    </xf>
    <xf numFmtId="170" fontId="7" fillId="0" borderId="14" xfId="0" applyNumberFormat="1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0" fontId="7" fillId="0" borderId="14" xfId="0" applyNumberFormat="1" applyFont="1" applyBorder="1"/>
    <xf numFmtId="10" fontId="7" fillId="0" borderId="0" xfId="0" applyNumberFormat="1" applyFont="1" applyFill="1" applyBorder="1"/>
    <xf numFmtId="170" fontId="7" fillId="0" borderId="14" xfId="198" applyNumberFormat="1" applyFont="1" applyBorder="1"/>
    <xf numFmtId="0" fontId="39" fillId="0" borderId="23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/>
    </xf>
    <xf numFmtId="0" fontId="39" fillId="0" borderId="24" xfId="0" applyFont="1" applyBorder="1" applyAlignment="1">
      <alignment horizontal="center"/>
    </xf>
    <xf numFmtId="170" fontId="39" fillId="0" borderId="23" xfId="198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/>
    </xf>
    <xf numFmtId="170" fontId="39" fillId="0" borderId="16" xfId="198" applyNumberFormat="1" applyFont="1" applyBorder="1" applyAlignment="1">
      <alignment horizontal="center"/>
    </xf>
    <xf numFmtId="0" fontId="39" fillId="0" borderId="25" xfId="0" applyFont="1" applyFill="1" applyBorder="1" applyAlignment="1">
      <alignment horizontal="center"/>
    </xf>
    <xf numFmtId="0" fontId="39" fillId="0" borderId="24" xfId="0" applyFont="1" applyFill="1" applyBorder="1" applyAlignment="1">
      <alignment horizontal="center"/>
    </xf>
    <xf numFmtId="170" fontId="39" fillId="0" borderId="25" xfId="198" applyNumberFormat="1" applyFont="1" applyBorder="1" applyAlignment="1">
      <alignment horizontal="center"/>
    </xf>
    <xf numFmtId="170" fontId="39" fillId="0" borderId="15" xfId="198" applyNumberFormat="1" applyFont="1" applyBorder="1" applyAlignment="1">
      <alignment horizontal="center"/>
    </xf>
    <xf numFmtId="0" fontId="7" fillId="0" borderId="24" xfId="0" applyNumberFormat="1" applyFont="1" applyBorder="1" applyAlignment="1">
      <alignment horizontal="center"/>
    </xf>
    <xf numFmtId="170" fontId="7" fillId="0" borderId="0" xfId="0" applyNumberFormat="1" applyFont="1" applyBorder="1"/>
    <xf numFmtId="170" fontId="7" fillId="0" borderId="23" xfId="198" applyNumberFormat="1" applyFont="1" applyBorder="1"/>
    <xf numFmtId="171" fontId="7" fillId="0" borderId="14" xfId="0" applyNumberFormat="1" applyFont="1" applyBorder="1"/>
    <xf numFmtId="171" fontId="7" fillId="0" borderId="23" xfId="0" applyNumberFormat="1" applyFont="1" applyBorder="1"/>
    <xf numFmtId="171" fontId="7" fillId="0" borderId="24" xfId="0" applyNumberFormat="1" applyFont="1" applyBorder="1"/>
    <xf numFmtId="170" fontId="7" fillId="0" borderId="24" xfId="0" applyNumberFormat="1" applyFont="1" applyBorder="1"/>
    <xf numFmtId="170" fontId="1" fillId="0" borderId="24" xfId="198" applyNumberFormat="1" applyBorder="1"/>
    <xf numFmtId="170" fontId="7" fillId="0" borderId="24" xfId="198" applyNumberFormat="1" applyFont="1" applyBorder="1"/>
    <xf numFmtId="170" fontId="7" fillId="0" borderId="24" xfId="198" applyNumberFormat="1" applyFont="1" applyFill="1" applyBorder="1"/>
    <xf numFmtId="0" fontId="7" fillId="0" borderId="25" xfId="0" applyNumberFormat="1" applyFont="1" applyBorder="1" applyAlignment="1">
      <alignment horizontal="center"/>
    </xf>
    <xf numFmtId="170" fontId="7" fillId="0" borderId="25" xfId="0" applyNumberFormat="1" applyFont="1" applyBorder="1"/>
    <xf numFmtId="170" fontId="1" fillId="0" borderId="25" xfId="198" applyNumberFormat="1" applyBorder="1"/>
    <xf numFmtId="170" fontId="7" fillId="0" borderId="25" xfId="198" applyNumberFormat="1" applyFont="1" applyFill="1" applyBorder="1"/>
    <xf numFmtId="171" fontId="7" fillId="0" borderId="16" xfId="0" applyNumberFormat="1" applyFont="1" applyBorder="1"/>
    <xf numFmtId="171" fontId="7" fillId="0" borderId="25" xfId="0" applyNumberFormat="1" applyFont="1" applyBorder="1"/>
    <xf numFmtId="0" fontId="53" fillId="0" borderId="0" xfId="0" applyFont="1" applyFill="1"/>
    <xf numFmtId="171" fontId="7" fillId="0" borderId="0" xfId="0" applyNumberFormat="1" applyFont="1" applyBorder="1"/>
    <xf numFmtId="171" fontId="7" fillId="0" borderId="23" xfId="0" applyNumberFormat="1" applyFont="1" applyFill="1" applyBorder="1"/>
    <xf numFmtId="170" fontId="55" fillId="0" borderId="0" xfId="0" applyNumberFormat="1" applyFont="1" applyAlignment="1">
      <alignment horizontal="left"/>
    </xf>
    <xf numFmtId="0" fontId="9" fillId="0" borderId="0" xfId="0" applyFont="1" applyFill="1"/>
    <xf numFmtId="170" fontId="39" fillId="0" borderId="0" xfId="198" applyNumberFormat="1" applyFont="1" applyBorder="1"/>
    <xf numFmtId="170" fontId="7" fillId="0" borderId="14" xfId="0" applyNumberFormat="1" applyFont="1" applyBorder="1"/>
    <xf numFmtId="170" fontId="39" fillId="0" borderId="11" xfId="198" applyNumberFormat="1" applyFont="1" applyBorder="1"/>
    <xf numFmtId="170" fontId="7" fillId="0" borderId="19" xfId="0" applyNumberFormat="1" applyFont="1" applyBorder="1"/>
    <xf numFmtId="0" fontId="7" fillId="0" borderId="15" xfId="0" applyFont="1" applyBorder="1"/>
    <xf numFmtId="170" fontId="39" fillId="0" borderId="6" xfId="198" applyNumberFormat="1" applyFont="1" applyFill="1" applyBorder="1" applyAlignment="1">
      <alignment horizontal="left"/>
    </xf>
    <xf numFmtId="170" fontId="39" fillId="0" borderId="16" xfId="198" applyNumberFormat="1" applyFont="1" applyFill="1" applyBorder="1" applyAlignment="1">
      <alignment horizontal="left"/>
    </xf>
    <xf numFmtId="0" fontId="7" fillId="0" borderId="20" xfId="0" applyFont="1" applyFill="1" applyBorder="1" applyAlignment="1">
      <alignment horizontal="center"/>
    </xf>
    <xf numFmtId="0" fontId="0" fillId="0" borderId="21" xfId="0" applyBorder="1" applyAlignment="1"/>
    <xf numFmtId="0" fontId="0" fillId="0" borderId="0" xfId="0" applyFill="1" applyBorder="1" applyAlignment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3" xfId="0" applyFont="1" applyBorder="1" applyAlignment="1">
      <alignment horizontal="center" wrapText="1"/>
    </xf>
    <xf numFmtId="170" fontId="39" fillId="0" borderId="0" xfId="198" applyNumberFormat="1" applyFont="1" applyBorder="1" applyAlignment="1">
      <alignment horizontal="center" wrapText="1"/>
    </xf>
    <xf numFmtId="0" fontId="39" fillId="0" borderId="24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3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 applyFill="1"/>
    <xf numFmtId="170" fontId="7" fillId="0" borderId="14" xfId="198" applyNumberFormat="1" applyFont="1" applyFill="1" applyBorder="1" applyAlignment="1">
      <alignment horizontal="right"/>
    </xf>
    <xf numFmtId="0" fontId="7" fillId="0" borderId="14" xfId="0" applyFont="1" applyFill="1" applyBorder="1" applyAlignment="1">
      <alignment horizontal="right"/>
    </xf>
    <xf numFmtId="0" fontId="7" fillId="0" borderId="16" xfId="0" applyFont="1" applyFill="1" applyBorder="1" applyAlignment="1">
      <alignment horizontal="right"/>
    </xf>
    <xf numFmtId="0" fontId="52" fillId="27" borderId="0" xfId="0" applyFont="1" applyFill="1" applyAlignment="1">
      <alignment horizontal="left"/>
    </xf>
    <xf numFmtId="0" fontId="39" fillId="0" borderId="21" xfId="0" applyFont="1" applyFill="1" applyBorder="1" applyAlignment="1"/>
    <xf numFmtId="0" fontId="61" fillId="28" borderId="21" xfId="0" applyFont="1" applyFill="1" applyBorder="1" applyAlignment="1">
      <alignment horizontal="center"/>
    </xf>
    <xf numFmtId="0" fontId="39" fillId="0" borderId="0" xfId="0" quotePrefix="1" applyFont="1" applyAlignment="1">
      <alignment horizontal="left"/>
    </xf>
    <xf numFmtId="0" fontId="46" fillId="0" borderId="0" xfId="0" applyFont="1" applyAlignment="1">
      <alignment horizontal="center"/>
    </xf>
    <xf numFmtId="0" fontId="0" fillId="0" borderId="22" xfId="0" applyBorder="1" applyAlignment="1"/>
    <xf numFmtId="0" fontId="68" fillId="0" borderId="0" xfId="0" quotePrefix="1" applyFont="1" applyAlignment="1">
      <alignment horizontal="left"/>
    </xf>
    <xf numFmtId="0" fontId="68" fillId="0" borderId="0" xfId="0" applyFont="1"/>
    <xf numFmtId="0" fontId="69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Border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applyFont="1" applyFill="1" applyAlignment="1"/>
    <xf numFmtId="0" fontId="55" fillId="0" borderId="0" xfId="0" quotePrefix="1" applyFont="1" applyAlignment="1">
      <alignment horizontal="left"/>
    </xf>
    <xf numFmtId="0" fontId="67" fillId="0" borderId="0" xfId="0" applyFont="1" applyFill="1" applyAlignment="1">
      <alignment horizontal="right"/>
    </xf>
    <xf numFmtId="168" fontId="7" fillId="0" borderId="24" xfId="198" applyNumberFormat="1" applyFont="1" applyFill="1" applyBorder="1"/>
    <xf numFmtId="168" fontId="7" fillId="0" borderId="14" xfId="198" applyNumberFormat="1" applyFont="1" applyFill="1" applyBorder="1"/>
    <xf numFmtId="170" fontId="7" fillId="0" borderId="14" xfId="198" applyNumberFormat="1" applyFont="1" applyFill="1" applyBorder="1"/>
    <xf numFmtId="170" fontId="7" fillId="0" borderId="16" xfId="198" applyNumberFormat="1" applyFont="1" applyFill="1" applyBorder="1"/>
    <xf numFmtId="170" fontId="39" fillId="27" borderId="25" xfId="198" applyNumberFormat="1" applyFont="1" applyFill="1" applyBorder="1" applyAlignment="1">
      <alignment horizontal="center"/>
    </xf>
    <xf numFmtId="170" fontId="39" fillId="27" borderId="16" xfId="198" applyNumberFormat="1" applyFont="1" applyFill="1" applyBorder="1" applyAlignment="1">
      <alignment horizontal="center"/>
    </xf>
    <xf numFmtId="171" fontId="54" fillId="0" borderId="23" xfId="0" applyNumberFormat="1" applyFont="1" applyFill="1" applyBorder="1"/>
    <xf numFmtId="171" fontId="7" fillId="0" borderId="24" xfId="0" applyNumberFormat="1" applyFont="1" applyFill="1" applyBorder="1"/>
    <xf numFmtId="171" fontId="54" fillId="0" borderId="24" xfId="0" applyNumberFormat="1" applyFont="1" applyFill="1" applyBorder="1"/>
    <xf numFmtId="170" fontId="7" fillId="0" borderId="13" xfId="198" quotePrefix="1" applyNumberFormat="1" applyFont="1" applyBorder="1" applyAlignment="1">
      <alignment horizontal="right"/>
    </xf>
    <xf numFmtId="0" fontId="7" fillId="0" borderId="15" xfId="0" quotePrefix="1" applyFont="1" applyBorder="1" applyAlignment="1">
      <alignment horizontal="right"/>
    </xf>
    <xf numFmtId="0" fontId="55" fillId="0" borderId="23" xfId="0" applyFont="1" applyBorder="1"/>
    <xf numFmtId="170" fontId="55" fillId="0" borderId="25" xfId="198" applyNumberFormat="1" applyFont="1" applyBorder="1"/>
    <xf numFmtId="0" fontId="57" fillId="0" borderId="28" xfId="198" applyNumberFormat="1" applyFont="1" applyFill="1" applyBorder="1" applyAlignment="1">
      <alignment horizontal="left"/>
    </xf>
    <xf numFmtId="170" fontId="7" fillId="0" borderId="29" xfId="198" quotePrefix="1" applyNumberFormat="1" applyFont="1" applyBorder="1" applyAlignment="1">
      <alignment horizontal="right"/>
    </xf>
    <xf numFmtId="0" fontId="39" fillId="0" borderId="30" xfId="0" applyFont="1" applyFill="1" applyBorder="1" applyAlignment="1">
      <alignment horizontal="center"/>
    </xf>
    <xf numFmtId="169" fontId="7" fillId="0" borderId="31" xfId="995" applyFont="1" applyBorder="1" applyAlignment="1" applyProtection="1">
      <alignment horizontal="center"/>
      <protection locked="0"/>
    </xf>
    <xf numFmtId="3" fontId="7" fillId="0" borderId="32" xfId="995" applyNumberFormat="1" applyFont="1" applyBorder="1" applyAlignment="1" applyProtection="1">
      <alignment horizontal="center"/>
      <protection locked="0"/>
    </xf>
    <xf numFmtId="0" fontId="39" fillId="0" borderId="26" xfId="0" quotePrefix="1" applyFont="1" applyBorder="1" applyAlignment="1">
      <alignment horizontal="left"/>
    </xf>
    <xf numFmtId="0" fontId="39" fillId="0" borderId="13" xfId="0" quotePrefix="1" applyFont="1" applyBorder="1" applyAlignment="1">
      <alignment horizontal="left"/>
    </xf>
    <xf numFmtId="169" fontId="7" fillId="0" borderId="31" xfId="995" quotePrefix="1" applyFont="1" applyBorder="1" applyAlignment="1" applyProtection="1">
      <alignment horizontal="center"/>
      <protection locked="0"/>
    </xf>
    <xf numFmtId="170" fontId="39" fillId="0" borderId="23" xfId="198" quotePrefix="1" applyNumberFormat="1" applyFont="1" applyBorder="1" applyAlignment="1">
      <alignment horizontal="center" wrapText="1"/>
    </xf>
    <xf numFmtId="0" fontId="52" fillId="0" borderId="0" xfId="0" quotePrefix="1" applyFont="1" applyFill="1" applyAlignment="1">
      <alignment horizontal="left"/>
    </xf>
    <xf numFmtId="0" fontId="52" fillId="0" borderId="0" xfId="0" quotePrefix="1" applyFont="1" applyAlignment="1">
      <alignment horizontal="left"/>
    </xf>
    <xf numFmtId="171" fontId="54" fillId="27" borderId="23" xfId="0" applyNumberFormat="1" applyFont="1" applyFill="1" applyBorder="1"/>
    <xf numFmtId="171" fontId="54" fillId="27" borderId="24" xfId="0" applyNumberFormat="1" applyFont="1" applyFill="1" applyBorder="1"/>
    <xf numFmtId="171" fontId="54" fillId="27" borderId="25" xfId="0" applyNumberFormat="1" applyFont="1" applyFill="1" applyBorder="1"/>
    <xf numFmtId="0" fontId="39" fillId="0" borderId="23" xfId="0" quotePrefix="1" applyFont="1" applyBorder="1" applyAlignment="1">
      <alignment horizontal="center" wrapText="1"/>
    </xf>
    <xf numFmtId="0" fontId="55" fillId="0" borderId="0" xfId="0" applyFont="1" applyFill="1" applyAlignment="1">
      <alignment horizontal="left"/>
    </xf>
    <xf numFmtId="0" fontId="55" fillId="0" borderId="0" xfId="0" applyFont="1" applyAlignment="1">
      <alignment horizontal="left"/>
    </xf>
    <xf numFmtId="170" fontId="54" fillId="27" borderId="0" xfId="0" applyNumberFormat="1" applyFont="1" applyFill="1" applyBorder="1"/>
    <xf numFmtId="170" fontId="54" fillId="27" borderId="23" xfId="198" applyNumberFormat="1" applyFont="1" applyFill="1" applyBorder="1"/>
    <xf numFmtId="170" fontId="54" fillId="27" borderId="14" xfId="198" applyNumberFormat="1" applyFont="1" applyFill="1" applyBorder="1"/>
    <xf numFmtId="170" fontId="54" fillId="27" borderId="24" xfId="198" applyNumberFormat="1" applyFont="1" applyFill="1" applyBorder="1"/>
    <xf numFmtId="170" fontId="54" fillId="27" borderId="24" xfId="0" applyNumberFormat="1" applyFont="1" applyFill="1" applyBorder="1"/>
    <xf numFmtId="168" fontId="54" fillId="27" borderId="24" xfId="198" applyNumberFormat="1" applyFont="1" applyFill="1" applyBorder="1"/>
    <xf numFmtId="168" fontId="54" fillId="27" borderId="14" xfId="198" applyNumberFormat="1" applyFont="1" applyFill="1" applyBorder="1"/>
    <xf numFmtId="170" fontId="54" fillId="27" borderId="23" xfId="0" applyNumberFormat="1" applyFont="1" applyFill="1" applyBorder="1"/>
    <xf numFmtId="171" fontId="54" fillId="0" borderId="14" xfId="0" applyNumberFormat="1" applyFont="1" applyFill="1" applyBorder="1"/>
    <xf numFmtId="0" fontId="53" fillId="0" borderId="0" xfId="0" quotePrefix="1" applyFont="1" applyFill="1" applyAlignment="1"/>
    <xf numFmtId="170" fontId="53" fillId="0" borderId="0" xfId="0" applyNumberFormat="1" applyFont="1" applyAlignment="1">
      <alignment horizontal="left"/>
    </xf>
    <xf numFmtId="170" fontId="79" fillId="27" borderId="24" xfId="198" applyNumberFormat="1" applyFont="1" applyFill="1" applyBorder="1"/>
    <xf numFmtId="170" fontId="7" fillId="27" borderId="0" xfId="0" applyNumberFormat="1" applyFont="1" applyFill="1" applyBorder="1"/>
    <xf numFmtId="170" fontId="1" fillId="27" borderId="24" xfId="198" applyNumberFormat="1" applyFill="1" applyBorder="1"/>
    <xf numFmtId="170" fontId="7" fillId="27" borderId="24" xfId="0" applyNumberFormat="1" applyFont="1" applyFill="1" applyBorder="1"/>
    <xf numFmtId="170" fontId="7" fillId="27" borderId="24" xfId="198" applyNumberFormat="1" applyFont="1" applyFill="1" applyBorder="1"/>
    <xf numFmtId="170" fontId="7" fillId="27" borderId="14" xfId="198" applyNumberFormat="1" applyFont="1" applyFill="1" applyBorder="1"/>
    <xf numFmtId="170" fontId="87" fillId="27" borderId="14" xfId="198" applyNumberFormat="1" applyFont="1" applyFill="1" applyBorder="1"/>
    <xf numFmtId="170" fontId="87" fillId="27" borderId="24" xfId="0" applyNumberFormat="1" applyFont="1" applyFill="1" applyBorder="1"/>
    <xf numFmtId="170" fontId="87" fillId="27" borderId="24" xfId="198" applyNumberFormat="1" applyFont="1" applyFill="1" applyBorder="1"/>
    <xf numFmtId="171" fontId="87" fillId="0" borderId="14" xfId="0" applyNumberFormat="1" applyFont="1" applyBorder="1"/>
    <xf numFmtId="171" fontId="87" fillId="0" borderId="14" xfId="0" applyNumberFormat="1" applyFont="1" applyFill="1" applyBorder="1"/>
    <xf numFmtId="171" fontId="88" fillId="0" borderId="24" xfId="0" applyNumberFormat="1" applyFont="1" applyBorder="1"/>
    <xf numFmtId="170" fontId="39" fillId="0" borderId="25" xfId="198" applyNumberFormat="1" applyFont="1" applyFill="1" applyBorder="1" applyAlignment="1">
      <alignment horizontal="center"/>
    </xf>
    <xf numFmtId="170" fontId="39" fillId="0" borderId="16" xfId="198" applyNumberFormat="1" applyFont="1" applyFill="1" applyBorder="1" applyAlignment="1">
      <alignment horizontal="center"/>
    </xf>
    <xf numFmtId="170" fontId="39" fillId="0" borderId="18" xfId="349" applyNumberFormat="1" applyFont="1" applyFill="1" applyBorder="1" applyAlignment="1">
      <alignment horizontal="center" wrapText="1"/>
    </xf>
    <xf numFmtId="170" fontId="39" fillId="0" borderId="18" xfId="349" applyNumberFormat="1" applyFont="1" applyBorder="1" applyAlignment="1">
      <alignment horizontal="center" wrapText="1"/>
    </xf>
    <xf numFmtId="170" fontId="7" fillId="0" borderId="23" xfId="285" applyNumberFormat="1" applyFont="1" applyBorder="1"/>
    <xf numFmtId="0" fontId="0" fillId="0" borderId="0" xfId="0" applyProtection="1"/>
    <xf numFmtId="0" fontId="14" fillId="0" borderId="0" xfId="0" applyNumberFormat="1" applyFont="1" applyAlignment="1" applyProtection="1">
      <alignment horizontal="center"/>
    </xf>
    <xf numFmtId="3" fontId="14" fillId="0" borderId="0" xfId="0" quotePrefix="1" applyNumberFormat="1" applyFont="1" applyFill="1" applyAlignment="1" applyProtection="1">
      <alignment horizontal="center"/>
    </xf>
    <xf numFmtId="0" fontId="14" fillId="0" borderId="0" xfId="0" applyNumberFormat="1" applyFont="1" applyFill="1" applyAlignment="1" applyProtection="1">
      <alignment horizontal="center"/>
    </xf>
    <xf numFmtId="169" fontId="14" fillId="0" borderId="0" xfId="995" applyFont="1" applyFill="1" applyAlignment="1" applyProtection="1"/>
    <xf numFmtId="49" fontId="73" fillId="0" borderId="0" xfId="995" applyNumberFormat="1" applyFont="1" applyFill="1" applyAlignment="1" applyProtection="1">
      <alignment horizontal="center"/>
    </xf>
    <xf numFmtId="3" fontId="6" fillId="0" borderId="0" xfId="0" applyNumberFormat="1" applyFont="1" applyAlignment="1" applyProtection="1">
      <alignment horizontal="center"/>
    </xf>
    <xf numFmtId="3" fontId="6" fillId="0" borderId="0" xfId="0" quotePrefix="1" applyNumberFormat="1" applyFont="1" applyAlignment="1" applyProtection="1">
      <alignment horizontal="center"/>
    </xf>
    <xf numFmtId="0" fontId="0" fillId="0" borderId="0" xfId="0" applyFill="1" applyProtection="1"/>
    <xf numFmtId="0" fontId="0" fillId="0" borderId="0" xfId="0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/>
    </xf>
    <xf numFmtId="0" fontId="39" fillId="0" borderId="11" xfId="0" applyFont="1" applyBorder="1" applyAlignment="1" applyProtection="1">
      <alignment horizontal="centerContinuous"/>
    </xf>
    <xf numFmtId="0" fontId="53" fillId="0" borderId="0" xfId="0" quotePrefix="1" applyFont="1" applyAlignment="1" applyProtection="1">
      <alignment horizontal="left"/>
    </xf>
    <xf numFmtId="0" fontId="39" fillId="0" borderId="0" xfId="0" applyFont="1" applyBorder="1" applyAlignment="1" applyProtection="1">
      <alignment horizontal="center"/>
    </xf>
    <xf numFmtId="0" fontId="39" fillId="0" borderId="11" xfId="0" quotePrefix="1" applyFont="1" applyBorder="1" applyAlignment="1" applyProtection="1">
      <alignment horizontal="centerContinuous"/>
    </xf>
    <xf numFmtId="0" fontId="65" fillId="0" borderId="0" xfId="0" quotePrefix="1" applyFont="1" applyBorder="1" applyAlignment="1" applyProtection="1">
      <alignment horizontal="centerContinuous"/>
    </xf>
    <xf numFmtId="0" fontId="65" fillId="0" borderId="11" xfId="0" applyFont="1" applyBorder="1" applyAlignment="1" applyProtection="1">
      <alignment horizontal="centerContinuous"/>
    </xf>
    <xf numFmtId="0" fontId="74" fillId="0" borderId="0" xfId="0" applyFont="1" applyFill="1" applyProtection="1"/>
    <xf numFmtId="0" fontId="65" fillId="0" borderId="0" xfId="0" applyFont="1" applyAlignment="1" applyProtection="1">
      <alignment horizontal="center" wrapText="1"/>
    </xf>
    <xf numFmtId="0" fontId="65" fillId="0" borderId="0" xfId="0" applyFont="1" applyAlignment="1" applyProtection="1">
      <alignment horizontal="center"/>
    </xf>
    <xf numFmtId="0" fontId="65" fillId="0" borderId="0" xfId="0" applyFont="1" applyBorder="1" applyAlignment="1" applyProtection="1">
      <alignment horizontal="center" wrapText="1"/>
    </xf>
    <xf numFmtId="0" fontId="65" fillId="0" borderId="0" xfId="0" applyFont="1" applyBorder="1" applyAlignment="1" applyProtection="1">
      <alignment horizontal="center"/>
    </xf>
    <xf numFmtId="0" fontId="65" fillId="0" borderId="0" xfId="0" quotePrefix="1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/>
    </xf>
    <xf numFmtId="0" fontId="65" fillId="0" borderId="0" xfId="0" quotePrefix="1" applyFont="1" applyBorder="1" applyAlignment="1" applyProtection="1">
      <alignment horizontal="center" wrapText="1"/>
    </xf>
    <xf numFmtId="0" fontId="0" fillId="0" borderId="38" xfId="0" applyBorder="1" applyAlignment="1" applyProtection="1">
      <alignment wrapText="1"/>
    </xf>
    <xf numFmtId="0" fontId="39" fillId="0" borderId="0" xfId="0" applyFont="1" applyProtection="1"/>
    <xf numFmtId="0" fontId="0" fillId="0" borderId="24" xfId="0" applyBorder="1" applyProtection="1"/>
    <xf numFmtId="0" fontId="0" fillId="0" borderId="0" xfId="0" quotePrefix="1" applyAlignment="1" applyProtection="1">
      <alignment horizontal="center" vertical="center"/>
    </xf>
    <xf numFmtId="0" fontId="7" fillId="0" borderId="0" xfId="0" applyFont="1" applyFill="1" applyAlignment="1" applyProtection="1">
      <alignment vertical="center" wrapText="1"/>
    </xf>
    <xf numFmtId="0" fontId="7" fillId="0" borderId="0" xfId="0" applyFont="1" applyFill="1" applyAlignment="1" applyProtection="1">
      <alignment horizontal="center" vertical="center"/>
    </xf>
    <xf numFmtId="170" fontId="1" fillId="0" borderId="0" xfId="198" applyNumberFormat="1" applyFont="1" applyFill="1" applyAlignment="1" applyProtection="1">
      <alignment vertical="center"/>
    </xf>
    <xf numFmtId="170" fontId="1" fillId="0" borderId="0" xfId="198" applyNumberForma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170" fontId="7" fillId="0" borderId="0" xfId="202" applyNumberFormat="1" applyFont="1" applyFill="1" applyAlignment="1" applyProtection="1">
      <alignment vertical="center"/>
    </xf>
    <xf numFmtId="170" fontId="64" fillId="27" borderId="0" xfId="198" applyNumberFormat="1" applyFont="1" applyFill="1" applyAlignment="1" applyProtection="1">
      <alignment vertical="center"/>
    </xf>
    <xf numFmtId="170" fontId="1" fillId="0" borderId="0" xfId="198" applyNumberFormat="1" applyAlignment="1" applyProtection="1">
      <alignment vertical="center"/>
    </xf>
    <xf numFmtId="170" fontId="39" fillId="0" borderId="0" xfId="198" applyNumberFormat="1" applyFont="1" applyAlignment="1" applyProtection="1">
      <alignment horizontal="center" vertical="center"/>
    </xf>
    <xf numFmtId="170" fontId="0" fillId="0" borderId="24" xfId="0" applyNumberFormat="1" applyBorder="1" applyAlignment="1" applyProtection="1">
      <alignment vertical="center"/>
    </xf>
    <xf numFmtId="170" fontId="39" fillId="0" borderId="0" xfId="198" applyNumberFormat="1" applyFont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0" fontId="0" fillId="0" borderId="0" xfId="0" applyAlignment="1" applyProtection="1"/>
    <xf numFmtId="170" fontId="1" fillId="0" borderId="0" xfId="198" applyNumberFormat="1" applyFont="1" applyAlignment="1" applyProtection="1">
      <alignment vertical="center"/>
    </xf>
    <xf numFmtId="0" fontId="1" fillId="0" borderId="0" xfId="0" applyFont="1" applyFill="1" applyAlignment="1" applyProtection="1">
      <alignment vertical="center" wrapText="1"/>
    </xf>
    <xf numFmtId="0" fontId="7" fillId="0" borderId="0" xfId="0" quotePrefix="1" applyFont="1" applyAlignment="1" applyProtection="1">
      <alignment horizontal="center" vertical="center"/>
    </xf>
    <xf numFmtId="170" fontId="1" fillId="0" borderId="0" xfId="198" applyNumberFormat="1" applyBorder="1" applyAlignment="1" applyProtection="1">
      <alignment vertical="center"/>
    </xf>
    <xf numFmtId="170" fontId="39" fillId="0" borderId="0" xfId="198" applyNumberFormat="1" applyFont="1" applyBorder="1" applyAlignment="1" applyProtection="1">
      <alignment vertical="center"/>
    </xf>
    <xf numFmtId="0" fontId="0" fillId="0" borderId="0" xfId="0" applyBorder="1" applyProtection="1"/>
    <xf numFmtId="171" fontId="39" fillId="0" borderId="0" xfId="622" applyNumberFormat="1" applyFont="1" applyAlignment="1" applyProtection="1">
      <alignment vertical="center"/>
    </xf>
    <xf numFmtId="170" fontId="39" fillId="0" borderId="24" xfId="0" applyNumberFormat="1" applyFont="1" applyBorder="1" applyProtection="1"/>
    <xf numFmtId="0" fontId="64" fillId="0" borderId="0" xfId="0" quotePrefix="1" applyFont="1" applyAlignment="1" applyProtection="1">
      <alignment horizontal="left"/>
    </xf>
    <xf numFmtId="0" fontId="7" fillId="0" borderId="0" xfId="0" applyFont="1" applyAlignment="1" applyProtection="1">
      <alignment vertical="center"/>
    </xf>
    <xf numFmtId="170" fontId="75" fillId="0" borderId="0" xfId="198" applyNumberFormat="1" applyFont="1" applyAlignment="1" applyProtection="1">
      <alignment horizontal="center" vertical="center"/>
    </xf>
    <xf numFmtId="43" fontId="77" fillId="0" borderId="0" xfId="198" applyFont="1" applyAlignment="1" applyProtection="1">
      <alignment horizontal="left" vertical="center"/>
    </xf>
    <xf numFmtId="43" fontId="78" fillId="0" borderId="0" xfId="198" applyFont="1" applyAlignment="1" applyProtection="1">
      <alignment vertical="center"/>
    </xf>
    <xf numFmtId="43" fontId="1" fillId="0" borderId="0" xfId="198" applyAlignment="1" applyProtection="1">
      <alignment vertical="center"/>
    </xf>
    <xf numFmtId="170" fontId="0" fillId="0" borderId="25" xfId="0" applyNumberFormat="1" applyBorder="1" applyProtection="1"/>
    <xf numFmtId="0" fontId="0" fillId="0" borderId="0" xfId="0" quotePrefix="1" applyAlignment="1" applyProtection="1">
      <alignment horizontal="left" vertical="center"/>
    </xf>
    <xf numFmtId="13" fontId="5" fillId="0" borderId="0" xfId="0" applyNumberFormat="1" applyFont="1" applyAlignment="1" applyProtection="1">
      <alignment horizontal="center" vertical="center"/>
    </xf>
    <xf numFmtId="170" fontId="64" fillId="27" borderId="0" xfId="0" applyNumberFormat="1" applyFont="1" applyFill="1" applyAlignment="1" applyProtection="1">
      <alignment vertical="center"/>
    </xf>
    <xf numFmtId="177" fontId="1" fillId="0" borderId="0" xfId="198" applyNumberFormat="1" applyAlignment="1" applyProtection="1">
      <alignment vertical="center"/>
    </xf>
    <xf numFmtId="170" fontId="1" fillId="0" borderId="0" xfId="198" applyNumberFormat="1" applyProtection="1"/>
    <xf numFmtId="43" fontId="1" fillId="0" borderId="0" xfId="198" applyProtection="1"/>
    <xf numFmtId="170" fontId="0" fillId="0" borderId="0" xfId="0" applyNumberFormat="1" applyProtection="1"/>
    <xf numFmtId="0" fontId="0" fillId="0" borderId="33" xfId="0" applyBorder="1" applyProtection="1"/>
    <xf numFmtId="0" fontId="0" fillId="0" borderId="2" xfId="0" applyBorder="1" applyProtection="1"/>
    <xf numFmtId="170" fontId="1" fillId="0" borderId="2" xfId="198" applyNumberFormat="1" applyBorder="1" applyProtection="1"/>
    <xf numFmtId="0" fontId="0" fillId="0" borderId="27" xfId="0" applyBorder="1" applyProtection="1"/>
    <xf numFmtId="0" fontId="0" fillId="0" borderId="34" xfId="0" applyBorder="1" applyProtection="1"/>
    <xf numFmtId="0" fontId="0" fillId="0" borderId="0" xfId="0" applyBorder="1" applyAlignment="1" applyProtection="1">
      <alignment horizontal="center"/>
    </xf>
    <xf numFmtId="49" fontId="73" fillId="0" borderId="0" xfId="995" applyNumberFormat="1" applyFont="1" applyFill="1" applyBorder="1" applyAlignment="1" applyProtection="1">
      <alignment horizontal="center"/>
    </xf>
    <xf numFmtId="0" fontId="0" fillId="0" borderId="35" xfId="0" applyBorder="1" applyAlignment="1" applyProtection="1">
      <alignment horizontal="center"/>
    </xf>
    <xf numFmtId="0" fontId="0" fillId="0" borderId="36" xfId="0" applyBorder="1" applyProtection="1"/>
    <xf numFmtId="0" fontId="0" fillId="0" borderId="11" xfId="0" applyBorder="1" applyProtection="1"/>
    <xf numFmtId="170" fontId="1" fillId="0" borderId="11" xfId="198" applyNumberFormat="1" applyBorder="1" applyProtection="1"/>
    <xf numFmtId="0" fontId="0" fillId="0" borderId="37" xfId="0" applyBorder="1" applyProtection="1"/>
    <xf numFmtId="0" fontId="0" fillId="0" borderId="0" xfId="0" quotePrefix="1" applyAlignment="1" applyProtection="1">
      <alignment horizontal="left"/>
    </xf>
    <xf numFmtId="0" fontId="0" fillId="0" borderId="0" xfId="0" quotePrefix="1" applyAlignment="1" applyProtection="1">
      <alignment horizontal="center"/>
    </xf>
    <xf numFmtId="170" fontId="0" fillId="0" borderId="0" xfId="198" applyNumberFormat="1" applyFont="1" applyProtection="1"/>
    <xf numFmtId="170" fontId="0" fillId="0" borderId="0" xfId="202" applyNumberFormat="1" applyFont="1" applyProtection="1"/>
    <xf numFmtId="170" fontId="0" fillId="0" borderId="0" xfId="1013" applyNumberFormat="1" applyFont="1" applyProtection="1"/>
    <xf numFmtId="0" fontId="39" fillId="0" borderId="0" xfId="0" quotePrefix="1" applyFont="1" applyAlignment="1" applyProtection="1">
      <alignment horizontal="left"/>
    </xf>
    <xf numFmtId="171" fontId="0" fillId="0" borderId="0" xfId="622" applyNumberFormat="1" applyFont="1" applyProtection="1"/>
    <xf numFmtId="0" fontId="7" fillId="0" borderId="0" xfId="0" applyFont="1" applyProtection="1"/>
    <xf numFmtId="0" fontId="7" fillId="0" borderId="0" xfId="0" applyFont="1" applyAlignment="1" applyProtection="1">
      <alignment horizontal="center"/>
    </xf>
    <xf numFmtId="170" fontId="7" fillId="0" borderId="0" xfId="198" applyNumberFormat="1" applyFont="1" applyProtection="1"/>
    <xf numFmtId="0" fontId="7" fillId="0" borderId="0" xfId="0" applyFont="1" applyBorder="1" applyProtection="1"/>
    <xf numFmtId="0" fontId="47" fillId="0" borderId="0" xfId="0" applyFont="1" applyFill="1" applyProtection="1"/>
    <xf numFmtId="0" fontId="9" fillId="0" borderId="0" xfId="0" applyFont="1" applyAlignment="1" applyProtection="1">
      <alignment horizontal="left"/>
    </xf>
    <xf numFmtId="41" fontId="0" fillId="0" borderId="0" xfId="0" applyNumberFormat="1" applyProtection="1"/>
    <xf numFmtId="3" fontId="0" fillId="0" borderId="0" xfId="0" applyNumberFormat="1" applyProtection="1"/>
    <xf numFmtId="0" fontId="7" fillId="0" borderId="0" xfId="995" applyNumberFormat="1" applyFont="1" applyBorder="1" applyAlignment="1" applyProtection="1"/>
    <xf numFmtId="3" fontId="7" fillId="0" borderId="0" xfId="995" applyNumberFormat="1" applyFont="1" applyAlignment="1" applyProtection="1"/>
    <xf numFmtId="10" fontId="7" fillId="0" borderId="0" xfId="995" applyNumberFormat="1" applyFont="1" applyAlignment="1" applyProtection="1"/>
    <xf numFmtId="166" fontId="7" fillId="0" borderId="0" xfId="995" applyNumberFormat="1" applyFont="1" applyAlignment="1" applyProtection="1"/>
    <xf numFmtId="43" fontId="7" fillId="0" borderId="0" xfId="198" applyFont="1" applyAlignment="1" applyProtection="1"/>
    <xf numFmtId="169" fontId="7" fillId="0" borderId="0" xfId="995" applyFont="1" applyAlignment="1" applyProtection="1"/>
    <xf numFmtId="169" fontId="7" fillId="0" borderId="0" xfId="995" applyFont="1" applyBorder="1" applyAlignment="1" applyProtection="1"/>
    <xf numFmtId="0" fontId="7" fillId="28" borderId="0" xfId="198" applyNumberFormat="1" applyFont="1" applyFill="1" applyAlignment="1" applyProtection="1"/>
    <xf numFmtId="10" fontId="7" fillId="0" borderId="0" xfId="995" applyNumberFormat="1" applyFont="1" applyFill="1" applyAlignment="1" applyProtection="1">
      <alignment horizontal="right"/>
    </xf>
    <xf numFmtId="3" fontId="39" fillId="0" borderId="0" xfId="995" applyNumberFormat="1" applyFont="1" applyAlignment="1" applyProtection="1"/>
    <xf numFmtId="3" fontId="48" fillId="0" borderId="0" xfId="995" applyNumberFormat="1" applyFont="1" applyAlignment="1" applyProtection="1">
      <alignment horizontal="center"/>
    </xf>
    <xf numFmtId="10" fontId="48" fillId="0" borderId="0" xfId="995" applyNumberFormat="1" applyFont="1" applyFill="1" applyAlignment="1" applyProtection="1">
      <alignment horizontal="center"/>
    </xf>
    <xf numFmtId="0" fontId="7" fillId="0" borderId="0" xfId="995" applyNumberFormat="1" applyFont="1" applyFill="1" applyBorder="1" applyAlignment="1" applyProtection="1">
      <alignment horizontal="right"/>
    </xf>
    <xf numFmtId="10" fontId="0" fillId="0" borderId="0" xfId="0" applyNumberFormat="1" applyAlignment="1" applyProtection="1">
      <alignment horizontal="center"/>
    </xf>
    <xf numFmtId="166" fontId="7" fillId="0" borderId="0" xfId="995" applyNumberFormat="1" applyFont="1" applyAlignment="1" applyProtection="1">
      <alignment horizontal="center"/>
    </xf>
    <xf numFmtId="167" fontId="7" fillId="0" borderId="0" xfId="995" applyNumberFormat="1" applyFont="1" applyFill="1" applyAlignment="1" applyProtection="1"/>
    <xf numFmtId="165" fontId="7" fillId="0" borderId="0" xfId="995" applyNumberFormat="1" applyFont="1" applyAlignment="1" applyProtection="1">
      <alignment horizontal="center"/>
    </xf>
    <xf numFmtId="165" fontId="7" fillId="0" borderId="0" xfId="995" applyNumberFormat="1" applyFont="1" applyBorder="1" applyAlignment="1" applyProtection="1">
      <alignment horizontal="center"/>
    </xf>
    <xf numFmtId="169" fontId="7" fillId="0" borderId="13" xfId="995" applyFont="1" applyBorder="1" applyAlignment="1" applyProtection="1"/>
    <xf numFmtId="0" fontId="7" fillId="0" borderId="0" xfId="995" applyNumberFormat="1" applyFont="1" applyBorder="1" applyAlignment="1" applyProtection="1">
      <alignment horizontal="center"/>
    </xf>
    <xf numFmtId="3" fontId="7" fillId="0" borderId="14" xfId="995" applyNumberFormat="1" applyFont="1" applyBorder="1" applyAlignment="1" applyProtection="1"/>
    <xf numFmtId="41" fontId="7" fillId="0" borderId="0" xfId="995" applyNumberFormat="1" applyFont="1" applyAlignment="1" applyProtection="1"/>
    <xf numFmtId="41" fontId="7" fillId="0" borderId="0" xfId="995" applyNumberFormat="1" applyFont="1" applyAlignment="1" applyProtection="1">
      <alignment horizontal="center"/>
    </xf>
    <xf numFmtId="41" fontId="7" fillId="0" borderId="0" xfId="995" applyNumberFormat="1" applyFont="1" applyBorder="1" applyAlignment="1" applyProtection="1">
      <alignment horizontal="center"/>
    </xf>
    <xf numFmtId="0" fontId="0" fillId="0" borderId="13" xfId="0" applyBorder="1" applyProtection="1"/>
    <xf numFmtId="0" fontId="0" fillId="0" borderId="14" xfId="0" applyBorder="1" applyProtection="1"/>
    <xf numFmtId="0" fontId="7" fillId="0" borderId="0" xfId="995" applyNumberFormat="1" applyFont="1" applyBorder="1" applyAlignment="1" applyProtection="1">
      <alignment horizontal="right"/>
    </xf>
    <xf numFmtId="167" fontId="48" fillId="0" borderId="0" xfId="995" applyNumberFormat="1" applyFont="1" applyFill="1" applyAlignment="1" applyProtection="1"/>
    <xf numFmtId="165" fontId="15" fillId="0" borderId="15" xfId="995" applyNumberFormat="1" applyFont="1" applyBorder="1" applyAlignment="1" applyProtection="1">
      <alignment horizontal="center"/>
    </xf>
    <xf numFmtId="0" fontId="7" fillId="28" borderId="6" xfId="995" applyNumberFormat="1" applyFont="1" applyFill="1" applyBorder="1" applyAlignment="1" applyProtection="1">
      <alignment horizontal="center"/>
    </xf>
    <xf numFmtId="170" fontId="7" fillId="0" borderId="6" xfId="995" applyNumberFormat="1" applyFont="1" applyBorder="1" applyAlignment="1" applyProtection="1">
      <alignment horizontal="center"/>
    </xf>
    <xf numFmtId="171" fontId="0" fillId="0" borderId="16" xfId="0" applyNumberFormat="1" applyBorder="1" applyProtection="1"/>
    <xf numFmtId="3" fontId="7" fillId="0" borderId="0" xfId="995" applyNumberFormat="1" applyFont="1" applyAlignment="1" applyProtection="1">
      <alignment horizontal="right"/>
    </xf>
    <xf numFmtId="0" fontId="63" fillId="0" borderId="0" xfId="0" applyFont="1" applyAlignment="1" applyProtection="1">
      <alignment horizontal="center"/>
    </xf>
    <xf numFmtId="10" fontId="7" fillId="0" borderId="0" xfId="995" applyNumberFormat="1" applyFont="1" applyFill="1" applyAlignment="1" applyProtection="1">
      <alignment horizontal="left"/>
    </xf>
    <xf numFmtId="41" fontId="7" fillId="0" borderId="0" xfId="995" applyNumberFormat="1" applyFont="1" applyBorder="1" applyAlignment="1" applyProtection="1"/>
    <xf numFmtId="41" fontId="7" fillId="0" borderId="0" xfId="995" applyNumberFormat="1" applyFont="1" applyFill="1" applyAlignment="1" applyProtection="1"/>
    <xf numFmtId="0" fontId="7" fillId="0" borderId="0" xfId="995" applyNumberFormat="1" applyFont="1" applyAlignment="1" applyProtection="1">
      <alignment horizontal="center"/>
    </xf>
    <xf numFmtId="41" fontId="7" fillId="0" borderId="0" xfId="995" quotePrefix="1" applyNumberFormat="1" applyFont="1" applyBorder="1" applyAlignment="1" applyProtection="1"/>
    <xf numFmtId="41" fontId="7" fillId="0" borderId="0" xfId="995" applyNumberFormat="1" applyFont="1" applyFill="1" applyBorder="1" applyAlignment="1" applyProtection="1">
      <alignment horizontal="right"/>
    </xf>
    <xf numFmtId="172" fontId="7" fillId="0" borderId="11" xfId="995" applyNumberFormat="1" applyFont="1" applyBorder="1" applyAlignment="1" applyProtection="1"/>
    <xf numFmtId="164" fontId="7" fillId="0" borderId="0" xfId="995" applyNumberFormat="1" applyFont="1" applyFill="1" applyBorder="1" applyAlignment="1" applyProtection="1">
      <alignment horizontal="left"/>
    </xf>
    <xf numFmtId="164" fontId="7" fillId="0" borderId="0" xfId="995" applyNumberFormat="1" applyFont="1" applyBorder="1" applyAlignment="1" applyProtection="1">
      <alignment horizontal="left"/>
    </xf>
    <xf numFmtId="3" fontId="7" fillId="0" borderId="0" xfId="995" applyNumberFormat="1" applyFont="1" applyAlignment="1" applyProtection="1">
      <alignment vertical="center" wrapText="1"/>
    </xf>
    <xf numFmtId="41" fontId="7" fillId="0" borderId="0" xfId="995" applyNumberFormat="1" applyFont="1" applyBorder="1" applyAlignment="1" applyProtection="1">
      <alignment vertical="center"/>
    </xf>
    <xf numFmtId="41" fontId="7" fillId="0" borderId="0" xfId="995" applyNumberFormat="1" applyFont="1" applyBorder="1" applyAlignment="1" applyProtection="1">
      <alignment horizontal="center" vertical="center"/>
    </xf>
    <xf numFmtId="41" fontId="7" fillId="0" borderId="0" xfId="995" applyNumberFormat="1" applyFont="1" applyAlignment="1" applyProtection="1">
      <alignment horizontal="right"/>
    </xf>
    <xf numFmtId="10" fontId="7" fillId="0" borderId="0" xfId="0" applyNumberFormat="1" applyFont="1" applyBorder="1" applyProtection="1"/>
    <xf numFmtId="0" fontId="7" fillId="0" borderId="0" xfId="0" applyFont="1" applyFill="1" applyAlignment="1" applyProtection="1">
      <alignment horizontal="center"/>
    </xf>
    <xf numFmtId="41" fontId="7" fillId="0" borderId="0" xfId="0" applyNumberFormat="1" applyFont="1" applyProtection="1"/>
    <xf numFmtId="3" fontId="14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/>
    <xf numFmtId="3" fontId="14" fillId="0" borderId="0" xfId="995" applyNumberFormat="1" applyFont="1" applyFill="1" applyBorder="1" applyAlignment="1" applyProtection="1">
      <alignment horizontal="center"/>
    </xf>
    <xf numFmtId="41" fontId="14" fillId="0" borderId="0" xfId="995" applyNumberFormat="1" applyFont="1" applyFill="1" applyBorder="1" applyAlignment="1" applyProtection="1"/>
    <xf numFmtId="0" fontId="14" fillId="0" borderId="0" xfId="995" applyNumberFormat="1" applyFont="1" applyFill="1" applyBorder="1" applyAlignment="1" applyProtection="1"/>
    <xf numFmtId="0" fontId="6" fillId="0" borderId="0" xfId="0" applyFont="1" applyFill="1" applyProtection="1"/>
    <xf numFmtId="0" fontId="14" fillId="0" borderId="0" xfId="995" applyNumberFormat="1" applyFont="1" applyFill="1" applyBorder="1" applyProtection="1"/>
    <xf numFmtId="0" fontId="7" fillId="0" borderId="0" xfId="995" applyNumberFormat="1" applyFont="1" applyFill="1" applyBorder="1" applyAlignment="1" applyProtection="1"/>
    <xf numFmtId="3" fontId="7" fillId="0" borderId="0" xfId="995" applyNumberFormat="1" applyFont="1" applyFill="1" applyBorder="1" applyAlignment="1" applyProtection="1"/>
    <xf numFmtId="41" fontId="7" fillId="0" borderId="0" xfId="995" applyNumberFormat="1" applyFont="1" applyFill="1" applyBorder="1" applyAlignment="1" applyProtection="1">
      <alignment horizontal="center"/>
    </xf>
    <xf numFmtId="0" fontId="7" fillId="0" borderId="0" xfId="995" applyNumberFormat="1" applyFont="1" applyFill="1" applyBorder="1" applyProtection="1"/>
    <xf numFmtId="3" fontId="7" fillId="0" borderId="0" xfId="995" applyNumberFormat="1" applyFont="1" applyFill="1" applyBorder="1" applyAlignment="1" applyProtection="1">
      <alignment horizontal="center"/>
    </xf>
    <xf numFmtId="41" fontId="7" fillId="0" borderId="11" xfId="995" applyNumberFormat="1" applyFont="1" applyFill="1" applyBorder="1" applyAlignment="1" applyProtection="1"/>
    <xf numFmtId="0" fontId="7" fillId="0" borderId="0" xfId="0" applyFont="1" applyFill="1" applyBorder="1" applyProtection="1"/>
    <xf numFmtId="0" fontId="7" fillId="0" borderId="0" xfId="995" applyNumberFormat="1" applyFont="1" applyFill="1" applyBorder="1" applyAlignment="1" applyProtection="1">
      <alignment horizontal="center"/>
    </xf>
    <xf numFmtId="10" fontId="7" fillId="0" borderId="0" xfId="995" applyNumberFormat="1" applyFont="1" applyFill="1" applyBorder="1" applyAlignment="1" applyProtection="1"/>
    <xf numFmtId="167" fontId="7" fillId="0" borderId="0" xfId="995" applyNumberFormat="1" applyFont="1" applyFill="1" applyBorder="1" applyAlignment="1" applyProtection="1"/>
    <xf numFmtId="169" fontId="7" fillId="0" borderId="0" xfId="995" applyFont="1" applyFill="1" applyBorder="1" applyAlignment="1" applyProtection="1"/>
    <xf numFmtId="3" fontId="7" fillId="0" borderId="0" xfId="995" quotePrefix="1" applyNumberFormat="1" applyFont="1" applyFill="1" applyBorder="1" applyAlignment="1" applyProtection="1"/>
    <xf numFmtId="3" fontId="39" fillId="0" borderId="0" xfId="995" applyNumberFormat="1" applyFont="1" applyFill="1" applyBorder="1" applyAlignment="1" applyProtection="1">
      <alignment horizontal="right"/>
    </xf>
    <xf numFmtId="167" fontId="39" fillId="0" borderId="0" xfId="995" applyNumberFormat="1" applyFont="1" applyFill="1" applyBorder="1" applyAlignment="1" applyProtection="1"/>
    <xf numFmtId="3" fontId="39" fillId="0" borderId="0" xfId="995" quotePrefix="1" applyNumberFormat="1" applyFont="1" applyFill="1" applyBorder="1" applyAlignment="1" applyProtection="1"/>
    <xf numFmtId="0" fontId="7" fillId="0" borderId="0" xfId="0" applyFont="1" applyFill="1" applyBorder="1" applyAlignment="1" applyProtection="1">
      <alignment horizontal="center"/>
    </xf>
    <xf numFmtId="41" fontId="7" fillId="0" borderId="0" xfId="0" applyNumberFormat="1" applyFont="1" applyFill="1" applyBorder="1" applyProtection="1"/>
    <xf numFmtId="170" fontId="7" fillId="0" borderId="0" xfId="198" applyNumberFormat="1" applyFont="1" applyFill="1" applyBorder="1" applyProtection="1"/>
    <xf numFmtId="41" fontId="48" fillId="0" borderId="0" xfId="995" applyNumberFormat="1" applyFont="1" applyFill="1" applyBorder="1" applyAlignment="1" applyProtection="1"/>
    <xf numFmtId="0" fontId="7" fillId="0" borderId="0" xfId="0" applyFont="1" applyFill="1" applyBorder="1" applyAlignment="1" applyProtection="1"/>
    <xf numFmtId="41" fontId="7" fillId="0" borderId="11" xfId="0" applyNumberFormat="1" applyFont="1" applyFill="1" applyBorder="1" applyProtection="1"/>
    <xf numFmtId="41" fontId="7" fillId="0" borderId="0" xfId="0" applyNumberFormat="1" applyFont="1" applyBorder="1" applyProtection="1"/>
    <xf numFmtId="41" fontId="48" fillId="0" borderId="0" xfId="0" applyNumberFormat="1" applyFont="1" applyProtection="1"/>
    <xf numFmtId="0" fontId="7" fillId="0" borderId="0" xfId="0" applyFont="1" applyFill="1" applyProtection="1"/>
    <xf numFmtId="0" fontId="9" fillId="0" borderId="0" xfId="0" applyFont="1" applyFill="1" applyAlignment="1" applyProtection="1">
      <alignment horizontal="left"/>
    </xf>
    <xf numFmtId="0" fontId="0" fillId="0" borderId="0" xfId="0" applyFill="1" applyAlignment="1" applyProtection="1"/>
    <xf numFmtId="41" fontId="7" fillId="0" borderId="0" xfId="0" applyNumberFormat="1" applyFont="1" applyFill="1" applyProtection="1"/>
    <xf numFmtId="170" fontId="7" fillId="0" borderId="0" xfId="198" applyNumberFormat="1" applyFont="1" applyFill="1" applyProtection="1"/>
    <xf numFmtId="10" fontId="7" fillId="0" borderId="11" xfId="0" applyNumberFormat="1" applyFont="1" applyFill="1" applyBorder="1" applyProtection="1"/>
    <xf numFmtId="9" fontId="7" fillId="0" borderId="11" xfId="1011" applyFont="1" applyFill="1" applyBorder="1" applyProtection="1"/>
    <xf numFmtId="170" fontId="7" fillId="0" borderId="11" xfId="198" applyNumberFormat="1" applyFont="1" applyFill="1" applyBorder="1" applyAlignment="1" applyProtection="1"/>
    <xf numFmtId="41" fontId="7" fillId="0" borderId="11" xfId="0" applyNumberFormat="1" applyFont="1" applyBorder="1" applyProtection="1"/>
    <xf numFmtId="10" fontId="7" fillId="0" borderId="0" xfId="0" applyNumberFormat="1" applyFont="1" applyProtection="1"/>
    <xf numFmtId="10" fontId="48" fillId="0" borderId="0" xfId="0" applyNumberFormat="1" applyFont="1" applyProtection="1"/>
    <xf numFmtId="170" fontId="7" fillId="0" borderId="11" xfId="198" applyNumberFormat="1" applyFont="1" applyFill="1" applyBorder="1" applyProtection="1"/>
    <xf numFmtId="175" fontId="7" fillId="0" borderId="0" xfId="0" applyNumberFormat="1" applyFont="1" applyProtection="1"/>
    <xf numFmtId="43" fontId="7" fillId="0" borderId="0" xfId="198" applyFont="1" applyProtection="1"/>
    <xf numFmtId="43" fontId="7" fillId="0" borderId="0" xfId="198" applyNumberFormat="1" applyFont="1" applyProtection="1"/>
    <xf numFmtId="170" fontId="7" fillId="0" borderId="0" xfId="0" applyNumberFormat="1" applyFont="1" applyProtection="1"/>
    <xf numFmtId="0" fontId="7" fillId="0" borderId="0" xfId="0" applyNumberFormat="1" applyFont="1" applyBorder="1" applyAlignment="1" applyProtection="1">
      <alignment horizontal="center"/>
    </xf>
    <xf numFmtId="170" fontId="7" fillId="0" borderId="0" xfId="0" applyNumberFormat="1" applyFont="1" applyBorder="1" applyProtection="1"/>
    <xf numFmtId="170" fontId="7" fillId="0" borderId="0" xfId="198" applyNumberFormat="1" applyFont="1" applyBorder="1" applyProtection="1"/>
    <xf numFmtId="171" fontId="7" fillId="0" borderId="0" xfId="0" applyNumberFormat="1" applyFont="1" applyBorder="1" applyProtection="1"/>
    <xf numFmtId="0" fontId="65" fillId="0" borderId="0" xfId="0" quotePrefix="1" applyFont="1" applyAlignment="1" applyProtection="1">
      <alignment horizontal="left"/>
    </xf>
    <xf numFmtId="0" fontId="66" fillId="0" borderId="0" xfId="0" quotePrefix="1" applyFont="1" applyAlignment="1" applyProtection="1">
      <alignment horizontal="left"/>
    </xf>
    <xf numFmtId="0" fontId="7" fillId="0" borderId="26" xfId="0" quotePrefix="1" applyFont="1" applyFill="1" applyBorder="1" applyAlignment="1" applyProtection="1">
      <alignment horizontal="left"/>
    </xf>
    <xf numFmtId="0" fontId="0" fillId="0" borderId="39" xfId="0" quotePrefix="1" applyBorder="1" applyAlignment="1" applyProtection="1">
      <alignment horizontal="left"/>
    </xf>
    <xf numFmtId="0" fontId="54" fillId="0" borderId="43" xfId="0" applyNumberFormat="1" applyFont="1" applyBorder="1" applyProtection="1"/>
    <xf numFmtId="0" fontId="106" fillId="0" borderId="14" xfId="0" applyFont="1" applyBorder="1" applyProtection="1"/>
    <xf numFmtId="10" fontId="54" fillId="0" borderId="43" xfId="0" applyNumberFormat="1" applyFont="1" applyBorder="1" applyProtection="1"/>
    <xf numFmtId="170" fontId="54" fillId="0" borderId="43" xfId="274" applyNumberFormat="1" applyFont="1" applyBorder="1" applyProtection="1"/>
    <xf numFmtId="0" fontId="106" fillId="0" borderId="41" xfId="0" applyFont="1" applyBorder="1" applyProtection="1"/>
    <xf numFmtId="166" fontId="54" fillId="0" borderId="43" xfId="0" applyNumberFormat="1" applyFont="1" applyBorder="1" applyProtection="1"/>
    <xf numFmtId="0" fontId="106" fillId="0" borderId="42" xfId="0" applyFont="1" applyBorder="1" applyProtection="1"/>
    <xf numFmtId="41" fontId="54" fillId="0" borderId="43" xfId="0" applyNumberFormat="1" applyFont="1" applyFill="1" applyBorder="1" applyProtection="1"/>
    <xf numFmtId="3" fontId="7" fillId="0" borderId="45" xfId="880" applyNumberFormat="1" applyFont="1" applyFill="1" applyBorder="1" applyProtection="1"/>
    <xf numFmtId="10" fontId="54" fillId="0" borderId="13" xfId="0" applyNumberFormat="1" applyFont="1" applyFill="1" applyBorder="1" applyProtection="1"/>
    <xf numFmtId="0" fontId="7" fillId="0" borderId="14" xfId="880" applyFont="1" applyFill="1" applyBorder="1" applyProtection="1"/>
    <xf numFmtId="41" fontId="54" fillId="0" borderId="13" xfId="0" applyNumberFormat="1" applyFont="1" applyFill="1" applyBorder="1" applyProtection="1"/>
    <xf numFmtId="0" fontId="7" fillId="0" borderId="19" xfId="880" applyFont="1" applyFill="1" applyBorder="1" applyProtection="1"/>
    <xf numFmtId="170" fontId="54" fillId="0" borderId="44" xfId="0" applyNumberFormat="1" applyFont="1" applyFill="1" applyBorder="1" applyProtection="1"/>
    <xf numFmtId="0" fontId="54" fillId="0" borderId="46" xfId="0" applyFont="1" applyBorder="1" applyProtection="1"/>
    <xf numFmtId="170" fontId="7" fillId="0" borderId="0" xfId="0" applyNumberFormat="1" applyFont="1" applyFill="1" applyBorder="1" applyProtection="1"/>
    <xf numFmtId="0" fontId="54" fillId="0" borderId="16" xfId="0" applyFont="1" applyBorder="1" applyProtection="1"/>
    <xf numFmtId="170" fontId="54" fillId="0" borderId="23" xfId="0" applyNumberFormat="1" applyFont="1" applyBorder="1" applyProtection="1"/>
    <xf numFmtId="170" fontId="54" fillId="0" borderId="24" xfId="0" applyNumberFormat="1" applyFont="1" applyBorder="1" applyProtection="1"/>
    <xf numFmtId="171" fontId="54" fillId="0" borderId="25" xfId="0" applyNumberFormat="1" applyFont="1" applyBorder="1" applyProtection="1"/>
    <xf numFmtId="0" fontId="50" fillId="0" borderId="0" xfId="0" applyFont="1" applyFill="1" applyProtection="1"/>
    <xf numFmtId="0" fontId="0" fillId="0" borderId="0" xfId="0" applyAlignment="1" applyProtection="1">
      <alignment wrapText="1"/>
    </xf>
    <xf numFmtId="0" fontId="7" fillId="26" borderId="0" xfId="198" applyNumberFormat="1" applyFont="1" applyFill="1" applyAlignment="1" applyProtection="1"/>
    <xf numFmtId="0" fontId="7" fillId="0" borderId="0" xfId="198" applyNumberFormat="1" applyFont="1" applyFill="1" applyAlignment="1" applyProtection="1"/>
    <xf numFmtId="169" fontId="15" fillId="0" borderId="26" xfId="995" applyFont="1" applyBorder="1" applyAlignment="1" applyProtection="1"/>
    <xf numFmtId="169" fontId="7" fillId="0" borderId="17" xfId="995" applyFont="1" applyBorder="1" applyAlignment="1" applyProtection="1"/>
    <xf numFmtId="3" fontId="7" fillId="0" borderId="18" xfId="995" applyNumberFormat="1" applyFont="1" applyBorder="1" applyAlignment="1" applyProtection="1"/>
    <xf numFmtId="0" fontId="7" fillId="28" borderId="0" xfId="995" applyNumberFormat="1" applyFont="1" applyFill="1" applyBorder="1" applyAlignment="1" applyProtection="1">
      <alignment horizontal="center"/>
    </xf>
    <xf numFmtId="167" fontId="7" fillId="0" borderId="0" xfId="995" applyNumberFormat="1" applyFont="1" applyAlignment="1" applyProtection="1"/>
    <xf numFmtId="0" fontId="0" fillId="0" borderId="0" xfId="0" applyBorder="1" applyAlignment="1" applyProtection="1">
      <alignment horizontal="right"/>
    </xf>
    <xf numFmtId="171" fontId="0" fillId="0" borderId="0" xfId="0" applyNumberFormat="1" applyBorder="1" applyProtection="1"/>
    <xf numFmtId="171" fontId="0" fillId="0" borderId="14" xfId="0" applyNumberFormat="1" applyBorder="1" applyProtection="1"/>
    <xf numFmtId="171" fontId="0" fillId="0" borderId="6" xfId="0" applyNumberFormat="1" applyBorder="1" applyProtection="1"/>
    <xf numFmtId="167" fontId="48" fillId="0" borderId="0" xfId="995" applyNumberFormat="1" applyFont="1" applyAlignment="1" applyProtection="1"/>
    <xf numFmtId="170" fontId="0" fillId="0" borderId="0" xfId="0" applyNumberFormat="1" applyBorder="1" applyProtection="1"/>
    <xf numFmtId="170" fontId="0" fillId="0" borderId="18" xfId="0" applyNumberFormat="1" applyBorder="1" applyProtection="1"/>
    <xf numFmtId="173" fontId="7" fillId="0" borderId="0" xfId="995" applyNumberFormat="1" applyFont="1" applyAlignment="1" applyProtection="1"/>
    <xf numFmtId="165" fontId="7" fillId="0" borderId="15" xfId="995" applyNumberFormat="1" applyFont="1" applyBorder="1" applyAlignment="1" applyProtection="1">
      <alignment horizontal="center"/>
    </xf>
    <xf numFmtId="0" fontId="7" fillId="0" borderId="6" xfId="995" applyNumberFormat="1" applyFont="1" applyBorder="1" applyAlignment="1" applyProtection="1">
      <alignment horizontal="center"/>
    </xf>
    <xf numFmtId="170" fontId="7" fillId="0" borderId="6" xfId="995" quotePrefix="1" applyNumberFormat="1" applyFont="1" applyBorder="1" applyAlignment="1" applyProtection="1">
      <alignment horizontal="center"/>
    </xf>
    <xf numFmtId="174" fontId="7" fillId="0" borderId="0" xfId="995" applyNumberFormat="1" applyFont="1" applyBorder="1" applyAlignment="1" applyProtection="1">
      <alignment horizontal="center"/>
    </xf>
    <xf numFmtId="176" fontId="7" fillId="0" borderId="0" xfId="995" applyNumberFormat="1" applyFont="1" applyBorder="1" applyAlignment="1" applyProtection="1">
      <alignment horizontal="center" vertical="center"/>
    </xf>
    <xf numFmtId="173" fontId="7" fillId="0" borderId="0" xfId="995" applyNumberFormat="1" applyFont="1" applyBorder="1" applyAlignment="1" applyProtection="1"/>
    <xf numFmtId="41" fontId="48" fillId="0" borderId="11" xfId="995" applyNumberFormat="1" applyFont="1" applyFill="1" applyBorder="1" applyAlignment="1" applyProtection="1"/>
    <xf numFmtId="10" fontId="7" fillId="0" borderId="0" xfId="0" applyNumberFormat="1" applyFont="1" applyFill="1" applyBorder="1" applyProtection="1"/>
    <xf numFmtId="9" fontId="7" fillId="0" borderId="0" xfId="1011" applyFont="1" applyFill="1" applyBorder="1" applyProtection="1"/>
    <xf numFmtId="170" fontId="7" fillId="0" borderId="0" xfId="198" applyNumberFormat="1" applyFont="1" applyFill="1" applyBorder="1" applyAlignment="1" applyProtection="1"/>
    <xf numFmtId="41" fontId="56" fillId="0" borderId="0" xfId="0" applyNumberFormat="1" applyFont="1" applyProtection="1"/>
    <xf numFmtId="10" fontId="0" fillId="0" borderId="0" xfId="0" applyNumberFormat="1" applyProtection="1"/>
    <xf numFmtId="164" fontId="1" fillId="0" borderId="0" xfId="1011" applyNumberFormat="1" applyProtection="1"/>
    <xf numFmtId="0" fontId="7" fillId="0" borderId="40" xfId="0" quotePrefix="1" applyFont="1" applyFill="1" applyBorder="1" applyAlignment="1" applyProtection="1">
      <alignment horizontal="left"/>
    </xf>
    <xf numFmtId="0" fontId="0" fillId="0" borderId="18" xfId="0" applyBorder="1" applyProtection="1"/>
    <xf numFmtId="0" fontId="54" fillId="0" borderId="43" xfId="0" quotePrefix="1" applyFont="1" applyFill="1" applyBorder="1" applyAlignment="1" applyProtection="1">
      <alignment horizontal="right"/>
    </xf>
    <xf numFmtId="169" fontId="0" fillId="0" borderId="14" xfId="0" applyNumberFormat="1" applyBorder="1" applyProtection="1"/>
    <xf numFmtId="10" fontId="54" fillId="0" borderId="43" xfId="0" applyNumberFormat="1" applyFont="1" applyFill="1" applyBorder="1" applyProtection="1"/>
    <xf numFmtId="170" fontId="54" fillId="0" borderId="43" xfId="202" applyNumberFormat="1" applyFont="1" applyFill="1" applyBorder="1" applyProtection="1"/>
    <xf numFmtId="166" fontId="54" fillId="0" borderId="43" xfId="0" applyNumberFormat="1" applyFont="1" applyFill="1" applyBorder="1" applyProtection="1"/>
    <xf numFmtId="41" fontId="54" fillId="0" borderId="13" xfId="0" applyNumberFormat="1" applyFont="1" applyBorder="1" applyProtection="1"/>
    <xf numFmtId="3" fontId="54" fillId="0" borderId="45" xfId="0" applyNumberFormat="1" applyFont="1" applyBorder="1" applyProtection="1"/>
    <xf numFmtId="10" fontId="54" fillId="0" borderId="13" xfId="0" applyNumberFormat="1" applyFont="1" applyBorder="1" applyProtection="1"/>
    <xf numFmtId="0" fontId="54" fillId="0" borderId="14" xfId="0" applyFont="1" applyBorder="1" applyProtection="1"/>
    <xf numFmtId="0" fontId="7" fillId="0" borderId="14" xfId="0" applyFont="1" applyFill="1" applyBorder="1" applyProtection="1"/>
    <xf numFmtId="0" fontId="54" fillId="0" borderId="19" xfId="0" applyFont="1" applyBorder="1" applyProtection="1"/>
    <xf numFmtId="170" fontId="54" fillId="0" borderId="43" xfId="0" applyNumberFormat="1" applyFont="1" applyBorder="1" applyProtection="1"/>
    <xf numFmtId="170" fontId="54" fillId="0" borderId="44" xfId="0" applyNumberFormat="1" applyFont="1" applyBorder="1" applyProtection="1"/>
    <xf numFmtId="170" fontId="54" fillId="0" borderId="47" xfId="0" applyNumberFormat="1" applyFont="1" applyFill="1" applyBorder="1" applyProtection="1"/>
    <xf numFmtId="170" fontId="54" fillId="0" borderId="23" xfId="516" applyNumberFormat="1" applyFont="1" applyBorder="1" applyProtection="1"/>
    <xf numFmtId="170" fontId="54" fillId="0" borderId="24" xfId="516" applyNumberFormat="1" applyFont="1" applyBorder="1" applyProtection="1"/>
    <xf numFmtId="170" fontId="54" fillId="0" borderId="25" xfId="516" applyNumberFormat="1" applyFont="1" applyBorder="1" applyProtection="1"/>
    <xf numFmtId="0" fontId="50" fillId="0" borderId="0" xfId="0" quotePrefix="1" applyFont="1" applyAlignment="1" applyProtection="1">
      <alignment horizontal="left"/>
    </xf>
    <xf numFmtId="0" fontId="46" fillId="0" borderId="0" xfId="0" applyFont="1" applyAlignment="1" applyProtection="1">
      <alignment horizontal="right"/>
    </xf>
    <xf numFmtId="0" fontId="67" fillId="0" borderId="0" xfId="0" applyFont="1" applyFill="1" applyAlignment="1" applyProtection="1">
      <alignment horizontal="right"/>
    </xf>
    <xf numFmtId="0" fontId="50" fillId="0" borderId="0" xfId="0" applyFont="1" applyProtection="1"/>
    <xf numFmtId="0" fontId="46" fillId="0" borderId="0" xfId="0" applyFont="1" applyAlignment="1" applyProtection="1">
      <alignment horizontal="center"/>
    </xf>
    <xf numFmtId="0" fontId="68" fillId="0" borderId="0" xfId="0" quotePrefix="1" applyFont="1" applyAlignment="1" applyProtection="1">
      <alignment horizontal="left"/>
    </xf>
    <xf numFmtId="0" fontId="39" fillId="0" borderId="0" xfId="0" applyFont="1" applyAlignment="1" applyProtection="1">
      <alignment horizontal="left"/>
    </xf>
    <xf numFmtId="0" fontId="51" fillId="27" borderId="0" xfId="198" applyNumberFormat="1" applyFont="1" applyFill="1" applyAlignment="1" applyProtection="1">
      <alignment horizontal="left"/>
    </xf>
    <xf numFmtId="0" fontId="39" fillId="0" borderId="26" xfId="0" quotePrefix="1" applyFont="1" applyBorder="1" applyAlignment="1" applyProtection="1">
      <alignment horizontal="left"/>
    </xf>
    <xf numFmtId="0" fontId="39" fillId="0" borderId="17" xfId="0" applyFont="1" applyBorder="1" applyProtection="1"/>
    <xf numFmtId="0" fontId="7" fillId="0" borderId="17" xfId="0" applyFont="1" applyBorder="1" applyProtection="1"/>
    <xf numFmtId="170" fontId="39" fillId="0" borderId="18" xfId="198" applyNumberFormat="1" applyFont="1" applyBorder="1" applyProtection="1"/>
    <xf numFmtId="0" fontId="14" fillId="0" borderId="0" xfId="198" applyNumberFormat="1" applyFont="1" applyFill="1" applyAlignment="1" applyProtection="1">
      <alignment horizontal="left"/>
    </xf>
    <xf numFmtId="0" fontId="14" fillId="0" borderId="0" xfId="198" applyNumberFormat="1" applyFont="1" applyFill="1" applyBorder="1" applyAlignment="1" applyProtection="1">
      <alignment horizontal="left"/>
    </xf>
    <xf numFmtId="0" fontId="39" fillId="0" borderId="13" xfId="0" quotePrefix="1" applyFont="1" applyBorder="1" applyAlignment="1" applyProtection="1">
      <alignment horizontal="left"/>
    </xf>
    <xf numFmtId="0" fontId="9" fillId="0" borderId="0" xfId="198" applyNumberFormat="1" applyFont="1" applyFill="1" applyBorder="1" applyAlignment="1" applyProtection="1">
      <alignment horizontal="left"/>
    </xf>
    <xf numFmtId="170" fontId="39" fillId="0" borderId="19" xfId="198" applyNumberFormat="1" applyFont="1" applyBorder="1" applyProtection="1"/>
    <xf numFmtId="0" fontId="39" fillId="0" borderId="0" xfId="0" applyFont="1" applyFill="1" applyProtection="1"/>
    <xf numFmtId="0" fontId="52" fillId="0" borderId="0" xfId="0" quotePrefix="1" applyFont="1" applyFill="1" applyAlignment="1" applyProtection="1">
      <alignment horizontal="left"/>
    </xf>
    <xf numFmtId="170" fontId="39" fillId="0" borderId="15" xfId="198" applyNumberFormat="1" applyFont="1" applyBorder="1" applyProtection="1"/>
    <xf numFmtId="170" fontId="7" fillId="0" borderId="6" xfId="198" applyNumberFormat="1" applyFont="1" applyBorder="1" applyProtection="1"/>
    <xf numFmtId="170" fontId="7" fillId="0" borderId="16" xfId="198" applyNumberFormat="1" applyFont="1" applyBorder="1" applyProtection="1"/>
    <xf numFmtId="0" fontId="53" fillId="0" borderId="0" xfId="0" applyFont="1" applyFill="1" applyAlignment="1" applyProtection="1"/>
    <xf numFmtId="0" fontId="55" fillId="0" borderId="0" xfId="0" applyFont="1" applyFill="1" applyAlignment="1" applyProtection="1"/>
    <xf numFmtId="0" fontId="7" fillId="0" borderId="0" xfId="0" applyFont="1" applyFill="1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39" fillId="0" borderId="20" xfId="0" applyFont="1" applyFill="1" applyBorder="1" applyAlignment="1" applyProtection="1">
      <alignment horizontal="center"/>
    </xf>
    <xf numFmtId="0" fontId="61" fillId="28" borderId="21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>
      <alignment horizontal="center"/>
    </xf>
    <xf numFmtId="0" fontId="39" fillId="0" borderId="22" xfId="0" applyFont="1" applyFill="1" applyBorder="1" applyAlignment="1" applyProtection="1">
      <alignment horizontal="center"/>
    </xf>
    <xf numFmtId="0" fontId="39" fillId="0" borderId="0" xfId="0" applyFont="1" applyFill="1" applyBorder="1" applyAlignment="1" applyProtection="1">
      <alignment horizontal="center"/>
    </xf>
    <xf numFmtId="0" fontId="0" fillId="0" borderId="0" xfId="0" applyBorder="1" applyAlignment="1" applyProtection="1"/>
    <xf numFmtId="0" fontId="7" fillId="0" borderId="13" xfId="0" applyFont="1" applyFill="1" applyBorder="1" applyAlignment="1" applyProtection="1"/>
    <xf numFmtId="170" fontId="54" fillId="27" borderId="14" xfId="198" applyNumberFormat="1" applyFont="1" applyFill="1" applyBorder="1" applyAlignment="1" applyProtection="1">
      <alignment horizontal="right"/>
    </xf>
    <xf numFmtId="0" fontId="7" fillId="0" borderId="0" xfId="0" applyFont="1" applyBorder="1" applyAlignment="1" applyProtection="1">
      <alignment horizontal="center"/>
    </xf>
    <xf numFmtId="0" fontId="39" fillId="0" borderId="18" xfId="0" applyFont="1" applyFill="1" applyBorder="1" applyAlignment="1" applyProtection="1">
      <alignment horizontal="center"/>
    </xf>
    <xf numFmtId="0" fontId="7" fillId="0" borderId="13" xfId="0" applyFont="1" applyFill="1" applyBorder="1" applyProtection="1"/>
    <xf numFmtId="0" fontId="54" fillId="27" borderId="14" xfId="0" applyFont="1" applyFill="1" applyBorder="1" applyAlignment="1" applyProtection="1">
      <alignment horizontal="right"/>
    </xf>
    <xf numFmtId="170" fontId="7" fillId="0" borderId="14" xfId="0" applyNumberFormat="1" applyFont="1" applyFill="1" applyBorder="1" applyAlignment="1" applyProtection="1">
      <alignment horizontal="right"/>
    </xf>
    <xf numFmtId="170" fontId="7" fillId="0" borderId="0" xfId="0" applyNumberFormat="1" applyFont="1" applyFill="1" applyBorder="1" applyAlignment="1" applyProtection="1">
      <alignment horizontal="right"/>
    </xf>
    <xf numFmtId="10" fontId="7" fillId="0" borderId="14" xfId="0" applyNumberFormat="1" applyFont="1" applyBorder="1" applyProtection="1"/>
    <xf numFmtId="170" fontId="7" fillId="0" borderId="14" xfId="198" applyNumberFormat="1" applyFont="1" applyBorder="1" applyProtection="1"/>
    <xf numFmtId="0" fontId="39" fillId="0" borderId="23" xfId="0" applyFont="1" applyBorder="1" applyAlignment="1" applyProtection="1">
      <alignment horizontal="center"/>
    </xf>
    <xf numFmtId="170" fontId="39" fillId="0" borderId="23" xfId="198" applyNumberFormat="1" applyFont="1" applyBorder="1" applyAlignment="1" applyProtection="1">
      <alignment horizontal="center"/>
    </xf>
    <xf numFmtId="170" fontId="39" fillId="0" borderId="18" xfId="349" applyNumberFormat="1" applyFont="1" applyFill="1" applyBorder="1" applyAlignment="1" applyProtection="1">
      <alignment horizontal="center" wrapText="1"/>
    </xf>
    <xf numFmtId="170" fontId="39" fillId="0" borderId="18" xfId="349" applyNumberFormat="1" applyFont="1" applyBorder="1" applyAlignment="1" applyProtection="1">
      <alignment horizontal="center" wrapText="1"/>
    </xf>
    <xf numFmtId="0" fontId="39" fillId="0" borderId="23" xfId="0" quotePrefix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/>
    </xf>
    <xf numFmtId="170" fontId="39" fillId="0" borderId="23" xfId="198" quotePrefix="1" applyNumberFormat="1" applyFont="1" applyBorder="1" applyAlignment="1" applyProtection="1">
      <alignment horizontal="center" wrapText="1"/>
    </xf>
    <xf numFmtId="170" fontId="39" fillId="0" borderId="23" xfId="198" applyNumberFormat="1" applyFont="1" applyBorder="1" applyAlignment="1" applyProtection="1">
      <alignment horizontal="center" wrapText="1"/>
    </xf>
    <xf numFmtId="0" fontId="39" fillId="0" borderId="25" xfId="0" applyFont="1" applyBorder="1" applyAlignment="1" applyProtection="1">
      <alignment horizontal="center"/>
    </xf>
    <xf numFmtId="170" fontId="39" fillId="0" borderId="16" xfId="198" applyNumberFormat="1" applyFont="1" applyFill="1" applyBorder="1" applyAlignment="1" applyProtection="1">
      <alignment horizontal="center"/>
    </xf>
    <xf numFmtId="170" fontId="39" fillId="0" borderId="16" xfId="198" applyNumberFormat="1" applyFont="1" applyBorder="1" applyAlignment="1" applyProtection="1">
      <alignment horizontal="center"/>
    </xf>
    <xf numFmtId="0" fontId="39" fillId="0" borderId="25" xfId="0" applyFont="1" applyFill="1" applyBorder="1" applyAlignment="1" applyProtection="1">
      <alignment horizontal="center"/>
    </xf>
    <xf numFmtId="0" fontId="39" fillId="0" borderId="24" xfId="0" applyFont="1" applyFill="1" applyBorder="1" applyAlignment="1" applyProtection="1">
      <alignment horizontal="center"/>
    </xf>
    <xf numFmtId="170" fontId="39" fillId="0" borderId="25" xfId="198" applyNumberFormat="1" applyFont="1" applyBorder="1" applyAlignment="1" applyProtection="1">
      <alignment horizontal="center"/>
    </xf>
    <xf numFmtId="170" fontId="39" fillId="0" borderId="15" xfId="198" applyNumberFormat="1" applyFont="1" applyBorder="1" applyAlignment="1" applyProtection="1">
      <alignment horizontal="center"/>
    </xf>
    <xf numFmtId="0" fontId="7" fillId="0" borderId="24" xfId="0" applyNumberFormat="1" applyFont="1" applyBorder="1" applyAlignment="1" applyProtection="1">
      <alignment horizontal="center"/>
    </xf>
    <xf numFmtId="170" fontId="54" fillId="27" borderId="0" xfId="0" applyNumberFormat="1" applyFont="1" applyFill="1" applyBorder="1" applyProtection="1"/>
    <xf numFmtId="170" fontId="54" fillId="27" borderId="23" xfId="198" applyNumberFormat="1" applyFont="1" applyFill="1" applyBorder="1" applyProtection="1"/>
    <xf numFmtId="170" fontId="54" fillId="27" borderId="14" xfId="198" applyNumberFormat="1" applyFont="1" applyFill="1" applyBorder="1" applyProtection="1"/>
    <xf numFmtId="171" fontId="7" fillId="0" borderId="14" xfId="0" applyNumberFormat="1" applyFont="1" applyBorder="1" applyProtection="1"/>
    <xf numFmtId="171" fontId="54" fillId="0" borderId="23" xfId="0" applyNumberFormat="1" applyFont="1" applyFill="1" applyBorder="1" applyProtection="1"/>
    <xf numFmtId="171" fontId="7" fillId="0" borderId="23" xfId="0" applyNumberFormat="1" applyFont="1" applyBorder="1" applyProtection="1"/>
    <xf numFmtId="171" fontId="7" fillId="0" borderId="24" xfId="0" applyNumberFormat="1" applyFont="1" applyBorder="1" applyProtection="1"/>
    <xf numFmtId="170" fontId="54" fillId="27" borderId="24" xfId="0" applyNumberFormat="1" applyFont="1" applyFill="1" applyBorder="1" applyProtection="1"/>
    <xf numFmtId="170" fontId="54" fillId="27" borderId="24" xfId="198" applyNumberFormat="1" applyFont="1" applyFill="1" applyBorder="1" applyProtection="1"/>
    <xf numFmtId="171" fontId="54" fillId="0" borderId="14" xfId="0" applyNumberFormat="1" applyFont="1" applyFill="1" applyBorder="1" applyProtection="1"/>
    <xf numFmtId="171" fontId="54" fillId="0" borderId="24" xfId="0" applyNumberFormat="1" applyFont="1" applyFill="1" applyBorder="1" applyProtection="1"/>
    <xf numFmtId="171" fontId="7" fillId="0" borderId="24" xfId="0" applyNumberFormat="1" applyFont="1" applyFill="1" applyBorder="1" applyProtection="1"/>
    <xf numFmtId="170" fontId="79" fillId="27" borderId="24" xfId="198" applyNumberFormat="1" applyFont="1" applyFill="1" applyBorder="1" applyProtection="1"/>
    <xf numFmtId="170" fontId="7" fillId="0" borderId="24" xfId="0" applyNumberFormat="1" applyFont="1" applyFill="1" applyBorder="1" applyProtection="1"/>
    <xf numFmtId="170" fontId="1" fillId="0" borderId="24" xfId="198" applyNumberFormat="1" applyBorder="1" applyProtection="1"/>
    <xf numFmtId="170" fontId="7" fillId="0" borderId="24" xfId="0" applyNumberFormat="1" applyFont="1" applyBorder="1" applyProtection="1"/>
    <xf numFmtId="170" fontId="7" fillId="0" borderId="24" xfId="198" applyNumberFormat="1" applyFont="1" applyBorder="1" applyProtection="1"/>
    <xf numFmtId="171" fontId="54" fillId="27" borderId="24" xfId="0" applyNumberFormat="1" applyFont="1" applyFill="1" applyBorder="1" applyProtection="1"/>
    <xf numFmtId="170" fontId="7" fillId="0" borderId="24" xfId="198" applyNumberFormat="1" applyFont="1" applyFill="1" applyBorder="1" applyProtection="1"/>
    <xf numFmtId="0" fontId="7" fillId="0" borderId="25" xfId="0" applyNumberFormat="1" applyFont="1" applyBorder="1" applyAlignment="1" applyProtection="1">
      <alignment horizontal="center"/>
    </xf>
    <xf numFmtId="170" fontId="7" fillId="0" borderId="25" xfId="0" applyNumberFormat="1" applyFont="1" applyBorder="1" applyProtection="1"/>
    <xf numFmtId="170" fontId="1" fillId="0" borderId="25" xfId="198" applyNumberFormat="1" applyBorder="1" applyProtection="1"/>
    <xf numFmtId="170" fontId="7" fillId="0" borderId="25" xfId="198" applyNumberFormat="1" applyFont="1" applyFill="1" applyBorder="1" applyProtection="1"/>
    <xf numFmtId="171" fontId="7" fillId="0" borderId="16" xfId="0" applyNumberFormat="1" applyFont="1" applyBorder="1" applyProtection="1"/>
    <xf numFmtId="171" fontId="54" fillId="27" borderId="25" xfId="0" applyNumberFormat="1" applyFont="1" applyFill="1" applyBorder="1" applyProtection="1"/>
    <xf numFmtId="171" fontId="7" fillId="0" borderId="25" xfId="0" applyNumberFormat="1" applyFont="1" applyBorder="1" applyProtection="1"/>
    <xf numFmtId="0" fontId="53" fillId="0" borderId="0" xfId="0" applyFont="1" applyFill="1" applyProtection="1"/>
    <xf numFmtId="0" fontId="46" fillId="0" borderId="0" xfId="0" applyFont="1" applyFill="1" applyAlignment="1" applyProtection="1">
      <alignment horizontal="right"/>
    </xf>
    <xf numFmtId="0" fontId="69" fillId="0" borderId="0" xfId="0" applyFont="1" applyProtection="1"/>
    <xf numFmtId="0" fontId="7" fillId="0" borderId="0" xfId="0" applyFont="1" applyAlignment="1" applyProtection="1">
      <alignment horizontal="left"/>
    </xf>
    <xf numFmtId="0" fontId="46" fillId="0" borderId="0" xfId="0" quotePrefix="1" applyFont="1" applyAlignment="1" applyProtection="1">
      <alignment horizontal="center"/>
    </xf>
    <xf numFmtId="0" fontId="9" fillId="0" borderId="0" xfId="0" applyFont="1" applyFill="1" applyProtection="1"/>
    <xf numFmtId="0" fontId="39" fillId="0" borderId="30" xfId="0" applyFont="1" applyFill="1" applyBorder="1" applyAlignment="1" applyProtection="1">
      <alignment horizontal="center"/>
    </xf>
    <xf numFmtId="169" fontId="7" fillId="0" borderId="31" xfId="995" applyFont="1" applyBorder="1" applyAlignment="1" applyProtection="1">
      <alignment horizontal="center"/>
    </xf>
    <xf numFmtId="169" fontId="7" fillId="0" borderId="31" xfId="995" quotePrefix="1" applyFont="1" applyBorder="1" applyAlignment="1" applyProtection="1">
      <alignment horizontal="center"/>
    </xf>
    <xf numFmtId="3" fontId="7" fillId="0" borderId="32" xfId="995" applyNumberFormat="1" applyFont="1" applyBorder="1" applyAlignment="1" applyProtection="1">
      <alignment horizontal="center"/>
    </xf>
    <xf numFmtId="0" fontId="55" fillId="0" borderId="23" xfId="0" applyFont="1" applyBorder="1" applyProtection="1"/>
    <xf numFmtId="170" fontId="7" fillId="0" borderId="13" xfId="198" quotePrefix="1" applyNumberFormat="1" applyFont="1" applyBorder="1" applyAlignment="1" applyProtection="1">
      <alignment horizontal="right"/>
    </xf>
    <xf numFmtId="170" fontId="39" fillId="0" borderId="0" xfId="198" applyNumberFormat="1" applyFont="1" applyBorder="1" applyProtection="1"/>
    <xf numFmtId="170" fontId="7" fillId="0" borderId="14" xfId="0" applyNumberFormat="1" applyFont="1" applyBorder="1" applyProtection="1"/>
    <xf numFmtId="0" fontId="57" fillId="0" borderId="28" xfId="198" applyNumberFormat="1" applyFont="1" applyFill="1" applyBorder="1" applyAlignment="1" applyProtection="1">
      <alignment horizontal="left"/>
    </xf>
    <xf numFmtId="170" fontId="7" fillId="0" borderId="29" xfId="198" quotePrefix="1" applyNumberFormat="1" applyFont="1" applyBorder="1" applyAlignment="1" applyProtection="1">
      <alignment horizontal="right"/>
    </xf>
    <xf numFmtId="170" fontId="39" fillId="0" borderId="11" xfId="198" applyNumberFormat="1" applyFont="1" applyBorder="1" applyProtection="1"/>
    <xf numFmtId="170" fontId="7" fillId="0" borderId="19" xfId="0" applyNumberFormat="1" applyFont="1" applyBorder="1" applyProtection="1"/>
    <xf numFmtId="0" fontId="52" fillId="0" borderId="0" xfId="0" applyFont="1" applyAlignment="1" applyProtection="1">
      <alignment horizontal="left"/>
    </xf>
    <xf numFmtId="170" fontId="55" fillId="0" borderId="25" xfId="198" applyNumberFormat="1" applyFont="1" applyBorder="1" applyProtection="1"/>
    <xf numFmtId="0" fontId="7" fillId="0" borderId="15" xfId="0" quotePrefix="1" applyFont="1" applyBorder="1" applyAlignment="1" applyProtection="1">
      <alignment horizontal="right"/>
    </xf>
    <xf numFmtId="170" fontId="39" fillId="0" borderId="6" xfId="198" applyNumberFormat="1" applyFont="1" applyFill="1" applyBorder="1" applyAlignment="1" applyProtection="1">
      <alignment horizontal="left"/>
    </xf>
    <xf numFmtId="170" fontId="39" fillId="0" borderId="16" xfId="198" applyNumberFormat="1" applyFont="1" applyFill="1" applyBorder="1" applyAlignment="1" applyProtection="1">
      <alignment horizontal="left"/>
    </xf>
    <xf numFmtId="170" fontId="55" fillId="0" borderId="0" xfId="0" applyNumberFormat="1" applyFont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</xf>
    <xf numFmtId="0" fontId="39" fillId="0" borderId="21" xfId="0" applyFont="1" applyFill="1" applyBorder="1" applyAlignment="1" applyProtection="1"/>
    <xf numFmtId="0" fontId="0" fillId="0" borderId="21" xfId="0" applyBorder="1" applyAlignment="1" applyProtection="1"/>
    <xf numFmtId="0" fontId="0" fillId="0" borderId="22" xfId="0" applyBorder="1" applyAlignment="1" applyProtection="1"/>
    <xf numFmtId="0" fontId="0" fillId="0" borderId="0" xfId="0" applyFill="1" applyBorder="1" applyAlignment="1" applyProtection="1"/>
    <xf numFmtId="0" fontId="7" fillId="0" borderId="14" xfId="0" applyFont="1" applyFill="1" applyBorder="1" applyAlignment="1" applyProtection="1">
      <alignment horizontal="right"/>
    </xf>
    <xf numFmtId="170" fontId="7" fillId="0" borderId="14" xfId="198" applyNumberFormat="1" applyFont="1" applyFill="1" applyBorder="1" applyAlignment="1" applyProtection="1">
      <alignment horizontal="right"/>
    </xf>
    <xf numFmtId="0" fontId="7" fillId="0" borderId="16" xfId="0" applyFont="1" applyFill="1" applyBorder="1" applyAlignment="1" applyProtection="1">
      <alignment horizontal="right"/>
    </xf>
    <xf numFmtId="0" fontId="7" fillId="0" borderId="15" xfId="0" applyFont="1" applyBorder="1" applyProtection="1"/>
    <xf numFmtId="0" fontId="7" fillId="0" borderId="6" xfId="0" applyFont="1" applyBorder="1" applyAlignment="1" applyProtection="1">
      <alignment horizontal="center"/>
    </xf>
    <xf numFmtId="0" fontId="0" fillId="0" borderId="6" xfId="0" applyBorder="1" applyProtection="1"/>
    <xf numFmtId="0" fontId="39" fillId="0" borderId="23" xfId="0" applyFont="1" applyBorder="1" applyAlignment="1" applyProtection="1">
      <alignment horizontal="center" wrapText="1"/>
    </xf>
    <xf numFmtId="170" fontId="39" fillId="0" borderId="0" xfId="198" applyNumberFormat="1" applyFont="1" applyBorder="1" applyAlignment="1" applyProtection="1">
      <alignment horizontal="center" wrapText="1"/>
    </xf>
    <xf numFmtId="0" fontId="39" fillId="0" borderId="24" xfId="0" applyFont="1" applyBorder="1" applyAlignment="1" applyProtection="1">
      <alignment horizontal="center" wrapText="1"/>
    </xf>
    <xf numFmtId="0" fontId="39" fillId="0" borderId="6" xfId="0" applyFont="1" applyBorder="1" applyAlignment="1" applyProtection="1">
      <alignment horizontal="center"/>
    </xf>
    <xf numFmtId="170" fontId="39" fillId="0" borderId="25" xfId="198" applyNumberFormat="1" applyFont="1" applyFill="1" applyBorder="1" applyAlignment="1" applyProtection="1">
      <alignment horizontal="center"/>
    </xf>
    <xf numFmtId="170" fontId="54" fillId="27" borderId="23" xfId="0" applyNumberFormat="1" applyFont="1" applyFill="1" applyBorder="1" applyProtection="1"/>
    <xf numFmtId="168" fontId="54" fillId="27" borderId="24" xfId="198" applyNumberFormat="1" applyFont="1" applyFill="1" applyBorder="1" applyProtection="1"/>
    <xf numFmtId="168" fontId="54" fillId="27" borderId="14" xfId="198" applyNumberFormat="1" applyFont="1" applyFill="1" applyBorder="1" applyProtection="1"/>
    <xf numFmtId="170" fontId="7" fillId="0" borderId="14" xfId="198" applyNumberFormat="1" applyFont="1" applyFill="1" applyBorder="1" applyProtection="1"/>
    <xf numFmtId="170" fontId="7" fillId="0" borderId="6" xfId="0" applyNumberFormat="1" applyFont="1" applyBorder="1" applyProtection="1"/>
    <xf numFmtId="170" fontId="7" fillId="0" borderId="16" xfId="198" applyNumberFormat="1" applyFont="1" applyFill="1" applyBorder="1" applyProtection="1"/>
    <xf numFmtId="0" fontId="55" fillId="0" borderId="0" xfId="0" applyFont="1" applyProtection="1"/>
    <xf numFmtId="0" fontId="58" fillId="0" borderId="0" xfId="0" applyFont="1" applyFill="1" applyProtection="1"/>
    <xf numFmtId="0" fontId="68" fillId="0" borderId="0" xfId="0" applyFont="1" applyAlignment="1" applyProtection="1">
      <alignment horizontal="center"/>
    </xf>
    <xf numFmtId="44" fontId="7" fillId="0" borderId="0" xfId="622" applyFont="1" applyProtection="1"/>
    <xf numFmtId="170" fontId="7" fillId="0" borderId="0" xfId="0" applyNumberFormat="1" applyFont="1" applyFill="1" applyAlignment="1" applyProtection="1">
      <alignment wrapText="1"/>
    </xf>
    <xf numFmtId="44" fontId="7" fillId="0" borderId="0" xfId="0" applyNumberFormat="1" applyFont="1" applyFill="1" applyBorder="1" applyAlignment="1" applyProtection="1">
      <alignment wrapText="1"/>
    </xf>
    <xf numFmtId="0" fontId="50" fillId="27" borderId="0" xfId="0" quotePrefix="1" applyFont="1" applyFill="1" applyAlignment="1" applyProtection="1">
      <alignment horizontal="left"/>
    </xf>
    <xf numFmtId="0" fontId="7" fillId="27" borderId="0" xfId="0" applyFont="1" applyFill="1" applyProtection="1"/>
    <xf numFmtId="0" fontId="7" fillId="27" borderId="0" xfId="0" applyFont="1" applyFill="1" applyBorder="1" applyProtection="1"/>
    <xf numFmtId="0" fontId="7" fillId="27" borderId="0" xfId="0" applyFont="1" applyFill="1" applyAlignment="1" applyProtection="1">
      <alignment horizontal="center"/>
    </xf>
    <xf numFmtId="10" fontId="7" fillId="27" borderId="0" xfId="0" applyNumberFormat="1" applyFont="1" applyFill="1" applyProtection="1"/>
    <xf numFmtId="170" fontId="7" fillId="27" borderId="0" xfId="198" applyNumberFormat="1" applyFont="1" applyFill="1" applyProtection="1"/>
    <xf numFmtId="0" fontId="0" fillId="27" borderId="0" xfId="0" applyFill="1" applyProtection="1"/>
    <xf numFmtId="0" fontId="0" fillId="27" borderId="0" xfId="0" applyFill="1" applyBorder="1" applyProtection="1"/>
    <xf numFmtId="0" fontId="72" fillId="0" borderId="0" xfId="0" applyFont="1" applyFill="1" applyProtection="1"/>
    <xf numFmtId="170" fontId="53" fillId="0" borderId="0" xfId="198" applyNumberFormat="1" applyFont="1" applyFill="1" applyProtection="1"/>
    <xf numFmtId="171" fontId="87" fillId="0" borderId="14" xfId="0" applyNumberFormat="1" applyFont="1" applyBorder="1" applyProtection="1"/>
    <xf numFmtId="171" fontId="7" fillId="0" borderId="23" xfId="0" applyNumberFormat="1" applyFont="1" applyFill="1" applyBorder="1" applyProtection="1"/>
    <xf numFmtId="171" fontId="87" fillId="0" borderId="14" xfId="0" applyNumberFormat="1" applyFont="1" applyFill="1" applyBorder="1" applyProtection="1"/>
    <xf numFmtId="0" fontId="55" fillId="0" borderId="0" xfId="0" quotePrefix="1" applyFont="1" applyFill="1" applyAlignment="1" applyProtection="1">
      <alignment horizontal="left"/>
    </xf>
    <xf numFmtId="170" fontId="39" fillId="27" borderId="16" xfId="198" applyNumberFormat="1" applyFont="1" applyFill="1" applyBorder="1" applyAlignment="1" applyProtection="1">
      <alignment horizontal="center"/>
    </xf>
    <xf numFmtId="170" fontId="7" fillId="0" borderId="23" xfId="198" applyNumberFormat="1" applyFont="1" applyBorder="1" applyProtection="1"/>
    <xf numFmtId="170" fontId="39" fillId="27" borderId="25" xfId="198" applyNumberFormat="1" applyFont="1" applyFill="1" applyBorder="1" applyAlignment="1" applyProtection="1">
      <alignment horizontal="center"/>
    </xf>
    <xf numFmtId="170" fontId="7" fillId="0" borderId="23" xfId="0" applyNumberFormat="1" applyFont="1" applyBorder="1" applyProtection="1"/>
    <xf numFmtId="168" fontId="7" fillId="0" borderId="24" xfId="198" applyNumberFormat="1" applyFont="1" applyFill="1" applyBorder="1" applyProtection="1"/>
    <xf numFmtId="168" fontId="7" fillId="0" borderId="14" xfId="198" applyNumberFormat="1" applyFont="1" applyFill="1" applyBorder="1" applyProtection="1"/>
    <xf numFmtId="170" fontId="64" fillId="27" borderId="24" xfId="198" applyNumberFormat="1" applyFont="1" applyFill="1" applyBorder="1" applyProtection="1"/>
    <xf numFmtId="170" fontId="64" fillId="27" borderId="24" xfId="0" applyNumberFormat="1" applyFont="1" applyFill="1" applyBorder="1" applyProtection="1"/>
    <xf numFmtId="170" fontId="87" fillId="27" borderId="24" xfId="0" applyNumberFormat="1" applyFont="1" applyFill="1" applyBorder="1" applyProtection="1"/>
    <xf numFmtId="170" fontId="87" fillId="27" borderId="24" xfId="198" applyNumberFormat="1" applyFont="1" applyFill="1" applyBorder="1" applyProtection="1"/>
    <xf numFmtId="170" fontId="87" fillId="27" borderId="14" xfId="198" applyNumberFormat="1" applyFont="1" applyFill="1" applyBorder="1" applyProtection="1"/>
    <xf numFmtId="0" fontId="52" fillId="0" borderId="0" xfId="0" applyFont="1" applyFill="1" applyAlignment="1" applyProtection="1">
      <alignment horizontal="left"/>
    </xf>
    <xf numFmtId="0" fontId="7" fillId="0" borderId="24" xfId="0" applyNumberFormat="1" applyFont="1" applyFill="1" applyBorder="1" applyAlignment="1" applyProtection="1">
      <alignment horizontal="center"/>
    </xf>
    <xf numFmtId="171" fontId="88" fillId="0" borderId="24" xfId="0" applyNumberFormat="1" applyFont="1" applyBorder="1" applyProtection="1"/>
    <xf numFmtId="0" fontId="55" fillId="0" borderId="0" xfId="0" quotePrefix="1" applyFont="1" applyAlignment="1" applyProtection="1">
      <alignment horizontal="left"/>
    </xf>
    <xf numFmtId="170" fontId="53" fillId="0" borderId="0" xfId="198" quotePrefix="1" applyNumberFormat="1" applyFont="1" applyFill="1" applyAlignment="1" applyProtection="1">
      <alignment horizontal="left"/>
    </xf>
    <xf numFmtId="171" fontId="88" fillId="0" borderId="14" xfId="0" applyNumberFormat="1" applyFont="1" applyBorder="1" applyProtection="1"/>
    <xf numFmtId="171" fontId="88" fillId="0" borderId="14" xfId="0" applyNumberFormat="1" applyFont="1" applyFill="1" applyBorder="1" applyProtection="1"/>
    <xf numFmtId="0" fontId="55" fillId="0" borderId="0" xfId="0" applyFont="1" applyAlignment="1" applyProtection="1">
      <alignment horizontal="left"/>
    </xf>
    <xf numFmtId="171" fontId="54" fillId="27" borderId="23" xfId="0" applyNumberFormat="1" applyFont="1" applyFill="1" applyBorder="1" applyProtection="1"/>
    <xf numFmtId="0" fontId="52" fillId="0" borderId="0" xfId="0" quotePrefix="1" applyFont="1" applyAlignment="1" applyProtection="1">
      <alignment horizontal="left"/>
    </xf>
    <xf numFmtId="0" fontId="39" fillId="28" borderId="21" xfId="0" applyFont="1" applyFill="1" applyBorder="1" applyAlignment="1" applyProtection="1">
      <alignment horizontal="center"/>
    </xf>
    <xf numFmtId="170" fontId="54" fillId="27" borderId="13" xfId="0" applyNumberFormat="1" applyFont="1" applyFill="1" applyBorder="1" applyProtection="1"/>
    <xf numFmtId="0" fontId="68" fillId="0" borderId="0" xfId="0" applyFont="1" applyProtection="1"/>
    <xf numFmtId="0" fontId="52" fillId="27" borderId="0" xfId="0" applyFont="1" applyFill="1" applyAlignment="1" applyProtection="1">
      <alignment horizontal="left"/>
    </xf>
    <xf numFmtId="0" fontId="55" fillId="0" borderId="0" xfId="0" applyFont="1" applyFill="1" applyAlignment="1" applyProtection="1">
      <alignment horizontal="left"/>
    </xf>
    <xf numFmtId="170" fontId="87" fillId="27" borderId="0" xfId="0" applyNumberFormat="1" applyFont="1" applyFill="1" applyBorder="1" applyProtection="1"/>
    <xf numFmtId="170" fontId="87" fillId="27" borderId="23" xfId="198" applyNumberFormat="1" applyFont="1" applyFill="1" applyBorder="1" applyProtection="1"/>
    <xf numFmtId="170" fontId="88" fillId="27" borderId="14" xfId="198" applyNumberFormat="1" applyFont="1" applyFill="1" applyBorder="1" applyAlignment="1" applyProtection="1">
      <alignment horizontal="right"/>
    </xf>
    <xf numFmtId="170" fontId="88" fillId="27" borderId="0" xfId="0" applyNumberFormat="1" applyFont="1" applyFill="1" applyBorder="1" applyProtection="1"/>
    <xf numFmtId="170" fontId="88" fillId="27" borderId="24" xfId="198" applyNumberFormat="1" applyFont="1" applyFill="1" applyBorder="1" applyProtection="1"/>
    <xf numFmtId="170" fontId="88" fillId="27" borderId="24" xfId="0" applyNumberFormat="1" applyFont="1" applyFill="1" applyBorder="1" applyProtection="1"/>
    <xf numFmtId="170" fontId="88" fillId="27" borderId="23" xfId="0" applyNumberFormat="1" applyFont="1" applyFill="1" applyBorder="1" applyProtection="1"/>
    <xf numFmtId="168" fontId="88" fillId="27" borderId="24" xfId="198" applyNumberFormat="1" applyFont="1" applyFill="1" applyBorder="1" applyProtection="1"/>
    <xf numFmtId="168" fontId="88" fillId="27" borderId="14" xfId="198" applyNumberFormat="1" applyFont="1" applyFill="1" applyBorder="1" applyProtection="1"/>
    <xf numFmtId="171" fontId="46" fillId="0" borderId="0" xfId="0" quotePrefix="1" applyNumberFormat="1" applyFont="1" applyBorder="1" applyAlignment="1" applyProtection="1">
      <alignment horizontal="center"/>
    </xf>
    <xf numFmtId="170" fontId="7" fillId="0" borderId="14" xfId="198" quotePrefix="1" applyNumberFormat="1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170" fontId="88" fillId="27" borderId="23" xfId="198" applyNumberFormat="1" applyFont="1" applyFill="1" applyBorder="1" applyProtection="1"/>
    <xf numFmtId="170" fontId="88" fillId="27" borderId="14" xfId="198" applyNumberFormat="1" applyFont="1" applyFill="1" applyBorder="1" applyProtection="1"/>
    <xf numFmtId="171" fontId="88" fillId="27" borderId="24" xfId="0" applyNumberFormat="1" applyFont="1" applyFill="1" applyBorder="1" applyProtection="1"/>
    <xf numFmtId="171" fontId="54" fillId="0" borderId="26" xfId="0" applyNumberFormat="1" applyFont="1" applyFill="1" applyBorder="1" applyProtection="1"/>
    <xf numFmtId="171" fontId="7" fillId="0" borderId="17" xfId="0" applyNumberFormat="1" applyFont="1" applyFill="1" applyBorder="1" applyProtection="1"/>
    <xf numFmtId="171" fontId="54" fillId="0" borderId="17" xfId="0" applyNumberFormat="1" applyFont="1" applyFill="1" applyBorder="1" applyProtection="1"/>
    <xf numFmtId="171" fontId="7" fillId="0" borderId="18" xfId="0" applyNumberFormat="1" applyFont="1" applyBorder="1" applyProtection="1"/>
    <xf numFmtId="0" fontId="7" fillId="0" borderId="0" xfId="0" applyFont="1" applyFill="1" applyAlignment="1" applyProtection="1">
      <alignment horizontal="left"/>
    </xf>
    <xf numFmtId="170" fontId="7" fillId="0" borderId="0" xfId="0" applyNumberFormat="1" applyFont="1" applyAlignment="1" applyProtection="1">
      <alignment horizontal="left"/>
    </xf>
    <xf numFmtId="170" fontId="7" fillId="0" borderId="23" xfId="0" applyNumberFormat="1" applyFont="1" applyFill="1" applyBorder="1" applyProtection="1"/>
    <xf numFmtId="170" fontId="1" fillId="0" borderId="24" xfId="198" applyNumberFormat="1" applyFill="1" applyBorder="1" applyProtection="1"/>
    <xf numFmtId="170" fontId="7" fillId="27" borderId="0" xfId="0" applyNumberFormat="1" applyFont="1" applyFill="1" applyBorder="1" applyProtection="1"/>
    <xf numFmtId="170" fontId="7" fillId="27" borderId="24" xfId="198" applyNumberFormat="1" applyFont="1" applyFill="1" applyBorder="1" applyProtection="1"/>
    <xf numFmtId="170" fontId="7" fillId="27" borderId="24" xfId="0" applyNumberFormat="1" applyFont="1" applyFill="1" applyBorder="1" applyProtection="1"/>
    <xf numFmtId="170" fontId="7" fillId="27" borderId="23" xfId="0" applyNumberFormat="1" applyFont="1" applyFill="1" applyBorder="1" applyProtection="1"/>
    <xf numFmtId="168" fontId="7" fillId="27" borderId="24" xfId="198" applyNumberFormat="1" applyFont="1" applyFill="1" applyBorder="1" applyProtection="1"/>
    <xf numFmtId="168" fontId="7" fillId="27" borderId="14" xfId="198" applyNumberFormat="1" applyFont="1" applyFill="1" applyBorder="1" applyProtection="1"/>
    <xf numFmtId="171" fontId="54" fillId="60" borderId="24" xfId="0" applyNumberFormat="1" applyFont="1" applyFill="1" applyBorder="1" applyProtection="1"/>
    <xf numFmtId="170" fontId="1" fillId="27" borderId="24" xfId="198" applyNumberFormat="1" applyFill="1" applyBorder="1" applyProtection="1"/>
    <xf numFmtId="170" fontId="7" fillId="27" borderId="14" xfId="198" applyNumberFormat="1" applyFont="1" applyFill="1" applyBorder="1" applyProtection="1"/>
    <xf numFmtId="170" fontId="7" fillId="27" borderId="23" xfId="285" applyNumberFormat="1" applyFont="1" applyFill="1" applyBorder="1" applyProtection="1"/>
    <xf numFmtId="170" fontId="7" fillId="27" borderId="23" xfId="198" applyNumberFormat="1" applyFont="1" applyFill="1" applyBorder="1" applyProtection="1"/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180" fontId="7" fillId="0" borderId="14" xfId="198" applyNumberFormat="1" applyFont="1" applyFill="1" applyBorder="1" applyAlignment="1" applyProtection="1">
      <alignment horizontal="right"/>
    </xf>
    <xf numFmtId="170" fontId="126" fillId="0" borderId="0" xfId="198" applyNumberFormat="1" applyFont="1" applyFill="1" applyAlignment="1" applyProtection="1">
      <alignment vertical="center"/>
    </xf>
    <xf numFmtId="0" fontId="1" fillId="0" borderId="21" xfId="0" applyFont="1" applyFill="1" applyBorder="1" applyAlignment="1" applyProtection="1">
      <alignment horizontal="left"/>
    </xf>
    <xf numFmtId="10" fontId="54" fillId="0" borderId="43" xfId="1011" applyNumberFormat="1" applyFont="1" applyFill="1" applyBorder="1" applyProtection="1"/>
    <xf numFmtId="0" fontId="7" fillId="28" borderId="0" xfId="868" quotePrefix="1" applyFill="1" applyAlignment="1">
      <alignment horizontal="center" vertical="center"/>
    </xf>
    <xf numFmtId="0" fontId="7" fillId="61" borderId="0" xfId="868" quotePrefix="1" applyFill="1" applyAlignment="1">
      <alignment horizontal="center" vertical="center"/>
    </xf>
    <xf numFmtId="0" fontId="1" fillId="28" borderId="0" xfId="868" quotePrefix="1" applyFont="1" applyFill="1" applyAlignment="1">
      <alignment horizontal="center" vertical="center"/>
    </xf>
    <xf numFmtId="0" fontId="1" fillId="61" borderId="0" xfId="868" quotePrefix="1" applyFont="1" applyFill="1" applyAlignment="1">
      <alignment horizontal="center" vertical="center"/>
    </xf>
    <xf numFmtId="0" fontId="65" fillId="62" borderId="0" xfId="0" quotePrefix="1" applyFont="1" applyFill="1" applyBorder="1" applyAlignment="1" applyProtection="1">
      <alignment horizontal="center" wrapText="1"/>
    </xf>
    <xf numFmtId="0" fontId="39" fillId="0" borderId="11" xfId="0" applyFont="1" applyBorder="1" applyAlignment="1" applyProtection="1">
      <alignment horizontal="center"/>
    </xf>
    <xf numFmtId="0" fontId="65" fillId="0" borderId="0" xfId="0" applyFont="1" applyFill="1" applyBorder="1" applyAlignment="1" applyProtection="1">
      <alignment horizontal="center" wrapText="1"/>
    </xf>
    <xf numFmtId="169" fontId="7" fillId="0" borderId="26" xfId="995" applyFont="1" applyBorder="1" applyAlignment="1" applyProtection="1">
      <alignment wrapText="1"/>
    </xf>
    <xf numFmtId="0" fontId="7" fillId="0" borderId="17" xfId="0" applyFont="1" applyBorder="1" applyAlignment="1" applyProtection="1">
      <alignment wrapText="1"/>
    </xf>
    <xf numFmtId="0" fontId="7" fillId="0" borderId="18" xfId="0" applyFont="1" applyBorder="1" applyAlignment="1" applyProtection="1">
      <alignment wrapText="1"/>
    </xf>
    <xf numFmtId="0" fontId="7" fillId="0" borderId="13" xfId="0" applyFont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0" fontId="7" fillId="0" borderId="14" xfId="0" applyFont="1" applyBorder="1" applyAlignment="1" applyProtection="1">
      <alignment wrapText="1"/>
    </xf>
    <xf numFmtId="0" fontId="6" fillId="0" borderId="0" xfId="0" applyFont="1" applyFill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49" fontId="46" fillId="0" borderId="0" xfId="0" applyNumberFormat="1" applyFont="1" applyAlignment="1" applyProtection="1">
      <alignment horizontal="center"/>
    </xf>
    <xf numFmtId="0" fontId="46" fillId="0" borderId="0" xfId="0" applyFont="1" applyAlignment="1" applyProtection="1">
      <alignment horizontal="center"/>
    </xf>
    <xf numFmtId="0" fontId="46" fillId="0" borderId="0" xfId="896" applyFont="1" applyBorder="1" applyAlignment="1" applyProtection="1">
      <alignment horizontal="center"/>
    </xf>
    <xf numFmtId="0" fontId="6" fillId="0" borderId="0" xfId="896" quotePrefix="1" applyFont="1" applyBorder="1" applyAlignment="1" applyProtection="1">
      <alignment horizontal="center"/>
    </xf>
    <xf numFmtId="3" fontId="71" fillId="0" borderId="0" xfId="0" quotePrefix="1" applyNumberFormat="1" applyFont="1" applyAlignment="1" applyProtection="1">
      <alignment horizontal="center"/>
    </xf>
    <xf numFmtId="3" fontId="71" fillId="0" borderId="0" xfId="0" applyNumberFormat="1" applyFont="1" applyAlignment="1" applyProtection="1">
      <alignment horizontal="center"/>
    </xf>
    <xf numFmtId="0" fontId="46" fillId="0" borderId="0" xfId="0" applyNumberFormat="1" applyFont="1" applyAlignment="1" applyProtection="1">
      <alignment horizontal="center"/>
    </xf>
    <xf numFmtId="49" fontId="6" fillId="0" borderId="0" xfId="0" applyNumberFormat="1" applyFont="1" applyAlignment="1" applyProtection="1">
      <alignment horizontal="center"/>
    </xf>
    <xf numFmtId="0" fontId="6" fillId="0" borderId="0" xfId="0" applyNumberFormat="1" applyFont="1" applyAlignment="1" applyProtection="1">
      <alignment horizontal="center"/>
    </xf>
  </cellXfs>
  <cellStyles count="1261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3" xfId="4" xr:uid="{00000000-0005-0000-0000-000003000000}"/>
    <cellStyle name="20% - Accent1 2 4" xfId="5" xr:uid="{00000000-0005-0000-0000-000004000000}"/>
    <cellStyle name="20% - Accent1 2 5" xfId="6" xr:uid="{00000000-0005-0000-0000-000005000000}"/>
    <cellStyle name="20% - Accent2" xfId="7" builtinId="34" customBuiltin="1"/>
    <cellStyle name="20% - Accent2 2" xfId="8" xr:uid="{00000000-0005-0000-0000-000007000000}"/>
    <cellStyle name="20% - Accent2 2 2" xfId="9" xr:uid="{00000000-0005-0000-0000-000008000000}"/>
    <cellStyle name="20% - Accent2 2 3" xfId="10" xr:uid="{00000000-0005-0000-0000-000009000000}"/>
    <cellStyle name="20% - Accent2 2 4" xfId="11" xr:uid="{00000000-0005-0000-0000-00000A000000}"/>
    <cellStyle name="20% - Accent2 2 5" xfId="12" xr:uid="{00000000-0005-0000-0000-00000B000000}"/>
    <cellStyle name="20% - Accent3" xfId="13" builtinId="38" customBuiltin="1"/>
    <cellStyle name="20% - Accent3 2" xfId="14" xr:uid="{00000000-0005-0000-0000-00000D000000}"/>
    <cellStyle name="20% - Accent3 2 2" xfId="15" xr:uid="{00000000-0005-0000-0000-00000E000000}"/>
    <cellStyle name="20% - Accent3 2 3" xfId="16" xr:uid="{00000000-0005-0000-0000-00000F000000}"/>
    <cellStyle name="20% - Accent3 2 4" xfId="17" xr:uid="{00000000-0005-0000-0000-000010000000}"/>
    <cellStyle name="20% - Accent3 2 5" xfId="18" xr:uid="{00000000-0005-0000-0000-000011000000}"/>
    <cellStyle name="20% - Accent4" xfId="19" builtinId="42" customBuiltin="1"/>
    <cellStyle name="20% - Accent4 2" xfId="20" xr:uid="{00000000-0005-0000-0000-000013000000}"/>
    <cellStyle name="20% - Accent4 2 2" xfId="21" xr:uid="{00000000-0005-0000-0000-000014000000}"/>
    <cellStyle name="20% - Accent4 2 3" xfId="22" xr:uid="{00000000-0005-0000-0000-000015000000}"/>
    <cellStyle name="20% - Accent4 2 4" xfId="23" xr:uid="{00000000-0005-0000-0000-000016000000}"/>
    <cellStyle name="20% - Accent4 2 5" xfId="24" xr:uid="{00000000-0005-0000-0000-000017000000}"/>
    <cellStyle name="20% - Accent5" xfId="25" builtinId="46" customBuiltin="1"/>
    <cellStyle name="20% - Accent5 2" xfId="26" xr:uid="{00000000-0005-0000-0000-000019000000}"/>
    <cellStyle name="20% - Accent5 2 2" xfId="27" xr:uid="{00000000-0005-0000-0000-00001A000000}"/>
    <cellStyle name="20% - Accent5 2 3" xfId="28" xr:uid="{00000000-0005-0000-0000-00001B000000}"/>
    <cellStyle name="20% - Accent5 2 4" xfId="29" xr:uid="{00000000-0005-0000-0000-00001C000000}"/>
    <cellStyle name="20% - Accent5 2 5" xfId="30" xr:uid="{00000000-0005-0000-0000-00001D000000}"/>
    <cellStyle name="20% - Accent6" xfId="31" builtinId="50" customBuiltin="1"/>
    <cellStyle name="20% - Accent6 2" xfId="32" xr:uid="{00000000-0005-0000-0000-00001F000000}"/>
    <cellStyle name="20% - Accent6 2 2" xfId="33" xr:uid="{00000000-0005-0000-0000-000020000000}"/>
    <cellStyle name="20% - Accent6 2 3" xfId="34" xr:uid="{00000000-0005-0000-0000-000021000000}"/>
    <cellStyle name="20% - Accent6 2 4" xfId="35" xr:uid="{00000000-0005-0000-0000-000022000000}"/>
    <cellStyle name="20% - Accent6 2 5" xfId="36" xr:uid="{00000000-0005-0000-0000-000023000000}"/>
    <cellStyle name="40% - Accent1" xfId="37" builtinId="31" customBuiltin="1"/>
    <cellStyle name="40% - Accent1 2" xfId="38" xr:uid="{00000000-0005-0000-0000-000025000000}"/>
    <cellStyle name="40% - Accent1 2 2" xfId="39" xr:uid="{00000000-0005-0000-0000-000026000000}"/>
    <cellStyle name="40% - Accent1 2 3" xfId="40" xr:uid="{00000000-0005-0000-0000-000027000000}"/>
    <cellStyle name="40% - Accent1 2 4" xfId="41" xr:uid="{00000000-0005-0000-0000-000028000000}"/>
    <cellStyle name="40% - Accent1 2 5" xfId="42" xr:uid="{00000000-0005-0000-0000-000029000000}"/>
    <cellStyle name="40% - Accent2" xfId="43" builtinId="35" customBuiltin="1"/>
    <cellStyle name="40% - Accent2 2" xfId="44" xr:uid="{00000000-0005-0000-0000-00002B000000}"/>
    <cellStyle name="40% - Accent2 2 2" xfId="45" xr:uid="{00000000-0005-0000-0000-00002C000000}"/>
    <cellStyle name="40% - Accent2 2 3" xfId="46" xr:uid="{00000000-0005-0000-0000-00002D000000}"/>
    <cellStyle name="40% - Accent2 2 4" xfId="47" xr:uid="{00000000-0005-0000-0000-00002E000000}"/>
    <cellStyle name="40% - Accent2 2 5" xfId="48" xr:uid="{00000000-0005-0000-0000-00002F000000}"/>
    <cellStyle name="40% - Accent3" xfId="49" builtinId="39" customBuiltin="1"/>
    <cellStyle name="40% - Accent3 2" xfId="50" xr:uid="{00000000-0005-0000-0000-000031000000}"/>
    <cellStyle name="40% - Accent3 2 2" xfId="51" xr:uid="{00000000-0005-0000-0000-000032000000}"/>
    <cellStyle name="40% - Accent3 2 3" xfId="52" xr:uid="{00000000-0005-0000-0000-000033000000}"/>
    <cellStyle name="40% - Accent3 2 4" xfId="53" xr:uid="{00000000-0005-0000-0000-000034000000}"/>
    <cellStyle name="40% - Accent3 2 5" xfId="54" xr:uid="{00000000-0005-0000-0000-000035000000}"/>
    <cellStyle name="40% - Accent4" xfId="55" builtinId="43" customBuiltin="1"/>
    <cellStyle name="40% - Accent4 2" xfId="56" xr:uid="{00000000-0005-0000-0000-000037000000}"/>
    <cellStyle name="40% - Accent4 2 2" xfId="57" xr:uid="{00000000-0005-0000-0000-000038000000}"/>
    <cellStyle name="40% - Accent4 2 3" xfId="58" xr:uid="{00000000-0005-0000-0000-000039000000}"/>
    <cellStyle name="40% - Accent4 2 4" xfId="59" xr:uid="{00000000-0005-0000-0000-00003A000000}"/>
    <cellStyle name="40% - Accent4 2 5" xfId="60" xr:uid="{00000000-0005-0000-0000-00003B000000}"/>
    <cellStyle name="40% - Accent5" xfId="61" builtinId="47" customBuiltin="1"/>
    <cellStyle name="40% - Accent5 2" xfId="62" xr:uid="{00000000-0005-0000-0000-00003D000000}"/>
    <cellStyle name="40% - Accent5 2 2" xfId="63" xr:uid="{00000000-0005-0000-0000-00003E000000}"/>
    <cellStyle name="40% - Accent5 2 3" xfId="64" xr:uid="{00000000-0005-0000-0000-00003F000000}"/>
    <cellStyle name="40% - Accent5 2 4" xfId="65" xr:uid="{00000000-0005-0000-0000-000040000000}"/>
    <cellStyle name="40% - Accent5 2 5" xfId="66" xr:uid="{00000000-0005-0000-0000-000041000000}"/>
    <cellStyle name="40% - Accent6" xfId="67" builtinId="51" customBuiltin="1"/>
    <cellStyle name="40% - Accent6 2" xfId="68" xr:uid="{00000000-0005-0000-0000-000043000000}"/>
    <cellStyle name="40% - Accent6 2 2" xfId="69" xr:uid="{00000000-0005-0000-0000-000044000000}"/>
    <cellStyle name="40% - Accent6 2 3" xfId="70" xr:uid="{00000000-0005-0000-0000-000045000000}"/>
    <cellStyle name="40% - Accent6 2 4" xfId="71" xr:uid="{00000000-0005-0000-0000-000046000000}"/>
    <cellStyle name="40% - Accent6 2 5" xfId="72" xr:uid="{00000000-0005-0000-0000-000047000000}"/>
    <cellStyle name="60% - Accent1" xfId="73" builtinId="32" customBuiltin="1"/>
    <cellStyle name="60% - Accent1 2" xfId="74" xr:uid="{00000000-0005-0000-0000-000049000000}"/>
    <cellStyle name="60% - Accent1 2 2" xfId="75" xr:uid="{00000000-0005-0000-0000-00004A000000}"/>
    <cellStyle name="60% - Accent1 2 3" xfId="76" xr:uid="{00000000-0005-0000-0000-00004B000000}"/>
    <cellStyle name="60% - Accent1 2 4" xfId="77" xr:uid="{00000000-0005-0000-0000-00004C000000}"/>
    <cellStyle name="60% - Accent1 2 5" xfId="78" xr:uid="{00000000-0005-0000-0000-00004D000000}"/>
    <cellStyle name="60% - Accent2" xfId="79" builtinId="36" customBuiltin="1"/>
    <cellStyle name="60% - Accent2 2" xfId="80" xr:uid="{00000000-0005-0000-0000-00004F000000}"/>
    <cellStyle name="60% - Accent2 2 2" xfId="81" xr:uid="{00000000-0005-0000-0000-000050000000}"/>
    <cellStyle name="60% - Accent2 2 3" xfId="82" xr:uid="{00000000-0005-0000-0000-000051000000}"/>
    <cellStyle name="60% - Accent2 2 4" xfId="83" xr:uid="{00000000-0005-0000-0000-000052000000}"/>
    <cellStyle name="60% - Accent2 2 5" xfId="84" xr:uid="{00000000-0005-0000-0000-000053000000}"/>
    <cellStyle name="60% - Accent3" xfId="85" builtinId="40" customBuiltin="1"/>
    <cellStyle name="60% - Accent3 2" xfId="86" xr:uid="{00000000-0005-0000-0000-000055000000}"/>
    <cellStyle name="60% - Accent3 2 2" xfId="87" xr:uid="{00000000-0005-0000-0000-000056000000}"/>
    <cellStyle name="60% - Accent3 2 3" xfId="88" xr:uid="{00000000-0005-0000-0000-000057000000}"/>
    <cellStyle name="60% - Accent3 2 4" xfId="89" xr:uid="{00000000-0005-0000-0000-000058000000}"/>
    <cellStyle name="60% - Accent3 2 5" xfId="90" xr:uid="{00000000-0005-0000-0000-000059000000}"/>
    <cellStyle name="60% - Accent4" xfId="91" builtinId="44" customBuiltin="1"/>
    <cellStyle name="60% - Accent4 2" xfId="92" xr:uid="{00000000-0005-0000-0000-00005B000000}"/>
    <cellStyle name="60% - Accent4 2 2" xfId="93" xr:uid="{00000000-0005-0000-0000-00005C000000}"/>
    <cellStyle name="60% - Accent4 2 3" xfId="94" xr:uid="{00000000-0005-0000-0000-00005D000000}"/>
    <cellStyle name="60% - Accent4 2 4" xfId="95" xr:uid="{00000000-0005-0000-0000-00005E000000}"/>
    <cellStyle name="60% - Accent4 2 5" xfId="96" xr:uid="{00000000-0005-0000-0000-00005F000000}"/>
    <cellStyle name="60% - Accent5" xfId="97" builtinId="48" customBuiltin="1"/>
    <cellStyle name="60% - Accent5 2" xfId="98" xr:uid="{00000000-0005-0000-0000-000061000000}"/>
    <cellStyle name="60% - Accent5 2 2" xfId="99" xr:uid="{00000000-0005-0000-0000-000062000000}"/>
    <cellStyle name="60% - Accent5 2 3" xfId="100" xr:uid="{00000000-0005-0000-0000-000063000000}"/>
    <cellStyle name="60% - Accent5 2 4" xfId="101" xr:uid="{00000000-0005-0000-0000-000064000000}"/>
    <cellStyle name="60% - Accent5 2 5" xfId="102" xr:uid="{00000000-0005-0000-0000-000065000000}"/>
    <cellStyle name="60% - Accent6" xfId="103" builtinId="52" customBuiltin="1"/>
    <cellStyle name="60% - Accent6 2" xfId="104" xr:uid="{00000000-0005-0000-0000-000067000000}"/>
    <cellStyle name="60% - Accent6 2 2" xfId="105" xr:uid="{00000000-0005-0000-0000-000068000000}"/>
    <cellStyle name="60% - Accent6 2 3" xfId="106" xr:uid="{00000000-0005-0000-0000-000069000000}"/>
    <cellStyle name="60% - Accent6 2 4" xfId="107" xr:uid="{00000000-0005-0000-0000-00006A000000}"/>
    <cellStyle name="60% - Accent6 2 5" xfId="108" xr:uid="{00000000-0005-0000-0000-00006B000000}"/>
    <cellStyle name="Accent1" xfId="109" builtinId="29" customBuiltin="1"/>
    <cellStyle name="Accent1 2" xfId="110" xr:uid="{00000000-0005-0000-0000-00006D000000}"/>
    <cellStyle name="Accent1 2 2" xfId="111" xr:uid="{00000000-0005-0000-0000-00006E000000}"/>
    <cellStyle name="Accent1 2 3" xfId="112" xr:uid="{00000000-0005-0000-0000-00006F000000}"/>
    <cellStyle name="Accent1 2 4" xfId="113" xr:uid="{00000000-0005-0000-0000-000070000000}"/>
    <cellStyle name="Accent1 2 5" xfId="114" xr:uid="{00000000-0005-0000-0000-000071000000}"/>
    <cellStyle name="Accent2" xfId="115" builtinId="33" customBuiltin="1"/>
    <cellStyle name="Accent2 2" xfId="116" xr:uid="{00000000-0005-0000-0000-000073000000}"/>
    <cellStyle name="Accent2 2 2" xfId="117" xr:uid="{00000000-0005-0000-0000-000074000000}"/>
    <cellStyle name="Accent2 2 3" xfId="118" xr:uid="{00000000-0005-0000-0000-000075000000}"/>
    <cellStyle name="Accent2 2 4" xfId="119" xr:uid="{00000000-0005-0000-0000-000076000000}"/>
    <cellStyle name="Accent2 2 5" xfId="120" xr:uid="{00000000-0005-0000-0000-000077000000}"/>
    <cellStyle name="Accent3" xfId="121" builtinId="37" customBuiltin="1"/>
    <cellStyle name="Accent3 2" xfId="122" xr:uid="{00000000-0005-0000-0000-000079000000}"/>
    <cellStyle name="Accent3 2 2" xfId="123" xr:uid="{00000000-0005-0000-0000-00007A000000}"/>
    <cellStyle name="Accent3 2 3" xfId="124" xr:uid="{00000000-0005-0000-0000-00007B000000}"/>
    <cellStyle name="Accent3 2 4" xfId="125" xr:uid="{00000000-0005-0000-0000-00007C000000}"/>
    <cellStyle name="Accent3 2 5" xfId="126" xr:uid="{00000000-0005-0000-0000-00007D000000}"/>
    <cellStyle name="Accent4" xfId="127" builtinId="41" customBuiltin="1"/>
    <cellStyle name="Accent4 2" xfId="128" xr:uid="{00000000-0005-0000-0000-00007F000000}"/>
    <cellStyle name="Accent4 2 2" xfId="129" xr:uid="{00000000-0005-0000-0000-000080000000}"/>
    <cellStyle name="Accent4 2 3" xfId="130" xr:uid="{00000000-0005-0000-0000-000081000000}"/>
    <cellStyle name="Accent4 2 4" xfId="131" xr:uid="{00000000-0005-0000-0000-000082000000}"/>
    <cellStyle name="Accent4 2 5" xfId="132" xr:uid="{00000000-0005-0000-0000-000083000000}"/>
    <cellStyle name="Accent5" xfId="133" builtinId="45" customBuiltin="1"/>
    <cellStyle name="Accent5 2" xfId="134" xr:uid="{00000000-0005-0000-0000-000085000000}"/>
    <cellStyle name="Accent5 2 2" xfId="135" xr:uid="{00000000-0005-0000-0000-000086000000}"/>
    <cellStyle name="Accent5 2 3" xfId="136" xr:uid="{00000000-0005-0000-0000-000087000000}"/>
    <cellStyle name="Accent5 2 4" xfId="137" xr:uid="{00000000-0005-0000-0000-000088000000}"/>
    <cellStyle name="Accent5 2 5" xfId="138" xr:uid="{00000000-0005-0000-0000-000089000000}"/>
    <cellStyle name="Accent6" xfId="139" builtinId="49" customBuiltin="1"/>
    <cellStyle name="Accent6 2" xfId="140" xr:uid="{00000000-0005-0000-0000-00008B000000}"/>
    <cellStyle name="Accent6 2 2" xfId="141" xr:uid="{00000000-0005-0000-0000-00008C000000}"/>
    <cellStyle name="Accent6 2 3" xfId="142" xr:uid="{00000000-0005-0000-0000-00008D000000}"/>
    <cellStyle name="Accent6 2 4" xfId="143" xr:uid="{00000000-0005-0000-0000-00008E000000}"/>
    <cellStyle name="Accent6 2 5" xfId="144" xr:uid="{00000000-0005-0000-0000-00008F000000}"/>
    <cellStyle name="Bad" xfId="145" builtinId="27" customBuiltin="1"/>
    <cellStyle name="Bad 2" xfId="146" xr:uid="{00000000-0005-0000-0000-000091000000}"/>
    <cellStyle name="Bad 2 2" xfId="147" xr:uid="{00000000-0005-0000-0000-000092000000}"/>
    <cellStyle name="Bad 2 3" xfId="148" xr:uid="{00000000-0005-0000-0000-000093000000}"/>
    <cellStyle name="Bad 2 4" xfId="149" xr:uid="{00000000-0005-0000-0000-000094000000}"/>
    <cellStyle name="Bad 2 5" xfId="150" xr:uid="{00000000-0005-0000-0000-000095000000}"/>
    <cellStyle name="C00A" xfId="151" xr:uid="{00000000-0005-0000-0000-000096000000}"/>
    <cellStyle name="C00B" xfId="152" xr:uid="{00000000-0005-0000-0000-000097000000}"/>
    <cellStyle name="C00L" xfId="153" xr:uid="{00000000-0005-0000-0000-000098000000}"/>
    <cellStyle name="C01A" xfId="154" xr:uid="{00000000-0005-0000-0000-000099000000}"/>
    <cellStyle name="C01B" xfId="155" xr:uid="{00000000-0005-0000-0000-00009A000000}"/>
    <cellStyle name="C01B 2" xfId="156" xr:uid="{00000000-0005-0000-0000-00009B000000}"/>
    <cellStyle name="C01H" xfId="157" xr:uid="{00000000-0005-0000-0000-00009C000000}"/>
    <cellStyle name="C01L" xfId="158" xr:uid="{00000000-0005-0000-0000-00009D000000}"/>
    <cellStyle name="C02A" xfId="159" xr:uid="{00000000-0005-0000-0000-00009E000000}"/>
    <cellStyle name="C02B" xfId="160" xr:uid="{00000000-0005-0000-0000-00009F000000}"/>
    <cellStyle name="C02B 2" xfId="161" xr:uid="{00000000-0005-0000-0000-0000A0000000}"/>
    <cellStyle name="C02H" xfId="162" xr:uid="{00000000-0005-0000-0000-0000A1000000}"/>
    <cellStyle name="C02L" xfId="163" xr:uid="{00000000-0005-0000-0000-0000A2000000}"/>
    <cellStyle name="C03A" xfId="164" xr:uid="{00000000-0005-0000-0000-0000A3000000}"/>
    <cellStyle name="C03B" xfId="165" xr:uid="{00000000-0005-0000-0000-0000A4000000}"/>
    <cellStyle name="C03H" xfId="166" xr:uid="{00000000-0005-0000-0000-0000A5000000}"/>
    <cellStyle name="C03L" xfId="167" xr:uid="{00000000-0005-0000-0000-0000A6000000}"/>
    <cellStyle name="C04A" xfId="168" xr:uid="{00000000-0005-0000-0000-0000A7000000}"/>
    <cellStyle name="C04A 2" xfId="169" xr:uid="{00000000-0005-0000-0000-0000A8000000}"/>
    <cellStyle name="C04B" xfId="170" xr:uid="{00000000-0005-0000-0000-0000A9000000}"/>
    <cellStyle name="C04H" xfId="171" xr:uid="{00000000-0005-0000-0000-0000AA000000}"/>
    <cellStyle name="C04L" xfId="172" xr:uid="{00000000-0005-0000-0000-0000AB000000}"/>
    <cellStyle name="C05A" xfId="173" xr:uid="{00000000-0005-0000-0000-0000AC000000}"/>
    <cellStyle name="C05B" xfId="174" xr:uid="{00000000-0005-0000-0000-0000AD000000}"/>
    <cellStyle name="C05H" xfId="175" xr:uid="{00000000-0005-0000-0000-0000AE000000}"/>
    <cellStyle name="C05L" xfId="176" xr:uid="{00000000-0005-0000-0000-0000AF000000}"/>
    <cellStyle name="C05L 2" xfId="177" xr:uid="{00000000-0005-0000-0000-0000B0000000}"/>
    <cellStyle name="C06A" xfId="178" xr:uid="{00000000-0005-0000-0000-0000B1000000}"/>
    <cellStyle name="C06B" xfId="179" xr:uid="{00000000-0005-0000-0000-0000B2000000}"/>
    <cellStyle name="C06H" xfId="180" xr:uid="{00000000-0005-0000-0000-0000B3000000}"/>
    <cellStyle name="C06L" xfId="181" xr:uid="{00000000-0005-0000-0000-0000B4000000}"/>
    <cellStyle name="C07A" xfId="182" xr:uid="{00000000-0005-0000-0000-0000B5000000}"/>
    <cellStyle name="C07B" xfId="183" xr:uid="{00000000-0005-0000-0000-0000B6000000}"/>
    <cellStyle name="C07H" xfId="184" xr:uid="{00000000-0005-0000-0000-0000B7000000}"/>
    <cellStyle name="C07L" xfId="185" xr:uid="{00000000-0005-0000-0000-0000B8000000}"/>
    <cellStyle name="Calculation" xfId="186" builtinId="22" customBuiltin="1"/>
    <cellStyle name="Calculation 2" xfId="187" xr:uid="{00000000-0005-0000-0000-0000BA000000}"/>
    <cellStyle name="Calculation 2 2" xfId="188" xr:uid="{00000000-0005-0000-0000-0000BB000000}"/>
    <cellStyle name="Calculation 2 3" xfId="189" xr:uid="{00000000-0005-0000-0000-0000BC000000}"/>
    <cellStyle name="Calculation 2 4" xfId="190" xr:uid="{00000000-0005-0000-0000-0000BD000000}"/>
    <cellStyle name="Calculation 2 5" xfId="191" xr:uid="{00000000-0005-0000-0000-0000BE000000}"/>
    <cellStyle name="Check Cell" xfId="192" builtinId="23" customBuiltin="1"/>
    <cellStyle name="Check Cell 2" xfId="193" xr:uid="{00000000-0005-0000-0000-0000C0000000}"/>
    <cellStyle name="Check Cell 2 2" xfId="194" xr:uid="{00000000-0005-0000-0000-0000C1000000}"/>
    <cellStyle name="Check Cell 2 3" xfId="195" xr:uid="{00000000-0005-0000-0000-0000C2000000}"/>
    <cellStyle name="Check Cell 2 4" xfId="196" xr:uid="{00000000-0005-0000-0000-0000C3000000}"/>
    <cellStyle name="Check Cell 2 5" xfId="197" xr:uid="{00000000-0005-0000-0000-0000C4000000}"/>
    <cellStyle name="Comma" xfId="198" builtinId="3"/>
    <cellStyle name="Comma [0] 2" xfId="199" xr:uid="{00000000-0005-0000-0000-0000C6000000}"/>
    <cellStyle name="Comma [0] 2 2" xfId="200" xr:uid="{00000000-0005-0000-0000-0000C7000000}"/>
    <cellStyle name="Comma 10" xfId="201" xr:uid="{00000000-0005-0000-0000-0000C8000000}"/>
    <cellStyle name="Comma 100" xfId="202" xr:uid="{00000000-0005-0000-0000-0000C9000000}"/>
    <cellStyle name="Comma 101" xfId="203" xr:uid="{00000000-0005-0000-0000-0000CA000000}"/>
    <cellStyle name="Comma 101 2" xfId="204" xr:uid="{00000000-0005-0000-0000-0000CB000000}"/>
    <cellStyle name="Comma 102" xfId="205" xr:uid="{00000000-0005-0000-0000-0000CC000000}"/>
    <cellStyle name="Comma 102 2" xfId="206" xr:uid="{00000000-0005-0000-0000-0000CD000000}"/>
    <cellStyle name="Comma 103" xfId="207" xr:uid="{00000000-0005-0000-0000-0000CE000000}"/>
    <cellStyle name="Comma 103 2" xfId="208" xr:uid="{00000000-0005-0000-0000-0000CF000000}"/>
    <cellStyle name="Comma 104" xfId="209" xr:uid="{00000000-0005-0000-0000-0000D0000000}"/>
    <cellStyle name="Comma 104 2" xfId="210" xr:uid="{00000000-0005-0000-0000-0000D1000000}"/>
    <cellStyle name="Comma 105" xfId="211" xr:uid="{00000000-0005-0000-0000-0000D2000000}"/>
    <cellStyle name="Comma 105 2" xfId="212" xr:uid="{00000000-0005-0000-0000-0000D3000000}"/>
    <cellStyle name="Comma 106" xfId="213" xr:uid="{00000000-0005-0000-0000-0000D4000000}"/>
    <cellStyle name="Comma 106 2" xfId="214" xr:uid="{00000000-0005-0000-0000-0000D5000000}"/>
    <cellStyle name="Comma 107" xfId="215" xr:uid="{00000000-0005-0000-0000-0000D6000000}"/>
    <cellStyle name="Comma 107 2" xfId="216" xr:uid="{00000000-0005-0000-0000-0000D7000000}"/>
    <cellStyle name="Comma 108" xfId="217" xr:uid="{00000000-0005-0000-0000-0000D8000000}"/>
    <cellStyle name="Comma 108 2" xfId="218" xr:uid="{00000000-0005-0000-0000-0000D9000000}"/>
    <cellStyle name="Comma 109" xfId="219" xr:uid="{00000000-0005-0000-0000-0000DA000000}"/>
    <cellStyle name="Comma 11" xfId="220" xr:uid="{00000000-0005-0000-0000-0000DB000000}"/>
    <cellStyle name="Comma 110" xfId="221" xr:uid="{00000000-0005-0000-0000-0000DC000000}"/>
    <cellStyle name="Comma 111" xfId="222" xr:uid="{00000000-0005-0000-0000-0000DD000000}"/>
    <cellStyle name="Comma 112" xfId="223" xr:uid="{00000000-0005-0000-0000-0000DE000000}"/>
    <cellStyle name="Comma 112 2" xfId="224" xr:uid="{00000000-0005-0000-0000-0000DF000000}"/>
    <cellStyle name="Comma 113" xfId="225" xr:uid="{00000000-0005-0000-0000-0000E0000000}"/>
    <cellStyle name="Comma 113 2" xfId="226" xr:uid="{00000000-0005-0000-0000-0000E1000000}"/>
    <cellStyle name="Comma 114" xfId="227" xr:uid="{00000000-0005-0000-0000-0000E2000000}"/>
    <cellStyle name="Comma 114 2" xfId="228" xr:uid="{00000000-0005-0000-0000-0000E3000000}"/>
    <cellStyle name="Comma 115" xfId="229" xr:uid="{00000000-0005-0000-0000-0000E4000000}"/>
    <cellStyle name="Comma 115 2" xfId="230" xr:uid="{00000000-0005-0000-0000-0000E5000000}"/>
    <cellStyle name="Comma 116" xfId="231" xr:uid="{00000000-0005-0000-0000-0000E6000000}"/>
    <cellStyle name="Comma 116 2" xfId="232" xr:uid="{00000000-0005-0000-0000-0000E7000000}"/>
    <cellStyle name="Comma 117" xfId="233" xr:uid="{00000000-0005-0000-0000-0000E8000000}"/>
    <cellStyle name="Comma 117 2" xfId="234" xr:uid="{00000000-0005-0000-0000-0000E9000000}"/>
    <cellStyle name="Comma 118" xfId="235" xr:uid="{00000000-0005-0000-0000-0000EA000000}"/>
    <cellStyle name="Comma 118 2" xfId="236" xr:uid="{00000000-0005-0000-0000-0000EB000000}"/>
    <cellStyle name="Comma 119" xfId="237" xr:uid="{00000000-0005-0000-0000-0000EC000000}"/>
    <cellStyle name="Comma 119 2" xfId="238" xr:uid="{00000000-0005-0000-0000-0000ED000000}"/>
    <cellStyle name="Comma 12" xfId="239" xr:uid="{00000000-0005-0000-0000-0000EE000000}"/>
    <cellStyle name="Comma 12 2" xfId="240" xr:uid="{00000000-0005-0000-0000-0000EF000000}"/>
    <cellStyle name="Comma 12 2 2" xfId="241" xr:uid="{00000000-0005-0000-0000-0000F0000000}"/>
    <cellStyle name="Comma 12 2 3" xfId="242" xr:uid="{00000000-0005-0000-0000-0000F1000000}"/>
    <cellStyle name="Comma 120" xfId="243" xr:uid="{00000000-0005-0000-0000-0000F2000000}"/>
    <cellStyle name="Comma 120 2" xfId="244" xr:uid="{00000000-0005-0000-0000-0000F3000000}"/>
    <cellStyle name="Comma 121" xfId="245" xr:uid="{00000000-0005-0000-0000-0000F4000000}"/>
    <cellStyle name="Comma 121 2" xfId="246" xr:uid="{00000000-0005-0000-0000-0000F5000000}"/>
    <cellStyle name="Comma 122" xfId="247" xr:uid="{00000000-0005-0000-0000-0000F6000000}"/>
    <cellStyle name="Comma 122 2" xfId="248" xr:uid="{00000000-0005-0000-0000-0000F7000000}"/>
    <cellStyle name="Comma 123" xfId="249" xr:uid="{00000000-0005-0000-0000-0000F8000000}"/>
    <cellStyle name="Comma 123 2" xfId="250" xr:uid="{00000000-0005-0000-0000-0000F9000000}"/>
    <cellStyle name="Comma 124" xfId="251" xr:uid="{00000000-0005-0000-0000-0000FA000000}"/>
    <cellStyle name="Comma 124 2" xfId="252" xr:uid="{00000000-0005-0000-0000-0000FB000000}"/>
    <cellStyle name="Comma 125" xfId="253" xr:uid="{00000000-0005-0000-0000-0000FC000000}"/>
    <cellStyle name="Comma 125 2" xfId="254" xr:uid="{00000000-0005-0000-0000-0000FD000000}"/>
    <cellStyle name="Comma 126" xfId="255" xr:uid="{00000000-0005-0000-0000-0000FE000000}"/>
    <cellStyle name="Comma 126 2" xfId="256" xr:uid="{00000000-0005-0000-0000-0000FF000000}"/>
    <cellStyle name="Comma 127" xfId="257" xr:uid="{00000000-0005-0000-0000-000000010000}"/>
    <cellStyle name="Comma 127 2" xfId="258" xr:uid="{00000000-0005-0000-0000-000001010000}"/>
    <cellStyle name="Comma 128" xfId="259" xr:uid="{00000000-0005-0000-0000-000002010000}"/>
    <cellStyle name="Comma 128 2" xfId="260" xr:uid="{00000000-0005-0000-0000-000003010000}"/>
    <cellStyle name="Comma 129" xfId="261" xr:uid="{00000000-0005-0000-0000-000004010000}"/>
    <cellStyle name="Comma 129 2" xfId="262" xr:uid="{00000000-0005-0000-0000-000005010000}"/>
    <cellStyle name="Comma 13" xfId="263" xr:uid="{00000000-0005-0000-0000-000006010000}"/>
    <cellStyle name="Comma 130" xfId="264" xr:uid="{00000000-0005-0000-0000-000007010000}"/>
    <cellStyle name="Comma 130 2" xfId="265" xr:uid="{00000000-0005-0000-0000-000008010000}"/>
    <cellStyle name="Comma 131" xfId="266" xr:uid="{00000000-0005-0000-0000-000009010000}"/>
    <cellStyle name="Comma 132" xfId="267" xr:uid="{00000000-0005-0000-0000-00000A010000}"/>
    <cellStyle name="Comma 133" xfId="268" xr:uid="{00000000-0005-0000-0000-00000B010000}"/>
    <cellStyle name="Comma 134" xfId="269" xr:uid="{00000000-0005-0000-0000-00000C010000}"/>
    <cellStyle name="Comma 135" xfId="270" xr:uid="{00000000-0005-0000-0000-00000D010000}"/>
    <cellStyle name="Comma 136" xfId="271" xr:uid="{00000000-0005-0000-0000-00000E010000}"/>
    <cellStyle name="Comma 137" xfId="272" xr:uid="{00000000-0005-0000-0000-00000F010000}"/>
    <cellStyle name="Comma 138" xfId="273" xr:uid="{00000000-0005-0000-0000-000010010000}"/>
    <cellStyle name="Comma 139" xfId="274" xr:uid="{00000000-0005-0000-0000-000011010000}"/>
    <cellStyle name="Comma 14" xfId="275" xr:uid="{00000000-0005-0000-0000-000012010000}"/>
    <cellStyle name="Comma 140" xfId="276" xr:uid="{00000000-0005-0000-0000-000013010000}"/>
    <cellStyle name="Comma 141" xfId="277" xr:uid="{00000000-0005-0000-0000-000014010000}"/>
    <cellStyle name="Comma 142" xfId="278" xr:uid="{00000000-0005-0000-0000-000015010000}"/>
    <cellStyle name="Comma 143" xfId="279" xr:uid="{00000000-0005-0000-0000-000016010000}"/>
    <cellStyle name="Comma 15" xfId="280" xr:uid="{00000000-0005-0000-0000-000017010000}"/>
    <cellStyle name="Comma 16" xfId="281" xr:uid="{00000000-0005-0000-0000-000018010000}"/>
    <cellStyle name="Comma 17" xfId="282" xr:uid="{00000000-0005-0000-0000-000019010000}"/>
    <cellStyle name="Comma 18" xfId="283" xr:uid="{00000000-0005-0000-0000-00001A010000}"/>
    <cellStyle name="Comma 19" xfId="284" xr:uid="{00000000-0005-0000-0000-00001B010000}"/>
    <cellStyle name="Comma 2" xfId="285" xr:uid="{00000000-0005-0000-0000-00001C010000}"/>
    <cellStyle name="Comma 2 2" xfId="286" xr:uid="{00000000-0005-0000-0000-00001D010000}"/>
    <cellStyle name="Comma 2 2 2" xfId="287" xr:uid="{00000000-0005-0000-0000-00001E010000}"/>
    <cellStyle name="Comma 2 3" xfId="288" xr:uid="{00000000-0005-0000-0000-00001F010000}"/>
    <cellStyle name="Comma 2 3 2" xfId="289" xr:uid="{00000000-0005-0000-0000-000020010000}"/>
    <cellStyle name="Comma 2 3 3" xfId="290" xr:uid="{00000000-0005-0000-0000-000021010000}"/>
    <cellStyle name="Comma 2 3 4" xfId="291" xr:uid="{00000000-0005-0000-0000-000022010000}"/>
    <cellStyle name="Comma 2 4" xfId="292" xr:uid="{00000000-0005-0000-0000-000023010000}"/>
    <cellStyle name="Comma 20" xfId="293" xr:uid="{00000000-0005-0000-0000-000024010000}"/>
    <cellStyle name="Comma 21" xfId="294" xr:uid="{00000000-0005-0000-0000-000025010000}"/>
    <cellStyle name="Comma 22" xfId="295" xr:uid="{00000000-0005-0000-0000-000026010000}"/>
    <cellStyle name="Comma 23" xfId="296" xr:uid="{00000000-0005-0000-0000-000027010000}"/>
    <cellStyle name="Comma 24" xfId="297" xr:uid="{00000000-0005-0000-0000-000028010000}"/>
    <cellStyle name="Comma 25" xfId="298" xr:uid="{00000000-0005-0000-0000-000029010000}"/>
    <cellStyle name="Comma 25 2" xfId="299" xr:uid="{00000000-0005-0000-0000-00002A010000}"/>
    <cellStyle name="Comma 26" xfId="300" xr:uid="{00000000-0005-0000-0000-00002B010000}"/>
    <cellStyle name="Comma 26 2" xfId="301" xr:uid="{00000000-0005-0000-0000-00002C010000}"/>
    <cellStyle name="Comma 27" xfId="302" xr:uid="{00000000-0005-0000-0000-00002D010000}"/>
    <cellStyle name="Comma 27 2" xfId="303" xr:uid="{00000000-0005-0000-0000-00002E010000}"/>
    <cellStyle name="Comma 28" xfId="304" xr:uid="{00000000-0005-0000-0000-00002F010000}"/>
    <cellStyle name="Comma 28 2" xfId="305" xr:uid="{00000000-0005-0000-0000-000030010000}"/>
    <cellStyle name="Comma 29" xfId="306" xr:uid="{00000000-0005-0000-0000-000031010000}"/>
    <cellStyle name="Comma 29 2" xfId="307" xr:uid="{00000000-0005-0000-0000-000032010000}"/>
    <cellStyle name="Comma 3" xfId="308" xr:uid="{00000000-0005-0000-0000-000033010000}"/>
    <cellStyle name="Comma 3 10" xfId="309" xr:uid="{00000000-0005-0000-0000-000034010000}"/>
    <cellStyle name="Comma 3 10 2" xfId="310" xr:uid="{00000000-0005-0000-0000-000035010000}"/>
    <cellStyle name="Comma 3 10 3" xfId="311" xr:uid="{00000000-0005-0000-0000-000036010000}"/>
    <cellStyle name="Comma 3 11" xfId="312" xr:uid="{00000000-0005-0000-0000-000037010000}"/>
    <cellStyle name="Comma 3 11 2" xfId="313" xr:uid="{00000000-0005-0000-0000-000038010000}"/>
    <cellStyle name="Comma 3 12" xfId="314" xr:uid="{00000000-0005-0000-0000-000039010000}"/>
    <cellStyle name="Comma 3 12 2" xfId="315" xr:uid="{00000000-0005-0000-0000-00003A010000}"/>
    <cellStyle name="Comma 3 13" xfId="316" xr:uid="{00000000-0005-0000-0000-00003B010000}"/>
    <cellStyle name="Comma 3 13 2" xfId="317" xr:uid="{00000000-0005-0000-0000-00003C010000}"/>
    <cellStyle name="Comma 3 14" xfId="318" xr:uid="{00000000-0005-0000-0000-00003D010000}"/>
    <cellStyle name="Comma 3 15" xfId="319" xr:uid="{00000000-0005-0000-0000-00003E010000}"/>
    <cellStyle name="Comma 3 2" xfId="320" xr:uid="{00000000-0005-0000-0000-00003F010000}"/>
    <cellStyle name="Comma 3 2 2" xfId="321" xr:uid="{00000000-0005-0000-0000-000040010000}"/>
    <cellStyle name="Comma 3 3" xfId="322" xr:uid="{00000000-0005-0000-0000-000041010000}"/>
    <cellStyle name="Comma 3 3 2" xfId="323" xr:uid="{00000000-0005-0000-0000-000042010000}"/>
    <cellStyle name="Comma 3 3 2 2" xfId="324" xr:uid="{00000000-0005-0000-0000-000043010000}"/>
    <cellStyle name="Comma 3 3 2 3" xfId="325" xr:uid="{00000000-0005-0000-0000-000044010000}"/>
    <cellStyle name="Comma 3 3 3" xfId="326" xr:uid="{00000000-0005-0000-0000-000045010000}"/>
    <cellStyle name="Comma 3 3 3 2" xfId="327" xr:uid="{00000000-0005-0000-0000-000046010000}"/>
    <cellStyle name="Comma 3 3 3 2 2" xfId="328" xr:uid="{00000000-0005-0000-0000-000047010000}"/>
    <cellStyle name="Comma 3 3 3 2 3" xfId="329" xr:uid="{00000000-0005-0000-0000-000048010000}"/>
    <cellStyle name="Comma 3 3 3 2 4" xfId="330" xr:uid="{00000000-0005-0000-0000-000049010000}"/>
    <cellStyle name="Comma 3 3 3 2 5" xfId="331" xr:uid="{00000000-0005-0000-0000-00004A010000}"/>
    <cellStyle name="Comma 3 3 3 3" xfId="332" xr:uid="{00000000-0005-0000-0000-00004B010000}"/>
    <cellStyle name="Comma 3 3 4" xfId="333" xr:uid="{00000000-0005-0000-0000-00004C010000}"/>
    <cellStyle name="Comma 3 3 5" xfId="334" xr:uid="{00000000-0005-0000-0000-00004D010000}"/>
    <cellStyle name="Comma 3 3 5 2" xfId="335" xr:uid="{00000000-0005-0000-0000-00004E010000}"/>
    <cellStyle name="Comma 3 3 5 3" xfId="336" xr:uid="{00000000-0005-0000-0000-00004F010000}"/>
    <cellStyle name="Comma 3 3 5 4" xfId="337" xr:uid="{00000000-0005-0000-0000-000050010000}"/>
    <cellStyle name="Comma 3 3 5 5" xfId="338" xr:uid="{00000000-0005-0000-0000-000051010000}"/>
    <cellStyle name="Comma 3 3 6" xfId="339" xr:uid="{00000000-0005-0000-0000-000052010000}"/>
    <cellStyle name="Comma 3 4" xfId="340" xr:uid="{00000000-0005-0000-0000-000053010000}"/>
    <cellStyle name="Comma 3 4 2" xfId="341" xr:uid="{00000000-0005-0000-0000-000054010000}"/>
    <cellStyle name="Comma 3 4 3" xfId="342" xr:uid="{00000000-0005-0000-0000-000055010000}"/>
    <cellStyle name="Comma 3 4 4" xfId="343" xr:uid="{00000000-0005-0000-0000-000056010000}"/>
    <cellStyle name="Comma 3 4 4 2" xfId="344" xr:uid="{00000000-0005-0000-0000-000057010000}"/>
    <cellStyle name="Comma 3 4 4 3" xfId="345" xr:uid="{00000000-0005-0000-0000-000058010000}"/>
    <cellStyle name="Comma 3 4 4 4" xfId="346" xr:uid="{00000000-0005-0000-0000-000059010000}"/>
    <cellStyle name="Comma 3 4 4 5" xfId="347" xr:uid="{00000000-0005-0000-0000-00005A010000}"/>
    <cellStyle name="Comma 3 4 5" xfId="348" xr:uid="{00000000-0005-0000-0000-00005B010000}"/>
    <cellStyle name="Comma 3 5" xfId="349" xr:uid="{00000000-0005-0000-0000-00005C010000}"/>
    <cellStyle name="Comma 3 5 2" xfId="350" xr:uid="{00000000-0005-0000-0000-00005D010000}"/>
    <cellStyle name="Comma 3 5 3" xfId="351" xr:uid="{00000000-0005-0000-0000-00005E010000}"/>
    <cellStyle name="Comma 3 5 3 2" xfId="352" xr:uid="{00000000-0005-0000-0000-00005F010000}"/>
    <cellStyle name="Comma 3 5 3 3" xfId="353" xr:uid="{00000000-0005-0000-0000-000060010000}"/>
    <cellStyle name="Comma 3 6" xfId="354" xr:uid="{00000000-0005-0000-0000-000061010000}"/>
    <cellStyle name="Comma 3 6 2" xfId="355" xr:uid="{00000000-0005-0000-0000-000062010000}"/>
    <cellStyle name="Comma 3 6 3" xfId="356" xr:uid="{00000000-0005-0000-0000-000063010000}"/>
    <cellStyle name="Comma 3 6 4" xfId="357" xr:uid="{00000000-0005-0000-0000-000064010000}"/>
    <cellStyle name="Comma 3 7" xfId="358" xr:uid="{00000000-0005-0000-0000-000065010000}"/>
    <cellStyle name="Comma 3 7 2" xfId="359" xr:uid="{00000000-0005-0000-0000-000066010000}"/>
    <cellStyle name="Comma 3 7 3" xfId="360" xr:uid="{00000000-0005-0000-0000-000067010000}"/>
    <cellStyle name="Comma 3 7 4" xfId="361" xr:uid="{00000000-0005-0000-0000-000068010000}"/>
    <cellStyle name="Comma 3 8" xfId="362" xr:uid="{00000000-0005-0000-0000-000069010000}"/>
    <cellStyle name="Comma 3 8 2" xfId="363" xr:uid="{00000000-0005-0000-0000-00006A010000}"/>
    <cellStyle name="Comma 3 8 3" xfId="364" xr:uid="{00000000-0005-0000-0000-00006B010000}"/>
    <cellStyle name="Comma 3 8 4" xfId="365" xr:uid="{00000000-0005-0000-0000-00006C010000}"/>
    <cellStyle name="Comma 3 9" xfId="366" xr:uid="{00000000-0005-0000-0000-00006D010000}"/>
    <cellStyle name="Comma 3 9 2" xfId="367" xr:uid="{00000000-0005-0000-0000-00006E010000}"/>
    <cellStyle name="Comma 3 9 3" xfId="368" xr:uid="{00000000-0005-0000-0000-00006F010000}"/>
    <cellStyle name="Comma 3 9 4" xfId="369" xr:uid="{00000000-0005-0000-0000-000070010000}"/>
    <cellStyle name="Comma 30" xfId="370" xr:uid="{00000000-0005-0000-0000-000071010000}"/>
    <cellStyle name="Comma 31" xfId="371" xr:uid="{00000000-0005-0000-0000-000072010000}"/>
    <cellStyle name="Comma 32" xfId="372" xr:uid="{00000000-0005-0000-0000-000073010000}"/>
    <cellStyle name="Comma 33" xfId="373" xr:uid="{00000000-0005-0000-0000-000074010000}"/>
    <cellStyle name="Comma 34" xfId="374" xr:uid="{00000000-0005-0000-0000-000075010000}"/>
    <cellStyle name="Comma 35" xfId="375" xr:uid="{00000000-0005-0000-0000-000076010000}"/>
    <cellStyle name="Comma 36" xfId="376" xr:uid="{00000000-0005-0000-0000-000077010000}"/>
    <cellStyle name="Comma 37" xfId="377" xr:uid="{00000000-0005-0000-0000-000078010000}"/>
    <cellStyle name="Comma 38" xfId="378" xr:uid="{00000000-0005-0000-0000-000079010000}"/>
    <cellStyle name="Comma 39" xfId="379" xr:uid="{00000000-0005-0000-0000-00007A010000}"/>
    <cellStyle name="Comma 4" xfId="380" xr:uid="{00000000-0005-0000-0000-00007B010000}"/>
    <cellStyle name="Comma 4 2" xfId="381" xr:uid="{00000000-0005-0000-0000-00007C010000}"/>
    <cellStyle name="Comma 4 2 2" xfId="382" xr:uid="{00000000-0005-0000-0000-00007D010000}"/>
    <cellStyle name="Comma 4 2 2 2" xfId="383" xr:uid="{00000000-0005-0000-0000-00007E010000}"/>
    <cellStyle name="Comma 4 2 2 3" xfId="384" xr:uid="{00000000-0005-0000-0000-00007F010000}"/>
    <cellStyle name="Comma 4 2 2 4" xfId="385" xr:uid="{00000000-0005-0000-0000-000080010000}"/>
    <cellStyle name="Comma 4 2 2 5" xfId="386" xr:uid="{00000000-0005-0000-0000-000081010000}"/>
    <cellStyle name="Comma 4 2 3" xfId="387" xr:uid="{00000000-0005-0000-0000-000082010000}"/>
    <cellStyle name="Comma 4 2 3 2" xfId="388" xr:uid="{00000000-0005-0000-0000-000083010000}"/>
    <cellStyle name="Comma 4 2 3 2 2" xfId="389" xr:uid="{00000000-0005-0000-0000-000084010000}"/>
    <cellStyle name="Comma 4 2 3 3" xfId="390" xr:uid="{00000000-0005-0000-0000-000085010000}"/>
    <cellStyle name="Comma 4 2 3 3 2" xfId="391" xr:uid="{00000000-0005-0000-0000-000086010000}"/>
    <cellStyle name="Comma 4 2 3 4" xfId="392" xr:uid="{00000000-0005-0000-0000-000087010000}"/>
    <cellStyle name="Comma 4 2 4" xfId="393" xr:uid="{00000000-0005-0000-0000-000088010000}"/>
    <cellStyle name="Comma 4 2 4 2" xfId="394" xr:uid="{00000000-0005-0000-0000-000089010000}"/>
    <cellStyle name="Comma 4 2 4 3" xfId="395" xr:uid="{00000000-0005-0000-0000-00008A010000}"/>
    <cellStyle name="Comma 4 2 4 4" xfId="396" xr:uid="{00000000-0005-0000-0000-00008B010000}"/>
    <cellStyle name="Comma 4 2 5" xfId="397" xr:uid="{00000000-0005-0000-0000-00008C010000}"/>
    <cellStyle name="Comma 4 2 6" xfId="398" xr:uid="{00000000-0005-0000-0000-00008D010000}"/>
    <cellStyle name="Comma 4 2 7" xfId="399" xr:uid="{00000000-0005-0000-0000-00008E010000}"/>
    <cellStyle name="Comma 4 3" xfId="400" xr:uid="{00000000-0005-0000-0000-00008F010000}"/>
    <cellStyle name="Comma 4 3 2" xfId="401" xr:uid="{00000000-0005-0000-0000-000090010000}"/>
    <cellStyle name="Comma 4 3 2 2" xfId="402" xr:uid="{00000000-0005-0000-0000-000091010000}"/>
    <cellStyle name="Comma 4 3 2 2 2" xfId="403" xr:uid="{00000000-0005-0000-0000-000092010000}"/>
    <cellStyle name="Comma 4 3 2 3" xfId="404" xr:uid="{00000000-0005-0000-0000-000093010000}"/>
    <cellStyle name="Comma 4 3 2 3 2" xfId="405" xr:uid="{00000000-0005-0000-0000-000094010000}"/>
    <cellStyle name="Comma 4 3 2 4" xfId="406" xr:uid="{00000000-0005-0000-0000-000095010000}"/>
    <cellStyle name="Comma 4 3 3" xfId="407" xr:uid="{00000000-0005-0000-0000-000096010000}"/>
    <cellStyle name="Comma 4 3 4" xfId="408" xr:uid="{00000000-0005-0000-0000-000097010000}"/>
    <cellStyle name="Comma 4 3 4 2" xfId="409" xr:uid="{00000000-0005-0000-0000-000098010000}"/>
    <cellStyle name="Comma 4 3 4 3" xfId="410" xr:uid="{00000000-0005-0000-0000-000099010000}"/>
    <cellStyle name="Comma 4 3 5" xfId="411" xr:uid="{00000000-0005-0000-0000-00009A010000}"/>
    <cellStyle name="Comma 4 3 5 2" xfId="412" xr:uid="{00000000-0005-0000-0000-00009B010000}"/>
    <cellStyle name="Comma 4 3 6" xfId="413" xr:uid="{00000000-0005-0000-0000-00009C010000}"/>
    <cellStyle name="Comma 4 3 6 2" xfId="414" xr:uid="{00000000-0005-0000-0000-00009D010000}"/>
    <cellStyle name="Comma 4 3 7" xfId="415" xr:uid="{00000000-0005-0000-0000-00009E010000}"/>
    <cellStyle name="Comma 4 4" xfId="416" xr:uid="{00000000-0005-0000-0000-00009F010000}"/>
    <cellStyle name="Comma 4 4 2" xfId="417" xr:uid="{00000000-0005-0000-0000-0000A0010000}"/>
    <cellStyle name="Comma 4 4 3" xfId="418" xr:uid="{00000000-0005-0000-0000-0000A1010000}"/>
    <cellStyle name="Comma 4 4 4" xfId="419" xr:uid="{00000000-0005-0000-0000-0000A2010000}"/>
    <cellStyle name="Comma 4 4 5" xfId="420" xr:uid="{00000000-0005-0000-0000-0000A3010000}"/>
    <cellStyle name="Comma 4 5" xfId="421" xr:uid="{00000000-0005-0000-0000-0000A4010000}"/>
    <cellStyle name="Comma 4 5 2" xfId="422" xr:uid="{00000000-0005-0000-0000-0000A5010000}"/>
    <cellStyle name="Comma 4 6" xfId="423" xr:uid="{00000000-0005-0000-0000-0000A6010000}"/>
    <cellStyle name="Comma 4 7" xfId="424" xr:uid="{00000000-0005-0000-0000-0000A7010000}"/>
    <cellStyle name="Comma 4 7 2" xfId="425" xr:uid="{00000000-0005-0000-0000-0000A8010000}"/>
    <cellStyle name="Comma 4 7 3" xfId="426" xr:uid="{00000000-0005-0000-0000-0000A9010000}"/>
    <cellStyle name="Comma 40" xfId="427" xr:uid="{00000000-0005-0000-0000-0000AA010000}"/>
    <cellStyle name="Comma 41" xfId="428" xr:uid="{00000000-0005-0000-0000-0000AB010000}"/>
    <cellStyle name="Comma 42" xfId="429" xr:uid="{00000000-0005-0000-0000-0000AC010000}"/>
    <cellStyle name="Comma 43" xfId="430" xr:uid="{00000000-0005-0000-0000-0000AD010000}"/>
    <cellStyle name="Comma 44" xfId="431" xr:uid="{00000000-0005-0000-0000-0000AE010000}"/>
    <cellStyle name="Comma 45" xfId="432" xr:uid="{00000000-0005-0000-0000-0000AF010000}"/>
    <cellStyle name="Comma 46" xfId="433" xr:uid="{00000000-0005-0000-0000-0000B0010000}"/>
    <cellStyle name="Comma 47" xfId="434" xr:uid="{00000000-0005-0000-0000-0000B1010000}"/>
    <cellStyle name="Comma 48" xfId="435" xr:uid="{00000000-0005-0000-0000-0000B2010000}"/>
    <cellStyle name="Comma 49" xfId="436" xr:uid="{00000000-0005-0000-0000-0000B3010000}"/>
    <cellStyle name="Comma 5" xfId="437" xr:uid="{00000000-0005-0000-0000-0000B4010000}"/>
    <cellStyle name="Comma 5 2" xfId="438" xr:uid="{00000000-0005-0000-0000-0000B5010000}"/>
    <cellStyle name="Comma 5 2 2" xfId="439" xr:uid="{00000000-0005-0000-0000-0000B6010000}"/>
    <cellStyle name="Comma 5 2 3" xfId="440" xr:uid="{00000000-0005-0000-0000-0000B7010000}"/>
    <cellStyle name="Comma 5 3" xfId="441" xr:uid="{00000000-0005-0000-0000-0000B8010000}"/>
    <cellStyle name="Comma 50" xfId="442" xr:uid="{00000000-0005-0000-0000-0000B9010000}"/>
    <cellStyle name="Comma 51" xfId="443" xr:uid="{00000000-0005-0000-0000-0000BA010000}"/>
    <cellStyle name="Comma 52" xfId="444" xr:uid="{00000000-0005-0000-0000-0000BB010000}"/>
    <cellStyle name="Comma 52 2" xfId="445" xr:uid="{00000000-0005-0000-0000-0000BC010000}"/>
    <cellStyle name="Comma 53" xfId="446" xr:uid="{00000000-0005-0000-0000-0000BD010000}"/>
    <cellStyle name="Comma 54" xfId="447" xr:uid="{00000000-0005-0000-0000-0000BE010000}"/>
    <cellStyle name="Comma 55" xfId="448" xr:uid="{00000000-0005-0000-0000-0000BF010000}"/>
    <cellStyle name="Comma 56" xfId="449" xr:uid="{00000000-0005-0000-0000-0000C0010000}"/>
    <cellStyle name="Comma 57" xfId="450" xr:uid="{00000000-0005-0000-0000-0000C1010000}"/>
    <cellStyle name="Comma 57 2" xfId="451" xr:uid="{00000000-0005-0000-0000-0000C2010000}"/>
    <cellStyle name="Comma 57 3" xfId="452" xr:uid="{00000000-0005-0000-0000-0000C3010000}"/>
    <cellStyle name="Comma 57 4" xfId="453" xr:uid="{00000000-0005-0000-0000-0000C4010000}"/>
    <cellStyle name="Comma 57 5" xfId="454" xr:uid="{00000000-0005-0000-0000-0000C5010000}"/>
    <cellStyle name="Comma 58" xfId="455" xr:uid="{00000000-0005-0000-0000-0000C6010000}"/>
    <cellStyle name="Comma 58 2" xfId="456" xr:uid="{00000000-0005-0000-0000-0000C7010000}"/>
    <cellStyle name="Comma 58 3" xfId="457" xr:uid="{00000000-0005-0000-0000-0000C8010000}"/>
    <cellStyle name="Comma 58 4" xfId="458" xr:uid="{00000000-0005-0000-0000-0000C9010000}"/>
    <cellStyle name="Comma 58 5" xfId="459" xr:uid="{00000000-0005-0000-0000-0000CA010000}"/>
    <cellStyle name="Comma 59" xfId="460" xr:uid="{00000000-0005-0000-0000-0000CB010000}"/>
    <cellStyle name="Comma 59 2" xfId="461" xr:uid="{00000000-0005-0000-0000-0000CC010000}"/>
    <cellStyle name="Comma 59 3" xfId="462" xr:uid="{00000000-0005-0000-0000-0000CD010000}"/>
    <cellStyle name="Comma 59 4" xfId="463" xr:uid="{00000000-0005-0000-0000-0000CE010000}"/>
    <cellStyle name="Comma 59 5" xfId="464" xr:uid="{00000000-0005-0000-0000-0000CF010000}"/>
    <cellStyle name="Comma 6" xfId="465" xr:uid="{00000000-0005-0000-0000-0000D0010000}"/>
    <cellStyle name="Comma 6 2" xfId="466" xr:uid="{00000000-0005-0000-0000-0000D1010000}"/>
    <cellStyle name="Comma 6 3" xfId="467" xr:uid="{00000000-0005-0000-0000-0000D2010000}"/>
    <cellStyle name="Comma 6 4" xfId="468" xr:uid="{00000000-0005-0000-0000-0000D3010000}"/>
    <cellStyle name="Comma 6 4 2" xfId="469" xr:uid="{00000000-0005-0000-0000-0000D4010000}"/>
    <cellStyle name="Comma 6 4 3" xfId="470" xr:uid="{00000000-0005-0000-0000-0000D5010000}"/>
    <cellStyle name="Comma 6 4 4" xfId="471" xr:uid="{00000000-0005-0000-0000-0000D6010000}"/>
    <cellStyle name="Comma 6 4 5" xfId="472" xr:uid="{00000000-0005-0000-0000-0000D7010000}"/>
    <cellStyle name="Comma 6 5" xfId="473" xr:uid="{00000000-0005-0000-0000-0000D8010000}"/>
    <cellStyle name="Comma 6 6" xfId="474" xr:uid="{00000000-0005-0000-0000-0000D9010000}"/>
    <cellStyle name="Comma 6 7" xfId="475" xr:uid="{00000000-0005-0000-0000-0000DA010000}"/>
    <cellStyle name="Comma 6 7 2" xfId="476" xr:uid="{00000000-0005-0000-0000-0000DB010000}"/>
    <cellStyle name="Comma 6 7 3" xfId="477" xr:uid="{00000000-0005-0000-0000-0000DC010000}"/>
    <cellStyle name="Comma 60" xfId="478" xr:uid="{00000000-0005-0000-0000-0000DD010000}"/>
    <cellStyle name="Comma 60 2" xfId="479" xr:uid="{00000000-0005-0000-0000-0000DE010000}"/>
    <cellStyle name="Comma 60 3" xfId="480" xr:uid="{00000000-0005-0000-0000-0000DF010000}"/>
    <cellStyle name="Comma 60 4" xfId="481" xr:uid="{00000000-0005-0000-0000-0000E0010000}"/>
    <cellStyle name="Comma 60 5" xfId="482" xr:uid="{00000000-0005-0000-0000-0000E1010000}"/>
    <cellStyle name="Comma 61" xfId="483" xr:uid="{00000000-0005-0000-0000-0000E2010000}"/>
    <cellStyle name="Comma 61 2" xfId="484" xr:uid="{00000000-0005-0000-0000-0000E3010000}"/>
    <cellStyle name="Comma 61 3" xfId="485" xr:uid="{00000000-0005-0000-0000-0000E4010000}"/>
    <cellStyle name="Comma 61 4" xfId="486" xr:uid="{00000000-0005-0000-0000-0000E5010000}"/>
    <cellStyle name="Comma 61 5" xfId="487" xr:uid="{00000000-0005-0000-0000-0000E6010000}"/>
    <cellStyle name="Comma 62" xfId="488" xr:uid="{00000000-0005-0000-0000-0000E7010000}"/>
    <cellStyle name="Comma 62 2" xfId="489" xr:uid="{00000000-0005-0000-0000-0000E8010000}"/>
    <cellStyle name="Comma 62 3" xfId="490" xr:uid="{00000000-0005-0000-0000-0000E9010000}"/>
    <cellStyle name="Comma 62 4" xfId="491" xr:uid="{00000000-0005-0000-0000-0000EA010000}"/>
    <cellStyle name="Comma 63" xfId="492" xr:uid="{00000000-0005-0000-0000-0000EB010000}"/>
    <cellStyle name="Comma 63 2" xfId="493" xr:uid="{00000000-0005-0000-0000-0000EC010000}"/>
    <cellStyle name="Comma 63 3" xfId="494" xr:uid="{00000000-0005-0000-0000-0000ED010000}"/>
    <cellStyle name="Comma 63 4" xfId="495" xr:uid="{00000000-0005-0000-0000-0000EE010000}"/>
    <cellStyle name="Comma 64" xfId="496" xr:uid="{00000000-0005-0000-0000-0000EF010000}"/>
    <cellStyle name="Comma 64 2" xfId="497" xr:uid="{00000000-0005-0000-0000-0000F0010000}"/>
    <cellStyle name="Comma 64 3" xfId="498" xr:uid="{00000000-0005-0000-0000-0000F1010000}"/>
    <cellStyle name="Comma 64 4" xfId="499" xr:uid="{00000000-0005-0000-0000-0000F2010000}"/>
    <cellStyle name="Comma 65" xfId="500" xr:uid="{00000000-0005-0000-0000-0000F3010000}"/>
    <cellStyle name="Comma 65 2" xfId="501" xr:uid="{00000000-0005-0000-0000-0000F4010000}"/>
    <cellStyle name="Comma 65 3" xfId="502" xr:uid="{00000000-0005-0000-0000-0000F5010000}"/>
    <cellStyle name="Comma 65 4" xfId="503" xr:uid="{00000000-0005-0000-0000-0000F6010000}"/>
    <cellStyle name="Comma 66" xfId="504" xr:uid="{00000000-0005-0000-0000-0000F7010000}"/>
    <cellStyle name="Comma 66 2" xfId="505" xr:uid="{00000000-0005-0000-0000-0000F8010000}"/>
    <cellStyle name="Comma 66 3" xfId="506" xr:uid="{00000000-0005-0000-0000-0000F9010000}"/>
    <cellStyle name="Comma 66 4" xfId="507" xr:uid="{00000000-0005-0000-0000-0000FA010000}"/>
    <cellStyle name="Comma 67" xfId="508" xr:uid="{00000000-0005-0000-0000-0000FB010000}"/>
    <cellStyle name="Comma 67 2" xfId="509" xr:uid="{00000000-0005-0000-0000-0000FC010000}"/>
    <cellStyle name="Comma 67 3" xfId="510" xr:uid="{00000000-0005-0000-0000-0000FD010000}"/>
    <cellStyle name="Comma 67 4" xfId="511" xr:uid="{00000000-0005-0000-0000-0000FE010000}"/>
    <cellStyle name="Comma 68" xfId="512" xr:uid="{00000000-0005-0000-0000-0000FF010000}"/>
    <cellStyle name="Comma 68 2" xfId="513" xr:uid="{00000000-0005-0000-0000-000000020000}"/>
    <cellStyle name="Comma 68 3" xfId="514" xr:uid="{00000000-0005-0000-0000-000001020000}"/>
    <cellStyle name="Comma 68 4" xfId="515" xr:uid="{00000000-0005-0000-0000-000002020000}"/>
    <cellStyle name="Comma 69" xfId="516" xr:uid="{00000000-0005-0000-0000-000003020000}"/>
    <cellStyle name="Comma 69 2" xfId="517" xr:uid="{00000000-0005-0000-0000-000004020000}"/>
    <cellStyle name="Comma 7" xfId="518" xr:uid="{00000000-0005-0000-0000-000005020000}"/>
    <cellStyle name="Comma 7 2" xfId="519" xr:uid="{00000000-0005-0000-0000-000006020000}"/>
    <cellStyle name="Comma 70" xfId="520" xr:uid="{00000000-0005-0000-0000-000007020000}"/>
    <cellStyle name="Comma 70 2" xfId="521" xr:uid="{00000000-0005-0000-0000-000008020000}"/>
    <cellStyle name="Comma 71" xfId="522" xr:uid="{00000000-0005-0000-0000-000009020000}"/>
    <cellStyle name="Comma 71 2" xfId="523" xr:uid="{00000000-0005-0000-0000-00000A020000}"/>
    <cellStyle name="Comma 72" xfId="524" xr:uid="{00000000-0005-0000-0000-00000B020000}"/>
    <cellStyle name="Comma 72 2" xfId="525" xr:uid="{00000000-0005-0000-0000-00000C020000}"/>
    <cellStyle name="Comma 72 3" xfId="526" xr:uid="{00000000-0005-0000-0000-00000D020000}"/>
    <cellStyle name="Comma 72 4" xfId="527" xr:uid="{00000000-0005-0000-0000-00000E020000}"/>
    <cellStyle name="Comma 73" xfId="528" xr:uid="{00000000-0005-0000-0000-00000F020000}"/>
    <cellStyle name="Comma 73 2" xfId="529" xr:uid="{00000000-0005-0000-0000-000010020000}"/>
    <cellStyle name="Comma 73 3" xfId="530" xr:uid="{00000000-0005-0000-0000-000011020000}"/>
    <cellStyle name="Comma 73 4" xfId="531" xr:uid="{00000000-0005-0000-0000-000012020000}"/>
    <cellStyle name="Comma 74" xfId="532" xr:uid="{00000000-0005-0000-0000-000013020000}"/>
    <cellStyle name="Comma 74 2" xfId="533" xr:uid="{00000000-0005-0000-0000-000014020000}"/>
    <cellStyle name="Comma 74 3" xfId="534" xr:uid="{00000000-0005-0000-0000-000015020000}"/>
    <cellStyle name="Comma 74 4" xfId="535" xr:uid="{00000000-0005-0000-0000-000016020000}"/>
    <cellStyle name="Comma 75" xfId="536" xr:uid="{00000000-0005-0000-0000-000017020000}"/>
    <cellStyle name="Comma 75 2" xfId="537" xr:uid="{00000000-0005-0000-0000-000018020000}"/>
    <cellStyle name="Comma 75 3" xfId="538" xr:uid="{00000000-0005-0000-0000-000019020000}"/>
    <cellStyle name="Comma 75 4" xfId="539" xr:uid="{00000000-0005-0000-0000-00001A020000}"/>
    <cellStyle name="Comma 76" xfId="540" xr:uid="{00000000-0005-0000-0000-00001B020000}"/>
    <cellStyle name="Comma 76 2" xfId="541" xr:uid="{00000000-0005-0000-0000-00001C020000}"/>
    <cellStyle name="Comma 76 3" xfId="542" xr:uid="{00000000-0005-0000-0000-00001D020000}"/>
    <cellStyle name="Comma 76 4" xfId="543" xr:uid="{00000000-0005-0000-0000-00001E020000}"/>
    <cellStyle name="Comma 77" xfId="544" xr:uid="{00000000-0005-0000-0000-00001F020000}"/>
    <cellStyle name="Comma 77 2" xfId="545" xr:uid="{00000000-0005-0000-0000-000020020000}"/>
    <cellStyle name="Comma 77 3" xfId="546" xr:uid="{00000000-0005-0000-0000-000021020000}"/>
    <cellStyle name="Comma 77 4" xfId="547" xr:uid="{00000000-0005-0000-0000-000022020000}"/>
    <cellStyle name="Comma 78" xfId="548" xr:uid="{00000000-0005-0000-0000-000023020000}"/>
    <cellStyle name="Comma 78 2" xfId="549" xr:uid="{00000000-0005-0000-0000-000024020000}"/>
    <cellStyle name="Comma 78 3" xfId="550" xr:uid="{00000000-0005-0000-0000-000025020000}"/>
    <cellStyle name="Comma 78 4" xfId="551" xr:uid="{00000000-0005-0000-0000-000026020000}"/>
    <cellStyle name="Comma 79" xfId="552" xr:uid="{00000000-0005-0000-0000-000027020000}"/>
    <cellStyle name="Comma 79 2" xfId="553" xr:uid="{00000000-0005-0000-0000-000028020000}"/>
    <cellStyle name="Comma 79 3" xfId="554" xr:uid="{00000000-0005-0000-0000-000029020000}"/>
    <cellStyle name="Comma 79 4" xfId="555" xr:uid="{00000000-0005-0000-0000-00002A020000}"/>
    <cellStyle name="Comma 8" xfId="556" xr:uid="{00000000-0005-0000-0000-00002B020000}"/>
    <cellStyle name="Comma 80" xfId="557" xr:uid="{00000000-0005-0000-0000-00002C020000}"/>
    <cellStyle name="Comma 80 2" xfId="558" xr:uid="{00000000-0005-0000-0000-00002D020000}"/>
    <cellStyle name="Comma 80 3" xfId="559" xr:uid="{00000000-0005-0000-0000-00002E020000}"/>
    <cellStyle name="Comma 80 4" xfId="560" xr:uid="{00000000-0005-0000-0000-00002F020000}"/>
    <cellStyle name="Comma 81" xfId="561" xr:uid="{00000000-0005-0000-0000-000030020000}"/>
    <cellStyle name="Comma 81 2" xfId="562" xr:uid="{00000000-0005-0000-0000-000031020000}"/>
    <cellStyle name="Comma 81 3" xfId="563" xr:uid="{00000000-0005-0000-0000-000032020000}"/>
    <cellStyle name="Comma 81 4" xfId="564" xr:uid="{00000000-0005-0000-0000-000033020000}"/>
    <cellStyle name="Comma 82" xfId="565" xr:uid="{00000000-0005-0000-0000-000034020000}"/>
    <cellStyle name="Comma 82 2" xfId="566" xr:uid="{00000000-0005-0000-0000-000035020000}"/>
    <cellStyle name="Comma 82 3" xfId="567" xr:uid="{00000000-0005-0000-0000-000036020000}"/>
    <cellStyle name="Comma 82 4" xfId="568" xr:uid="{00000000-0005-0000-0000-000037020000}"/>
    <cellStyle name="Comma 83" xfId="569" xr:uid="{00000000-0005-0000-0000-000038020000}"/>
    <cellStyle name="Comma 83 2" xfId="570" xr:uid="{00000000-0005-0000-0000-000039020000}"/>
    <cellStyle name="Comma 83 3" xfId="571" xr:uid="{00000000-0005-0000-0000-00003A020000}"/>
    <cellStyle name="Comma 83 4" xfId="572" xr:uid="{00000000-0005-0000-0000-00003B020000}"/>
    <cellStyle name="Comma 84" xfId="573" xr:uid="{00000000-0005-0000-0000-00003C020000}"/>
    <cellStyle name="Comma 84 2" xfId="574" xr:uid="{00000000-0005-0000-0000-00003D020000}"/>
    <cellStyle name="Comma 84 3" xfId="575" xr:uid="{00000000-0005-0000-0000-00003E020000}"/>
    <cellStyle name="Comma 84 4" xfId="576" xr:uid="{00000000-0005-0000-0000-00003F020000}"/>
    <cellStyle name="Comma 85" xfId="577" xr:uid="{00000000-0005-0000-0000-000040020000}"/>
    <cellStyle name="Comma 85 2" xfId="578" xr:uid="{00000000-0005-0000-0000-000041020000}"/>
    <cellStyle name="Comma 85 3" xfId="579" xr:uid="{00000000-0005-0000-0000-000042020000}"/>
    <cellStyle name="Comma 85 4" xfId="580" xr:uid="{00000000-0005-0000-0000-000043020000}"/>
    <cellStyle name="Comma 86" xfId="581" xr:uid="{00000000-0005-0000-0000-000044020000}"/>
    <cellStyle name="Comma 86 2" xfId="582" xr:uid="{00000000-0005-0000-0000-000045020000}"/>
    <cellStyle name="Comma 86 3" xfId="583" xr:uid="{00000000-0005-0000-0000-000046020000}"/>
    <cellStyle name="Comma 86 4" xfId="584" xr:uid="{00000000-0005-0000-0000-000047020000}"/>
    <cellStyle name="Comma 87" xfId="585" xr:uid="{00000000-0005-0000-0000-000048020000}"/>
    <cellStyle name="Comma 87 2" xfId="586" xr:uid="{00000000-0005-0000-0000-000049020000}"/>
    <cellStyle name="Comma 87 3" xfId="587" xr:uid="{00000000-0005-0000-0000-00004A020000}"/>
    <cellStyle name="Comma 87 4" xfId="588" xr:uid="{00000000-0005-0000-0000-00004B020000}"/>
    <cellStyle name="Comma 88" xfId="589" xr:uid="{00000000-0005-0000-0000-00004C020000}"/>
    <cellStyle name="Comma 88 2" xfId="590" xr:uid="{00000000-0005-0000-0000-00004D020000}"/>
    <cellStyle name="Comma 88 3" xfId="591" xr:uid="{00000000-0005-0000-0000-00004E020000}"/>
    <cellStyle name="Comma 88 4" xfId="592" xr:uid="{00000000-0005-0000-0000-00004F020000}"/>
    <cellStyle name="Comma 89" xfId="593" xr:uid="{00000000-0005-0000-0000-000050020000}"/>
    <cellStyle name="Comma 89 2" xfId="594" xr:uid="{00000000-0005-0000-0000-000051020000}"/>
    <cellStyle name="Comma 89 3" xfId="595" xr:uid="{00000000-0005-0000-0000-000052020000}"/>
    <cellStyle name="Comma 89 4" xfId="596" xr:uid="{00000000-0005-0000-0000-000053020000}"/>
    <cellStyle name="Comma 9" xfId="597" xr:uid="{00000000-0005-0000-0000-000054020000}"/>
    <cellStyle name="Comma 90" xfId="598" xr:uid="{00000000-0005-0000-0000-000055020000}"/>
    <cellStyle name="Comma 90 2" xfId="599" xr:uid="{00000000-0005-0000-0000-000056020000}"/>
    <cellStyle name="Comma 91" xfId="600" xr:uid="{00000000-0005-0000-0000-000057020000}"/>
    <cellStyle name="Comma 91 2" xfId="601" xr:uid="{00000000-0005-0000-0000-000058020000}"/>
    <cellStyle name="Comma 92" xfId="602" xr:uid="{00000000-0005-0000-0000-000059020000}"/>
    <cellStyle name="Comma 92 2" xfId="603" xr:uid="{00000000-0005-0000-0000-00005A020000}"/>
    <cellStyle name="Comma 92 3" xfId="604" xr:uid="{00000000-0005-0000-0000-00005B020000}"/>
    <cellStyle name="Comma 93" xfId="605" xr:uid="{00000000-0005-0000-0000-00005C020000}"/>
    <cellStyle name="Comma 93 2" xfId="606" xr:uid="{00000000-0005-0000-0000-00005D020000}"/>
    <cellStyle name="Comma 93 3" xfId="607" xr:uid="{00000000-0005-0000-0000-00005E020000}"/>
    <cellStyle name="Comma 94" xfId="608" xr:uid="{00000000-0005-0000-0000-00005F020000}"/>
    <cellStyle name="Comma 95" xfId="609" xr:uid="{00000000-0005-0000-0000-000060020000}"/>
    <cellStyle name="Comma 96" xfId="610" xr:uid="{00000000-0005-0000-0000-000061020000}"/>
    <cellStyle name="Comma 97" xfId="611" xr:uid="{00000000-0005-0000-0000-000062020000}"/>
    <cellStyle name="Comma 98" xfId="612" xr:uid="{00000000-0005-0000-0000-000063020000}"/>
    <cellStyle name="Comma 99" xfId="613" xr:uid="{00000000-0005-0000-0000-000064020000}"/>
    <cellStyle name="Comma0" xfId="614" xr:uid="{00000000-0005-0000-0000-000065020000}"/>
    <cellStyle name="Comma0 2" xfId="615" xr:uid="{00000000-0005-0000-0000-000066020000}"/>
    <cellStyle name="Comma0 2 2" xfId="616" xr:uid="{00000000-0005-0000-0000-000067020000}"/>
    <cellStyle name="Comma0 2 3" xfId="617" xr:uid="{00000000-0005-0000-0000-000068020000}"/>
    <cellStyle name="Comma0 2 4" xfId="618" xr:uid="{00000000-0005-0000-0000-000069020000}"/>
    <cellStyle name="Comma0 2 5" xfId="619" xr:uid="{00000000-0005-0000-0000-00006A020000}"/>
    <cellStyle name="Comma0 2 6" xfId="620" xr:uid="{00000000-0005-0000-0000-00006B020000}"/>
    <cellStyle name="Comma0 3" xfId="621" xr:uid="{00000000-0005-0000-0000-00006C020000}"/>
    <cellStyle name="Currency" xfId="622" builtinId="4"/>
    <cellStyle name="Currency 10" xfId="623" xr:uid="{00000000-0005-0000-0000-00006E020000}"/>
    <cellStyle name="Currency 10 2" xfId="624" xr:uid="{00000000-0005-0000-0000-00006F020000}"/>
    <cellStyle name="Currency 10 3" xfId="625" xr:uid="{00000000-0005-0000-0000-000070020000}"/>
    <cellStyle name="Currency 10 4" xfId="626" xr:uid="{00000000-0005-0000-0000-000071020000}"/>
    <cellStyle name="Currency 11" xfId="627" xr:uid="{00000000-0005-0000-0000-000072020000}"/>
    <cellStyle name="Currency 11 2" xfId="628" xr:uid="{00000000-0005-0000-0000-000073020000}"/>
    <cellStyle name="Currency 11 3" xfId="629" xr:uid="{00000000-0005-0000-0000-000074020000}"/>
    <cellStyle name="Currency 12" xfId="630" xr:uid="{00000000-0005-0000-0000-000075020000}"/>
    <cellStyle name="Currency 12 2" xfId="631" xr:uid="{00000000-0005-0000-0000-000076020000}"/>
    <cellStyle name="Currency 13" xfId="632" xr:uid="{00000000-0005-0000-0000-000077020000}"/>
    <cellStyle name="Currency 2" xfId="633" xr:uid="{00000000-0005-0000-0000-000078020000}"/>
    <cellStyle name="Currency 2 2" xfId="634" xr:uid="{00000000-0005-0000-0000-000079020000}"/>
    <cellStyle name="Currency 2 2 2" xfId="635" xr:uid="{00000000-0005-0000-0000-00007A020000}"/>
    <cellStyle name="Currency 2 3" xfId="636" xr:uid="{00000000-0005-0000-0000-00007B020000}"/>
    <cellStyle name="Currency 3" xfId="637" xr:uid="{00000000-0005-0000-0000-00007C020000}"/>
    <cellStyle name="Currency 3 10" xfId="638" xr:uid="{00000000-0005-0000-0000-00007D020000}"/>
    <cellStyle name="Currency 3 10 2" xfId="639" xr:uid="{00000000-0005-0000-0000-00007E020000}"/>
    <cellStyle name="Currency 3 10 3" xfId="640" xr:uid="{00000000-0005-0000-0000-00007F020000}"/>
    <cellStyle name="Currency 3 11" xfId="641" xr:uid="{00000000-0005-0000-0000-000080020000}"/>
    <cellStyle name="Currency 3 11 2" xfId="642" xr:uid="{00000000-0005-0000-0000-000081020000}"/>
    <cellStyle name="Currency 3 12" xfId="643" xr:uid="{00000000-0005-0000-0000-000082020000}"/>
    <cellStyle name="Currency 3 12 2" xfId="644" xr:uid="{00000000-0005-0000-0000-000083020000}"/>
    <cellStyle name="Currency 3 13" xfId="645" xr:uid="{00000000-0005-0000-0000-000084020000}"/>
    <cellStyle name="Currency 3 13 2" xfId="646" xr:uid="{00000000-0005-0000-0000-000085020000}"/>
    <cellStyle name="Currency 3 14" xfId="647" xr:uid="{00000000-0005-0000-0000-000086020000}"/>
    <cellStyle name="Currency 3 15" xfId="648" xr:uid="{00000000-0005-0000-0000-000087020000}"/>
    <cellStyle name="Currency 3 2" xfId="649" xr:uid="{00000000-0005-0000-0000-000088020000}"/>
    <cellStyle name="Currency 3 2 2" xfId="650" xr:uid="{00000000-0005-0000-0000-000089020000}"/>
    <cellStyle name="Currency 3 3" xfId="651" xr:uid="{00000000-0005-0000-0000-00008A020000}"/>
    <cellStyle name="Currency 3 3 2" xfId="652" xr:uid="{00000000-0005-0000-0000-00008B020000}"/>
    <cellStyle name="Currency 3 3 2 2" xfId="653" xr:uid="{00000000-0005-0000-0000-00008C020000}"/>
    <cellStyle name="Currency 3 3 2 3" xfId="654" xr:uid="{00000000-0005-0000-0000-00008D020000}"/>
    <cellStyle name="Currency 3 3 3" xfId="655" xr:uid="{00000000-0005-0000-0000-00008E020000}"/>
    <cellStyle name="Currency 3 3 3 2" xfId="656" xr:uid="{00000000-0005-0000-0000-00008F020000}"/>
    <cellStyle name="Currency 3 3 3 2 2" xfId="657" xr:uid="{00000000-0005-0000-0000-000090020000}"/>
    <cellStyle name="Currency 3 3 3 2 3" xfId="658" xr:uid="{00000000-0005-0000-0000-000091020000}"/>
    <cellStyle name="Currency 3 3 3 2 4" xfId="659" xr:uid="{00000000-0005-0000-0000-000092020000}"/>
    <cellStyle name="Currency 3 3 3 2 5" xfId="660" xr:uid="{00000000-0005-0000-0000-000093020000}"/>
    <cellStyle name="Currency 3 3 3 3" xfId="661" xr:uid="{00000000-0005-0000-0000-000094020000}"/>
    <cellStyle name="Currency 3 3 4" xfId="662" xr:uid="{00000000-0005-0000-0000-000095020000}"/>
    <cellStyle name="Currency 3 3 5" xfId="663" xr:uid="{00000000-0005-0000-0000-000096020000}"/>
    <cellStyle name="Currency 3 3 5 2" xfId="664" xr:uid="{00000000-0005-0000-0000-000097020000}"/>
    <cellStyle name="Currency 3 3 5 3" xfId="665" xr:uid="{00000000-0005-0000-0000-000098020000}"/>
    <cellStyle name="Currency 3 3 5 4" xfId="666" xr:uid="{00000000-0005-0000-0000-000099020000}"/>
    <cellStyle name="Currency 3 3 5 5" xfId="667" xr:uid="{00000000-0005-0000-0000-00009A020000}"/>
    <cellStyle name="Currency 3 3 6" xfId="668" xr:uid="{00000000-0005-0000-0000-00009B020000}"/>
    <cellStyle name="Currency 3 4" xfId="669" xr:uid="{00000000-0005-0000-0000-00009C020000}"/>
    <cellStyle name="Currency 3 4 2" xfId="670" xr:uid="{00000000-0005-0000-0000-00009D020000}"/>
    <cellStyle name="Currency 3 4 3" xfId="671" xr:uid="{00000000-0005-0000-0000-00009E020000}"/>
    <cellStyle name="Currency 3 4 4" xfId="672" xr:uid="{00000000-0005-0000-0000-00009F020000}"/>
    <cellStyle name="Currency 3 4 4 2" xfId="673" xr:uid="{00000000-0005-0000-0000-0000A0020000}"/>
    <cellStyle name="Currency 3 4 4 3" xfId="674" xr:uid="{00000000-0005-0000-0000-0000A1020000}"/>
    <cellStyle name="Currency 3 4 4 4" xfId="675" xr:uid="{00000000-0005-0000-0000-0000A2020000}"/>
    <cellStyle name="Currency 3 4 4 5" xfId="676" xr:uid="{00000000-0005-0000-0000-0000A3020000}"/>
    <cellStyle name="Currency 3 4 5" xfId="677" xr:uid="{00000000-0005-0000-0000-0000A4020000}"/>
    <cellStyle name="Currency 3 5" xfId="678" xr:uid="{00000000-0005-0000-0000-0000A5020000}"/>
    <cellStyle name="Currency 3 5 2" xfId="679" xr:uid="{00000000-0005-0000-0000-0000A6020000}"/>
    <cellStyle name="Currency 3 6" xfId="680" xr:uid="{00000000-0005-0000-0000-0000A7020000}"/>
    <cellStyle name="Currency 3 6 2" xfId="681" xr:uid="{00000000-0005-0000-0000-0000A8020000}"/>
    <cellStyle name="Currency 3 6 3" xfId="682" xr:uid="{00000000-0005-0000-0000-0000A9020000}"/>
    <cellStyle name="Currency 3 6 4" xfId="683" xr:uid="{00000000-0005-0000-0000-0000AA020000}"/>
    <cellStyle name="Currency 3 7" xfId="684" xr:uid="{00000000-0005-0000-0000-0000AB020000}"/>
    <cellStyle name="Currency 3 7 2" xfId="685" xr:uid="{00000000-0005-0000-0000-0000AC020000}"/>
    <cellStyle name="Currency 3 7 3" xfId="686" xr:uid="{00000000-0005-0000-0000-0000AD020000}"/>
    <cellStyle name="Currency 3 7 4" xfId="687" xr:uid="{00000000-0005-0000-0000-0000AE020000}"/>
    <cellStyle name="Currency 3 8" xfId="688" xr:uid="{00000000-0005-0000-0000-0000AF020000}"/>
    <cellStyle name="Currency 3 8 2" xfId="689" xr:uid="{00000000-0005-0000-0000-0000B0020000}"/>
    <cellStyle name="Currency 3 8 3" xfId="690" xr:uid="{00000000-0005-0000-0000-0000B1020000}"/>
    <cellStyle name="Currency 3 8 4" xfId="691" xr:uid="{00000000-0005-0000-0000-0000B2020000}"/>
    <cellStyle name="Currency 3 9" xfId="692" xr:uid="{00000000-0005-0000-0000-0000B3020000}"/>
    <cellStyle name="Currency 3 9 2" xfId="693" xr:uid="{00000000-0005-0000-0000-0000B4020000}"/>
    <cellStyle name="Currency 3 9 3" xfId="694" xr:uid="{00000000-0005-0000-0000-0000B5020000}"/>
    <cellStyle name="Currency 3 9 4" xfId="695" xr:uid="{00000000-0005-0000-0000-0000B6020000}"/>
    <cellStyle name="Currency 4" xfId="696" xr:uid="{00000000-0005-0000-0000-0000B7020000}"/>
    <cellStyle name="Currency 4 10" xfId="697" xr:uid="{00000000-0005-0000-0000-0000B8020000}"/>
    <cellStyle name="Currency 4 10 2" xfId="698" xr:uid="{00000000-0005-0000-0000-0000B9020000}"/>
    <cellStyle name="Currency 4 10 2 2" xfId="699" xr:uid="{00000000-0005-0000-0000-0000BA020000}"/>
    <cellStyle name="Currency 4 10 2 2 2" xfId="700" xr:uid="{00000000-0005-0000-0000-0000BB020000}"/>
    <cellStyle name="Currency 4 10 2 3" xfId="701" xr:uid="{00000000-0005-0000-0000-0000BC020000}"/>
    <cellStyle name="Currency 4 10 2 3 2" xfId="702" xr:uid="{00000000-0005-0000-0000-0000BD020000}"/>
    <cellStyle name="Currency 4 10 2 4" xfId="703" xr:uid="{00000000-0005-0000-0000-0000BE020000}"/>
    <cellStyle name="Currency 4 10 2 5" xfId="704" xr:uid="{00000000-0005-0000-0000-0000BF020000}"/>
    <cellStyle name="Currency 4 10 2 6" xfId="705" xr:uid="{00000000-0005-0000-0000-0000C0020000}"/>
    <cellStyle name="Currency 4 10 3" xfId="706" xr:uid="{00000000-0005-0000-0000-0000C1020000}"/>
    <cellStyle name="Currency 4 10 3 2" xfId="707" xr:uid="{00000000-0005-0000-0000-0000C2020000}"/>
    <cellStyle name="Currency 4 10 4" xfId="708" xr:uid="{00000000-0005-0000-0000-0000C3020000}"/>
    <cellStyle name="Currency 4 10 4 2" xfId="709" xr:uid="{00000000-0005-0000-0000-0000C4020000}"/>
    <cellStyle name="Currency 4 10 4 3" xfId="710" xr:uid="{00000000-0005-0000-0000-0000C5020000}"/>
    <cellStyle name="Currency 4 10 5" xfId="711" xr:uid="{00000000-0005-0000-0000-0000C6020000}"/>
    <cellStyle name="Currency 4 10 5 2" xfId="712" xr:uid="{00000000-0005-0000-0000-0000C7020000}"/>
    <cellStyle name="Currency 4 10 6" xfId="713" xr:uid="{00000000-0005-0000-0000-0000C8020000}"/>
    <cellStyle name="Currency 4 2" xfId="714" xr:uid="{00000000-0005-0000-0000-0000C9020000}"/>
    <cellStyle name="Currency 4 2 2" xfId="715" xr:uid="{00000000-0005-0000-0000-0000CA020000}"/>
    <cellStyle name="Currency 4 2 3" xfId="716" xr:uid="{00000000-0005-0000-0000-0000CB020000}"/>
    <cellStyle name="Currency 4 3" xfId="717" xr:uid="{00000000-0005-0000-0000-0000CC020000}"/>
    <cellStyle name="Currency 4 3 2" xfId="718" xr:uid="{00000000-0005-0000-0000-0000CD020000}"/>
    <cellStyle name="Currency 4 3 2 2" xfId="719" xr:uid="{00000000-0005-0000-0000-0000CE020000}"/>
    <cellStyle name="Currency 4 3 2 3" xfId="720" xr:uid="{00000000-0005-0000-0000-0000CF020000}"/>
    <cellStyle name="Currency 4 3 2 4" xfId="721" xr:uid="{00000000-0005-0000-0000-0000D0020000}"/>
    <cellStyle name="Currency 4 3 2 5" xfId="722" xr:uid="{00000000-0005-0000-0000-0000D1020000}"/>
    <cellStyle name="Currency 4 3 3" xfId="723" xr:uid="{00000000-0005-0000-0000-0000D2020000}"/>
    <cellStyle name="Currency 4 4" xfId="724" xr:uid="{00000000-0005-0000-0000-0000D3020000}"/>
    <cellStyle name="Currency 4 5" xfId="725" xr:uid="{00000000-0005-0000-0000-0000D4020000}"/>
    <cellStyle name="Currency 4 5 2" xfId="726" xr:uid="{00000000-0005-0000-0000-0000D5020000}"/>
    <cellStyle name="Currency 4 5 3" xfId="727" xr:uid="{00000000-0005-0000-0000-0000D6020000}"/>
    <cellStyle name="Currency 4 5 4" xfId="728" xr:uid="{00000000-0005-0000-0000-0000D7020000}"/>
    <cellStyle name="Currency 4 5 5" xfId="729" xr:uid="{00000000-0005-0000-0000-0000D8020000}"/>
    <cellStyle name="Currency 5" xfId="730" xr:uid="{00000000-0005-0000-0000-0000D9020000}"/>
    <cellStyle name="Currency 5 2" xfId="731" xr:uid="{00000000-0005-0000-0000-0000DA020000}"/>
    <cellStyle name="Currency 5 3" xfId="732" xr:uid="{00000000-0005-0000-0000-0000DB020000}"/>
    <cellStyle name="Currency 5 4" xfId="733" xr:uid="{00000000-0005-0000-0000-0000DC020000}"/>
    <cellStyle name="Currency 5 4 2" xfId="734" xr:uid="{00000000-0005-0000-0000-0000DD020000}"/>
    <cellStyle name="Currency 5 4 3" xfId="735" xr:uid="{00000000-0005-0000-0000-0000DE020000}"/>
    <cellStyle name="Currency 5 4 4" xfId="736" xr:uid="{00000000-0005-0000-0000-0000DF020000}"/>
    <cellStyle name="Currency 5 4 5" xfId="737" xr:uid="{00000000-0005-0000-0000-0000E0020000}"/>
    <cellStyle name="Currency 5 5" xfId="738" xr:uid="{00000000-0005-0000-0000-0000E1020000}"/>
    <cellStyle name="Currency 6" xfId="739" xr:uid="{00000000-0005-0000-0000-0000E2020000}"/>
    <cellStyle name="Currency 6 2" xfId="740" xr:uid="{00000000-0005-0000-0000-0000E3020000}"/>
    <cellStyle name="Currency 6 3" xfId="741" xr:uid="{00000000-0005-0000-0000-0000E4020000}"/>
    <cellStyle name="Currency 6 3 2" xfId="742" xr:uid="{00000000-0005-0000-0000-0000E5020000}"/>
    <cellStyle name="Currency 6 3 3" xfId="743" xr:uid="{00000000-0005-0000-0000-0000E6020000}"/>
    <cellStyle name="Currency 6 3 4" xfId="744" xr:uid="{00000000-0005-0000-0000-0000E7020000}"/>
    <cellStyle name="Currency 6 3 5" xfId="745" xr:uid="{00000000-0005-0000-0000-0000E8020000}"/>
    <cellStyle name="Currency 6 4" xfId="746" xr:uid="{00000000-0005-0000-0000-0000E9020000}"/>
    <cellStyle name="Currency 6 4 2" xfId="747" xr:uid="{00000000-0005-0000-0000-0000EA020000}"/>
    <cellStyle name="Currency 6 4 3" xfId="748" xr:uid="{00000000-0005-0000-0000-0000EB020000}"/>
    <cellStyle name="Currency 7" xfId="749" xr:uid="{00000000-0005-0000-0000-0000EC020000}"/>
    <cellStyle name="Currency 7 2" xfId="750" xr:uid="{00000000-0005-0000-0000-0000ED020000}"/>
    <cellStyle name="Currency 7 3" xfId="751" xr:uid="{00000000-0005-0000-0000-0000EE020000}"/>
    <cellStyle name="Currency 7 4" xfId="752" xr:uid="{00000000-0005-0000-0000-0000EF020000}"/>
    <cellStyle name="Currency 8" xfId="753" xr:uid="{00000000-0005-0000-0000-0000F0020000}"/>
    <cellStyle name="Currency 8 2" xfId="754" xr:uid="{00000000-0005-0000-0000-0000F1020000}"/>
    <cellStyle name="Currency 8 3" xfId="755" xr:uid="{00000000-0005-0000-0000-0000F2020000}"/>
    <cellStyle name="Currency 8 4" xfId="756" xr:uid="{00000000-0005-0000-0000-0000F3020000}"/>
    <cellStyle name="Currency 9" xfId="757" xr:uid="{00000000-0005-0000-0000-0000F4020000}"/>
    <cellStyle name="Currency 9 2" xfId="758" xr:uid="{00000000-0005-0000-0000-0000F5020000}"/>
    <cellStyle name="Currency 9 3" xfId="759" xr:uid="{00000000-0005-0000-0000-0000F6020000}"/>
    <cellStyle name="Currency 9 4" xfId="760" xr:uid="{00000000-0005-0000-0000-0000F7020000}"/>
    <cellStyle name="Currency0" xfId="761" xr:uid="{00000000-0005-0000-0000-0000F8020000}"/>
    <cellStyle name="Currency0 2" xfId="762" xr:uid="{00000000-0005-0000-0000-0000F9020000}"/>
    <cellStyle name="Currency0 2 2" xfId="763" xr:uid="{00000000-0005-0000-0000-0000FA020000}"/>
    <cellStyle name="Currency0 2 3" xfId="764" xr:uid="{00000000-0005-0000-0000-0000FB020000}"/>
    <cellStyle name="Currency0 2 4" xfId="765" xr:uid="{00000000-0005-0000-0000-0000FC020000}"/>
    <cellStyle name="Currency0 2 5" xfId="766" xr:uid="{00000000-0005-0000-0000-0000FD020000}"/>
    <cellStyle name="Currency0 2 6" xfId="767" xr:uid="{00000000-0005-0000-0000-0000FE020000}"/>
    <cellStyle name="Currency0 3" xfId="768" xr:uid="{00000000-0005-0000-0000-0000FF020000}"/>
    <cellStyle name="Date" xfId="769" xr:uid="{00000000-0005-0000-0000-000000030000}"/>
    <cellStyle name="Date 2" xfId="770" xr:uid="{00000000-0005-0000-0000-000001030000}"/>
    <cellStyle name="Date 2 2" xfId="771" xr:uid="{00000000-0005-0000-0000-000002030000}"/>
    <cellStyle name="Date 2 3" xfId="772" xr:uid="{00000000-0005-0000-0000-000003030000}"/>
    <cellStyle name="Date 2 4" xfId="773" xr:uid="{00000000-0005-0000-0000-000004030000}"/>
    <cellStyle name="Date 2 5" xfId="774" xr:uid="{00000000-0005-0000-0000-000005030000}"/>
    <cellStyle name="Date 2 6" xfId="775" xr:uid="{00000000-0005-0000-0000-000006030000}"/>
    <cellStyle name="Date 3" xfId="776" xr:uid="{00000000-0005-0000-0000-000007030000}"/>
    <cellStyle name="Explanatory Text" xfId="777" builtinId="53" customBuiltin="1"/>
    <cellStyle name="Explanatory Text 2" xfId="778" xr:uid="{00000000-0005-0000-0000-000009030000}"/>
    <cellStyle name="Explanatory Text 2 2" xfId="779" xr:uid="{00000000-0005-0000-0000-00000A030000}"/>
    <cellStyle name="Explanatory Text 2 3" xfId="780" xr:uid="{00000000-0005-0000-0000-00000B030000}"/>
    <cellStyle name="Explanatory Text 2 4" xfId="781" xr:uid="{00000000-0005-0000-0000-00000C030000}"/>
    <cellStyle name="Explanatory Text 2 5" xfId="782" xr:uid="{00000000-0005-0000-0000-00000D030000}"/>
    <cellStyle name="Fixed" xfId="783" xr:uid="{00000000-0005-0000-0000-00000E030000}"/>
    <cellStyle name="Fixed 2" xfId="784" xr:uid="{00000000-0005-0000-0000-00000F030000}"/>
    <cellStyle name="Fixed 2 2" xfId="785" xr:uid="{00000000-0005-0000-0000-000010030000}"/>
    <cellStyle name="Fixed 2 3" xfId="786" xr:uid="{00000000-0005-0000-0000-000011030000}"/>
    <cellStyle name="Fixed 2 4" xfId="787" xr:uid="{00000000-0005-0000-0000-000012030000}"/>
    <cellStyle name="Fixed 2 5" xfId="788" xr:uid="{00000000-0005-0000-0000-000013030000}"/>
    <cellStyle name="Fixed 2 6" xfId="789" xr:uid="{00000000-0005-0000-0000-000014030000}"/>
    <cellStyle name="Fixed 3" xfId="790" xr:uid="{00000000-0005-0000-0000-000015030000}"/>
    <cellStyle name="Good" xfId="791" builtinId="26" customBuiltin="1"/>
    <cellStyle name="Good 2" xfId="792" xr:uid="{00000000-0005-0000-0000-000017030000}"/>
    <cellStyle name="Good 2 2" xfId="793" xr:uid="{00000000-0005-0000-0000-000018030000}"/>
    <cellStyle name="Good 2 3" xfId="794" xr:uid="{00000000-0005-0000-0000-000019030000}"/>
    <cellStyle name="Good 2 4" xfId="795" xr:uid="{00000000-0005-0000-0000-00001A030000}"/>
    <cellStyle name="Good 2 5" xfId="796" xr:uid="{00000000-0005-0000-0000-00001B030000}"/>
    <cellStyle name="Heading 1" xfId="797" builtinId="16" customBuiltin="1"/>
    <cellStyle name="Heading 1 2" xfId="798" xr:uid="{00000000-0005-0000-0000-00001D030000}"/>
    <cellStyle name="Heading 1 2 2" xfId="799" xr:uid="{00000000-0005-0000-0000-00001E030000}"/>
    <cellStyle name="Heading 1 2 3" xfId="800" xr:uid="{00000000-0005-0000-0000-00001F030000}"/>
    <cellStyle name="Heading 1 2 4" xfId="801" xr:uid="{00000000-0005-0000-0000-000020030000}"/>
    <cellStyle name="Heading 1 2 5" xfId="802" xr:uid="{00000000-0005-0000-0000-000021030000}"/>
    <cellStyle name="Heading 1 3" xfId="803" xr:uid="{00000000-0005-0000-0000-000022030000}"/>
    <cellStyle name="Heading 1 3 2" xfId="804" xr:uid="{00000000-0005-0000-0000-000023030000}"/>
    <cellStyle name="Heading 2" xfId="805" builtinId="17" customBuiltin="1"/>
    <cellStyle name="Heading 2 2" xfId="806" xr:uid="{00000000-0005-0000-0000-000025030000}"/>
    <cellStyle name="Heading 2 2 2" xfId="807" xr:uid="{00000000-0005-0000-0000-000026030000}"/>
    <cellStyle name="Heading 2 2 3" xfId="808" xr:uid="{00000000-0005-0000-0000-000027030000}"/>
    <cellStyle name="Heading 2 2 4" xfId="809" xr:uid="{00000000-0005-0000-0000-000028030000}"/>
    <cellStyle name="Heading 2 2 5" xfId="810" xr:uid="{00000000-0005-0000-0000-000029030000}"/>
    <cellStyle name="Heading 2 3" xfId="811" xr:uid="{00000000-0005-0000-0000-00002A030000}"/>
    <cellStyle name="Heading 2 3 2" xfId="812" xr:uid="{00000000-0005-0000-0000-00002B030000}"/>
    <cellStyle name="Heading 3" xfId="813" builtinId="18" customBuiltin="1"/>
    <cellStyle name="Heading 3 2" xfId="814" xr:uid="{00000000-0005-0000-0000-00002D030000}"/>
    <cellStyle name="Heading 3 2 2" xfId="815" xr:uid="{00000000-0005-0000-0000-00002E030000}"/>
    <cellStyle name="Heading 3 2 3" xfId="816" xr:uid="{00000000-0005-0000-0000-00002F030000}"/>
    <cellStyle name="Heading 3 2 4" xfId="817" xr:uid="{00000000-0005-0000-0000-000030030000}"/>
    <cellStyle name="Heading 3 2 5" xfId="818" xr:uid="{00000000-0005-0000-0000-000031030000}"/>
    <cellStyle name="Heading 4" xfId="819" builtinId="19" customBuiltin="1"/>
    <cellStyle name="Heading 4 2" xfId="820" xr:uid="{00000000-0005-0000-0000-000033030000}"/>
    <cellStyle name="Heading 4 2 2" xfId="821" xr:uid="{00000000-0005-0000-0000-000034030000}"/>
    <cellStyle name="Heading 4 2 3" xfId="822" xr:uid="{00000000-0005-0000-0000-000035030000}"/>
    <cellStyle name="Heading 4 2 4" xfId="823" xr:uid="{00000000-0005-0000-0000-000036030000}"/>
    <cellStyle name="Heading 4 2 5" xfId="824" xr:uid="{00000000-0005-0000-0000-000037030000}"/>
    <cellStyle name="Heading1" xfId="825" xr:uid="{00000000-0005-0000-0000-000038030000}"/>
    <cellStyle name="Heading2" xfId="826" xr:uid="{00000000-0005-0000-0000-000039030000}"/>
    <cellStyle name="Input" xfId="827" builtinId="20" customBuiltin="1"/>
    <cellStyle name="Input 2" xfId="828" xr:uid="{00000000-0005-0000-0000-00003B030000}"/>
    <cellStyle name="Input 2 2" xfId="829" xr:uid="{00000000-0005-0000-0000-00003C030000}"/>
    <cellStyle name="Input 2 3" xfId="830" xr:uid="{00000000-0005-0000-0000-00003D030000}"/>
    <cellStyle name="Input 2 4" xfId="831" xr:uid="{00000000-0005-0000-0000-00003E030000}"/>
    <cellStyle name="Input 2 5" xfId="832" xr:uid="{00000000-0005-0000-0000-00003F030000}"/>
    <cellStyle name="Linked Cell" xfId="833" builtinId="24" customBuiltin="1"/>
    <cellStyle name="Linked Cell 2" xfId="834" xr:uid="{00000000-0005-0000-0000-000041030000}"/>
    <cellStyle name="Linked Cell 2 2" xfId="835" xr:uid="{00000000-0005-0000-0000-000042030000}"/>
    <cellStyle name="Linked Cell 2 3" xfId="836" xr:uid="{00000000-0005-0000-0000-000043030000}"/>
    <cellStyle name="Linked Cell 2 4" xfId="837" xr:uid="{00000000-0005-0000-0000-000044030000}"/>
    <cellStyle name="Linked Cell 2 5" xfId="838" xr:uid="{00000000-0005-0000-0000-000045030000}"/>
    <cellStyle name="M" xfId="839" xr:uid="{00000000-0005-0000-0000-000046030000}"/>
    <cellStyle name="M 2" xfId="840" xr:uid="{00000000-0005-0000-0000-000047030000}"/>
    <cellStyle name="M 2 2" xfId="841" xr:uid="{00000000-0005-0000-0000-000048030000}"/>
    <cellStyle name="M 2 2 2" xfId="842" xr:uid="{00000000-0005-0000-0000-000049030000}"/>
    <cellStyle name="M 3" xfId="843" xr:uid="{00000000-0005-0000-0000-00004A030000}"/>
    <cellStyle name="M 3 2" xfId="844" xr:uid="{00000000-0005-0000-0000-00004B030000}"/>
    <cellStyle name="M 3 2 2" xfId="845" xr:uid="{00000000-0005-0000-0000-00004C030000}"/>
    <cellStyle name="M 4" xfId="846" xr:uid="{00000000-0005-0000-0000-00004D030000}"/>
    <cellStyle name="M 5" xfId="847" xr:uid="{00000000-0005-0000-0000-00004E030000}"/>
    <cellStyle name="M 5 2" xfId="848" xr:uid="{00000000-0005-0000-0000-00004F030000}"/>
    <cellStyle name="M 6" xfId="849" xr:uid="{00000000-0005-0000-0000-000050030000}"/>
    <cellStyle name="M 6 2" xfId="850" xr:uid="{00000000-0005-0000-0000-000051030000}"/>
    <cellStyle name="M 7" xfId="851" xr:uid="{00000000-0005-0000-0000-000052030000}"/>
    <cellStyle name="M 8" xfId="852" xr:uid="{00000000-0005-0000-0000-000053030000}"/>
    <cellStyle name="Neutral" xfId="853" builtinId="28" customBuiltin="1"/>
    <cellStyle name="Neutral 2" xfId="854" xr:uid="{00000000-0005-0000-0000-000055030000}"/>
    <cellStyle name="Neutral 2 2" xfId="855" xr:uid="{00000000-0005-0000-0000-000056030000}"/>
    <cellStyle name="Neutral 2 3" xfId="856" xr:uid="{00000000-0005-0000-0000-000057030000}"/>
    <cellStyle name="Neutral 2 4" xfId="857" xr:uid="{00000000-0005-0000-0000-000058030000}"/>
    <cellStyle name="Neutral 2 5" xfId="858" xr:uid="{00000000-0005-0000-0000-000059030000}"/>
    <cellStyle name="Normal" xfId="0" builtinId="0"/>
    <cellStyle name="Normal 10" xfId="859" xr:uid="{00000000-0005-0000-0000-00005B030000}"/>
    <cellStyle name="Normal 10 2" xfId="860" xr:uid="{00000000-0005-0000-0000-00005C030000}"/>
    <cellStyle name="Normal 10 2 2" xfId="861" xr:uid="{00000000-0005-0000-0000-00005D030000}"/>
    <cellStyle name="Normal 10 3" xfId="862" xr:uid="{00000000-0005-0000-0000-00005E030000}"/>
    <cellStyle name="Normal 11" xfId="863" xr:uid="{00000000-0005-0000-0000-00005F030000}"/>
    <cellStyle name="Normal 11 2" xfId="864" xr:uid="{00000000-0005-0000-0000-000060030000}"/>
    <cellStyle name="Normal 11 2 2" xfId="865" xr:uid="{00000000-0005-0000-0000-000061030000}"/>
    <cellStyle name="Normal 11 3" xfId="866" xr:uid="{00000000-0005-0000-0000-000062030000}"/>
    <cellStyle name="Normal 11 4" xfId="867" xr:uid="{00000000-0005-0000-0000-000063030000}"/>
    <cellStyle name="Normal 12" xfId="868" xr:uid="{00000000-0005-0000-0000-000064030000}"/>
    <cellStyle name="Normal 12 2" xfId="869" xr:uid="{00000000-0005-0000-0000-000065030000}"/>
    <cellStyle name="Normal 12 3" xfId="870" xr:uid="{00000000-0005-0000-0000-000066030000}"/>
    <cellStyle name="Normal 12 4" xfId="871" xr:uid="{00000000-0005-0000-0000-000067030000}"/>
    <cellStyle name="Normal 12 5" xfId="872" xr:uid="{00000000-0005-0000-0000-000068030000}"/>
    <cellStyle name="Normal 13" xfId="873" xr:uid="{00000000-0005-0000-0000-000069030000}"/>
    <cellStyle name="Normal 14" xfId="874" xr:uid="{00000000-0005-0000-0000-00006A030000}"/>
    <cellStyle name="Normal 15" xfId="875" xr:uid="{00000000-0005-0000-0000-00006B030000}"/>
    <cellStyle name="Normal 16" xfId="876" xr:uid="{00000000-0005-0000-0000-00006C030000}"/>
    <cellStyle name="Normal 17" xfId="877" xr:uid="{00000000-0005-0000-0000-00006D030000}"/>
    <cellStyle name="Normal 18" xfId="878" xr:uid="{00000000-0005-0000-0000-00006E030000}"/>
    <cellStyle name="Normal 19" xfId="879" xr:uid="{00000000-0005-0000-0000-00006F030000}"/>
    <cellStyle name="Normal 2" xfId="880" xr:uid="{00000000-0005-0000-0000-000070030000}"/>
    <cellStyle name="Normal 2 2" xfId="881" xr:uid="{00000000-0005-0000-0000-000071030000}"/>
    <cellStyle name="Normal 2 2 2" xfId="882" xr:uid="{00000000-0005-0000-0000-000072030000}"/>
    <cellStyle name="Normal 2 2 2 2" xfId="883" xr:uid="{00000000-0005-0000-0000-000073030000}"/>
    <cellStyle name="Normal 2 2 3" xfId="884" xr:uid="{00000000-0005-0000-0000-000074030000}"/>
    <cellStyle name="Normal 2 2 3 2" xfId="885" xr:uid="{00000000-0005-0000-0000-000075030000}"/>
    <cellStyle name="Normal 2 2 4" xfId="886" xr:uid="{00000000-0005-0000-0000-000076030000}"/>
    <cellStyle name="Normal 2 3" xfId="887" xr:uid="{00000000-0005-0000-0000-000077030000}"/>
    <cellStyle name="Normal 20" xfId="888" xr:uid="{00000000-0005-0000-0000-000078030000}"/>
    <cellStyle name="Normal 21" xfId="889" xr:uid="{00000000-0005-0000-0000-000079030000}"/>
    <cellStyle name="Normal 22" xfId="890" xr:uid="{00000000-0005-0000-0000-00007A030000}"/>
    <cellStyle name="Normal 23" xfId="891" xr:uid="{00000000-0005-0000-0000-00007B030000}"/>
    <cellStyle name="Normal 24" xfId="892" xr:uid="{00000000-0005-0000-0000-00007C030000}"/>
    <cellStyle name="Normal 25" xfId="893" xr:uid="{00000000-0005-0000-0000-00007D030000}"/>
    <cellStyle name="Normal 26" xfId="894" xr:uid="{00000000-0005-0000-0000-00007E030000}"/>
    <cellStyle name="Normal 3" xfId="895" xr:uid="{00000000-0005-0000-0000-00007F030000}"/>
    <cellStyle name="Normal 3 2" xfId="896" xr:uid="{00000000-0005-0000-0000-000080030000}"/>
    <cellStyle name="Normal 3 2 2" xfId="897" xr:uid="{00000000-0005-0000-0000-000081030000}"/>
    <cellStyle name="Normal 3 3" xfId="898" xr:uid="{00000000-0005-0000-0000-000082030000}"/>
    <cellStyle name="Normal 3 3 2" xfId="899" xr:uid="{00000000-0005-0000-0000-000083030000}"/>
    <cellStyle name="Normal 3 3 3" xfId="900" xr:uid="{00000000-0005-0000-0000-000084030000}"/>
    <cellStyle name="Normal 3 3 4" xfId="901" xr:uid="{00000000-0005-0000-0000-000085030000}"/>
    <cellStyle name="Normal 3 3 5" xfId="902" xr:uid="{00000000-0005-0000-0000-000086030000}"/>
    <cellStyle name="Normal 3_OPCo Period I PJM  Formula Rate" xfId="903" xr:uid="{00000000-0005-0000-0000-000087030000}"/>
    <cellStyle name="Normal 35" xfId="904" xr:uid="{00000000-0005-0000-0000-000088030000}"/>
    <cellStyle name="Normal 4" xfId="905" xr:uid="{00000000-0005-0000-0000-000089030000}"/>
    <cellStyle name="Normal 4 10" xfId="906" xr:uid="{00000000-0005-0000-0000-00008A030000}"/>
    <cellStyle name="Normal 4 10 2" xfId="907" xr:uid="{00000000-0005-0000-0000-00008B030000}"/>
    <cellStyle name="Normal 4 10 3" xfId="908" xr:uid="{00000000-0005-0000-0000-00008C030000}"/>
    <cellStyle name="Normal 4 11" xfId="909" xr:uid="{00000000-0005-0000-0000-00008D030000}"/>
    <cellStyle name="Normal 4 11 2" xfId="910" xr:uid="{00000000-0005-0000-0000-00008E030000}"/>
    <cellStyle name="Normal 4 12" xfId="911" xr:uid="{00000000-0005-0000-0000-00008F030000}"/>
    <cellStyle name="Normal 4 12 2" xfId="912" xr:uid="{00000000-0005-0000-0000-000090030000}"/>
    <cellStyle name="Normal 4 13" xfId="913" xr:uid="{00000000-0005-0000-0000-000091030000}"/>
    <cellStyle name="Normal 4 13 2" xfId="914" xr:uid="{00000000-0005-0000-0000-000092030000}"/>
    <cellStyle name="Normal 4 14" xfId="915" xr:uid="{00000000-0005-0000-0000-000093030000}"/>
    <cellStyle name="Normal 4 15" xfId="916" xr:uid="{00000000-0005-0000-0000-000094030000}"/>
    <cellStyle name="Normal 4 2" xfId="917" xr:uid="{00000000-0005-0000-0000-000095030000}"/>
    <cellStyle name="Normal 4 2 2" xfId="918" xr:uid="{00000000-0005-0000-0000-000096030000}"/>
    <cellStyle name="Normal 4 3" xfId="919" xr:uid="{00000000-0005-0000-0000-000097030000}"/>
    <cellStyle name="Normal 4 3 2" xfId="920" xr:uid="{00000000-0005-0000-0000-000098030000}"/>
    <cellStyle name="Normal 4 3 2 2" xfId="921" xr:uid="{00000000-0005-0000-0000-000099030000}"/>
    <cellStyle name="Normal 4 3 2 3" xfId="922" xr:uid="{00000000-0005-0000-0000-00009A030000}"/>
    <cellStyle name="Normal 4 3 3" xfId="923" xr:uid="{00000000-0005-0000-0000-00009B030000}"/>
    <cellStyle name="Normal 4 3 3 2" xfId="924" xr:uid="{00000000-0005-0000-0000-00009C030000}"/>
    <cellStyle name="Normal 4 3 3 2 2" xfId="925" xr:uid="{00000000-0005-0000-0000-00009D030000}"/>
    <cellStyle name="Normal 4 3 3 2 3" xfId="926" xr:uid="{00000000-0005-0000-0000-00009E030000}"/>
    <cellStyle name="Normal 4 3 3 2 4" xfId="927" xr:uid="{00000000-0005-0000-0000-00009F030000}"/>
    <cellStyle name="Normal 4 3 3 2 5" xfId="928" xr:uid="{00000000-0005-0000-0000-0000A0030000}"/>
    <cellStyle name="Normal 4 3 3 3" xfId="929" xr:uid="{00000000-0005-0000-0000-0000A1030000}"/>
    <cellStyle name="Normal 4 3 4" xfId="930" xr:uid="{00000000-0005-0000-0000-0000A2030000}"/>
    <cellStyle name="Normal 4 3 5" xfId="931" xr:uid="{00000000-0005-0000-0000-0000A3030000}"/>
    <cellStyle name="Normal 4 3 5 2" xfId="932" xr:uid="{00000000-0005-0000-0000-0000A4030000}"/>
    <cellStyle name="Normal 4 3 5 3" xfId="933" xr:uid="{00000000-0005-0000-0000-0000A5030000}"/>
    <cellStyle name="Normal 4 3 5 4" xfId="934" xr:uid="{00000000-0005-0000-0000-0000A6030000}"/>
    <cellStyle name="Normal 4 3 5 5" xfId="935" xr:uid="{00000000-0005-0000-0000-0000A7030000}"/>
    <cellStyle name="Normal 4 3 6" xfId="936" xr:uid="{00000000-0005-0000-0000-0000A8030000}"/>
    <cellStyle name="Normal 4 4" xfId="937" xr:uid="{00000000-0005-0000-0000-0000A9030000}"/>
    <cellStyle name="Normal 4 4 2" xfId="938" xr:uid="{00000000-0005-0000-0000-0000AA030000}"/>
    <cellStyle name="Normal 4 4 3" xfId="939" xr:uid="{00000000-0005-0000-0000-0000AB030000}"/>
    <cellStyle name="Normal 4 4 4" xfId="940" xr:uid="{00000000-0005-0000-0000-0000AC030000}"/>
    <cellStyle name="Normal 4 4 4 2" xfId="941" xr:uid="{00000000-0005-0000-0000-0000AD030000}"/>
    <cellStyle name="Normal 4 4 4 3" xfId="942" xr:uid="{00000000-0005-0000-0000-0000AE030000}"/>
    <cellStyle name="Normal 4 4 4 4" xfId="943" xr:uid="{00000000-0005-0000-0000-0000AF030000}"/>
    <cellStyle name="Normal 4 4 4 5" xfId="944" xr:uid="{00000000-0005-0000-0000-0000B0030000}"/>
    <cellStyle name="Normal 4 4 5" xfId="945" xr:uid="{00000000-0005-0000-0000-0000B1030000}"/>
    <cellStyle name="Normal 4 5" xfId="946" xr:uid="{00000000-0005-0000-0000-0000B2030000}"/>
    <cellStyle name="Normal 4 5 2" xfId="947" xr:uid="{00000000-0005-0000-0000-0000B3030000}"/>
    <cellStyle name="Normal 4 5 2 2" xfId="948" xr:uid="{00000000-0005-0000-0000-0000B4030000}"/>
    <cellStyle name="Normal 4 5 2 2 2" xfId="949" xr:uid="{00000000-0005-0000-0000-0000B5030000}"/>
    <cellStyle name="Normal 4 5 2 2 3" xfId="950" xr:uid="{00000000-0005-0000-0000-0000B6030000}"/>
    <cellStyle name="Normal 4 5 2 2 4" xfId="951" xr:uid="{00000000-0005-0000-0000-0000B7030000}"/>
    <cellStyle name="Normal 4 5 2 2 5" xfId="952" xr:uid="{00000000-0005-0000-0000-0000B8030000}"/>
    <cellStyle name="Normal 4 5 3" xfId="953" xr:uid="{00000000-0005-0000-0000-0000B9030000}"/>
    <cellStyle name="Normal 4 6" xfId="954" xr:uid="{00000000-0005-0000-0000-0000BA030000}"/>
    <cellStyle name="Normal 4 6 2" xfId="955" xr:uid="{00000000-0005-0000-0000-0000BB030000}"/>
    <cellStyle name="Normal 4 6 3" xfId="956" xr:uid="{00000000-0005-0000-0000-0000BC030000}"/>
    <cellStyle name="Normal 4 6 4" xfId="957" xr:uid="{00000000-0005-0000-0000-0000BD030000}"/>
    <cellStyle name="Normal 4 7" xfId="958" xr:uid="{00000000-0005-0000-0000-0000BE030000}"/>
    <cellStyle name="Normal 4 7 2" xfId="959" xr:uid="{00000000-0005-0000-0000-0000BF030000}"/>
    <cellStyle name="Normal 4 7 3" xfId="960" xr:uid="{00000000-0005-0000-0000-0000C0030000}"/>
    <cellStyle name="Normal 4 7 4" xfId="961" xr:uid="{00000000-0005-0000-0000-0000C1030000}"/>
    <cellStyle name="Normal 4 8" xfId="962" xr:uid="{00000000-0005-0000-0000-0000C2030000}"/>
    <cellStyle name="Normal 4 8 2" xfId="963" xr:uid="{00000000-0005-0000-0000-0000C3030000}"/>
    <cellStyle name="Normal 4 8 3" xfId="964" xr:uid="{00000000-0005-0000-0000-0000C4030000}"/>
    <cellStyle name="Normal 4 8 4" xfId="965" xr:uid="{00000000-0005-0000-0000-0000C5030000}"/>
    <cellStyle name="Normal 4 9" xfId="966" xr:uid="{00000000-0005-0000-0000-0000C6030000}"/>
    <cellStyle name="Normal 4 9 2" xfId="967" xr:uid="{00000000-0005-0000-0000-0000C7030000}"/>
    <cellStyle name="Normal 4 9 3" xfId="968" xr:uid="{00000000-0005-0000-0000-0000C8030000}"/>
    <cellStyle name="Normal 4 9 4" xfId="969" xr:uid="{00000000-0005-0000-0000-0000C9030000}"/>
    <cellStyle name="Normal 4_PBOP Exhibit 1" xfId="970" xr:uid="{00000000-0005-0000-0000-0000CA030000}"/>
    <cellStyle name="Normal 5" xfId="971" xr:uid="{00000000-0005-0000-0000-0000CB030000}"/>
    <cellStyle name="Normal 5 2" xfId="972" xr:uid="{00000000-0005-0000-0000-0000CC030000}"/>
    <cellStyle name="Normal 5 2 2" xfId="973" xr:uid="{00000000-0005-0000-0000-0000CD030000}"/>
    <cellStyle name="Normal 5 2 2 2" xfId="974" xr:uid="{00000000-0005-0000-0000-0000CE030000}"/>
    <cellStyle name="Normal 5 2 3" xfId="975" xr:uid="{00000000-0005-0000-0000-0000CF030000}"/>
    <cellStyle name="Normal 5 2 4" xfId="976" xr:uid="{00000000-0005-0000-0000-0000D0030000}"/>
    <cellStyle name="Normal 5 2 5" xfId="977" xr:uid="{00000000-0005-0000-0000-0000D1030000}"/>
    <cellStyle name="Normal 5 2 6" xfId="978" xr:uid="{00000000-0005-0000-0000-0000D2030000}"/>
    <cellStyle name="Normal 5 3" xfId="979" xr:uid="{00000000-0005-0000-0000-0000D3030000}"/>
    <cellStyle name="Normal 5 4" xfId="980" xr:uid="{00000000-0005-0000-0000-0000D4030000}"/>
    <cellStyle name="Normal 6" xfId="981" xr:uid="{00000000-0005-0000-0000-0000D5030000}"/>
    <cellStyle name="Normal 6 2" xfId="982" xr:uid="{00000000-0005-0000-0000-0000D6030000}"/>
    <cellStyle name="Normal 6 2 2" xfId="983" xr:uid="{00000000-0005-0000-0000-0000D7030000}"/>
    <cellStyle name="Normal 6 2 3" xfId="984" xr:uid="{00000000-0005-0000-0000-0000D8030000}"/>
    <cellStyle name="Normal 6 3" xfId="985" xr:uid="{00000000-0005-0000-0000-0000D9030000}"/>
    <cellStyle name="Normal 7" xfId="986" xr:uid="{00000000-0005-0000-0000-0000DA030000}"/>
    <cellStyle name="Normal 7 2" xfId="987" xr:uid="{00000000-0005-0000-0000-0000DB030000}"/>
    <cellStyle name="Normal 7 3" xfId="988" xr:uid="{00000000-0005-0000-0000-0000DC030000}"/>
    <cellStyle name="Normal 8" xfId="989" xr:uid="{00000000-0005-0000-0000-0000DD030000}"/>
    <cellStyle name="Normal 8 2" xfId="990" xr:uid="{00000000-0005-0000-0000-0000DE030000}"/>
    <cellStyle name="Normal 8 2 2" xfId="991" xr:uid="{00000000-0005-0000-0000-0000DF030000}"/>
    <cellStyle name="Normal 9" xfId="992" xr:uid="{00000000-0005-0000-0000-0000E0030000}"/>
    <cellStyle name="Normal 9 2" xfId="993" xr:uid="{00000000-0005-0000-0000-0000E1030000}"/>
    <cellStyle name="Normal 9 2 2" xfId="994" xr:uid="{00000000-0005-0000-0000-0000E2030000}"/>
    <cellStyle name="Normal_FN1 Ratebase Draft SPP template (6-11-04) v2" xfId="995" xr:uid="{00000000-0005-0000-0000-0000E3030000}"/>
    <cellStyle name="Note" xfId="996" builtinId="10" customBuiltin="1"/>
    <cellStyle name="Note 2" xfId="997" xr:uid="{00000000-0005-0000-0000-0000E5030000}"/>
    <cellStyle name="Note 2 2" xfId="998" xr:uid="{00000000-0005-0000-0000-0000E6030000}"/>
    <cellStyle name="Note 2 2 2" xfId="999" xr:uid="{00000000-0005-0000-0000-0000E7030000}"/>
    <cellStyle name="Note 2 2 3" xfId="1000" xr:uid="{00000000-0005-0000-0000-0000E8030000}"/>
    <cellStyle name="Note 2 2 4" xfId="1001" xr:uid="{00000000-0005-0000-0000-0000E9030000}"/>
    <cellStyle name="Note 2 3" xfId="1002" xr:uid="{00000000-0005-0000-0000-0000EA030000}"/>
    <cellStyle name="Note 2 4" xfId="1003" xr:uid="{00000000-0005-0000-0000-0000EB030000}"/>
    <cellStyle name="Note 2 5" xfId="1004" xr:uid="{00000000-0005-0000-0000-0000EC030000}"/>
    <cellStyle name="Output" xfId="1005" builtinId="21" customBuiltin="1"/>
    <cellStyle name="Output 2" xfId="1006" xr:uid="{00000000-0005-0000-0000-0000EE030000}"/>
    <cellStyle name="Output 2 2" xfId="1007" xr:uid="{00000000-0005-0000-0000-0000EF030000}"/>
    <cellStyle name="Output 2 3" xfId="1008" xr:uid="{00000000-0005-0000-0000-0000F0030000}"/>
    <cellStyle name="Output 2 4" xfId="1009" xr:uid="{00000000-0005-0000-0000-0000F1030000}"/>
    <cellStyle name="Output 2 5" xfId="1010" xr:uid="{00000000-0005-0000-0000-0000F2030000}"/>
    <cellStyle name="Percent" xfId="1011" builtinId="5"/>
    <cellStyle name="Percent 10" xfId="1012" xr:uid="{00000000-0005-0000-0000-0000F4030000}"/>
    <cellStyle name="Percent 10 2" xfId="1013" xr:uid="{00000000-0005-0000-0000-0000F5030000}"/>
    <cellStyle name="Percent 10 3" xfId="1014" xr:uid="{00000000-0005-0000-0000-0000F6030000}"/>
    <cellStyle name="Percent 10 4" xfId="1015" xr:uid="{00000000-0005-0000-0000-0000F7030000}"/>
    <cellStyle name="Percent 11" xfId="1016" xr:uid="{00000000-0005-0000-0000-0000F8030000}"/>
    <cellStyle name="Percent 11 2" xfId="1017" xr:uid="{00000000-0005-0000-0000-0000F9030000}"/>
    <cellStyle name="Percent 11 3" xfId="1018" xr:uid="{00000000-0005-0000-0000-0000FA030000}"/>
    <cellStyle name="Percent 11 4" xfId="1019" xr:uid="{00000000-0005-0000-0000-0000FB030000}"/>
    <cellStyle name="Percent 12" xfId="1020" xr:uid="{00000000-0005-0000-0000-0000FC030000}"/>
    <cellStyle name="Percent 12 2" xfId="1021" xr:uid="{00000000-0005-0000-0000-0000FD030000}"/>
    <cellStyle name="Percent 12 3" xfId="1022" xr:uid="{00000000-0005-0000-0000-0000FE030000}"/>
    <cellStyle name="Percent 13" xfId="1023" xr:uid="{00000000-0005-0000-0000-0000FF030000}"/>
    <cellStyle name="Percent 13 2" xfId="1024" xr:uid="{00000000-0005-0000-0000-000000040000}"/>
    <cellStyle name="Percent 14" xfId="1025" xr:uid="{00000000-0005-0000-0000-000001040000}"/>
    <cellStyle name="Percent 14 2" xfId="1026" xr:uid="{00000000-0005-0000-0000-000002040000}"/>
    <cellStyle name="Percent 15" xfId="1027" xr:uid="{00000000-0005-0000-0000-000003040000}"/>
    <cellStyle name="Percent 15 2" xfId="1028" xr:uid="{00000000-0005-0000-0000-000004040000}"/>
    <cellStyle name="Percent 16" xfId="1029" xr:uid="{00000000-0005-0000-0000-000005040000}"/>
    <cellStyle name="Percent 17" xfId="1030" xr:uid="{00000000-0005-0000-0000-000006040000}"/>
    <cellStyle name="Percent 2" xfId="1031" xr:uid="{00000000-0005-0000-0000-000007040000}"/>
    <cellStyle name="Percent 2 2" xfId="1032" xr:uid="{00000000-0005-0000-0000-000008040000}"/>
    <cellStyle name="Percent 2 2 2" xfId="1033" xr:uid="{00000000-0005-0000-0000-000009040000}"/>
    <cellStyle name="Percent 2 3" xfId="1034" xr:uid="{00000000-0005-0000-0000-00000A040000}"/>
    <cellStyle name="Percent 3" xfId="1035" xr:uid="{00000000-0005-0000-0000-00000B040000}"/>
    <cellStyle name="Percent 3 10" xfId="1036" xr:uid="{00000000-0005-0000-0000-00000C040000}"/>
    <cellStyle name="Percent 3 10 2" xfId="1037" xr:uid="{00000000-0005-0000-0000-00000D040000}"/>
    <cellStyle name="Percent 3 10 3" xfId="1038" xr:uid="{00000000-0005-0000-0000-00000E040000}"/>
    <cellStyle name="Percent 3 11" xfId="1039" xr:uid="{00000000-0005-0000-0000-00000F040000}"/>
    <cellStyle name="Percent 3 11 2" xfId="1040" xr:uid="{00000000-0005-0000-0000-000010040000}"/>
    <cellStyle name="Percent 3 12" xfId="1041" xr:uid="{00000000-0005-0000-0000-000011040000}"/>
    <cellStyle name="Percent 3 12 2" xfId="1042" xr:uid="{00000000-0005-0000-0000-000012040000}"/>
    <cellStyle name="Percent 3 13" xfId="1043" xr:uid="{00000000-0005-0000-0000-000013040000}"/>
    <cellStyle name="Percent 3 13 2" xfId="1044" xr:uid="{00000000-0005-0000-0000-000014040000}"/>
    <cellStyle name="Percent 3 14" xfId="1045" xr:uid="{00000000-0005-0000-0000-000015040000}"/>
    <cellStyle name="Percent 3 15" xfId="1046" xr:uid="{00000000-0005-0000-0000-000016040000}"/>
    <cellStyle name="Percent 3 2" xfId="1047" xr:uid="{00000000-0005-0000-0000-000017040000}"/>
    <cellStyle name="Percent 3 2 2" xfId="1048" xr:uid="{00000000-0005-0000-0000-000018040000}"/>
    <cellStyle name="Percent 3 3" xfId="1049" xr:uid="{00000000-0005-0000-0000-000019040000}"/>
    <cellStyle name="Percent 3 3 2" xfId="1050" xr:uid="{00000000-0005-0000-0000-00001A040000}"/>
    <cellStyle name="Percent 3 3 2 2" xfId="1051" xr:uid="{00000000-0005-0000-0000-00001B040000}"/>
    <cellStyle name="Percent 3 3 2 3" xfId="1052" xr:uid="{00000000-0005-0000-0000-00001C040000}"/>
    <cellStyle name="Percent 3 3 3" xfId="1053" xr:uid="{00000000-0005-0000-0000-00001D040000}"/>
    <cellStyle name="Percent 3 3 3 2" xfId="1054" xr:uid="{00000000-0005-0000-0000-00001E040000}"/>
    <cellStyle name="Percent 3 3 3 2 2" xfId="1055" xr:uid="{00000000-0005-0000-0000-00001F040000}"/>
    <cellStyle name="Percent 3 3 3 2 3" xfId="1056" xr:uid="{00000000-0005-0000-0000-000020040000}"/>
    <cellStyle name="Percent 3 3 3 2 4" xfId="1057" xr:uid="{00000000-0005-0000-0000-000021040000}"/>
    <cellStyle name="Percent 3 3 3 2 5" xfId="1058" xr:uid="{00000000-0005-0000-0000-000022040000}"/>
    <cellStyle name="Percent 3 3 3 3" xfId="1059" xr:uid="{00000000-0005-0000-0000-000023040000}"/>
    <cellStyle name="Percent 3 3 4" xfId="1060" xr:uid="{00000000-0005-0000-0000-000024040000}"/>
    <cellStyle name="Percent 3 3 5" xfId="1061" xr:uid="{00000000-0005-0000-0000-000025040000}"/>
    <cellStyle name="Percent 3 3 5 2" xfId="1062" xr:uid="{00000000-0005-0000-0000-000026040000}"/>
    <cellStyle name="Percent 3 3 5 3" xfId="1063" xr:uid="{00000000-0005-0000-0000-000027040000}"/>
    <cellStyle name="Percent 3 3 5 4" xfId="1064" xr:uid="{00000000-0005-0000-0000-000028040000}"/>
    <cellStyle name="Percent 3 3 5 5" xfId="1065" xr:uid="{00000000-0005-0000-0000-000029040000}"/>
    <cellStyle name="Percent 3 3 6" xfId="1066" xr:uid="{00000000-0005-0000-0000-00002A040000}"/>
    <cellStyle name="Percent 3 4" xfId="1067" xr:uid="{00000000-0005-0000-0000-00002B040000}"/>
    <cellStyle name="Percent 3 4 2" xfId="1068" xr:uid="{00000000-0005-0000-0000-00002C040000}"/>
    <cellStyle name="Percent 3 4 3" xfId="1069" xr:uid="{00000000-0005-0000-0000-00002D040000}"/>
    <cellStyle name="Percent 3 4 4" xfId="1070" xr:uid="{00000000-0005-0000-0000-00002E040000}"/>
    <cellStyle name="Percent 3 4 4 2" xfId="1071" xr:uid="{00000000-0005-0000-0000-00002F040000}"/>
    <cellStyle name="Percent 3 4 4 3" xfId="1072" xr:uid="{00000000-0005-0000-0000-000030040000}"/>
    <cellStyle name="Percent 3 4 4 4" xfId="1073" xr:uid="{00000000-0005-0000-0000-000031040000}"/>
    <cellStyle name="Percent 3 4 4 5" xfId="1074" xr:uid="{00000000-0005-0000-0000-000032040000}"/>
    <cellStyle name="Percent 3 4 5" xfId="1075" xr:uid="{00000000-0005-0000-0000-000033040000}"/>
    <cellStyle name="Percent 3 5" xfId="1076" xr:uid="{00000000-0005-0000-0000-000034040000}"/>
    <cellStyle name="Percent 3 5 2" xfId="1077" xr:uid="{00000000-0005-0000-0000-000035040000}"/>
    <cellStyle name="Percent 3 6" xfId="1078" xr:uid="{00000000-0005-0000-0000-000036040000}"/>
    <cellStyle name="Percent 3 6 2" xfId="1079" xr:uid="{00000000-0005-0000-0000-000037040000}"/>
    <cellStyle name="Percent 3 6 3" xfId="1080" xr:uid="{00000000-0005-0000-0000-000038040000}"/>
    <cellStyle name="Percent 3 6 4" xfId="1081" xr:uid="{00000000-0005-0000-0000-000039040000}"/>
    <cellStyle name="Percent 3 7" xfId="1082" xr:uid="{00000000-0005-0000-0000-00003A040000}"/>
    <cellStyle name="Percent 3 7 2" xfId="1083" xr:uid="{00000000-0005-0000-0000-00003B040000}"/>
    <cellStyle name="Percent 3 7 3" xfId="1084" xr:uid="{00000000-0005-0000-0000-00003C040000}"/>
    <cellStyle name="Percent 3 7 4" xfId="1085" xr:uid="{00000000-0005-0000-0000-00003D040000}"/>
    <cellStyle name="Percent 3 8" xfId="1086" xr:uid="{00000000-0005-0000-0000-00003E040000}"/>
    <cellStyle name="Percent 3 8 2" xfId="1087" xr:uid="{00000000-0005-0000-0000-00003F040000}"/>
    <cellStyle name="Percent 3 8 3" xfId="1088" xr:uid="{00000000-0005-0000-0000-000040040000}"/>
    <cellStyle name="Percent 3 8 4" xfId="1089" xr:uid="{00000000-0005-0000-0000-000041040000}"/>
    <cellStyle name="Percent 3 9" xfId="1090" xr:uid="{00000000-0005-0000-0000-000042040000}"/>
    <cellStyle name="Percent 3 9 2" xfId="1091" xr:uid="{00000000-0005-0000-0000-000043040000}"/>
    <cellStyle name="Percent 3 9 3" xfId="1092" xr:uid="{00000000-0005-0000-0000-000044040000}"/>
    <cellStyle name="Percent 3 9 4" xfId="1093" xr:uid="{00000000-0005-0000-0000-000045040000}"/>
    <cellStyle name="Percent 4" xfId="1094" xr:uid="{00000000-0005-0000-0000-000046040000}"/>
    <cellStyle name="Percent 4 2" xfId="1095" xr:uid="{00000000-0005-0000-0000-000047040000}"/>
    <cellStyle name="Percent 4 2 2" xfId="1096" xr:uid="{00000000-0005-0000-0000-000048040000}"/>
    <cellStyle name="Percent 4 2 3" xfId="1097" xr:uid="{00000000-0005-0000-0000-000049040000}"/>
    <cellStyle name="Percent 4 3" xfId="1098" xr:uid="{00000000-0005-0000-0000-00004A040000}"/>
    <cellStyle name="Percent 4 3 2" xfId="1099" xr:uid="{00000000-0005-0000-0000-00004B040000}"/>
    <cellStyle name="Percent 4 3 2 2" xfId="1100" xr:uid="{00000000-0005-0000-0000-00004C040000}"/>
    <cellStyle name="Percent 4 3 2 3" xfId="1101" xr:uid="{00000000-0005-0000-0000-00004D040000}"/>
    <cellStyle name="Percent 4 3 2 4" xfId="1102" xr:uid="{00000000-0005-0000-0000-00004E040000}"/>
    <cellStyle name="Percent 4 3 2 5" xfId="1103" xr:uid="{00000000-0005-0000-0000-00004F040000}"/>
    <cellStyle name="Percent 4 3 3" xfId="1104" xr:uid="{00000000-0005-0000-0000-000050040000}"/>
    <cellStyle name="Percent 4 4" xfId="1105" xr:uid="{00000000-0005-0000-0000-000051040000}"/>
    <cellStyle name="Percent 4 5" xfId="1106" xr:uid="{00000000-0005-0000-0000-000052040000}"/>
    <cellStyle name="Percent 4 5 2" xfId="1107" xr:uid="{00000000-0005-0000-0000-000053040000}"/>
    <cellStyle name="Percent 4 5 3" xfId="1108" xr:uid="{00000000-0005-0000-0000-000054040000}"/>
    <cellStyle name="Percent 4 5 4" xfId="1109" xr:uid="{00000000-0005-0000-0000-000055040000}"/>
    <cellStyle name="Percent 4 5 5" xfId="1110" xr:uid="{00000000-0005-0000-0000-000056040000}"/>
    <cellStyle name="Percent 4 6" xfId="1111" xr:uid="{00000000-0005-0000-0000-000057040000}"/>
    <cellStyle name="Percent 4 6 2" xfId="1112" xr:uid="{00000000-0005-0000-0000-000058040000}"/>
    <cellStyle name="Percent 4 6 3" xfId="1113" xr:uid="{00000000-0005-0000-0000-000059040000}"/>
    <cellStyle name="Percent 5" xfId="1114" xr:uid="{00000000-0005-0000-0000-00005A040000}"/>
    <cellStyle name="Percent 5 2" xfId="1115" xr:uid="{00000000-0005-0000-0000-00005B040000}"/>
    <cellStyle name="Percent 5 3" xfId="1116" xr:uid="{00000000-0005-0000-0000-00005C040000}"/>
    <cellStyle name="Percent 5 4" xfId="1117" xr:uid="{00000000-0005-0000-0000-00005D040000}"/>
    <cellStyle name="Percent 5 4 2" xfId="1118" xr:uid="{00000000-0005-0000-0000-00005E040000}"/>
    <cellStyle name="Percent 5 4 3" xfId="1119" xr:uid="{00000000-0005-0000-0000-00005F040000}"/>
    <cellStyle name="Percent 5 4 4" xfId="1120" xr:uid="{00000000-0005-0000-0000-000060040000}"/>
    <cellStyle name="Percent 5 4 5" xfId="1121" xr:uid="{00000000-0005-0000-0000-000061040000}"/>
    <cellStyle name="Percent 5 5" xfId="1122" xr:uid="{00000000-0005-0000-0000-000062040000}"/>
    <cellStyle name="Percent 6" xfId="1123" xr:uid="{00000000-0005-0000-0000-000063040000}"/>
    <cellStyle name="Percent 6 2" xfId="1124" xr:uid="{00000000-0005-0000-0000-000064040000}"/>
    <cellStyle name="Percent 6 3" xfId="1125" xr:uid="{00000000-0005-0000-0000-000065040000}"/>
    <cellStyle name="Percent 6 4" xfId="1126" xr:uid="{00000000-0005-0000-0000-000066040000}"/>
    <cellStyle name="Percent 6 4 2" xfId="1127" xr:uid="{00000000-0005-0000-0000-000067040000}"/>
    <cellStyle name="Percent 6 4 3" xfId="1128" xr:uid="{00000000-0005-0000-0000-000068040000}"/>
    <cellStyle name="Percent 7" xfId="1129" xr:uid="{00000000-0005-0000-0000-000069040000}"/>
    <cellStyle name="Percent 7 2" xfId="1130" xr:uid="{00000000-0005-0000-0000-00006A040000}"/>
    <cellStyle name="Percent 7 2 2" xfId="1131" xr:uid="{00000000-0005-0000-0000-00006B040000}"/>
    <cellStyle name="Percent 7 2 2 2" xfId="1132" xr:uid="{00000000-0005-0000-0000-00006C040000}"/>
    <cellStyle name="Percent 7 2 2 2 2" xfId="1133" xr:uid="{00000000-0005-0000-0000-00006D040000}"/>
    <cellStyle name="Percent 7 2 2 3" xfId="1134" xr:uid="{00000000-0005-0000-0000-00006E040000}"/>
    <cellStyle name="Percent 7 2 2 3 2" xfId="1135" xr:uid="{00000000-0005-0000-0000-00006F040000}"/>
    <cellStyle name="Percent 7 2 2 4" xfId="1136" xr:uid="{00000000-0005-0000-0000-000070040000}"/>
    <cellStyle name="Percent 7 2 2 5" xfId="1137" xr:uid="{00000000-0005-0000-0000-000071040000}"/>
    <cellStyle name="Percent 7 2 2 6" xfId="1138" xr:uid="{00000000-0005-0000-0000-000072040000}"/>
    <cellStyle name="Percent 7 2 3" xfId="1139" xr:uid="{00000000-0005-0000-0000-000073040000}"/>
    <cellStyle name="Percent 7 2 3 2" xfId="1140" xr:uid="{00000000-0005-0000-0000-000074040000}"/>
    <cellStyle name="Percent 7 2 4" xfId="1141" xr:uid="{00000000-0005-0000-0000-000075040000}"/>
    <cellStyle name="Percent 7 2 4 2" xfId="1142" xr:uid="{00000000-0005-0000-0000-000076040000}"/>
    <cellStyle name="Percent 7 2 4 3" xfId="1143" xr:uid="{00000000-0005-0000-0000-000077040000}"/>
    <cellStyle name="Percent 7 2 5" xfId="1144" xr:uid="{00000000-0005-0000-0000-000078040000}"/>
    <cellStyle name="Percent 7 2 5 2" xfId="1145" xr:uid="{00000000-0005-0000-0000-000079040000}"/>
    <cellStyle name="Percent 7 2 6" xfId="1146" xr:uid="{00000000-0005-0000-0000-00007A040000}"/>
    <cellStyle name="Percent 7 3" xfId="1147" xr:uid="{00000000-0005-0000-0000-00007B040000}"/>
    <cellStyle name="Percent 7 4" xfId="1148" xr:uid="{00000000-0005-0000-0000-00007C040000}"/>
    <cellStyle name="Percent 7 5" xfId="1149" xr:uid="{00000000-0005-0000-0000-00007D040000}"/>
    <cellStyle name="Percent 7 6" xfId="1150" xr:uid="{00000000-0005-0000-0000-00007E040000}"/>
    <cellStyle name="Percent 8" xfId="1151" xr:uid="{00000000-0005-0000-0000-00007F040000}"/>
    <cellStyle name="Percent 8 2" xfId="1152" xr:uid="{00000000-0005-0000-0000-000080040000}"/>
    <cellStyle name="Percent 8 3" xfId="1153" xr:uid="{00000000-0005-0000-0000-000081040000}"/>
    <cellStyle name="Percent 8 4" xfId="1154" xr:uid="{00000000-0005-0000-0000-000082040000}"/>
    <cellStyle name="Percent 9" xfId="1155" xr:uid="{00000000-0005-0000-0000-000083040000}"/>
    <cellStyle name="Percent 9 2" xfId="1156" xr:uid="{00000000-0005-0000-0000-000084040000}"/>
    <cellStyle name="Percent 9 3" xfId="1157" xr:uid="{00000000-0005-0000-0000-000085040000}"/>
    <cellStyle name="Percent 9 4" xfId="1158" xr:uid="{00000000-0005-0000-0000-000086040000}"/>
    <cellStyle name="PSChar" xfId="1159" xr:uid="{00000000-0005-0000-0000-000087040000}"/>
    <cellStyle name="PSChar 2" xfId="1160" xr:uid="{00000000-0005-0000-0000-000088040000}"/>
    <cellStyle name="PSChar 2 2" xfId="1161" xr:uid="{00000000-0005-0000-0000-000089040000}"/>
    <cellStyle name="PSChar 3" xfId="1162" xr:uid="{00000000-0005-0000-0000-00008A040000}"/>
    <cellStyle name="PSChar 4" xfId="1163" xr:uid="{00000000-0005-0000-0000-00008B040000}"/>
    <cellStyle name="PSChar 4 2" xfId="1164" xr:uid="{00000000-0005-0000-0000-00008C040000}"/>
    <cellStyle name="PSChar 5" xfId="1165" xr:uid="{00000000-0005-0000-0000-00008D040000}"/>
    <cellStyle name="PSChar 5 2" xfId="1166" xr:uid="{00000000-0005-0000-0000-00008E040000}"/>
    <cellStyle name="PSDate" xfId="1167" xr:uid="{00000000-0005-0000-0000-00008F040000}"/>
    <cellStyle name="PSDate 2" xfId="1168" xr:uid="{00000000-0005-0000-0000-000090040000}"/>
    <cellStyle name="PSDate 3" xfId="1169" xr:uid="{00000000-0005-0000-0000-000091040000}"/>
    <cellStyle name="PSDate 4" xfId="1170" xr:uid="{00000000-0005-0000-0000-000092040000}"/>
    <cellStyle name="PSDate 4 2" xfId="1171" xr:uid="{00000000-0005-0000-0000-000093040000}"/>
    <cellStyle name="PSDate 5" xfId="1172" xr:uid="{00000000-0005-0000-0000-000094040000}"/>
    <cellStyle name="PSDate 5 2" xfId="1173" xr:uid="{00000000-0005-0000-0000-000095040000}"/>
    <cellStyle name="PSDec" xfId="1174" xr:uid="{00000000-0005-0000-0000-000096040000}"/>
    <cellStyle name="PSDec 2" xfId="1175" xr:uid="{00000000-0005-0000-0000-000097040000}"/>
    <cellStyle name="PSDec 3" xfId="1176" xr:uid="{00000000-0005-0000-0000-000098040000}"/>
    <cellStyle name="PSDec 4" xfId="1177" xr:uid="{00000000-0005-0000-0000-000099040000}"/>
    <cellStyle name="PSDec 4 2" xfId="1178" xr:uid="{00000000-0005-0000-0000-00009A040000}"/>
    <cellStyle name="PSDec 5" xfId="1179" xr:uid="{00000000-0005-0000-0000-00009B040000}"/>
    <cellStyle name="PSDec 5 2" xfId="1180" xr:uid="{00000000-0005-0000-0000-00009C040000}"/>
    <cellStyle name="PSdesc" xfId="1181" xr:uid="{00000000-0005-0000-0000-00009D040000}"/>
    <cellStyle name="PSdesc 2" xfId="1182" xr:uid="{00000000-0005-0000-0000-00009E040000}"/>
    <cellStyle name="PSHeading" xfId="1183" xr:uid="{00000000-0005-0000-0000-00009F040000}"/>
    <cellStyle name="PSHeading 2" xfId="1184" xr:uid="{00000000-0005-0000-0000-0000A0040000}"/>
    <cellStyle name="PSHeading 3" xfId="1185" xr:uid="{00000000-0005-0000-0000-0000A1040000}"/>
    <cellStyle name="PSHeading 4" xfId="1186" xr:uid="{00000000-0005-0000-0000-0000A2040000}"/>
    <cellStyle name="PSHeading 5" xfId="1187" xr:uid="{00000000-0005-0000-0000-0000A3040000}"/>
    <cellStyle name="PSHeading 5 2" xfId="1188" xr:uid="{00000000-0005-0000-0000-0000A4040000}"/>
    <cellStyle name="PSHeading 6" xfId="1189" xr:uid="{00000000-0005-0000-0000-0000A5040000}"/>
    <cellStyle name="PSHeading 6 2" xfId="1190" xr:uid="{00000000-0005-0000-0000-0000A6040000}"/>
    <cellStyle name="PSInt" xfId="1191" xr:uid="{00000000-0005-0000-0000-0000A7040000}"/>
    <cellStyle name="PSInt 2" xfId="1192" xr:uid="{00000000-0005-0000-0000-0000A8040000}"/>
    <cellStyle name="PSInt 3" xfId="1193" xr:uid="{00000000-0005-0000-0000-0000A9040000}"/>
    <cellStyle name="PSInt 4" xfId="1194" xr:uid="{00000000-0005-0000-0000-0000AA040000}"/>
    <cellStyle name="PSInt 4 2" xfId="1195" xr:uid="{00000000-0005-0000-0000-0000AB040000}"/>
    <cellStyle name="PSInt 5" xfId="1196" xr:uid="{00000000-0005-0000-0000-0000AC040000}"/>
    <cellStyle name="PSInt 5 2" xfId="1197" xr:uid="{00000000-0005-0000-0000-0000AD040000}"/>
    <cellStyle name="PSSpacer" xfId="1198" xr:uid="{00000000-0005-0000-0000-0000AE040000}"/>
    <cellStyle name="PSSpacer 2" xfId="1199" xr:uid="{00000000-0005-0000-0000-0000AF040000}"/>
    <cellStyle name="PSSpacer 3" xfId="1200" xr:uid="{00000000-0005-0000-0000-0000B0040000}"/>
    <cellStyle name="PSSpacer 3 2" xfId="1201" xr:uid="{00000000-0005-0000-0000-0000B1040000}"/>
    <cellStyle name="PStest" xfId="1202" xr:uid="{00000000-0005-0000-0000-0000B2040000}"/>
    <cellStyle name="PStest 2" xfId="1203" xr:uid="{00000000-0005-0000-0000-0000B3040000}"/>
    <cellStyle name="R00A" xfId="1204" xr:uid="{00000000-0005-0000-0000-0000B4040000}"/>
    <cellStyle name="R00B" xfId="1205" xr:uid="{00000000-0005-0000-0000-0000B5040000}"/>
    <cellStyle name="R00L" xfId="1206" xr:uid="{00000000-0005-0000-0000-0000B6040000}"/>
    <cellStyle name="R01A" xfId="1207" xr:uid="{00000000-0005-0000-0000-0000B7040000}"/>
    <cellStyle name="R01B" xfId="1208" xr:uid="{00000000-0005-0000-0000-0000B8040000}"/>
    <cellStyle name="R01H" xfId="1209" xr:uid="{00000000-0005-0000-0000-0000B9040000}"/>
    <cellStyle name="R01L" xfId="1210" xr:uid="{00000000-0005-0000-0000-0000BA040000}"/>
    <cellStyle name="R02A" xfId="1211" xr:uid="{00000000-0005-0000-0000-0000BB040000}"/>
    <cellStyle name="R02B" xfId="1212" xr:uid="{00000000-0005-0000-0000-0000BC040000}"/>
    <cellStyle name="R02B 2" xfId="1213" xr:uid="{00000000-0005-0000-0000-0000BD040000}"/>
    <cellStyle name="R02H" xfId="1214" xr:uid="{00000000-0005-0000-0000-0000BE040000}"/>
    <cellStyle name="R02L" xfId="1215" xr:uid="{00000000-0005-0000-0000-0000BF040000}"/>
    <cellStyle name="R03A" xfId="1216" xr:uid="{00000000-0005-0000-0000-0000C0040000}"/>
    <cellStyle name="R03B" xfId="1217" xr:uid="{00000000-0005-0000-0000-0000C1040000}"/>
    <cellStyle name="R03B 2" xfId="1218" xr:uid="{00000000-0005-0000-0000-0000C2040000}"/>
    <cellStyle name="R03H" xfId="1219" xr:uid="{00000000-0005-0000-0000-0000C3040000}"/>
    <cellStyle name="R03L" xfId="1220" xr:uid="{00000000-0005-0000-0000-0000C4040000}"/>
    <cellStyle name="R04A" xfId="1221" xr:uid="{00000000-0005-0000-0000-0000C5040000}"/>
    <cellStyle name="R04B" xfId="1222" xr:uid="{00000000-0005-0000-0000-0000C6040000}"/>
    <cellStyle name="R04B 2" xfId="1223" xr:uid="{00000000-0005-0000-0000-0000C7040000}"/>
    <cellStyle name="R04H" xfId="1224" xr:uid="{00000000-0005-0000-0000-0000C8040000}"/>
    <cellStyle name="R04L" xfId="1225" xr:uid="{00000000-0005-0000-0000-0000C9040000}"/>
    <cellStyle name="R05A" xfId="1226" xr:uid="{00000000-0005-0000-0000-0000CA040000}"/>
    <cellStyle name="R05B" xfId="1227" xr:uid="{00000000-0005-0000-0000-0000CB040000}"/>
    <cellStyle name="R05B 2" xfId="1228" xr:uid="{00000000-0005-0000-0000-0000CC040000}"/>
    <cellStyle name="R05H" xfId="1229" xr:uid="{00000000-0005-0000-0000-0000CD040000}"/>
    <cellStyle name="R05L" xfId="1230" xr:uid="{00000000-0005-0000-0000-0000CE040000}"/>
    <cellStyle name="R05L 2" xfId="1231" xr:uid="{00000000-0005-0000-0000-0000CF040000}"/>
    <cellStyle name="R06A" xfId="1232" xr:uid="{00000000-0005-0000-0000-0000D0040000}"/>
    <cellStyle name="R06B" xfId="1233" xr:uid="{00000000-0005-0000-0000-0000D1040000}"/>
    <cellStyle name="R06B 2" xfId="1234" xr:uid="{00000000-0005-0000-0000-0000D2040000}"/>
    <cellStyle name="R06H" xfId="1235" xr:uid="{00000000-0005-0000-0000-0000D3040000}"/>
    <cellStyle name="R06L" xfId="1236" xr:uid="{00000000-0005-0000-0000-0000D4040000}"/>
    <cellStyle name="R07A" xfId="1237" xr:uid="{00000000-0005-0000-0000-0000D5040000}"/>
    <cellStyle name="R07B" xfId="1238" xr:uid="{00000000-0005-0000-0000-0000D6040000}"/>
    <cellStyle name="R07B 2" xfId="1239" xr:uid="{00000000-0005-0000-0000-0000D7040000}"/>
    <cellStyle name="R07H" xfId="1240" xr:uid="{00000000-0005-0000-0000-0000D8040000}"/>
    <cellStyle name="R07L" xfId="1241" xr:uid="{00000000-0005-0000-0000-0000D9040000}"/>
    <cellStyle name="Title" xfId="1242" builtinId="15" customBuiltin="1"/>
    <cellStyle name="Title 2" xfId="1243" xr:uid="{00000000-0005-0000-0000-0000DB040000}"/>
    <cellStyle name="Title 2 2" xfId="1244" xr:uid="{00000000-0005-0000-0000-0000DC040000}"/>
    <cellStyle name="Title 2 3" xfId="1245" xr:uid="{00000000-0005-0000-0000-0000DD040000}"/>
    <cellStyle name="Title 2 4" xfId="1246" xr:uid="{00000000-0005-0000-0000-0000DE040000}"/>
    <cellStyle name="Total" xfId="1247" builtinId="25" customBuiltin="1"/>
    <cellStyle name="Total 2" xfId="1248" xr:uid="{00000000-0005-0000-0000-0000E0040000}"/>
    <cellStyle name="Total 2 2" xfId="1249" xr:uid="{00000000-0005-0000-0000-0000E1040000}"/>
    <cellStyle name="Total 2 3" xfId="1250" xr:uid="{00000000-0005-0000-0000-0000E2040000}"/>
    <cellStyle name="Total 2 4" xfId="1251" xr:uid="{00000000-0005-0000-0000-0000E3040000}"/>
    <cellStyle name="Total 2 5" xfId="1252" xr:uid="{00000000-0005-0000-0000-0000E4040000}"/>
    <cellStyle name="Total 3" xfId="1253" xr:uid="{00000000-0005-0000-0000-0000E5040000}"/>
    <cellStyle name="Total 3 2" xfId="1254" xr:uid="{00000000-0005-0000-0000-0000E6040000}"/>
    <cellStyle name="Warning Text" xfId="1255" builtinId="11" customBuiltin="1"/>
    <cellStyle name="Warning Text 2" xfId="1256" xr:uid="{00000000-0005-0000-0000-0000E8040000}"/>
    <cellStyle name="Warning Text 2 2" xfId="1257" xr:uid="{00000000-0005-0000-0000-0000E9040000}"/>
    <cellStyle name="Warning Text 2 3" xfId="1258" xr:uid="{00000000-0005-0000-0000-0000EA040000}"/>
    <cellStyle name="Warning Text 2 4" xfId="1259" xr:uid="{00000000-0005-0000-0000-0000EB040000}"/>
    <cellStyle name="Warning Text 2 5" xfId="1260" xr:uid="{00000000-0005-0000-0000-0000EC040000}"/>
  </cellStyles>
  <dxfs count="160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428625</xdr:colOff>
      <xdr:row>28</xdr:row>
      <xdr:rowOff>114300</xdr:rowOff>
    </xdr:from>
    <xdr:to>
      <xdr:col>4</xdr:col>
      <xdr:colOff>533400</xdr:colOff>
      <xdr:row>30</xdr:row>
      <xdr:rowOff>9525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id="{00000000-0008-0000-0100-0000E7050000}"/>
            </a:ext>
          </a:extLst>
        </xdr:cNvPr>
        <xdr:cNvSpPr txBox="1">
          <a:spLocks noChangeArrowheads="1"/>
        </xdr:cNvSpPr>
      </xdr:nvSpPr>
      <xdr:spPr bwMode="auto">
        <a:xfrm>
          <a:off x="3924300" y="5181600"/>
          <a:ext cx="1047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1965" name="Text Box 1">
          <a:extLst>
            <a:ext uri="{FF2B5EF4-FFF2-40B4-BE49-F238E27FC236}">
              <a16:creationId xmlns:a16="http://schemas.microsoft.com/office/drawing/2014/main" id="{00000000-0008-0000-0B00-0000CD5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2493" name="Text Box 1">
          <a:extLst>
            <a:ext uri="{FF2B5EF4-FFF2-40B4-BE49-F238E27FC236}">
              <a16:creationId xmlns:a16="http://schemas.microsoft.com/office/drawing/2014/main" id="{00000000-0008-0000-0C00-00005D9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4651</xdr:colOff>
      <xdr:row>34</xdr:row>
      <xdr:rowOff>112395</xdr:rowOff>
    </xdr:from>
    <xdr:to>
      <xdr:col>15</xdr:col>
      <xdr:colOff>73030</xdr:colOff>
      <xdr:row>52</xdr:row>
      <xdr:rowOff>91</xdr:rowOff>
    </xdr:to>
    <xdr:sp macro="" textlink="">
      <xdr:nvSpPr>
        <xdr:cNvPr id="22532" name="WordArt 4">
          <a:extLst>
            <a:ext uri="{FF2B5EF4-FFF2-40B4-BE49-F238E27FC236}">
              <a16:creationId xmlns:a16="http://schemas.microsoft.com/office/drawing/2014/main" id="{00000000-0008-0000-0C00-0000045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4295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116205</xdr:rowOff>
    </xdr:from>
    <xdr:to>
      <xdr:col>15</xdr:col>
      <xdr:colOff>4169</xdr:colOff>
      <xdr:row>133</xdr:row>
      <xdr:rowOff>140356</xdr:rowOff>
    </xdr:to>
    <xdr:sp macro="" textlink="">
      <xdr:nvSpPr>
        <xdr:cNvPr id="22533" name="WordArt 5">
          <a:extLst>
            <a:ext uri="{FF2B5EF4-FFF2-40B4-BE49-F238E27FC236}">
              <a16:creationId xmlns:a16="http://schemas.microsoft.com/office/drawing/2014/main" id="{00000000-0008-0000-0C00-0000055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695325" y="2050732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3517" name="Text Box 1">
          <a:extLst>
            <a:ext uri="{FF2B5EF4-FFF2-40B4-BE49-F238E27FC236}">
              <a16:creationId xmlns:a16="http://schemas.microsoft.com/office/drawing/2014/main" id="{00000000-0008-0000-0D00-00005D9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34</xdr:row>
      <xdr:rowOff>113665</xdr:rowOff>
    </xdr:from>
    <xdr:to>
      <xdr:col>15</xdr:col>
      <xdr:colOff>85725</xdr:colOff>
      <xdr:row>52</xdr:row>
      <xdr:rowOff>3269</xdr:rowOff>
    </xdr:to>
    <xdr:sp macro="" textlink="">
      <xdr:nvSpPr>
        <xdr:cNvPr id="23555" name="WordArt 3">
          <a:extLst>
            <a:ext uri="{FF2B5EF4-FFF2-40B4-BE49-F238E27FC236}">
              <a16:creationId xmlns:a16="http://schemas.microsoft.com/office/drawing/2014/main" id="{00000000-0008-0000-0D00-0000035C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62000" y="6362700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417195</xdr:colOff>
      <xdr:row>116</xdr:row>
      <xdr:rowOff>138430</xdr:rowOff>
    </xdr:from>
    <xdr:to>
      <xdr:col>15</xdr:col>
      <xdr:colOff>28574</xdr:colOff>
      <xdr:row>134</xdr:row>
      <xdr:rowOff>1960</xdr:rowOff>
    </xdr:to>
    <xdr:sp macro="" textlink="">
      <xdr:nvSpPr>
        <xdr:cNvPr id="23556" name="WordArt 4">
          <a:extLst>
            <a:ext uri="{FF2B5EF4-FFF2-40B4-BE49-F238E27FC236}">
              <a16:creationId xmlns:a16="http://schemas.microsoft.com/office/drawing/2014/main" id="{00000000-0008-0000-0D00-0000045C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23900" y="20526375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5041" name="Text Box 1">
          <a:extLst>
            <a:ext uri="{FF2B5EF4-FFF2-40B4-BE49-F238E27FC236}">
              <a16:creationId xmlns:a16="http://schemas.microsoft.com/office/drawing/2014/main" id="{00000000-0008-0000-0E00-0000D16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6074" name="Text Box 1">
          <a:extLst>
            <a:ext uri="{FF2B5EF4-FFF2-40B4-BE49-F238E27FC236}">
              <a16:creationId xmlns:a16="http://schemas.microsoft.com/office/drawing/2014/main" id="{00000000-0008-0000-0F00-0000DA6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7086" name="Text Box 1">
          <a:extLst>
            <a:ext uri="{FF2B5EF4-FFF2-40B4-BE49-F238E27FC236}">
              <a16:creationId xmlns:a16="http://schemas.microsoft.com/office/drawing/2014/main" id="{00000000-0008-0000-1000-0000CE6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8111" name="Text Box 1">
          <a:extLst>
            <a:ext uri="{FF2B5EF4-FFF2-40B4-BE49-F238E27FC236}">
              <a16:creationId xmlns:a16="http://schemas.microsoft.com/office/drawing/2014/main" id="{00000000-0008-0000-1100-0000CF6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9135" name="Text Box 1">
          <a:extLst>
            <a:ext uri="{FF2B5EF4-FFF2-40B4-BE49-F238E27FC236}">
              <a16:creationId xmlns:a16="http://schemas.microsoft.com/office/drawing/2014/main" id="{00000000-0008-0000-1200-0000CF7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30158" name="Text Box 1">
          <a:extLst>
            <a:ext uri="{FF2B5EF4-FFF2-40B4-BE49-F238E27FC236}">
              <a16:creationId xmlns:a16="http://schemas.microsoft.com/office/drawing/2014/main" id="{00000000-0008-0000-1300-0000CE7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4541" name="Text Box 1">
          <a:extLst>
            <a:ext uri="{FF2B5EF4-FFF2-40B4-BE49-F238E27FC236}">
              <a16:creationId xmlns:a16="http://schemas.microsoft.com/office/drawing/2014/main" id="{00000000-0008-0000-1400-00005D9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421005</xdr:colOff>
      <xdr:row>34</xdr:row>
      <xdr:rowOff>137160</xdr:rowOff>
    </xdr:from>
    <xdr:to>
      <xdr:col>15</xdr:col>
      <xdr:colOff>80645</xdr:colOff>
      <xdr:row>52</xdr:row>
      <xdr:rowOff>1994</xdr:rowOff>
    </xdr:to>
    <xdr:sp macro="" textlink="">
      <xdr:nvSpPr>
        <xdr:cNvPr id="30723" name="WordArt 3">
          <a:extLst>
            <a:ext uri="{FF2B5EF4-FFF2-40B4-BE49-F238E27FC236}">
              <a16:creationId xmlns:a16="http://schemas.microsoft.com/office/drawing/2014/main" id="{00000000-0008-0000-1400-0000037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42950" y="6372225"/>
          <a:ext cx="1564005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  <xdr:twoCellAnchor>
    <xdr:from>
      <xdr:col>1</xdr:col>
      <xdr:colOff>405765</xdr:colOff>
      <xdr:row>116</xdr:row>
      <xdr:rowOff>154305</xdr:rowOff>
    </xdr:from>
    <xdr:to>
      <xdr:col>15</xdr:col>
      <xdr:colOff>34303</xdr:colOff>
      <xdr:row>134</xdr:row>
      <xdr:rowOff>34298</xdr:rowOff>
    </xdr:to>
    <xdr:sp macro="" textlink="">
      <xdr:nvSpPr>
        <xdr:cNvPr id="30725" name="WordArt 5">
          <a:extLst>
            <a:ext uri="{FF2B5EF4-FFF2-40B4-BE49-F238E27FC236}">
              <a16:creationId xmlns:a16="http://schemas.microsoft.com/office/drawing/2014/main" id="{00000000-0008-0000-1400-000005780000}"/>
            </a:ext>
          </a:extLst>
        </xdr:cNvPr>
        <xdr:cNvSpPr>
          <a:spLocks noChangeArrowheads="1" noChangeShapeType="1" noTextEdit="1"/>
        </xdr:cNvSpPr>
      </xdr:nvSpPr>
      <xdr:spPr bwMode="auto">
        <a:xfrm rot="20358274">
          <a:off x="714375" y="20535900"/>
          <a:ext cx="15621000" cy="27813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RESERVED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id="{00000000-0008-0000-0300-0000CF0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32205" name="Text Box 1">
          <a:extLst>
            <a:ext uri="{FF2B5EF4-FFF2-40B4-BE49-F238E27FC236}">
              <a16:creationId xmlns:a16="http://schemas.microsoft.com/office/drawing/2014/main" id="{00000000-0008-0000-1500-0000CD7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5565" name="Text Box 1">
          <a:extLst>
            <a:ext uri="{FF2B5EF4-FFF2-40B4-BE49-F238E27FC236}">
              <a16:creationId xmlns:a16="http://schemas.microsoft.com/office/drawing/2014/main" id="{00000000-0008-0000-1600-00005D9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533400</xdr:colOff>
      <xdr:row>27</xdr:row>
      <xdr:rowOff>47625</xdr:rowOff>
    </xdr:from>
    <xdr:to>
      <xdr:col>14</xdr:col>
      <xdr:colOff>876300</xdr:colOff>
      <xdr:row>67</xdr:row>
      <xdr:rowOff>95250</xdr:rowOff>
    </xdr:to>
    <xdr:pic>
      <xdr:nvPicPr>
        <xdr:cNvPr id="105566" name="Picture 1">
          <a:extLst>
            <a:ext uri="{FF2B5EF4-FFF2-40B4-BE49-F238E27FC236}">
              <a16:creationId xmlns:a16="http://schemas.microsoft.com/office/drawing/2014/main" id="{00000000-0008-0000-1600-00005E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5133975"/>
          <a:ext cx="13220700" cy="652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</xdr:colOff>
      <xdr:row>99</xdr:row>
      <xdr:rowOff>19050</xdr:rowOff>
    </xdr:from>
    <xdr:to>
      <xdr:col>14</xdr:col>
      <xdr:colOff>361950</xdr:colOff>
      <xdr:row>139</xdr:row>
      <xdr:rowOff>76200</xdr:rowOff>
    </xdr:to>
    <xdr:pic>
      <xdr:nvPicPr>
        <xdr:cNvPr id="105567" name="Picture 2">
          <a:extLst>
            <a:ext uri="{FF2B5EF4-FFF2-40B4-BE49-F238E27FC236}">
              <a16:creationId xmlns:a16="http://schemas.microsoft.com/office/drawing/2014/main" id="{00000000-0008-0000-1600-00005F9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7649825"/>
          <a:ext cx="1322070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37326" name="Text Box 1">
          <a:extLst>
            <a:ext uri="{FF2B5EF4-FFF2-40B4-BE49-F238E27FC236}">
              <a16:creationId xmlns:a16="http://schemas.microsoft.com/office/drawing/2014/main" id="{00000000-0008-0000-1700-0000CE9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39373" name="Text Box 1">
          <a:extLst>
            <a:ext uri="{FF2B5EF4-FFF2-40B4-BE49-F238E27FC236}">
              <a16:creationId xmlns:a16="http://schemas.microsoft.com/office/drawing/2014/main" id="{00000000-0008-0000-1800-0000CD9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40397" name="Text Box 1">
          <a:extLst>
            <a:ext uri="{FF2B5EF4-FFF2-40B4-BE49-F238E27FC236}">
              <a16:creationId xmlns:a16="http://schemas.microsoft.com/office/drawing/2014/main" id="{00000000-0008-0000-1900-0000CD9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41421" name="Text Box 1">
          <a:extLst>
            <a:ext uri="{FF2B5EF4-FFF2-40B4-BE49-F238E27FC236}">
              <a16:creationId xmlns:a16="http://schemas.microsoft.com/office/drawing/2014/main" id="{00000000-0008-0000-1A00-0000CDA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42445" name="Text Box 1">
          <a:extLst>
            <a:ext uri="{FF2B5EF4-FFF2-40B4-BE49-F238E27FC236}">
              <a16:creationId xmlns:a16="http://schemas.microsoft.com/office/drawing/2014/main" id="{00000000-0008-0000-1B00-0000CDA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43469" name="Text Box 1">
          <a:extLst>
            <a:ext uri="{FF2B5EF4-FFF2-40B4-BE49-F238E27FC236}">
              <a16:creationId xmlns:a16="http://schemas.microsoft.com/office/drawing/2014/main" id="{00000000-0008-0000-1C00-0000CDA90000}"/>
            </a:ext>
          </a:extLst>
        </xdr:cNvPr>
        <xdr:cNvSpPr txBox="1">
          <a:spLocks noChangeArrowheads="1"/>
        </xdr:cNvSpPr>
      </xdr:nvSpPr>
      <xdr:spPr bwMode="auto">
        <a:xfrm>
          <a:off x="43338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44493" name="Text Box 1">
          <a:extLst>
            <a:ext uri="{FF2B5EF4-FFF2-40B4-BE49-F238E27FC236}">
              <a16:creationId xmlns:a16="http://schemas.microsoft.com/office/drawing/2014/main" id="{00000000-0008-0000-1D00-0000CDA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1661" name="Text Box 1">
          <a:extLst>
            <a:ext uri="{FF2B5EF4-FFF2-40B4-BE49-F238E27FC236}">
              <a16:creationId xmlns:a16="http://schemas.microsoft.com/office/drawing/2014/main" id="{00000000-0008-0000-1E00-0000CDC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4797" name="Text Box 1">
          <a:extLst>
            <a:ext uri="{FF2B5EF4-FFF2-40B4-BE49-F238E27FC236}">
              <a16:creationId xmlns:a16="http://schemas.microsoft.com/office/drawing/2014/main" id="{00000000-0008-0000-0400-0000CD3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2685" name="Text Box 1">
          <a:extLst>
            <a:ext uri="{FF2B5EF4-FFF2-40B4-BE49-F238E27FC236}">
              <a16:creationId xmlns:a16="http://schemas.microsoft.com/office/drawing/2014/main" id="{00000000-0008-0000-1F00-0000CDC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3709" name="Text Box 1">
          <a:extLst>
            <a:ext uri="{FF2B5EF4-FFF2-40B4-BE49-F238E27FC236}">
              <a16:creationId xmlns:a16="http://schemas.microsoft.com/office/drawing/2014/main" id="{00000000-0008-0000-2000-0000CDD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4733" name="Text Box 1">
          <a:extLst>
            <a:ext uri="{FF2B5EF4-FFF2-40B4-BE49-F238E27FC236}">
              <a16:creationId xmlns:a16="http://schemas.microsoft.com/office/drawing/2014/main" id="{00000000-0008-0000-2100-0000CDD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5757" name="Text Box 1">
          <a:extLst>
            <a:ext uri="{FF2B5EF4-FFF2-40B4-BE49-F238E27FC236}">
              <a16:creationId xmlns:a16="http://schemas.microsoft.com/office/drawing/2014/main" id="{00000000-0008-0000-2200-0000CDD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6781" name="Text Box 1">
          <a:extLst>
            <a:ext uri="{FF2B5EF4-FFF2-40B4-BE49-F238E27FC236}">
              <a16:creationId xmlns:a16="http://schemas.microsoft.com/office/drawing/2014/main" id="{00000000-0008-0000-2300-0000CDD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7803" name="Text Box 1">
          <a:extLst>
            <a:ext uri="{FF2B5EF4-FFF2-40B4-BE49-F238E27FC236}">
              <a16:creationId xmlns:a16="http://schemas.microsoft.com/office/drawing/2014/main" id="{00000000-0008-0000-2400-0000CBE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9851" name="Text Box 1">
          <a:extLst>
            <a:ext uri="{FF2B5EF4-FFF2-40B4-BE49-F238E27FC236}">
              <a16:creationId xmlns:a16="http://schemas.microsoft.com/office/drawing/2014/main" id="{00000000-0008-0000-2500-0000CBE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1899" name="Text Box 1">
          <a:extLst>
            <a:ext uri="{FF2B5EF4-FFF2-40B4-BE49-F238E27FC236}">
              <a16:creationId xmlns:a16="http://schemas.microsoft.com/office/drawing/2014/main" id="{00000000-0008-0000-2600-0000CBF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0875" name="Text Box 1">
          <a:extLst>
            <a:ext uri="{FF2B5EF4-FFF2-40B4-BE49-F238E27FC236}">
              <a16:creationId xmlns:a16="http://schemas.microsoft.com/office/drawing/2014/main" id="{00000000-0008-0000-2700-0000CBE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58827" name="Text Box 1">
          <a:extLst>
            <a:ext uri="{FF2B5EF4-FFF2-40B4-BE49-F238E27FC236}">
              <a16:creationId xmlns:a16="http://schemas.microsoft.com/office/drawing/2014/main" id="{00000000-0008-0000-2800-0000CBE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5822" name="Text Box 1">
          <a:extLst>
            <a:ext uri="{FF2B5EF4-FFF2-40B4-BE49-F238E27FC236}">
              <a16:creationId xmlns:a16="http://schemas.microsoft.com/office/drawing/2014/main" id="{00000000-0008-0000-0500-0000CE3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3906" name="Text Box 1">
          <a:extLst>
            <a:ext uri="{FF2B5EF4-FFF2-40B4-BE49-F238E27FC236}">
              <a16:creationId xmlns:a16="http://schemas.microsoft.com/office/drawing/2014/main" id="{00000000-0008-0000-2900-0000A2F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4928" name="Text Box 1">
          <a:extLst>
            <a:ext uri="{FF2B5EF4-FFF2-40B4-BE49-F238E27FC236}">
              <a16:creationId xmlns:a16="http://schemas.microsoft.com/office/drawing/2014/main" id="{00000000-0008-0000-2A00-0000A0F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5952" name="Text Box 1">
          <a:extLst>
            <a:ext uri="{FF2B5EF4-FFF2-40B4-BE49-F238E27FC236}">
              <a16:creationId xmlns:a16="http://schemas.microsoft.com/office/drawing/2014/main" id="{00000000-0008-0000-2B00-0000A00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6976" name="Text Box 1">
          <a:extLst>
            <a:ext uri="{FF2B5EF4-FFF2-40B4-BE49-F238E27FC236}">
              <a16:creationId xmlns:a16="http://schemas.microsoft.com/office/drawing/2014/main" id="{00000000-0008-0000-2C00-0000A00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8000" name="Text Box 1">
          <a:extLst>
            <a:ext uri="{FF2B5EF4-FFF2-40B4-BE49-F238E27FC236}">
              <a16:creationId xmlns:a16="http://schemas.microsoft.com/office/drawing/2014/main" id="{00000000-0008-0000-2D00-0000A00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68977" name="Text Box 1">
          <a:extLst>
            <a:ext uri="{FF2B5EF4-FFF2-40B4-BE49-F238E27FC236}">
              <a16:creationId xmlns:a16="http://schemas.microsoft.com/office/drawing/2014/main" id="{00000000-0008-0000-2E00-0000710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0001" name="Text Box 1">
          <a:extLst>
            <a:ext uri="{FF2B5EF4-FFF2-40B4-BE49-F238E27FC236}">
              <a16:creationId xmlns:a16="http://schemas.microsoft.com/office/drawing/2014/main" id="{00000000-0008-0000-2F00-0000711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1025" name="Text Box 1">
          <a:extLst>
            <a:ext uri="{FF2B5EF4-FFF2-40B4-BE49-F238E27FC236}">
              <a16:creationId xmlns:a16="http://schemas.microsoft.com/office/drawing/2014/main" id="{00000000-0008-0000-3000-0000711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2049" name="Text Box 1">
          <a:extLst>
            <a:ext uri="{FF2B5EF4-FFF2-40B4-BE49-F238E27FC236}">
              <a16:creationId xmlns:a16="http://schemas.microsoft.com/office/drawing/2014/main" id="{00000000-0008-0000-3100-0000711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3073" name="Text Box 1">
          <a:extLst>
            <a:ext uri="{FF2B5EF4-FFF2-40B4-BE49-F238E27FC236}">
              <a16:creationId xmlns:a16="http://schemas.microsoft.com/office/drawing/2014/main" id="{00000000-0008-0000-3200-0000711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6845" name="Text Box 1">
          <a:extLst>
            <a:ext uri="{FF2B5EF4-FFF2-40B4-BE49-F238E27FC236}">
              <a16:creationId xmlns:a16="http://schemas.microsoft.com/office/drawing/2014/main" id="{00000000-0008-0000-0600-0000CD4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4097" name="Text Box 1">
          <a:extLst>
            <a:ext uri="{FF2B5EF4-FFF2-40B4-BE49-F238E27FC236}">
              <a16:creationId xmlns:a16="http://schemas.microsoft.com/office/drawing/2014/main" id="{00000000-0008-0000-3300-0000712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5121" name="Text Box 1">
          <a:extLst>
            <a:ext uri="{FF2B5EF4-FFF2-40B4-BE49-F238E27FC236}">
              <a16:creationId xmlns:a16="http://schemas.microsoft.com/office/drawing/2014/main" id="{00000000-0008-0000-3400-0000712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6145" name="Text Box 1">
          <a:extLst>
            <a:ext uri="{FF2B5EF4-FFF2-40B4-BE49-F238E27FC236}">
              <a16:creationId xmlns:a16="http://schemas.microsoft.com/office/drawing/2014/main" id="{00000000-0008-0000-3500-0000712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7169" name="Text Box 1">
          <a:extLst>
            <a:ext uri="{FF2B5EF4-FFF2-40B4-BE49-F238E27FC236}">
              <a16:creationId xmlns:a16="http://schemas.microsoft.com/office/drawing/2014/main" id="{00000000-0008-0000-3600-0000712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8193" name="Text Box 1">
          <a:extLst>
            <a:ext uri="{FF2B5EF4-FFF2-40B4-BE49-F238E27FC236}">
              <a16:creationId xmlns:a16="http://schemas.microsoft.com/office/drawing/2014/main" id="{00000000-0008-0000-3700-0000713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79217" name="Text Box 1">
          <a:extLst>
            <a:ext uri="{FF2B5EF4-FFF2-40B4-BE49-F238E27FC236}">
              <a16:creationId xmlns:a16="http://schemas.microsoft.com/office/drawing/2014/main" id="{00000000-0008-0000-3800-0000713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0185" name="Text Box 1">
          <a:extLst>
            <a:ext uri="{FF2B5EF4-FFF2-40B4-BE49-F238E27FC236}">
              <a16:creationId xmlns:a16="http://schemas.microsoft.com/office/drawing/2014/main" id="{00000000-0008-0000-3900-0000393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1209" name="Text Box 1">
          <a:extLst>
            <a:ext uri="{FF2B5EF4-FFF2-40B4-BE49-F238E27FC236}">
              <a16:creationId xmlns:a16="http://schemas.microsoft.com/office/drawing/2014/main" id="{00000000-0008-0000-3A00-0000393D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2233" name="Text Box 1">
          <a:extLst>
            <a:ext uri="{FF2B5EF4-FFF2-40B4-BE49-F238E27FC236}">
              <a16:creationId xmlns:a16="http://schemas.microsoft.com/office/drawing/2014/main" id="{00000000-0008-0000-3B00-00003941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3257" name="Text Box 1">
          <a:extLst>
            <a:ext uri="{FF2B5EF4-FFF2-40B4-BE49-F238E27FC236}">
              <a16:creationId xmlns:a16="http://schemas.microsoft.com/office/drawing/2014/main" id="{00000000-0008-0000-3C00-00003945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7869" name="Text Box 1">
          <a:extLst>
            <a:ext uri="{FF2B5EF4-FFF2-40B4-BE49-F238E27FC236}">
              <a16:creationId xmlns:a16="http://schemas.microsoft.com/office/drawing/2014/main" id="{00000000-0008-0000-0700-0000CD45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4282" name="Text Box 1">
          <a:extLst>
            <a:ext uri="{FF2B5EF4-FFF2-40B4-BE49-F238E27FC236}">
              <a16:creationId xmlns:a16="http://schemas.microsoft.com/office/drawing/2014/main" id="{00000000-0008-0000-3D00-00003A49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5207" name="Text Box 1">
          <a:extLst>
            <a:ext uri="{FF2B5EF4-FFF2-40B4-BE49-F238E27FC236}">
              <a16:creationId xmlns:a16="http://schemas.microsoft.com/office/drawing/2014/main" id="{00000000-0008-0000-3E00-0000D74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6229" name="Text Box 1">
          <a:extLst>
            <a:ext uri="{FF2B5EF4-FFF2-40B4-BE49-F238E27FC236}">
              <a16:creationId xmlns:a16="http://schemas.microsoft.com/office/drawing/2014/main" id="{00000000-0008-0000-3F00-0000D55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7253" name="Text Box 1">
          <a:extLst>
            <a:ext uri="{FF2B5EF4-FFF2-40B4-BE49-F238E27FC236}">
              <a16:creationId xmlns:a16="http://schemas.microsoft.com/office/drawing/2014/main" id="{00000000-0008-0000-4000-0000D55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8277" name="Text Box 1">
          <a:extLst>
            <a:ext uri="{FF2B5EF4-FFF2-40B4-BE49-F238E27FC236}">
              <a16:creationId xmlns:a16="http://schemas.microsoft.com/office/drawing/2014/main" id="{00000000-0008-0000-4100-0000D55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89301" name="Text Box 1">
          <a:extLst>
            <a:ext uri="{FF2B5EF4-FFF2-40B4-BE49-F238E27FC236}">
              <a16:creationId xmlns:a16="http://schemas.microsoft.com/office/drawing/2014/main" id="{00000000-0008-0000-4200-0000D55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0325" name="Text Box 1">
          <a:extLst>
            <a:ext uri="{FF2B5EF4-FFF2-40B4-BE49-F238E27FC236}">
              <a16:creationId xmlns:a16="http://schemas.microsoft.com/office/drawing/2014/main" id="{00000000-0008-0000-4300-0000D56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1349" name="Text Box 1">
          <a:extLst>
            <a:ext uri="{FF2B5EF4-FFF2-40B4-BE49-F238E27FC236}">
              <a16:creationId xmlns:a16="http://schemas.microsoft.com/office/drawing/2014/main" id="{00000000-0008-0000-4400-0000D56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2373" name="Text Box 1">
          <a:extLst>
            <a:ext uri="{FF2B5EF4-FFF2-40B4-BE49-F238E27FC236}">
              <a16:creationId xmlns:a16="http://schemas.microsoft.com/office/drawing/2014/main" id="{00000000-0008-0000-4500-0000D56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7463" name="Text Box 1">
          <a:extLst>
            <a:ext uri="{FF2B5EF4-FFF2-40B4-BE49-F238E27FC236}">
              <a16:creationId xmlns:a16="http://schemas.microsoft.com/office/drawing/2014/main" id="{00000000-0008-0000-4600-0000B77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7464" name="Text Box 1">
          <a:extLst>
            <a:ext uri="{FF2B5EF4-FFF2-40B4-BE49-F238E27FC236}">
              <a16:creationId xmlns:a16="http://schemas.microsoft.com/office/drawing/2014/main" id="{00000000-0008-0000-4600-0000B87C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8895" name="Text Box 1">
          <a:extLst>
            <a:ext uri="{FF2B5EF4-FFF2-40B4-BE49-F238E27FC236}">
              <a16:creationId xmlns:a16="http://schemas.microsoft.com/office/drawing/2014/main" id="{00000000-0008-0000-0800-0000CF49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8487" name="Text Box 1">
          <a:extLst>
            <a:ext uri="{FF2B5EF4-FFF2-40B4-BE49-F238E27FC236}">
              <a16:creationId xmlns:a16="http://schemas.microsoft.com/office/drawing/2014/main" id="{00000000-0008-0000-4700-0000B78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8488" name="Text Box 1">
          <a:extLst>
            <a:ext uri="{FF2B5EF4-FFF2-40B4-BE49-F238E27FC236}">
              <a16:creationId xmlns:a16="http://schemas.microsoft.com/office/drawing/2014/main" id="{00000000-0008-0000-4700-0000B880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9511" name="Text Box 1">
          <a:extLst>
            <a:ext uri="{FF2B5EF4-FFF2-40B4-BE49-F238E27FC236}">
              <a16:creationId xmlns:a16="http://schemas.microsoft.com/office/drawing/2014/main" id="{00000000-0008-0000-4800-0000B78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99512" name="Text Box 1">
          <a:extLst>
            <a:ext uri="{FF2B5EF4-FFF2-40B4-BE49-F238E27FC236}">
              <a16:creationId xmlns:a16="http://schemas.microsoft.com/office/drawing/2014/main" id="{00000000-0008-0000-4800-0000B884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0535" name="Text Box 1">
          <a:extLst>
            <a:ext uri="{FF2B5EF4-FFF2-40B4-BE49-F238E27FC236}">
              <a16:creationId xmlns:a16="http://schemas.microsoft.com/office/drawing/2014/main" id="{00000000-0008-0000-4900-0000B78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00536" name="Text Box 1">
          <a:extLst>
            <a:ext uri="{FF2B5EF4-FFF2-40B4-BE49-F238E27FC236}">
              <a16:creationId xmlns:a16="http://schemas.microsoft.com/office/drawing/2014/main" id="{00000000-0008-0000-4900-0000B88801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120650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120650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63500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2</xdr:row>
      <xdr:rowOff>63500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63500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3</xdr:row>
      <xdr:rowOff>63500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4083050" y="0"/>
          <a:ext cx="11430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28575</xdr:rowOff>
    </xdr:to>
    <xdr:sp macro="" textlink="">
      <xdr:nvSpPr>
        <xdr:cNvPr id="12749" name="Text Box 1">
          <a:extLst>
            <a:ext uri="{FF2B5EF4-FFF2-40B4-BE49-F238E27FC236}">
              <a16:creationId xmlns:a16="http://schemas.microsoft.com/office/drawing/2014/main" id="{00000000-0008-0000-4D00-0000CD3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19918" name="Text Box 1">
          <a:extLst>
            <a:ext uri="{FF2B5EF4-FFF2-40B4-BE49-F238E27FC236}">
              <a16:creationId xmlns:a16="http://schemas.microsoft.com/office/drawing/2014/main" id="{00000000-0008-0000-0900-0000CE4D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0</xdr:row>
      <xdr:rowOff>0</xdr:rowOff>
    </xdr:from>
    <xdr:to>
      <xdr:col>4</xdr:col>
      <xdr:colOff>533400</xdr:colOff>
      <xdr:row>1</xdr:row>
      <xdr:rowOff>25400</xdr:rowOff>
    </xdr:to>
    <xdr:sp macro="" textlink="">
      <xdr:nvSpPr>
        <xdr:cNvPr id="20946" name="Text Box 1">
          <a:extLst>
            <a:ext uri="{FF2B5EF4-FFF2-40B4-BE49-F238E27FC236}">
              <a16:creationId xmlns:a16="http://schemas.microsoft.com/office/drawing/2014/main" id="{00000000-0008-0000-0A00-0000D2510000}"/>
            </a:ext>
          </a:extLst>
        </xdr:cNvPr>
        <xdr:cNvSpPr txBox="1">
          <a:spLocks noChangeArrowheads="1"/>
        </xdr:cNvSpPr>
      </xdr:nvSpPr>
      <xdr:spPr bwMode="auto">
        <a:xfrm>
          <a:off x="3914775" y="0"/>
          <a:ext cx="114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/dbw/SWPP%20Form%20Rate/Lila%20added/AEP%20SPP%20For%20Rate%20Proj%20w%2013%20mth%20rate%20base%20june-07%20-%20June-08xl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 of Revisions"/>
      <sheetName val="Zonal Rates"/>
      <sheetName val="Sch 1 Rates"/>
      <sheetName val="Load WS"/>
      <sheetName val="PSO 2008 TCOS 13 Mnth"/>
      <sheetName val="PSO WsA Rev Credits"/>
      <sheetName val="PSO WsB IPP"/>
      <sheetName val="PSO WsC RB Tax"/>
      <sheetName val="PSO Ws C-1 2008 ADIT Avg Bal"/>
      <sheetName val="PSO WsD Misc Exp"/>
      <sheetName val="PSO WsE Acct 561"/>
      <sheetName val="PSO WsF Inc Prjts"/>
      <sheetName val="PSO WsG BPU"/>
      <sheetName val="PSO WsI Bal Sheet"/>
      <sheetName val="PSO WsI - 1 13 Month Prepaids"/>
      <sheetName val="PSO WsJ Tax"/>
      <sheetName val="PSO WsK CWIP"/>
      <sheetName val="SWP TCOS 2008 13 Month"/>
      <sheetName val="SWP WsA Rev Credits"/>
      <sheetName val="SWP WsB IPP"/>
      <sheetName val="SWP WsC RB Tax"/>
      <sheetName val="SWP WsC-1 ADIT 2008 13 Mth Avg "/>
      <sheetName val="SWP WsD Misc Exp"/>
      <sheetName val="SWP WsE Acct 561"/>
      <sheetName val="SWP WsF Inc Prjts"/>
      <sheetName val="SWP WsG BPU"/>
      <sheetName val="SWP WsI Bal Sheet"/>
      <sheetName val="SWP WsI-1 13 Month Prepaids "/>
      <sheetName val="SWP WsJ Tax"/>
      <sheetName val="SWP WsK CWIP"/>
      <sheetName val="FERC Balance Sheet"/>
      <sheetName val="PSO 13 Month Rate Base"/>
      <sheetName val="SWEPCo 13 Month Rate Base"/>
      <sheetName val="Plant Detail - Book"/>
      <sheetName val="FERC Income Stmt w Details"/>
      <sheetName val="Depreciation Detail"/>
      <sheetName val="Taxes Other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17">
          <cell r="I317" t="str">
            <v>CE</v>
          </cell>
          <cell r="J317">
            <v>6.3272239966292818E-2</v>
          </cell>
        </row>
        <row r="318">
          <cell r="I318" t="str">
            <v>DA</v>
          </cell>
          <cell r="J318">
            <v>1</v>
          </cell>
        </row>
        <row r="319">
          <cell r="I319" t="str">
            <v>GP(b)</v>
          </cell>
          <cell r="J319">
            <v>0.17830317329522682</v>
          </cell>
        </row>
        <row r="320">
          <cell r="I320" t="str">
            <v>GP(p)</v>
          </cell>
          <cell r="J320">
            <v>0.17830317329522682</v>
          </cell>
        </row>
        <row r="321">
          <cell r="I321" t="str">
            <v>GTD(p)</v>
          </cell>
          <cell r="J321">
            <v>0.35796417623075211</v>
          </cell>
        </row>
        <row r="322">
          <cell r="I322" t="str">
            <v>GTD(h)</v>
          </cell>
          <cell r="J322">
            <v>0.35796417623075211</v>
          </cell>
        </row>
        <row r="323">
          <cell r="I323" t="str">
            <v>NA</v>
          </cell>
          <cell r="J323">
            <v>0</v>
          </cell>
        </row>
        <row r="324">
          <cell r="I324" t="str">
            <v>NP(b)</v>
          </cell>
          <cell r="J324">
            <v>0.21388078637862473</v>
          </cell>
        </row>
        <row r="325">
          <cell r="I325" t="str">
            <v>NP(p)</v>
          </cell>
          <cell r="J325">
            <v>0.21388078637862473</v>
          </cell>
        </row>
        <row r="326">
          <cell r="I326" t="str">
            <v>TP</v>
          </cell>
          <cell r="J326">
            <v>0.97384420488446088</v>
          </cell>
        </row>
        <row r="327">
          <cell r="I327" t="str">
            <v>TP1</v>
          </cell>
          <cell r="J327">
            <v>0.98824625472059235</v>
          </cell>
        </row>
        <row r="328">
          <cell r="I328" t="str">
            <v>W/S</v>
          </cell>
          <cell r="J328">
            <v>6.3272239966292818E-2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15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16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A223"/>
  <sheetViews>
    <sheetView tabSelected="1" zoomScale="60" zoomScaleNormal="60" workbookViewId="0">
      <pane ySplit="16" topLeftCell="A17" activePane="bottomLeft" state="frozen"/>
      <selection activeCell="A17" sqref="A17"/>
      <selection pane="bottomLeft" activeCell="C4" sqref="C4"/>
    </sheetView>
  </sheetViews>
  <sheetFormatPr defaultColWidth="8.7265625" defaultRowHeight="12.75" customHeight="1"/>
  <cols>
    <col min="1" max="1" width="7.453125" style="183" customWidth="1"/>
    <col min="2" max="2" width="7" style="183" bestFit="1" customWidth="1"/>
    <col min="3" max="3" width="45.7265625" style="183" customWidth="1"/>
    <col min="4" max="4" width="9.26953125" style="183" customWidth="1"/>
    <col min="5" max="7" width="15.453125" style="183" bestFit="1" customWidth="1"/>
    <col min="8" max="8" width="3.26953125" style="183" customWidth="1"/>
    <col min="9" max="9" width="16.7265625" style="183" customWidth="1"/>
    <col min="10" max="10" width="13" style="183" customWidth="1"/>
    <col min="11" max="11" width="13.54296875" style="183" customWidth="1"/>
    <col min="12" max="12" width="17" style="183" customWidth="1"/>
    <col min="13" max="13" width="2.453125" style="183" customWidth="1"/>
    <col min="14" max="14" width="6.26953125" style="183" customWidth="1"/>
    <col min="15" max="15" width="8.26953125" style="183" customWidth="1"/>
    <col min="16" max="16" width="10.7265625" style="183" customWidth="1"/>
    <col min="17" max="17" width="12.81640625" style="183" bestFit="1" customWidth="1"/>
    <col min="18" max="18" width="18.54296875" style="183" customWidth="1"/>
    <col min="19" max="19" width="2.453125" style="183" customWidth="1"/>
    <col min="20" max="20" width="19.1796875" style="183" bestFit="1" customWidth="1"/>
    <col min="21" max="21" width="8.7265625" style="183"/>
    <col min="22" max="22" width="16.7265625" style="183" customWidth="1"/>
    <col min="23" max="16384" width="8.7265625" style="183"/>
  </cols>
  <sheetData>
    <row r="1" spans="1:24" ht="15.5">
      <c r="H1" s="184" t="s">
        <v>166</v>
      </c>
      <c r="U1" s="183">
        <v>2023</v>
      </c>
    </row>
    <row r="2" spans="1:24" ht="15.5">
      <c r="H2" s="185" t="s">
        <v>167</v>
      </c>
    </row>
    <row r="3" spans="1:24" ht="15.5">
      <c r="H3" s="186" t="str">
        <f>"For Calendar Year "&amp;U1-1&amp;" and Projected Year "&amp;U1</f>
        <v>For Calendar Year 2022 and Projected Year 2023</v>
      </c>
    </row>
    <row r="4" spans="1:24" ht="15.5">
      <c r="H4" s="187"/>
    </row>
    <row r="5" spans="1:24" ht="15.5">
      <c r="H5" s="188" t="s">
        <v>168</v>
      </c>
    </row>
    <row r="7" spans="1:24" ht="18">
      <c r="C7" s="189"/>
      <c r="E7" s="189"/>
      <c r="F7" s="189"/>
      <c r="G7" s="189"/>
      <c r="H7" s="190" t="s">
        <v>135</v>
      </c>
      <c r="I7" s="189"/>
      <c r="J7" s="189"/>
      <c r="K7" s="189"/>
      <c r="L7" s="189"/>
    </row>
    <row r="8" spans="1:24" ht="12.5">
      <c r="D8" s="191"/>
    </row>
    <row r="9" spans="1:24" ht="12.5">
      <c r="A9" s="183" t="str">
        <f>"Note: Some project's final trued-up cost may not meet SPP's $100,000 threshold for socialization.  In that case a true-up of the pirior year ARR will be made in columns "&amp;I12&amp;" through "&amp;Q12&amp;", but no projected ARR will be shown in columns "&amp;E12&amp;" through "&amp;LEFT(G12,3)&amp;" for the current year."</f>
        <v>Note: Some project's final trued-up cost may not meet SPP's $100,000 threshold for socialization.  In that case a true-up of the pirior year ARR will be made in columns (H) through (O), but no projected ARR will be shown in columns (E) through (G) for the current year.</v>
      </c>
    </row>
    <row r="12" spans="1:24" ht="24.75" customHeight="1">
      <c r="A12" s="192" t="s">
        <v>169</v>
      </c>
      <c r="B12" s="192" t="s">
        <v>170</v>
      </c>
      <c r="C12" s="193" t="s">
        <v>171</v>
      </c>
      <c r="D12" s="192" t="s">
        <v>172</v>
      </c>
      <c r="E12" s="192" t="s">
        <v>173</v>
      </c>
      <c r="F12" s="192" t="s">
        <v>174</v>
      </c>
      <c r="G12" s="192" t="str">
        <f>"(G) = "&amp;E12&amp;" + "&amp;F12</f>
        <v>(G) = (E) + (F)</v>
      </c>
      <c r="H12" s="192"/>
      <c r="I12" s="192" t="s">
        <v>175</v>
      </c>
      <c r="J12" s="192" t="s">
        <v>176</v>
      </c>
      <c r="K12" s="192" t="s">
        <v>212</v>
      </c>
      <c r="L12" s="192" t="str">
        <f>"(K) = "&amp;J12&amp;" - "&amp;K12</f>
        <v>(K) = (I) - (J)</v>
      </c>
      <c r="M12" s="192"/>
      <c r="N12" s="192" t="s">
        <v>216</v>
      </c>
      <c r="O12" s="192" t="s">
        <v>177</v>
      </c>
      <c r="P12" s="192" t="str">
        <f>"(N) = "&amp;N12&amp;"-"&amp;O12</f>
        <v>(N) = (L)-(M)</v>
      </c>
      <c r="Q12" s="192" t="s">
        <v>217</v>
      </c>
      <c r="R12" s="192" t="str">
        <f>"(P) = "&amp;I12&amp;"+"&amp;LEFT(L12,3)&amp;"+"&amp;LEFT(P12,3)&amp;"+"&amp;Q12</f>
        <v>(P) = (H)+(K)+(N)+(O)</v>
      </c>
      <c r="S12" s="192"/>
      <c r="T12" s="192" t="str">
        <f>"(R) = "&amp;LEFT(G12,3)&amp;" + "&amp;LEFT(R12,3)</f>
        <v>(R) = (G) + (P)</v>
      </c>
      <c r="U12" s="192"/>
      <c r="V12" s="194"/>
      <c r="W12" s="194"/>
    </row>
    <row r="13" spans="1:24" ht="16.5" customHeight="1">
      <c r="A13" s="195"/>
      <c r="B13" s="195"/>
      <c r="C13" s="195"/>
      <c r="D13" s="195"/>
      <c r="E13" s="673" t="str">
        <f>"Projected ARR For "&amp;U1&amp;" From WS-F"</f>
        <v>Projected ARR For 2023 From WS-F</v>
      </c>
      <c r="F13" s="673"/>
      <c r="G13" s="673"/>
      <c r="H13" s="195"/>
      <c r="I13" s="196" t="str">
        <f>"True-Up ARR CY"&amp;U1-2&amp;" From Worksheet G  (includes adjustment for SPP Collections)"</f>
        <v>True-Up ARR CY2021 From Worksheet G  (includes adjustment for SPP Collections)</v>
      </c>
      <c r="J13" s="196"/>
      <c r="K13" s="196"/>
      <c r="L13" s="196"/>
      <c r="M13" s="196"/>
      <c r="N13" s="196"/>
      <c r="O13" s="196"/>
      <c r="P13" s="196"/>
      <c r="Q13" s="196"/>
      <c r="R13" s="196"/>
      <c r="S13" s="195"/>
      <c r="T13" s="195"/>
      <c r="U13" s="195"/>
    </row>
    <row r="14" spans="1:24" ht="18" customHeight="1">
      <c r="I14" s="197"/>
      <c r="T14" s="674" t="str">
        <f>"Total ADJUSTED Revenue Requirement Effective
1/1/"&amp;U1&amp;""</f>
        <v>Total ADJUSTED Revenue Requirement Effective
1/1/2023</v>
      </c>
    </row>
    <row r="15" spans="1:24" ht="18" customHeight="1" thickBot="1">
      <c r="D15" s="195"/>
      <c r="E15" s="198"/>
      <c r="F15" s="198"/>
      <c r="G15" s="198"/>
      <c r="I15" s="196" t="s">
        <v>181</v>
      </c>
      <c r="J15" s="199"/>
      <c r="K15" s="196"/>
      <c r="L15" s="199"/>
      <c r="M15" s="200"/>
      <c r="N15" s="196" t="s">
        <v>218</v>
      </c>
      <c r="O15" s="201"/>
      <c r="P15" s="201"/>
      <c r="Q15" s="202"/>
      <c r="T15" s="674"/>
    </row>
    <row r="16" spans="1:24" ht="71.25" customHeight="1">
      <c r="A16" s="203" t="s">
        <v>178</v>
      </c>
      <c r="B16" s="204" t="s">
        <v>179</v>
      </c>
      <c r="C16" s="204" t="s">
        <v>117</v>
      </c>
      <c r="D16" s="205" t="s">
        <v>180</v>
      </c>
      <c r="E16" s="206" t="s">
        <v>181</v>
      </c>
      <c r="F16" s="206" t="s">
        <v>182</v>
      </c>
      <c r="G16" s="205" t="s">
        <v>183</v>
      </c>
      <c r="I16" s="207" t="s">
        <v>211</v>
      </c>
      <c r="J16" s="672" t="s">
        <v>264</v>
      </c>
      <c r="K16" s="672" t="s">
        <v>232</v>
      </c>
      <c r="L16" s="207" t="s">
        <v>215</v>
      </c>
      <c r="M16" s="207"/>
      <c r="N16" s="208" t="s">
        <v>184</v>
      </c>
      <c r="O16" s="208" t="s">
        <v>185</v>
      </c>
      <c r="P16" s="209" t="s">
        <v>186</v>
      </c>
      <c r="Q16" s="209" t="s">
        <v>187</v>
      </c>
      <c r="R16" s="210" t="s">
        <v>219</v>
      </c>
      <c r="T16" s="674"/>
      <c r="V16" s="211" t="s">
        <v>220</v>
      </c>
      <c r="X16" s="183" t="s">
        <v>513</v>
      </c>
    </row>
    <row r="17" spans="1:27" ht="13">
      <c r="B17" s="195"/>
      <c r="C17" s="195"/>
      <c r="E17" s="212"/>
      <c r="F17" s="212"/>
      <c r="G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T17" s="212"/>
      <c r="V17" s="213"/>
    </row>
    <row r="18" spans="1:27" ht="13">
      <c r="A18" s="214" t="s">
        <v>190</v>
      </c>
      <c r="B18" s="192" t="s">
        <v>191</v>
      </c>
      <c r="C18" s="215" t="str">
        <f t="shared" ref="C18:F37" ca="1" si="0">INDIRECT("'"&amp; $A18 &amp; "'!" &amp;C$103)</f>
        <v>Arsenal Hill Auto xfmr &amp; AH to Water Works line</v>
      </c>
      <c r="D18" s="216">
        <f t="shared" ca="1" si="0"/>
        <v>2009</v>
      </c>
      <c r="E18" s="665">
        <f ca="1">INDIRECT("'"&amp; $A18 &amp; "'!" &amp;E$103)</f>
        <v>1925804.5853895803</v>
      </c>
      <c r="F18" s="218">
        <f t="shared" ca="1" si="0"/>
        <v>0</v>
      </c>
      <c r="G18" s="218">
        <f t="shared" ref="G18:G23" ca="1" si="1">+E18+F18</f>
        <v>1925804.5853895803</v>
      </c>
      <c r="H18" s="219"/>
      <c r="I18" s="221">
        <v>113184.66661617998</v>
      </c>
      <c r="J18" s="221">
        <v>1663795.2377037522</v>
      </c>
      <c r="K18" s="221">
        <v>1752841.1909565411</v>
      </c>
      <c r="L18" s="217">
        <f t="shared" ref="L18:L42" si="2">+J18-K18</f>
        <v>-89045.953252788866</v>
      </c>
      <c r="M18" s="217"/>
      <c r="N18" s="218">
        <v>0</v>
      </c>
      <c r="O18" s="218">
        <v>0</v>
      </c>
      <c r="P18" s="218">
        <f t="shared" ref="P18:P23" si="3">+N18-O18</f>
        <v>0</v>
      </c>
      <c r="Q18" s="217">
        <f t="shared" ref="Q18:Q49" si="4">+V18/$V$96 * $Q$96</f>
        <v>1622.4481456372944</v>
      </c>
      <c r="R18" s="222">
        <f>I18+L18+P18+Q18</f>
        <v>25761.16150902841</v>
      </c>
      <c r="S18" s="222"/>
      <c r="T18" s="223">
        <f t="shared" ref="T18:T42" ca="1" si="5">+G18+R18</f>
        <v>1951565.7468986087</v>
      </c>
      <c r="V18" s="224">
        <f>+I18+L18+P18</f>
        <v>24138.713363391114</v>
      </c>
      <c r="W18" s="183" t="str">
        <f>A18</f>
        <v>S.001</v>
      </c>
      <c r="X18" s="183" t="s">
        <v>515</v>
      </c>
      <c r="AA18" s="668"/>
    </row>
    <row r="19" spans="1:27" ht="13">
      <c r="A19" s="214" t="s">
        <v>192</v>
      </c>
      <c r="B19" s="192" t="s">
        <v>191</v>
      </c>
      <c r="C19" s="215" t="str">
        <f t="shared" ca="1" si="0"/>
        <v>SW Shreveport (sub work &amp; tap)</v>
      </c>
      <c r="D19" s="216">
        <f t="shared" ca="1" si="0"/>
        <v>2009</v>
      </c>
      <c r="E19" s="665">
        <f t="shared" ca="1" si="0"/>
        <v>878326.3176604046</v>
      </c>
      <c r="F19" s="218">
        <f t="shared" ca="1" si="0"/>
        <v>0</v>
      </c>
      <c r="G19" s="218">
        <f t="shared" ca="1" si="1"/>
        <v>878326.3176604046</v>
      </c>
      <c r="H19" s="219"/>
      <c r="I19" s="221">
        <v>62178.580493794754</v>
      </c>
      <c r="J19" s="221">
        <v>770163.83088811545</v>
      </c>
      <c r="K19" s="221">
        <v>811382.82883217791</v>
      </c>
      <c r="L19" s="217">
        <f t="shared" si="2"/>
        <v>-41218.997944062459</v>
      </c>
      <c r="M19" s="217"/>
      <c r="N19" s="218">
        <v>0</v>
      </c>
      <c r="O19" s="218">
        <v>0</v>
      </c>
      <c r="P19" s="218">
        <f t="shared" si="3"/>
        <v>0</v>
      </c>
      <c r="Q19" s="217">
        <f t="shared" si="4"/>
        <v>1408.7675398937529</v>
      </c>
      <c r="R19" s="222">
        <f t="shared" ref="R19:R42" si="6">I19+L19+P19+Q19</f>
        <v>22368.350089626048</v>
      </c>
      <c r="S19" s="222"/>
      <c r="T19" s="225">
        <f t="shared" ca="1" si="5"/>
        <v>900694.66775003064</v>
      </c>
      <c r="V19" s="224">
        <f t="shared" ref="V19:V37" si="7">+I19+L19+P19</f>
        <v>20959.582549732295</v>
      </c>
      <c r="W19" s="183" t="str">
        <f t="shared" ref="W19:W37" si="8">A19</f>
        <v>S.002</v>
      </c>
      <c r="X19" s="183" t="s">
        <v>516</v>
      </c>
      <c r="AA19" s="668"/>
    </row>
    <row r="20" spans="1:27" ht="25">
      <c r="A20" s="214" t="s">
        <v>193</v>
      </c>
      <c r="B20" s="192" t="s">
        <v>191</v>
      </c>
      <c r="C20" s="226" t="str">
        <f t="shared" ca="1" si="0"/>
        <v>[NW Ark Area Improve - 2009]  E. Centerton-Flint Crk, E Rogers-N Rogers, Centerton</v>
      </c>
      <c r="D20" s="216">
        <f t="shared" ca="1" si="0"/>
        <v>2009</v>
      </c>
      <c r="E20" s="665">
        <f t="shared" ca="1" si="0"/>
        <v>1494217.6887684264</v>
      </c>
      <c r="F20" s="218">
        <f t="shared" ca="1" si="0"/>
        <v>0</v>
      </c>
      <c r="G20" s="218">
        <f t="shared" ca="1" si="1"/>
        <v>1494217.6887684264</v>
      </c>
      <c r="H20" s="219"/>
      <c r="I20" s="221">
        <v>72416.658947797725</v>
      </c>
      <c r="J20" s="221">
        <v>1277921.3104840512</v>
      </c>
      <c r="K20" s="221">
        <v>1346315.376469692</v>
      </c>
      <c r="L20" s="217">
        <f t="shared" si="2"/>
        <v>-68394.065985640744</v>
      </c>
      <c r="M20" s="217"/>
      <c r="N20" s="218">
        <v>0</v>
      </c>
      <c r="O20" s="218">
        <v>0</v>
      </c>
      <c r="P20" s="218">
        <f t="shared" si="3"/>
        <v>0</v>
      </c>
      <c r="Q20" s="217">
        <f t="shared" si="4"/>
        <v>270.37267454375871</v>
      </c>
      <c r="R20" s="222">
        <f t="shared" si="6"/>
        <v>4292.9656367007401</v>
      </c>
      <c r="S20" s="222"/>
      <c r="T20" s="225">
        <f t="shared" ca="1" si="5"/>
        <v>1498510.654405127</v>
      </c>
      <c r="V20" s="224">
        <f t="shared" si="7"/>
        <v>4022.5929621569812</v>
      </c>
      <c r="W20" s="183" t="str">
        <f t="shared" si="8"/>
        <v>S.003</v>
      </c>
      <c r="X20" s="183" t="s">
        <v>517</v>
      </c>
      <c r="AA20" s="668"/>
    </row>
    <row r="21" spans="1:27" ht="13">
      <c r="A21" s="214" t="s">
        <v>194</v>
      </c>
      <c r="B21" s="192" t="s">
        <v>191</v>
      </c>
      <c r="C21" s="226" t="str">
        <f t="shared" ca="1" si="0"/>
        <v>Rebuild N. Magazine - Danville 161 kV Line</v>
      </c>
      <c r="D21" s="216">
        <f t="shared" ca="1" si="0"/>
        <v>2009</v>
      </c>
      <c r="E21" s="665">
        <f t="shared" ca="1" si="0"/>
        <v>1253595.1343573183</v>
      </c>
      <c r="F21" s="218">
        <f t="shared" ca="1" si="0"/>
        <v>0</v>
      </c>
      <c r="G21" s="218">
        <f t="shared" ca="1" si="1"/>
        <v>1253595.1343573183</v>
      </c>
      <c r="H21" s="219"/>
      <c r="I21" s="221">
        <v>63927.74950638786</v>
      </c>
      <c r="J21" s="221">
        <v>1075188.332915707</v>
      </c>
      <c r="K21" s="221">
        <v>1132732.1747666374</v>
      </c>
      <c r="L21" s="217">
        <f t="shared" si="2"/>
        <v>-57543.841850930359</v>
      </c>
      <c r="M21" s="217"/>
      <c r="N21" s="218">
        <v>0</v>
      </c>
      <c r="O21" s="218">
        <v>0</v>
      </c>
      <c r="P21" s="218">
        <f t="shared" si="3"/>
        <v>0</v>
      </c>
      <c r="Q21" s="217">
        <f t="shared" si="4"/>
        <v>429.08497158034413</v>
      </c>
      <c r="R21" s="222">
        <f t="shared" si="6"/>
        <v>6812.9926270378446</v>
      </c>
      <c r="S21" s="222"/>
      <c r="T21" s="225">
        <f t="shared" ca="1" si="5"/>
        <v>1260408.1269843562</v>
      </c>
      <c r="V21" s="224">
        <f t="shared" si="7"/>
        <v>6383.9076554575004</v>
      </c>
      <c r="W21" s="183" t="str">
        <f t="shared" si="8"/>
        <v>S.004</v>
      </c>
      <c r="X21" s="183" t="s">
        <v>518</v>
      </c>
      <c r="AA21" s="668"/>
    </row>
    <row r="22" spans="1:27" ht="25">
      <c r="A22" s="214" t="s">
        <v>195</v>
      </c>
      <c r="B22" s="192" t="s">
        <v>191</v>
      </c>
      <c r="C22" s="226" t="str">
        <f t="shared" ca="1" si="0"/>
        <v>[Greenwood, AR Area Improve]  N Huntington, Greenwood, Reeves, Bonanza</v>
      </c>
      <c r="D22" s="216">
        <f t="shared" ca="1" si="0"/>
        <v>2009</v>
      </c>
      <c r="E22" s="665">
        <f t="shared" ca="1" si="0"/>
        <v>324996.32688893087</v>
      </c>
      <c r="F22" s="218">
        <f t="shared" ca="1" si="0"/>
        <v>0</v>
      </c>
      <c r="G22" s="218">
        <f t="shared" ca="1" si="1"/>
        <v>324996.32688893087</v>
      </c>
      <c r="H22" s="219"/>
      <c r="I22" s="221">
        <v>19064.265248416748</v>
      </c>
      <c r="J22" s="221">
        <v>280745.57641825307</v>
      </c>
      <c r="K22" s="221">
        <v>295771.01759463793</v>
      </c>
      <c r="L22" s="217">
        <f t="shared" si="2"/>
        <v>-15025.441176384862</v>
      </c>
      <c r="M22" s="217"/>
      <c r="N22" s="218">
        <v>0</v>
      </c>
      <c r="O22" s="218">
        <v>0</v>
      </c>
      <c r="P22" s="218">
        <f t="shared" si="3"/>
        <v>0</v>
      </c>
      <c r="Q22" s="217">
        <f t="shared" si="4"/>
        <v>271.46362474154819</v>
      </c>
      <c r="R22" s="222">
        <f t="shared" si="6"/>
        <v>4310.2876967734346</v>
      </c>
      <c r="S22" s="222"/>
      <c r="T22" s="225">
        <f t="shared" ca="1" si="5"/>
        <v>329306.61458570429</v>
      </c>
      <c r="V22" s="224">
        <f t="shared" si="7"/>
        <v>4038.8240720318863</v>
      </c>
      <c r="W22" s="183" t="str">
        <f t="shared" si="8"/>
        <v>S.005</v>
      </c>
      <c r="X22" s="183" t="s">
        <v>519</v>
      </c>
      <c r="AA22" s="668"/>
    </row>
    <row r="23" spans="1:27" ht="13">
      <c r="A23" s="214" t="s">
        <v>196</v>
      </c>
      <c r="B23" s="192" t="s">
        <v>191</v>
      </c>
      <c r="C23" s="226" t="str">
        <f t="shared" ca="1" si="0"/>
        <v>Port Robson-Caplis Line (SW 138 kV Loop -- 2009)</v>
      </c>
      <c r="D23" s="216">
        <f t="shared" ca="1" si="0"/>
        <v>2009</v>
      </c>
      <c r="E23" s="665">
        <f t="shared" ca="1" si="0"/>
        <v>4157929.5482090265</v>
      </c>
      <c r="F23" s="218">
        <f t="shared" ca="1" si="0"/>
        <v>0</v>
      </c>
      <c r="G23" s="218">
        <f t="shared" ca="1" si="1"/>
        <v>4157929.5482090265</v>
      </c>
      <c r="H23" s="219"/>
      <c r="I23" s="221">
        <v>276262.06333356863</v>
      </c>
      <c r="J23" s="221">
        <v>3612126.441880479</v>
      </c>
      <c r="K23" s="221">
        <v>3805446.6504001054</v>
      </c>
      <c r="L23" s="217">
        <f t="shared" si="2"/>
        <v>-193320.20851962641</v>
      </c>
      <c r="M23" s="217"/>
      <c r="N23" s="218">
        <v>0</v>
      </c>
      <c r="O23" s="218">
        <v>0</v>
      </c>
      <c r="P23" s="218">
        <f t="shared" si="3"/>
        <v>0</v>
      </c>
      <c r="Q23" s="217">
        <f t="shared" si="4"/>
        <v>5574.8148839898822</v>
      </c>
      <c r="R23" s="222">
        <f t="shared" si="6"/>
        <v>88516.669697932099</v>
      </c>
      <c r="S23" s="222"/>
      <c r="T23" s="225">
        <f t="shared" ca="1" si="5"/>
        <v>4246446.2179069584</v>
      </c>
      <c r="U23" s="227"/>
      <c r="V23" s="224">
        <f t="shared" si="7"/>
        <v>82941.85481394222</v>
      </c>
      <c r="W23" s="227" t="str">
        <f t="shared" si="8"/>
        <v>S.006</v>
      </c>
      <c r="X23" s="183" t="s">
        <v>520</v>
      </c>
      <c r="AA23" s="668"/>
    </row>
    <row r="24" spans="1:27" ht="13">
      <c r="A24" s="214" t="s">
        <v>197</v>
      </c>
      <c r="B24" s="192" t="s">
        <v>191</v>
      </c>
      <c r="C24" s="226" t="str">
        <f t="shared" ca="1" si="0"/>
        <v>Linwood 138 Station Switch Replacement*</v>
      </c>
      <c r="D24" s="216">
        <f t="shared" ca="1" si="0"/>
        <v>2009</v>
      </c>
      <c r="E24" s="665">
        <f t="shared" ca="1" si="0"/>
        <v>8328.5417090766241</v>
      </c>
      <c r="F24" s="218">
        <f t="shared" ca="1" si="0"/>
        <v>0</v>
      </c>
      <c r="G24" s="218">
        <f t="shared" ref="G24:G36" ca="1" si="9">+E24+F24</f>
        <v>8328.5417090766241</v>
      </c>
      <c r="H24" s="219"/>
      <c r="I24" s="221">
        <v>506.40952719295183</v>
      </c>
      <c r="J24" s="221">
        <v>7218.7483716354391</v>
      </c>
      <c r="K24" s="221">
        <v>7605.0941884027961</v>
      </c>
      <c r="L24" s="217">
        <f t="shared" si="2"/>
        <v>-386.34581676735706</v>
      </c>
      <c r="M24" s="217"/>
      <c r="N24" s="218">
        <v>0</v>
      </c>
      <c r="O24" s="218">
        <v>0</v>
      </c>
      <c r="P24" s="218">
        <f t="shared" ref="P24:P36" si="10">+N24-O24</f>
        <v>0</v>
      </c>
      <c r="Q24" s="217">
        <f t="shared" si="4"/>
        <v>8.0699058564475763</v>
      </c>
      <c r="R24" s="222">
        <f t="shared" si="6"/>
        <v>128.13361628204234</v>
      </c>
      <c r="S24" s="228" t="s">
        <v>266</v>
      </c>
      <c r="T24" s="225">
        <f t="shared" ca="1" si="5"/>
        <v>8456.6753253586667</v>
      </c>
      <c r="V24" s="224">
        <f t="shared" si="7"/>
        <v>120.06371042559476</v>
      </c>
      <c r="W24" s="183" t="str">
        <f t="shared" si="8"/>
        <v>S.007</v>
      </c>
      <c r="X24" s="183" t="s">
        <v>521</v>
      </c>
      <c r="AA24" s="668"/>
    </row>
    <row r="25" spans="1:27" ht="25">
      <c r="A25" s="214" t="s">
        <v>198</v>
      </c>
      <c r="B25" s="192" t="s">
        <v>191</v>
      </c>
      <c r="C25" s="226" t="str">
        <f t="shared" ca="1" si="0"/>
        <v>Dyess to S. Fayetteville 69 kV Convert to 161 kV (multi-projects)</v>
      </c>
      <c r="D25" s="216">
        <f t="shared" ca="1" si="0"/>
        <v>2008</v>
      </c>
      <c r="E25" s="665">
        <f t="shared" ca="1" si="0"/>
        <v>1012805.931367748</v>
      </c>
      <c r="F25" s="218">
        <f t="shared" ca="1" si="0"/>
        <v>0</v>
      </c>
      <c r="G25" s="218">
        <f t="shared" ca="1" si="9"/>
        <v>1012805.931367748</v>
      </c>
      <c r="H25" s="219"/>
      <c r="I25" s="221">
        <v>67664.01214580494</v>
      </c>
      <c r="J25" s="221">
        <v>884398.47952778323</v>
      </c>
      <c r="K25" s="221">
        <v>931731.29060948594</v>
      </c>
      <c r="L25" s="217">
        <f t="shared" si="2"/>
        <v>-47332.811081702705</v>
      </c>
      <c r="M25" s="217"/>
      <c r="N25" s="218">
        <v>0</v>
      </c>
      <c r="O25" s="218">
        <v>0</v>
      </c>
      <c r="P25" s="218">
        <f t="shared" si="10"/>
        <v>0</v>
      </c>
      <c r="Q25" s="217">
        <f t="shared" si="4"/>
        <v>1366.531801776099</v>
      </c>
      <c r="R25" s="222">
        <f t="shared" si="6"/>
        <v>21697.732865878334</v>
      </c>
      <c r="S25" s="222"/>
      <c r="T25" s="225">
        <f t="shared" ca="1" si="5"/>
        <v>1034503.6642336263</v>
      </c>
      <c r="V25" s="224">
        <f t="shared" si="7"/>
        <v>20331.201064102235</v>
      </c>
      <c r="W25" s="183" t="str">
        <f t="shared" si="8"/>
        <v>S.008</v>
      </c>
      <c r="X25" s="183" t="s">
        <v>522</v>
      </c>
      <c r="AA25" s="668"/>
    </row>
    <row r="26" spans="1:27" ht="25">
      <c r="A26" s="214" t="s">
        <v>199</v>
      </c>
      <c r="B26" s="192" t="s">
        <v>191</v>
      </c>
      <c r="C26" s="226" t="str">
        <f t="shared" ca="1" si="0"/>
        <v>Northwest Texarkana-Bann-Alumax Tap 138kV -- reconductor</v>
      </c>
      <c r="D26" s="216">
        <f t="shared" ca="1" si="0"/>
        <v>2008</v>
      </c>
      <c r="E26" s="665">
        <f t="shared" ca="1" si="0"/>
        <v>300427.61382365174</v>
      </c>
      <c r="F26" s="218">
        <f t="shared" ca="1" si="0"/>
        <v>0</v>
      </c>
      <c r="G26" s="218">
        <f t="shared" ca="1" si="9"/>
        <v>300427.61382365174</v>
      </c>
      <c r="H26" s="219"/>
      <c r="I26" s="221">
        <v>14495.671768112865</v>
      </c>
      <c r="J26" s="221">
        <v>257263.51957421636</v>
      </c>
      <c r="K26" s="221">
        <v>271032.20626024745</v>
      </c>
      <c r="L26" s="217">
        <f t="shared" si="2"/>
        <v>-13768.686686031084</v>
      </c>
      <c r="M26" s="217"/>
      <c r="N26" s="218">
        <v>0</v>
      </c>
      <c r="O26" s="218">
        <v>0</v>
      </c>
      <c r="P26" s="218">
        <f t="shared" si="10"/>
        <v>0</v>
      </c>
      <c r="Q26" s="217">
        <f t="shared" si="4"/>
        <v>48.863233950090745</v>
      </c>
      <c r="R26" s="222">
        <f t="shared" si="6"/>
        <v>775.84831603187172</v>
      </c>
      <c r="S26" s="222"/>
      <c r="T26" s="225">
        <f t="shared" ca="1" si="5"/>
        <v>301203.4621396836</v>
      </c>
      <c r="V26" s="224">
        <f t="shared" si="7"/>
        <v>726.985082081781</v>
      </c>
      <c r="W26" s="183" t="str">
        <f t="shared" si="8"/>
        <v>S.009</v>
      </c>
      <c r="X26" s="183" t="s">
        <v>523</v>
      </c>
      <c r="AA26" s="668"/>
    </row>
    <row r="27" spans="1:27" ht="13">
      <c r="A27" s="214" t="s">
        <v>200</v>
      </c>
      <c r="B27" s="192" t="s">
        <v>191</v>
      </c>
      <c r="C27" s="229" t="str">
        <f t="shared" ca="1" si="0"/>
        <v>Tontitown - Elm Springs REC 161 kV line***</v>
      </c>
      <c r="D27" s="216">
        <f t="shared" ca="1" si="0"/>
        <v>2008</v>
      </c>
      <c r="E27" s="665">
        <f t="shared" ca="1" si="0"/>
        <v>0</v>
      </c>
      <c r="F27" s="218">
        <f t="shared" ca="1" si="0"/>
        <v>0</v>
      </c>
      <c r="G27" s="218">
        <f t="shared" ca="1" si="9"/>
        <v>0</v>
      </c>
      <c r="H27" s="219"/>
      <c r="I27" s="221">
        <v>0</v>
      </c>
      <c r="J27" s="221">
        <v>0</v>
      </c>
      <c r="K27" s="221">
        <v>0</v>
      </c>
      <c r="L27" s="217">
        <f t="shared" si="2"/>
        <v>0</v>
      </c>
      <c r="M27" s="217"/>
      <c r="N27" s="218">
        <v>0</v>
      </c>
      <c r="O27" s="218">
        <v>0</v>
      </c>
      <c r="P27" s="218">
        <f t="shared" si="10"/>
        <v>0</v>
      </c>
      <c r="Q27" s="217">
        <f t="shared" si="4"/>
        <v>0</v>
      </c>
      <c r="R27" s="222">
        <f t="shared" si="6"/>
        <v>0</v>
      </c>
      <c r="S27" s="222"/>
      <c r="T27" s="225">
        <f t="shared" ca="1" si="5"/>
        <v>0</v>
      </c>
      <c r="V27" s="224">
        <f t="shared" si="7"/>
        <v>0</v>
      </c>
      <c r="W27" s="183" t="str">
        <f t="shared" si="8"/>
        <v>S.010</v>
      </c>
      <c r="X27" s="183" t="s">
        <v>524</v>
      </c>
      <c r="AA27" s="669"/>
    </row>
    <row r="28" spans="1:27" ht="16.5" customHeight="1">
      <c r="A28" s="214" t="s">
        <v>201</v>
      </c>
      <c r="B28" s="192" t="s">
        <v>191</v>
      </c>
      <c r="C28" s="229" t="str">
        <f t="shared" ca="1" si="0"/>
        <v>Siloam Springs - Chamber Springs 161 kV line***</v>
      </c>
      <c r="D28" s="216">
        <f t="shared" ca="1" si="0"/>
        <v>2007</v>
      </c>
      <c r="E28" s="665">
        <f t="shared" ca="1" si="0"/>
        <v>0</v>
      </c>
      <c r="F28" s="218">
        <f t="shared" ca="1" si="0"/>
        <v>0</v>
      </c>
      <c r="G28" s="218">
        <f t="shared" ca="1" si="9"/>
        <v>0</v>
      </c>
      <c r="H28" s="219"/>
      <c r="I28" s="221">
        <v>0</v>
      </c>
      <c r="J28" s="221">
        <v>0</v>
      </c>
      <c r="K28" s="221">
        <v>0</v>
      </c>
      <c r="L28" s="217">
        <f t="shared" si="2"/>
        <v>0</v>
      </c>
      <c r="M28" s="217"/>
      <c r="N28" s="218">
        <v>0</v>
      </c>
      <c r="O28" s="218">
        <v>0</v>
      </c>
      <c r="P28" s="218">
        <f t="shared" si="10"/>
        <v>0</v>
      </c>
      <c r="Q28" s="217">
        <f t="shared" si="4"/>
        <v>0</v>
      </c>
      <c r="R28" s="222">
        <f t="shared" si="6"/>
        <v>0</v>
      </c>
      <c r="S28" s="222"/>
      <c r="T28" s="225">
        <f t="shared" ca="1" si="5"/>
        <v>0</v>
      </c>
      <c r="V28" s="224">
        <f t="shared" si="7"/>
        <v>0</v>
      </c>
      <c r="W28" s="183" t="str">
        <f t="shared" si="8"/>
        <v>S.011</v>
      </c>
      <c r="X28" s="183" t="s">
        <v>525</v>
      </c>
      <c r="AA28" s="669"/>
    </row>
    <row r="29" spans="1:27" ht="25">
      <c r="A29" s="214" t="s">
        <v>202</v>
      </c>
      <c r="B29" s="192" t="s">
        <v>191</v>
      </c>
      <c r="C29" s="226" t="str">
        <f t="shared" ca="1" si="0"/>
        <v>Knox Lee - Oak Hill #2 138 kV line, S. Shreveport  (SWE Minor Proj II)</v>
      </c>
      <c r="D29" s="216">
        <f t="shared" ca="1" si="0"/>
        <v>2007</v>
      </c>
      <c r="E29" s="665">
        <f t="shared" ca="1" si="0"/>
        <v>19606.64766056418</v>
      </c>
      <c r="F29" s="218">
        <f t="shared" ca="1" si="0"/>
        <v>0</v>
      </c>
      <c r="G29" s="218">
        <f t="shared" ca="1" si="9"/>
        <v>19606.64766056418</v>
      </c>
      <c r="H29" s="219"/>
      <c r="I29" s="221">
        <v>824.55877139808581</v>
      </c>
      <c r="J29" s="221">
        <v>16693.307342217951</v>
      </c>
      <c r="K29" s="221">
        <v>17586.729460243179</v>
      </c>
      <c r="L29" s="217">
        <f t="shared" si="2"/>
        <v>-893.42211802522797</v>
      </c>
      <c r="M29" s="217"/>
      <c r="N29" s="218">
        <v>0</v>
      </c>
      <c r="O29" s="218">
        <v>0</v>
      </c>
      <c r="P29" s="218">
        <f t="shared" si="10"/>
        <v>0</v>
      </c>
      <c r="Q29" s="217">
        <f t="shared" si="4"/>
        <v>-4.628548645307295</v>
      </c>
      <c r="R29" s="222">
        <f t="shared" si="6"/>
        <v>-73.491895272449455</v>
      </c>
      <c r="S29" s="222"/>
      <c r="T29" s="225">
        <f ca="1">+G29+R29</f>
        <v>19533.155765291729</v>
      </c>
      <c r="V29" s="224">
        <f t="shared" si="7"/>
        <v>-68.863346627142164</v>
      </c>
      <c r="W29" s="183" t="str">
        <f t="shared" si="8"/>
        <v>S.012</v>
      </c>
      <c r="X29" s="183" t="s">
        <v>526</v>
      </c>
      <c r="AA29" s="668"/>
    </row>
    <row r="30" spans="1:27" ht="13">
      <c r="A30" s="214" t="s">
        <v>203</v>
      </c>
      <c r="B30" s="192" t="s">
        <v>191</v>
      </c>
      <c r="C30" s="226" t="str">
        <f t="shared" ca="1" si="0"/>
        <v xml:space="preserve">Carthage REC - Carthage T 138 kV </v>
      </c>
      <c r="D30" s="216">
        <f t="shared" ca="1" si="0"/>
        <v>2006</v>
      </c>
      <c r="E30" s="665">
        <f t="shared" ca="1" si="0"/>
        <v>599077.58884428418</v>
      </c>
      <c r="F30" s="218">
        <f t="shared" ca="1" si="0"/>
        <v>0</v>
      </c>
      <c r="G30" s="218">
        <f t="shared" ca="1" si="9"/>
        <v>599077.58884428418</v>
      </c>
      <c r="H30" s="219"/>
      <c r="I30" s="221">
        <v>38664.25628295308</v>
      </c>
      <c r="J30" s="221">
        <v>521153.72740541154</v>
      </c>
      <c r="K30" s="221">
        <v>549045.75966781052</v>
      </c>
      <c r="L30" s="217">
        <f t="shared" si="2"/>
        <v>-27892.032262398978</v>
      </c>
      <c r="M30" s="217"/>
      <c r="N30" s="218">
        <v>0</v>
      </c>
      <c r="O30" s="218">
        <v>0</v>
      </c>
      <c r="P30" s="218">
        <f t="shared" si="10"/>
        <v>0</v>
      </c>
      <c r="Q30" s="217">
        <f t="shared" si="4"/>
        <v>724.03920720330484</v>
      </c>
      <c r="R30" s="222">
        <f t="shared" si="6"/>
        <v>11496.263227757407</v>
      </c>
      <c r="S30" s="222"/>
      <c r="T30" s="225">
        <f t="shared" ca="1" si="5"/>
        <v>610573.8520720416</v>
      </c>
      <c r="V30" s="224">
        <f t="shared" si="7"/>
        <v>10772.224020554102</v>
      </c>
      <c r="W30" s="183" t="str">
        <f t="shared" si="8"/>
        <v>S.013</v>
      </c>
      <c r="X30" s="183" t="s">
        <v>527</v>
      </c>
      <c r="AA30" s="668"/>
    </row>
    <row r="31" spans="1:27" ht="13">
      <c r="A31" s="214" t="s">
        <v>204</v>
      </c>
      <c r="B31" s="192" t="s">
        <v>191</v>
      </c>
      <c r="C31" s="229" t="str">
        <f t="shared" ca="1" si="0"/>
        <v>NW Henderson - Oak Hill 138 kV line*</v>
      </c>
      <c r="D31" s="216">
        <f t="shared" ca="1" si="0"/>
        <v>2007</v>
      </c>
      <c r="E31" s="665">
        <f t="shared" ca="1" si="0"/>
        <v>8544.5366116396999</v>
      </c>
      <c r="F31" s="218">
        <f t="shared" ca="1" si="0"/>
        <v>0</v>
      </c>
      <c r="G31" s="218">
        <f t="shared" ca="1" si="9"/>
        <v>8544.5366116396999</v>
      </c>
      <c r="H31" s="219"/>
      <c r="I31" s="221">
        <v>495.75923119410618</v>
      </c>
      <c r="J31" s="221">
        <v>7398.4002669789534</v>
      </c>
      <c r="K31" s="221">
        <v>7794.3610134636301</v>
      </c>
      <c r="L31" s="217">
        <f t="shared" si="2"/>
        <v>-395.96074648467675</v>
      </c>
      <c r="M31" s="217"/>
      <c r="N31" s="218">
        <v>0</v>
      </c>
      <c r="O31" s="218">
        <v>0</v>
      </c>
      <c r="P31" s="218">
        <f t="shared" si="10"/>
        <v>0</v>
      </c>
      <c r="Q31" s="217">
        <f t="shared" si="4"/>
        <v>6.7078084907288824</v>
      </c>
      <c r="R31" s="222">
        <f t="shared" si="6"/>
        <v>106.50629320015831</v>
      </c>
      <c r="S31" s="228" t="s">
        <v>266</v>
      </c>
      <c r="T31" s="225">
        <f t="shared" ca="1" si="5"/>
        <v>8651.0429048398582</v>
      </c>
      <c r="V31" s="224">
        <f t="shared" si="7"/>
        <v>99.798484709429431</v>
      </c>
      <c r="W31" s="183" t="str">
        <f t="shared" si="8"/>
        <v>S.014</v>
      </c>
      <c r="X31" s="183" t="s">
        <v>528</v>
      </c>
      <c r="AA31" s="668"/>
    </row>
    <row r="32" spans="1:27" ht="13">
      <c r="A32" s="214" t="s">
        <v>205</v>
      </c>
      <c r="B32" s="192" t="s">
        <v>191</v>
      </c>
      <c r="C32" s="226" t="str">
        <f t="shared" ca="1" si="0"/>
        <v>Arsenal Hill 138kV Device (Cap. Bank)</v>
      </c>
      <c r="D32" s="216">
        <f t="shared" ca="1" si="0"/>
        <v>2007</v>
      </c>
      <c r="E32" s="665">
        <f t="shared" ca="1" si="0"/>
        <v>37586.135511568798</v>
      </c>
      <c r="F32" s="218">
        <f t="shared" ca="1" si="0"/>
        <v>0</v>
      </c>
      <c r="G32" s="218">
        <f t="shared" ca="1" si="9"/>
        <v>37586.135511568798</v>
      </c>
      <c r="H32" s="219"/>
      <c r="I32" s="221">
        <v>1861.693435295987</v>
      </c>
      <c r="J32" s="221">
        <v>32355.398506499059</v>
      </c>
      <c r="K32" s="221">
        <v>34087.052280710705</v>
      </c>
      <c r="L32" s="217">
        <f t="shared" si="2"/>
        <v>-1731.6537742116452</v>
      </c>
      <c r="M32" s="217"/>
      <c r="N32" s="218">
        <v>0</v>
      </c>
      <c r="O32" s="218">
        <v>0</v>
      </c>
      <c r="P32" s="218">
        <f t="shared" si="10"/>
        <v>0</v>
      </c>
      <c r="Q32" s="217">
        <f t="shared" si="4"/>
        <v>8.7404247198017515</v>
      </c>
      <c r="R32" s="222">
        <f t="shared" si="6"/>
        <v>138.78008580414354</v>
      </c>
      <c r="S32" s="222"/>
      <c r="T32" s="225">
        <f t="shared" ca="1" si="5"/>
        <v>37724.915597372943</v>
      </c>
      <c r="V32" s="224">
        <f t="shared" si="7"/>
        <v>130.03966108434179</v>
      </c>
      <c r="W32" s="183" t="str">
        <f t="shared" si="8"/>
        <v>S.015</v>
      </c>
      <c r="X32" s="183" t="s">
        <v>529</v>
      </c>
      <c r="AA32" s="668"/>
    </row>
    <row r="33" spans="1:27" ht="13">
      <c r="A33" s="214" t="s">
        <v>206</v>
      </c>
      <c r="B33" s="192" t="s">
        <v>191</v>
      </c>
      <c r="C33" s="226" t="str">
        <f t="shared" ca="1" si="0"/>
        <v>Daingerfield - Jenkins REC 69 kV CB Repl**</v>
      </c>
      <c r="D33" s="216">
        <f t="shared" ca="1" si="0"/>
        <v>2008</v>
      </c>
      <c r="E33" s="665">
        <f t="shared" ca="1" si="0"/>
        <v>41661.868149558737</v>
      </c>
      <c r="F33" s="218">
        <f t="shared" ca="1" si="0"/>
        <v>0</v>
      </c>
      <c r="G33" s="218">
        <f t="shared" ca="1" si="9"/>
        <v>41661.868149558737</v>
      </c>
      <c r="H33" s="219"/>
      <c r="I33" s="221">
        <v>3051.4486782136519</v>
      </c>
      <c r="J33" s="221">
        <v>36557.628844871884</v>
      </c>
      <c r="K33" s="221">
        <v>38514.185057670038</v>
      </c>
      <c r="L33" s="217">
        <f t="shared" si="2"/>
        <v>-1956.5562127981539</v>
      </c>
      <c r="M33" s="217"/>
      <c r="N33" s="218">
        <v>0</v>
      </c>
      <c r="O33" s="218">
        <v>0</v>
      </c>
      <c r="P33" s="218">
        <f t="shared" si="10"/>
        <v>0</v>
      </c>
      <c r="Q33" s="217">
        <f t="shared" si="4"/>
        <v>73.591588062010231</v>
      </c>
      <c r="R33" s="222">
        <f t="shared" si="6"/>
        <v>1168.4840534775083</v>
      </c>
      <c r="S33" s="222"/>
      <c r="T33" s="225">
        <f t="shared" ca="1" si="5"/>
        <v>42830.352203036244</v>
      </c>
      <c r="V33" s="224">
        <f t="shared" si="7"/>
        <v>1094.892465415498</v>
      </c>
      <c r="W33" s="183" t="str">
        <f t="shared" si="8"/>
        <v>S.016</v>
      </c>
      <c r="X33" s="183" t="s">
        <v>530</v>
      </c>
      <c r="AA33" s="670"/>
    </row>
    <row r="34" spans="1:27" ht="13">
      <c r="A34" s="214" t="s">
        <v>207</v>
      </c>
      <c r="B34" s="192" t="s">
        <v>191</v>
      </c>
      <c r="C34" s="226" t="str">
        <f t="shared" ca="1" si="0"/>
        <v>Linwood-McWillie 138 kV Rebuild</v>
      </c>
      <c r="D34" s="216">
        <f t="shared" ca="1" si="0"/>
        <v>2008</v>
      </c>
      <c r="E34" s="665">
        <f t="shared" ca="1" si="0"/>
        <v>205855.1419160036</v>
      </c>
      <c r="F34" s="218">
        <f t="shared" ca="1" si="0"/>
        <v>0</v>
      </c>
      <c r="G34" s="218">
        <f t="shared" ca="1" si="9"/>
        <v>205855.1419160036</v>
      </c>
      <c r="H34" s="219"/>
      <c r="I34" s="221">
        <v>10236.276585062704</v>
      </c>
      <c r="J34" s="221">
        <v>176654.45322215353</v>
      </c>
      <c r="K34" s="221">
        <v>186108.96049988005</v>
      </c>
      <c r="L34" s="217">
        <f t="shared" si="2"/>
        <v>-9454.5072777265159</v>
      </c>
      <c r="M34" s="217"/>
      <c r="N34" s="218">
        <v>0</v>
      </c>
      <c r="O34" s="218">
        <v>0</v>
      </c>
      <c r="P34" s="218">
        <f t="shared" si="10"/>
        <v>0</v>
      </c>
      <c r="Q34" s="217">
        <f t="shared" si="4"/>
        <v>52.545475142323923</v>
      </c>
      <c r="R34" s="222">
        <f t="shared" si="6"/>
        <v>834.3147824785118</v>
      </c>
      <c r="S34" s="222"/>
      <c r="T34" s="225">
        <f t="shared" ca="1" si="5"/>
        <v>206689.4566984821</v>
      </c>
      <c r="V34" s="224">
        <f t="shared" si="7"/>
        <v>781.76930733618792</v>
      </c>
      <c r="W34" s="183" t="str">
        <f t="shared" si="8"/>
        <v>S.017</v>
      </c>
      <c r="X34" s="183" t="s">
        <v>531</v>
      </c>
      <c r="AA34" s="668"/>
    </row>
    <row r="35" spans="1:27" ht="13">
      <c r="A35" s="214" t="s">
        <v>208</v>
      </c>
      <c r="B35" s="192" t="s">
        <v>191</v>
      </c>
      <c r="C35" s="226" t="str">
        <f t="shared" ca="1" si="0"/>
        <v>Port Robson (SW 138 kV Loop -- 2008)</v>
      </c>
      <c r="D35" s="216">
        <f t="shared" ca="1" si="0"/>
        <v>2009</v>
      </c>
      <c r="E35" s="665">
        <f t="shared" ca="1" si="0"/>
        <v>0</v>
      </c>
      <c r="F35" s="218">
        <f t="shared" ca="1" si="0"/>
        <v>0</v>
      </c>
      <c r="G35" s="218">
        <f t="shared" ca="1" si="9"/>
        <v>0</v>
      </c>
      <c r="H35" s="219"/>
      <c r="I35" s="221">
        <v>0</v>
      </c>
      <c r="J35" s="221">
        <v>0</v>
      </c>
      <c r="K35" s="221">
        <v>0</v>
      </c>
      <c r="L35" s="217">
        <f t="shared" si="2"/>
        <v>0</v>
      </c>
      <c r="M35" s="217"/>
      <c r="N35" s="218">
        <v>0</v>
      </c>
      <c r="O35" s="218">
        <v>0</v>
      </c>
      <c r="P35" s="218">
        <f t="shared" si="10"/>
        <v>0</v>
      </c>
      <c r="Q35" s="217">
        <f t="shared" si="4"/>
        <v>0</v>
      </c>
      <c r="R35" s="222">
        <f t="shared" si="6"/>
        <v>0</v>
      </c>
      <c r="S35" s="222"/>
      <c r="T35" s="225">
        <f t="shared" ca="1" si="5"/>
        <v>0</v>
      </c>
      <c r="V35" s="224">
        <f t="shared" si="7"/>
        <v>0</v>
      </c>
      <c r="W35" s="183" t="str">
        <f t="shared" si="8"/>
        <v>S.018</v>
      </c>
      <c r="X35" s="183" t="s">
        <v>532</v>
      </c>
      <c r="AA35" s="671"/>
    </row>
    <row r="36" spans="1:27" ht="13">
      <c r="A36" s="214" t="s">
        <v>209</v>
      </c>
      <c r="B36" s="192" t="s">
        <v>191</v>
      </c>
      <c r="C36" s="226" t="str">
        <f t="shared" ca="1" si="0"/>
        <v>Wallace Lake-Prt Robson-Red Point 138 kV Loop</v>
      </c>
      <c r="D36" s="216">
        <f t="shared" ca="1" si="0"/>
        <v>2008</v>
      </c>
      <c r="E36" s="665">
        <f t="shared" ca="1" si="0"/>
        <v>473097.6151571942</v>
      </c>
      <c r="F36" s="218">
        <f t="shared" ca="1" si="0"/>
        <v>0</v>
      </c>
      <c r="G36" s="218">
        <f t="shared" ca="1" si="9"/>
        <v>473097.6151571942</v>
      </c>
      <c r="H36" s="219"/>
      <c r="I36" s="221">
        <v>22690.79790744395</v>
      </c>
      <c r="J36" s="221">
        <v>405810.6907933671</v>
      </c>
      <c r="K36" s="221">
        <v>427529.5892389114</v>
      </c>
      <c r="L36" s="217">
        <f t="shared" si="2"/>
        <v>-21718.898445544299</v>
      </c>
      <c r="M36" s="217"/>
      <c r="N36" s="218">
        <v>0</v>
      </c>
      <c r="O36" s="218">
        <v>0</v>
      </c>
      <c r="P36" s="218">
        <f t="shared" si="10"/>
        <v>0</v>
      </c>
      <c r="Q36" s="217">
        <f t="shared" si="4"/>
        <v>65.324794075248491</v>
      </c>
      <c r="R36" s="222">
        <f t="shared" si="6"/>
        <v>1037.2242559748997</v>
      </c>
      <c r="S36" s="222"/>
      <c r="T36" s="225">
        <f t="shared" ca="1" si="5"/>
        <v>474134.83941316913</v>
      </c>
      <c r="V36" s="224">
        <f t="shared" si="7"/>
        <v>971.89946189965121</v>
      </c>
      <c r="W36" s="183" t="str">
        <f t="shared" si="8"/>
        <v>S.019</v>
      </c>
      <c r="X36" s="183" t="s">
        <v>533</v>
      </c>
      <c r="AA36" s="668"/>
    </row>
    <row r="37" spans="1:27" ht="25">
      <c r="A37" s="214" t="s">
        <v>210</v>
      </c>
      <c r="B37" s="192" t="s">
        <v>191</v>
      </c>
      <c r="C37" s="226" t="str">
        <f t="shared" ca="1" si="0"/>
        <v>[NW Ark Area Improve - 2008]  Elm Springs, East Rogers, Shipe Road Stations</v>
      </c>
      <c r="D37" s="216">
        <f t="shared" ca="1" si="0"/>
        <v>2008</v>
      </c>
      <c r="E37" s="665">
        <f t="shared" ca="1" si="0"/>
        <v>0</v>
      </c>
      <c r="F37" s="218">
        <f t="shared" ca="1" si="0"/>
        <v>0</v>
      </c>
      <c r="G37" s="218">
        <f t="shared" ref="G37:G42" ca="1" si="11">+E37+F37</f>
        <v>0</v>
      </c>
      <c r="H37" s="219"/>
      <c r="I37" s="221">
        <v>0</v>
      </c>
      <c r="J37" s="221">
        <v>0</v>
      </c>
      <c r="K37" s="221">
        <v>0</v>
      </c>
      <c r="L37" s="217">
        <f t="shared" si="2"/>
        <v>0</v>
      </c>
      <c r="M37" s="217"/>
      <c r="N37" s="218">
        <v>0</v>
      </c>
      <c r="O37" s="218">
        <v>0</v>
      </c>
      <c r="P37" s="218">
        <f t="shared" ref="P37:P42" si="12">+N37-O37</f>
        <v>0</v>
      </c>
      <c r="Q37" s="217">
        <f t="shared" si="4"/>
        <v>0</v>
      </c>
      <c r="R37" s="222">
        <f t="shared" si="6"/>
        <v>0</v>
      </c>
      <c r="S37" s="222"/>
      <c r="T37" s="225">
        <f t="shared" ca="1" si="5"/>
        <v>0</v>
      </c>
      <c r="V37" s="224">
        <f t="shared" si="7"/>
        <v>0</v>
      </c>
      <c r="W37" s="183" t="str">
        <f t="shared" si="8"/>
        <v>S.020</v>
      </c>
      <c r="X37" s="183" t="s">
        <v>534</v>
      </c>
      <c r="AA37" s="669"/>
    </row>
    <row r="38" spans="1:27" ht="13">
      <c r="A38" s="214" t="s">
        <v>255</v>
      </c>
      <c r="B38" s="192" t="s">
        <v>191</v>
      </c>
      <c r="C38" s="226" t="str">
        <f t="shared" ref="C38:F57" ca="1" si="13">INDIRECT("'"&amp; $A38 &amp; "'!" &amp;C$103)</f>
        <v>Reconductor 4 mi. of McNabb-Turk</v>
      </c>
      <c r="D38" s="216">
        <f t="shared" ca="1" si="13"/>
        <v>2010</v>
      </c>
      <c r="E38" s="665">
        <f t="shared" ca="1" si="13"/>
        <v>180679.34375469992</v>
      </c>
      <c r="F38" s="218">
        <f t="shared" ca="1" si="13"/>
        <v>0</v>
      </c>
      <c r="G38" s="218">
        <f t="shared" ca="1" si="11"/>
        <v>180679.34375469992</v>
      </c>
      <c r="H38" s="219"/>
      <c r="I38" s="221">
        <v>11490.105082121649</v>
      </c>
      <c r="J38" s="221">
        <v>156744.57013467079</v>
      </c>
      <c r="K38" s="221">
        <v>165133.50487167813</v>
      </c>
      <c r="L38" s="217">
        <f t="shared" si="2"/>
        <v>-8388.9347370073374</v>
      </c>
      <c r="M38" s="217"/>
      <c r="N38" s="218">
        <v>0</v>
      </c>
      <c r="O38" s="218">
        <v>0</v>
      </c>
      <c r="P38" s="218">
        <f t="shared" si="12"/>
        <v>0</v>
      </c>
      <c r="Q38" s="217">
        <f t="shared" si="4"/>
        <v>208.44060741724786</v>
      </c>
      <c r="R38" s="222">
        <f t="shared" si="6"/>
        <v>3309.6109525315592</v>
      </c>
      <c r="S38" s="222"/>
      <c r="T38" s="225">
        <f t="shared" ca="1" si="5"/>
        <v>183988.95470723149</v>
      </c>
      <c r="V38" s="224">
        <f t="shared" ref="V38:V43" si="14">+I38+L38+P38</f>
        <v>3101.1703451143112</v>
      </c>
      <c r="W38" s="183" t="str">
        <f t="shared" ref="W38:W43" si="15">A38</f>
        <v>S.021</v>
      </c>
      <c r="X38" s="183" t="s">
        <v>535</v>
      </c>
      <c r="AA38" s="670"/>
    </row>
    <row r="39" spans="1:27" ht="13">
      <c r="A39" s="214" t="s">
        <v>256</v>
      </c>
      <c r="B39" s="192" t="s">
        <v>191</v>
      </c>
      <c r="C39" s="226" t="str">
        <f t="shared" ca="1" si="13"/>
        <v>Longwood: r&amp;r switches, upgrade bus</v>
      </c>
      <c r="D39" s="216">
        <f t="shared" ca="1" si="13"/>
        <v>2010</v>
      </c>
      <c r="E39" s="665">
        <f t="shared" ca="1" si="13"/>
        <v>22783.331883065894</v>
      </c>
      <c r="F39" s="218">
        <f t="shared" ca="1" si="13"/>
        <v>0</v>
      </c>
      <c r="G39" s="218">
        <f t="shared" ca="1" si="11"/>
        <v>22783.331883065894</v>
      </c>
      <c r="H39" s="219"/>
      <c r="I39" s="221">
        <v>1300.1168466647759</v>
      </c>
      <c r="J39" s="221">
        <v>19629.100155321521</v>
      </c>
      <c r="K39" s="221">
        <v>20679.645255593226</v>
      </c>
      <c r="L39" s="217">
        <f t="shared" si="2"/>
        <v>-1050.5451002717055</v>
      </c>
      <c r="M39" s="217"/>
      <c r="N39" s="218">
        <v>0</v>
      </c>
      <c r="O39" s="218">
        <v>0</v>
      </c>
      <c r="P39" s="218">
        <f t="shared" si="12"/>
        <v>0</v>
      </c>
      <c r="Q39" s="217">
        <f t="shared" si="4"/>
        <v>16.774598175269677</v>
      </c>
      <c r="R39" s="222">
        <f t="shared" si="6"/>
        <v>266.34634456834016</v>
      </c>
      <c r="S39" s="222"/>
      <c r="T39" s="225">
        <f t="shared" ca="1" si="5"/>
        <v>23049.678227634235</v>
      </c>
      <c r="V39" s="224">
        <f t="shared" si="14"/>
        <v>249.5717463930705</v>
      </c>
      <c r="W39" s="183" t="str">
        <f t="shared" si="15"/>
        <v>S.022</v>
      </c>
      <c r="X39" s="183" t="s">
        <v>536</v>
      </c>
      <c r="AA39" s="670"/>
    </row>
    <row r="40" spans="1:27" ht="25">
      <c r="A40" s="214" t="s">
        <v>257</v>
      </c>
      <c r="B40" s="192" t="s">
        <v>191</v>
      </c>
      <c r="C40" s="226" t="str">
        <f t="shared" ca="1" si="13"/>
        <v>Reconductor: Greggton-Lake Lamond &amp; Quitman-Westwood 69 kV lines</v>
      </c>
      <c r="D40" s="216">
        <f t="shared" ca="1" si="13"/>
        <v>2010</v>
      </c>
      <c r="E40" s="665">
        <f t="shared" ca="1" si="13"/>
        <v>530525.36169703898</v>
      </c>
      <c r="F40" s="218">
        <f t="shared" ca="1" si="13"/>
        <v>0</v>
      </c>
      <c r="G40" s="218">
        <f t="shared" ca="1" si="11"/>
        <v>530525.36169703898</v>
      </c>
      <c r="H40" s="219"/>
      <c r="I40" s="221">
        <v>30670.904699224804</v>
      </c>
      <c r="J40" s="221">
        <v>457424.26910436474</v>
      </c>
      <c r="K40" s="221">
        <v>481905.51484922774</v>
      </c>
      <c r="L40" s="217">
        <f t="shared" si="2"/>
        <v>-24481.245744863001</v>
      </c>
      <c r="M40" s="217"/>
      <c r="N40" s="218">
        <v>0</v>
      </c>
      <c r="O40" s="218">
        <v>0</v>
      </c>
      <c r="P40" s="218">
        <f t="shared" si="12"/>
        <v>0</v>
      </c>
      <c r="Q40" s="217">
        <f t="shared" si="4"/>
        <v>416.02883059467177</v>
      </c>
      <c r="R40" s="222">
        <f t="shared" si="6"/>
        <v>6605.6877849564744</v>
      </c>
      <c r="S40" s="222"/>
      <c r="T40" s="225">
        <f t="shared" ca="1" si="5"/>
        <v>537131.0494819954</v>
      </c>
      <c r="V40" s="224">
        <f t="shared" si="14"/>
        <v>6189.6589543618029</v>
      </c>
      <c r="W40" s="183" t="str">
        <f t="shared" si="15"/>
        <v>S.023</v>
      </c>
      <c r="X40" s="183" t="s">
        <v>537</v>
      </c>
      <c r="AA40" s="668"/>
    </row>
    <row r="41" spans="1:27" ht="25">
      <c r="A41" s="214" t="s">
        <v>258</v>
      </c>
      <c r="B41" s="192" t="s">
        <v>191</v>
      </c>
      <c r="C41" s="226" t="str">
        <f t="shared" ca="1" si="13"/>
        <v>Rebuild/reconductor Dyess-Elm Springs REC [Dyess Station-Flint Creek]</v>
      </c>
      <c r="D41" s="216">
        <f t="shared" ca="1" si="13"/>
        <v>2010</v>
      </c>
      <c r="E41" s="665">
        <f t="shared" ca="1" si="13"/>
        <v>580642.49939418666</v>
      </c>
      <c r="F41" s="218">
        <f t="shared" ca="1" si="13"/>
        <v>0</v>
      </c>
      <c r="G41" s="218">
        <f t="shared" ca="1" si="11"/>
        <v>580642.49939418666</v>
      </c>
      <c r="H41" s="219"/>
      <c r="I41" s="221">
        <v>33828.055003322079</v>
      </c>
      <c r="J41" s="221">
        <v>500876.02036891296</v>
      </c>
      <c r="K41" s="221">
        <v>527682.79423416825</v>
      </c>
      <c r="L41" s="217">
        <f t="shared" si="2"/>
        <v>-26806.773865255294</v>
      </c>
      <c r="M41" s="217"/>
      <c r="N41" s="218">
        <v>0</v>
      </c>
      <c r="O41" s="218">
        <v>0</v>
      </c>
      <c r="P41" s="218">
        <f t="shared" si="12"/>
        <v>0</v>
      </c>
      <c r="Q41" s="217">
        <f t="shared" si="4"/>
        <v>471.92509356075368</v>
      </c>
      <c r="R41" s="222">
        <f t="shared" si="6"/>
        <v>7493.2062316275378</v>
      </c>
      <c r="S41" s="222"/>
      <c r="T41" s="225">
        <f t="shared" ca="1" si="5"/>
        <v>588135.70562581415</v>
      </c>
      <c r="V41" s="224">
        <f t="shared" si="14"/>
        <v>7021.2811380667845</v>
      </c>
      <c r="W41" s="183" t="str">
        <f t="shared" si="15"/>
        <v>S.024</v>
      </c>
      <c r="X41" s="183" t="s">
        <v>538</v>
      </c>
      <c r="AA41" s="670"/>
    </row>
    <row r="42" spans="1:27" ht="13">
      <c r="A42" s="214" t="s">
        <v>259</v>
      </c>
      <c r="B42" s="192" t="s">
        <v>191</v>
      </c>
      <c r="C42" s="226" t="str">
        <f t="shared" ca="1" si="13"/>
        <v>Replace switch at Diana*</v>
      </c>
      <c r="D42" s="216">
        <f t="shared" ca="1" si="13"/>
        <v>2010</v>
      </c>
      <c r="E42" s="665">
        <f t="shared" ca="1" si="13"/>
        <v>9978.3389667059218</v>
      </c>
      <c r="F42" s="218">
        <f t="shared" ca="1" si="13"/>
        <v>0</v>
      </c>
      <c r="G42" s="218">
        <f t="shared" ca="1" si="11"/>
        <v>9978.3389667059218</v>
      </c>
      <c r="H42" s="219"/>
      <c r="I42" s="221">
        <v>566.19134271552139</v>
      </c>
      <c r="J42" s="221">
        <v>8585.3173861784271</v>
      </c>
      <c r="K42" s="221">
        <v>9044.8016744524393</v>
      </c>
      <c r="L42" s="217">
        <f t="shared" si="2"/>
        <v>-459.48428827401221</v>
      </c>
      <c r="M42" s="217"/>
      <c r="N42" s="218">
        <v>0</v>
      </c>
      <c r="O42" s="218">
        <v>0</v>
      </c>
      <c r="P42" s="218">
        <f t="shared" si="12"/>
        <v>0</v>
      </c>
      <c r="Q42" s="217">
        <f t="shared" si="4"/>
        <v>7.1721578527714351</v>
      </c>
      <c r="R42" s="222">
        <f t="shared" si="6"/>
        <v>113.87921229428061</v>
      </c>
      <c r="S42" s="228" t="s">
        <v>266</v>
      </c>
      <c r="T42" s="225">
        <f t="shared" ca="1" si="5"/>
        <v>10092.218179000203</v>
      </c>
      <c r="V42" s="224">
        <f t="shared" si="14"/>
        <v>106.70705444150917</v>
      </c>
      <c r="W42" s="183" t="str">
        <f t="shared" si="15"/>
        <v>S.025</v>
      </c>
      <c r="X42" s="183" t="s">
        <v>539</v>
      </c>
      <c r="AA42" s="670"/>
    </row>
    <row r="43" spans="1:27" ht="13">
      <c r="A43" s="214" t="s">
        <v>274</v>
      </c>
      <c r="B43" s="192" t="s">
        <v>191</v>
      </c>
      <c r="C43" s="226" t="str">
        <f t="shared" ca="1" si="13"/>
        <v>Whitney repl CB and Switches</v>
      </c>
      <c r="D43" s="216">
        <f t="shared" ca="1" si="13"/>
        <v>2011</v>
      </c>
      <c r="E43" s="665">
        <f t="shared" ca="1" si="13"/>
        <v>28750.049484710118</v>
      </c>
      <c r="F43" s="218">
        <f t="shared" ca="1" si="13"/>
        <v>0</v>
      </c>
      <c r="G43" s="218">
        <f ca="1">+E43+F43</f>
        <v>28750.049484710118</v>
      </c>
      <c r="H43" s="219"/>
      <c r="I43" s="221">
        <v>1280.3100620557052</v>
      </c>
      <c r="J43" s="221">
        <v>24389.853574280191</v>
      </c>
      <c r="K43" s="221">
        <v>25695.193144920566</v>
      </c>
      <c r="L43" s="217">
        <f>+J43-K43</f>
        <v>-1305.3395706403753</v>
      </c>
      <c r="M43" s="217"/>
      <c r="N43" s="218">
        <v>0</v>
      </c>
      <c r="O43" s="218">
        <v>0</v>
      </c>
      <c r="P43" s="218">
        <f>+N43-O43</f>
        <v>0</v>
      </c>
      <c r="Q43" s="217">
        <f t="shared" si="4"/>
        <v>-1.6823216373660861</v>
      </c>
      <c r="R43" s="222">
        <f>I43+L43+P43+Q43</f>
        <v>-26.711830222036198</v>
      </c>
      <c r="S43" s="228" t="s">
        <v>266</v>
      </c>
      <c r="T43" s="225">
        <f ca="1">+G43+R43</f>
        <v>28723.337654488081</v>
      </c>
      <c r="V43" s="224">
        <f t="shared" si="14"/>
        <v>-25.029508584670111</v>
      </c>
      <c r="W43" s="183" t="str">
        <f t="shared" si="15"/>
        <v>S.026</v>
      </c>
      <c r="X43" s="183" t="s">
        <v>273</v>
      </c>
      <c r="AA43" s="670"/>
    </row>
    <row r="44" spans="1:27" ht="13">
      <c r="A44" s="214" t="s">
        <v>288</v>
      </c>
      <c r="B44" s="192" t="s">
        <v>191</v>
      </c>
      <c r="C44" s="226" t="str">
        <f t="shared" ca="1" si="13"/>
        <v>Linwood - Powell Street 138 kV</v>
      </c>
      <c r="D44" s="216">
        <f t="shared" ca="1" si="13"/>
        <v>2012</v>
      </c>
      <c r="E44" s="665">
        <f t="shared" ca="1" si="13"/>
        <v>49181.318200671747</v>
      </c>
      <c r="F44" s="218">
        <f t="shared" ca="1" si="13"/>
        <v>0</v>
      </c>
      <c r="G44" s="218">
        <f t="shared" ref="G44:G50" ca="1" si="16">+E44+F44</f>
        <v>49181.318200671747</v>
      </c>
      <c r="H44" s="219"/>
      <c r="I44" s="221">
        <v>2818.0815221263692</v>
      </c>
      <c r="J44" s="221">
        <v>42230.207901135771</v>
      </c>
      <c r="K44" s="221">
        <v>44490.359290804343</v>
      </c>
      <c r="L44" s="217">
        <f t="shared" ref="L44:L50" si="17">+J44-K44</f>
        <v>-2260.1513896685719</v>
      </c>
      <c r="M44" s="217"/>
      <c r="N44" s="218">
        <v>0</v>
      </c>
      <c r="O44" s="218">
        <v>0</v>
      </c>
      <c r="P44" s="218">
        <f t="shared" ref="P44:P50" si="18">+N44-O44</f>
        <v>0</v>
      </c>
      <c r="Q44" s="217">
        <f t="shared" si="4"/>
        <v>37.50045394607374</v>
      </c>
      <c r="R44" s="222">
        <f t="shared" ref="R44:R50" si="19">I44+L44+P44+Q44</f>
        <v>595.43058640387108</v>
      </c>
      <c r="S44" s="228" t="s">
        <v>266</v>
      </c>
      <c r="T44" s="225">
        <f t="shared" ref="T44:T50" ca="1" si="20">+G44+R44</f>
        <v>49776.748787075616</v>
      </c>
      <c r="V44" s="224">
        <f t="shared" ref="V44:V50" si="21">+I44+L44+P44</f>
        <v>557.9301324577973</v>
      </c>
      <c r="W44" s="183" t="str">
        <f t="shared" ref="W44:W50" si="22">A44</f>
        <v>S.027</v>
      </c>
      <c r="X44" s="183" t="s">
        <v>279</v>
      </c>
      <c r="AA44" s="670"/>
    </row>
    <row r="45" spans="1:27" ht="13">
      <c r="A45" s="214" t="s">
        <v>289</v>
      </c>
      <c r="B45" s="192" t="s">
        <v>191</v>
      </c>
      <c r="C45" s="226" t="str">
        <f t="shared" ca="1" si="13"/>
        <v>Bloomburg-Texarkana Plant</v>
      </c>
      <c r="D45" s="216">
        <f t="shared" ca="1" si="13"/>
        <v>2012</v>
      </c>
      <c r="E45" s="665">
        <f t="shared" ca="1" si="13"/>
        <v>615062.20403380867</v>
      </c>
      <c r="F45" s="218">
        <f t="shared" ca="1" si="13"/>
        <v>0</v>
      </c>
      <c r="G45" s="218">
        <f t="shared" ca="1" si="16"/>
        <v>615062.20403380867</v>
      </c>
      <c r="H45" s="219"/>
      <c r="I45" s="221">
        <v>35358.999328392907</v>
      </c>
      <c r="J45" s="221">
        <v>528211.48583288176</v>
      </c>
      <c r="K45" s="221">
        <v>556481.24776583165</v>
      </c>
      <c r="L45" s="217">
        <f t="shared" si="17"/>
        <v>-28269.761932949885</v>
      </c>
      <c r="M45" s="217"/>
      <c r="N45" s="218">
        <v>0</v>
      </c>
      <c r="O45" s="218">
        <v>0</v>
      </c>
      <c r="P45" s="218">
        <f t="shared" si="18"/>
        <v>0</v>
      </c>
      <c r="Q45" s="217">
        <f t="shared" si="4"/>
        <v>476.49267353507588</v>
      </c>
      <c r="R45" s="222">
        <f t="shared" si="19"/>
        <v>7565.7300689780977</v>
      </c>
      <c r="S45" s="228" t="s">
        <v>266</v>
      </c>
      <c r="T45" s="225">
        <f t="shared" ca="1" si="20"/>
        <v>622627.93410278682</v>
      </c>
      <c r="V45" s="224">
        <f t="shared" si="21"/>
        <v>7089.2373954430223</v>
      </c>
      <c r="W45" s="183" t="str">
        <f t="shared" si="22"/>
        <v>S.028</v>
      </c>
      <c r="X45" s="183" t="s">
        <v>540</v>
      </c>
      <c r="AA45" s="668"/>
    </row>
    <row r="46" spans="1:27" ht="37.5">
      <c r="A46" s="214" t="s">
        <v>290</v>
      </c>
      <c r="B46" s="192" t="s">
        <v>191</v>
      </c>
      <c r="C46" s="226" t="str">
        <f t="shared" ca="1" si="13"/>
        <v xml:space="preserve">Knox Lee - Pirkey 138 kV / Pirkey - Whitney 138 kV - Replace Breaker,  Wavetraps, and reset relays and CT's </v>
      </c>
      <c r="D46" s="216">
        <f t="shared" ca="1" si="13"/>
        <v>2012</v>
      </c>
      <c r="E46" s="665">
        <f t="shared" ca="1" si="13"/>
        <v>222809.21893516878</v>
      </c>
      <c r="F46" s="218">
        <f t="shared" ca="1" si="13"/>
        <v>0</v>
      </c>
      <c r="G46" s="218">
        <f t="shared" ca="1" si="16"/>
        <v>222809.21893516878</v>
      </c>
      <c r="H46" s="219"/>
      <c r="I46" s="221">
        <v>12562.697334067721</v>
      </c>
      <c r="J46" s="221">
        <v>190958.92210068565</v>
      </c>
      <c r="K46" s="221">
        <v>201179.00139003881</v>
      </c>
      <c r="L46" s="217">
        <f t="shared" si="17"/>
        <v>-10220.079289353162</v>
      </c>
      <c r="M46" s="217"/>
      <c r="N46" s="218">
        <v>0</v>
      </c>
      <c r="O46" s="218">
        <v>0</v>
      </c>
      <c r="P46" s="218">
        <f t="shared" si="18"/>
        <v>0</v>
      </c>
      <c r="Q46" s="217">
        <f t="shared" si="4"/>
        <v>157.45562927756859</v>
      </c>
      <c r="R46" s="222">
        <f t="shared" si="19"/>
        <v>2500.0736739921285</v>
      </c>
      <c r="S46" s="228" t="s">
        <v>266</v>
      </c>
      <c r="T46" s="225">
        <f t="shared" ca="1" si="20"/>
        <v>225309.29260916091</v>
      </c>
      <c r="V46" s="224">
        <f t="shared" si="21"/>
        <v>2342.6180447145598</v>
      </c>
      <c r="W46" s="183" t="str">
        <f t="shared" si="22"/>
        <v>S.029</v>
      </c>
      <c r="X46" s="183" t="s">
        <v>541</v>
      </c>
      <c r="AA46" s="670"/>
    </row>
    <row r="47" spans="1:27" ht="13">
      <c r="A47" s="214" t="s">
        <v>291</v>
      </c>
      <c r="B47" s="192" t="s">
        <v>191</v>
      </c>
      <c r="C47" s="226" t="str">
        <f t="shared" ca="1" si="13"/>
        <v>NW Texarkana - Turk 345</v>
      </c>
      <c r="D47" s="216">
        <f t="shared" ca="1" si="13"/>
        <v>2012</v>
      </c>
      <c r="E47" s="665">
        <f t="shared" ca="1" si="13"/>
        <v>5597807.5083239786</v>
      </c>
      <c r="F47" s="218">
        <f t="shared" ca="1" si="13"/>
        <v>0</v>
      </c>
      <c r="G47" s="218">
        <f t="shared" ca="1" si="16"/>
        <v>5597807.5083239786</v>
      </c>
      <c r="H47" s="219"/>
      <c r="I47" s="221">
        <v>314070.3183849398</v>
      </c>
      <c r="J47" s="221">
        <v>4798800.0162771167</v>
      </c>
      <c r="K47" s="221">
        <v>5055630.7321220785</v>
      </c>
      <c r="L47" s="217">
        <f t="shared" si="17"/>
        <v>-256830.71584496181</v>
      </c>
      <c r="M47" s="217"/>
      <c r="N47" s="218">
        <v>0</v>
      </c>
      <c r="O47" s="218">
        <v>0</v>
      </c>
      <c r="P47" s="218">
        <f t="shared" si="18"/>
        <v>0</v>
      </c>
      <c r="Q47" s="217">
        <f t="shared" si="4"/>
        <v>3847.2757681794064</v>
      </c>
      <c r="R47" s="222">
        <f t="shared" si="19"/>
        <v>61086.878308157393</v>
      </c>
      <c r="S47" s="228" t="s">
        <v>266</v>
      </c>
      <c r="T47" s="225">
        <f t="shared" ca="1" si="20"/>
        <v>5658894.3866321361</v>
      </c>
      <c r="V47" s="224">
        <f t="shared" si="21"/>
        <v>57239.60253997799</v>
      </c>
      <c r="W47" s="183" t="str">
        <f t="shared" si="22"/>
        <v>S.030</v>
      </c>
      <c r="X47" s="183" t="s">
        <v>283</v>
      </c>
      <c r="AA47" s="670"/>
    </row>
    <row r="48" spans="1:27" ht="25">
      <c r="A48" s="214" t="s">
        <v>292</v>
      </c>
      <c r="B48" s="192" t="s">
        <v>191</v>
      </c>
      <c r="C48" s="226" t="str">
        <f t="shared" ca="1" si="13"/>
        <v>Lone Star South - Pittsburg 138 kV - Replace Wavetraps, reset CT's and Relays</v>
      </c>
      <c r="D48" s="216">
        <f t="shared" ca="1" si="13"/>
        <v>2012</v>
      </c>
      <c r="E48" s="665">
        <f t="shared" ca="1" si="13"/>
        <v>26894.578901645269</v>
      </c>
      <c r="F48" s="218">
        <f t="shared" ca="1" si="13"/>
        <v>0</v>
      </c>
      <c r="G48" s="218">
        <f t="shared" ca="1" si="16"/>
        <v>26894.578901645269</v>
      </c>
      <c r="H48" s="219"/>
      <c r="I48" s="221">
        <v>1585.5816597995472</v>
      </c>
      <c r="J48" s="221">
        <v>23133.248043157895</v>
      </c>
      <c r="K48" s="221">
        <v>24371.334363611099</v>
      </c>
      <c r="L48" s="217">
        <f t="shared" si="17"/>
        <v>-1238.0863204532034</v>
      </c>
      <c r="M48" s="217"/>
      <c r="N48" s="218">
        <v>0</v>
      </c>
      <c r="O48" s="218">
        <v>0</v>
      </c>
      <c r="P48" s="218">
        <f t="shared" si="18"/>
        <v>0</v>
      </c>
      <c r="Q48" s="217">
        <f t="shared" si="4"/>
        <v>23.356388571858567</v>
      </c>
      <c r="R48" s="222">
        <f t="shared" si="19"/>
        <v>370.85172791820241</v>
      </c>
      <c r="S48" s="228" t="s">
        <v>266</v>
      </c>
      <c r="T48" s="225">
        <f t="shared" ca="1" si="20"/>
        <v>27265.430629563471</v>
      </c>
      <c r="V48" s="224">
        <f t="shared" si="21"/>
        <v>347.49533934634383</v>
      </c>
      <c r="W48" s="183" t="str">
        <f t="shared" si="22"/>
        <v>S.031</v>
      </c>
      <c r="X48" s="183" t="s">
        <v>542</v>
      </c>
      <c r="AA48" s="670"/>
    </row>
    <row r="49" spans="1:27" ht="13">
      <c r="A49" s="214" t="s">
        <v>293</v>
      </c>
      <c r="B49" s="192" t="s">
        <v>191</v>
      </c>
      <c r="C49" s="226" t="str">
        <f t="shared" ca="1" si="13"/>
        <v>Howell-Kilgore 69 kV rebuild</v>
      </c>
      <c r="D49" s="216">
        <f t="shared" ca="1" si="13"/>
        <v>2012</v>
      </c>
      <c r="E49" s="665">
        <f t="shared" ca="1" si="13"/>
        <v>488320.76827892079</v>
      </c>
      <c r="F49" s="218">
        <f t="shared" ca="1" si="13"/>
        <v>0</v>
      </c>
      <c r="G49" s="218">
        <f t="shared" ca="1" si="16"/>
        <v>488320.76827892079</v>
      </c>
      <c r="H49" s="219"/>
      <c r="I49" s="221">
        <v>27269.771501478972</v>
      </c>
      <c r="J49" s="221">
        <v>418626.46235230879</v>
      </c>
      <c r="K49" s="221">
        <v>441031.25805808982</v>
      </c>
      <c r="L49" s="217">
        <f t="shared" si="17"/>
        <v>-22404.795705781027</v>
      </c>
      <c r="M49" s="217"/>
      <c r="N49" s="218">
        <v>0</v>
      </c>
      <c r="O49" s="218">
        <v>0</v>
      </c>
      <c r="P49" s="218">
        <f t="shared" si="18"/>
        <v>0</v>
      </c>
      <c r="Q49" s="217">
        <f t="shared" si="4"/>
        <v>326.99219877523677</v>
      </c>
      <c r="R49" s="222">
        <f t="shared" si="19"/>
        <v>5191.9679944731815</v>
      </c>
      <c r="S49" s="228" t="s">
        <v>266</v>
      </c>
      <c r="T49" s="225">
        <f t="shared" ca="1" si="20"/>
        <v>493512.73627339397</v>
      </c>
      <c r="V49" s="224">
        <f t="shared" si="21"/>
        <v>4864.9757956979447</v>
      </c>
      <c r="W49" s="183" t="str">
        <f t="shared" si="22"/>
        <v>S.032</v>
      </c>
      <c r="X49" s="183" t="s">
        <v>286</v>
      </c>
      <c r="AA49" s="670"/>
    </row>
    <row r="50" spans="1:27" ht="13">
      <c r="A50" s="214" t="s">
        <v>294</v>
      </c>
      <c r="B50" s="192" t="s">
        <v>191</v>
      </c>
      <c r="C50" s="226" t="str">
        <f t="shared" ca="1" si="13"/>
        <v xml:space="preserve"> Flint Creek-Shipe Road 345 kV Line</v>
      </c>
      <c r="D50" s="216">
        <f t="shared" ca="1" si="13"/>
        <v>2012</v>
      </c>
      <c r="E50" s="665">
        <f t="shared" ca="1" si="13"/>
        <v>7176080.4452867946</v>
      </c>
      <c r="F50" s="218">
        <f t="shared" ca="1" si="13"/>
        <v>0</v>
      </c>
      <c r="G50" s="218">
        <f t="shared" ca="1" si="16"/>
        <v>7176080.4452867946</v>
      </c>
      <c r="H50" s="219"/>
      <c r="I50" s="221">
        <v>403293.76584356744</v>
      </c>
      <c r="J50" s="221">
        <v>6140480.7269619722</v>
      </c>
      <c r="K50" s="221">
        <v>6469117.8977939663</v>
      </c>
      <c r="L50" s="217">
        <f t="shared" si="17"/>
        <v>-328637.17083199415</v>
      </c>
      <c r="M50" s="217"/>
      <c r="N50" s="218">
        <v>0</v>
      </c>
      <c r="O50" s="218">
        <v>0</v>
      </c>
      <c r="P50" s="218">
        <f t="shared" si="18"/>
        <v>0</v>
      </c>
      <c r="Q50" s="217">
        <f t="shared" ref="Q50:Q81" si="23">+V50/$V$96 * $Q$96</f>
        <v>5017.9333219898335</v>
      </c>
      <c r="R50" s="222">
        <f t="shared" si="19"/>
        <v>79674.528333563125</v>
      </c>
      <c r="S50" s="228" t="s">
        <v>266</v>
      </c>
      <c r="T50" s="225">
        <f t="shared" ca="1" si="20"/>
        <v>7255754.9736203579</v>
      </c>
      <c r="V50" s="224">
        <f t="shared" si="21"/>
        <v>74656.595011573285</v>
      </c>
      <c r="W50" s="183" t="str">
        <f t="shared" si="22"/>
        <v>S.033</v>
      </c>
      <c r="X50" s="183" t="s">
        <v>543</v>
      </c>
      <c r="AA50" s="670"/>
    </row>
    <row r="51" spans="1:27" ht="13">
      <c r="A51" s="214" t="s">
        <v>304</v>
      </c>
      <c r="B51" s="192" t="s">
        <v>191</v>
      </c>
      <c r="C51" s="226" t="str">
        <f t="shared" ca="1" si="13"/>
        <v>Bann - LS Ordnance - Hooks 69 kV - Rebuild 7.1 mi</v>
      </c>
      <c r="D51" s="216">
        <f t="shared" ca="1" si="13"/>
        <v>2013</v>
      </c>
      <c r="E51" s="665">
        <f t="shared" ca="1" si="13"/>
        <v>1031719.7546332029</v>
      </c>
      <c r="F51" s="218">
        <f t="shared" ca="1" si="13"/>
        <v>0</v>
      </c>
      <c r="G51" s="218">
        <f t="shared" ref="G51:G60" ca="1" si="24">+E51+F51</f>
        <v>1031719.7546332029</v>
      </c>
      <c r="H51" s="219"/>
      <c r="I51" s="221">
        <v>57577.559824025491</v>
      </c>
      <c r="J51" s="221">
        <v>882979.34869249968</v>
      </c>
      <c r="K51" s="221">
        <v>930236.20820567128</v>
      </c>
      <c r="L51" s="217">
        <f t="shared" ref="L51:L60" si="25">+J51-K51</f>
        <v>-47256.859513171599</v>
      </c>
      <c r="M51" s="217"/>
      <c r="N51" s="218">
        <v>0</v>
      </c>
      <c r="O51" s="218">
        <v>0</v>
      </c>
      <c r="P51" s="218">
        <f t="shared" ref="P51:P60" si="26">+N51-O51</f>
        <v>0</v>
      </c>
      <c r="Q51" s="217">
        <f t="shared" si="23"/>
        <v>693.69070459316151</v>
      </c>
      <c r="R51" s="222">
        <f t="shared" ref="R51:R60" si="27">I51+L51+P51+Q51</f>
        <v>11014.391015447054</v>
      </c>
      <c r="S51" s="228" t="s">
        <v>266</v>
      </c>
      <c r="T51" s="225">
        <f t="shared" ref="T51:T60" ca="1" si="28">+G51+R51</f>
        <v>1042734.14564865</v>
      </c>
      <c r="V51" s="224">
        <f t="shared" ref="V51:V60" si="29">+I51+L51+P51</f>
        <v>10320.700310853892</v>
      </c>
      <c r="W51" s="183" t="str">
        <f t="shared" ref="W51:W60" si="30">A51</f>
        <v>S.034</v>
      </c>
      <c r="X51" s="183" t="s">
        <v>544</v>
      </c>
      <c r="AA51" s="670"/>
    </row>
    <row r="52" spans="1:27" ht="13">
      <c r="A52" s="214" t="s">
        <v>305</v>
      </c>
      <c r="B52" s="192" t="s">
        <v>191</v>
      </c>
      <c r="C52" s="226" t="str">
        <f t="shared" ca="1" si="13"/>
        <v>Diana - Replace North Autotransformer #3</v>
      </c>
      <c r="D52" s="216">
        <f t="shared" ca="1" si="13"/>
        <v>2013</v>
      </c>
      <c r="E52" s="665">
        <f t="shared" ca="1" si="13"/>
        <v>521810.81321918749</v>
      </c>
      <c r="F52" s="218">
        <f t="shared" ca="1" si="13"/>
        <v>0</v>
      </c>
      <c r="G52" s="218">
        <f t="shared" ca="1" si="24"/>
        <v>521810.81321918749</v>
      </c>
      <c r="H52" s="219"/>
      <c r="I52" s="221">
        <v>28670.604382118909</v>
      </c>
      <c r="J52" s="221">
        <v>446226.56048689852</v>
      </c>
      <c r="K52" s="221">
        <v>470108.50734239497</v>
      </c>
      <c r="L52" s="217">
        <f t="shared" si="25"/>
        <v>-23881.946855496441</v>
      </c>
      <c r="M52" s="217"/>
      <c r="N52" s="218">
        <v>0</v>
      </c>
      <c r="O52" s="218">
        <v>0</v>
      </c>
      <c r="P52" s="218">
        <f t="shared" si="26"/>
        <v>0</v>
      </c>
      <c r="Q52" s="217">
        <f t="shared" si="23"/>
        <v>321.8625784729573</v>
      </c>
      <c r="R52" s="222">
        <f t="shared" si="27"/>
        <v>5110.5201050954256</v>
      </c>
      <c r="S52" s="228" t="s">
        <v>266</v>
      </c>
      <c r="T52" s="225">
        <f t="shared" ca="1" si="28"/>
        <v>526921.3333242829</v>
      </c>
      <c r="V52" s="224">
        <f t="shared" si="29"/>
        <v>4788.6575266224681</v>
      </c>
      <c r="W52" s="183" t="str">
        <f t="shared" si="30"/>
        <v>S.035</v>
      </c>
      <c r="X52" s="183" t="s">
        <v>545</v>
      </c>
      <c r="AA52" s="670"/>
    </row>
    <row r="53" spans="1:27" ht="13">
      <c r="A53" s="214" t="s">
        <v>306</v>
      </c>
      <c r="B53" s="192" t="s">
        <v>191</v>
      </c>
      <c r="C53" s="226" t="str">
        <f t="shared" ca="1" si="13"/>
        <v>Osburn 161 kV Line Work</v>
      </c>
      <c r="D53" s="216">
        <f t="shared" ca="1" si="13"/>
        <v>2013</v>
      </c>
      <c r="E53" s="665">
        <f t="shared" ca="1" si="13"/>
        <v>783680.43817514717</v>
      </c>
      <c r="F53" s="218">
        <f t="shared" ca="1" si="13"/>
        <v>0</v>
      </c>
      <c r="G53" s="218">
        <f t="shared" ca="1" si="24"/>
        <v>783680.43817514717</v>
      </c>
      <c r="H53" s="219"/>
      <c r="I53" s="221">
        <v>33715.859894689173</v>
      </c>
      <c r="J53" s="221">
        <v>661338.88605544821</v>
      </c>
      <c r="K53" s="221">
        <v>696733.59701352252</v>
      </c>
      <c r="L53" s="217">
        <f t="shared" si="25"/>
        <v>-35394.710958074313</v>
      </c>
      <c r="M53" s="217"/>
      <c r="N53" s="218">
        <v>0</v>
      </c>
      <c r="O53" s="218">
        <v>0</v>
      </c>
      <c r="P53" s="218">
        <f t="shared" si="26"/>
        <v>0</v>
      </c>
      <c r="Q53" s="217">
        <f t="shared" si="23"/>
        <v>-112.84150706729142</v>
      </c>
      <c r="R53" s="222">
        <f t="shared" si="27"/>
        <v>-1791.6925704524315</v>
      </c>
      <c r="S53" s="228" t="s">
        <v>266</v>
      </c>
      <c r="T53" s="225">
        <f t="shared" ca="1" si="28"/>
        <v>781888.7456046947</v>
      </c>
      <c r="V53" s="224">
        <f t="shared" si="29"/>
        <v>-1678.8510633851402</v>
      </c>
      <c r="W53" s="183" t="str">
        <f t="shared" si="30"/>
        <v>S.036</v>
      </c>
      <c r="X53" s="183" t="s">
        <v>299</v>
      </c>
      <c r="AA53" s="670"/>
    </row>
    <row r="54" spans="1:27" ht="25">
      <c r="A54" s="214" t="s">
        <v>307</v>
      </c>
      <c r="B54" s="192" t="s">
        <v>191</v>
      </c>
      <c r="C54" s="226" t="str">
        <f t="shared" ca="1" si="13"/>
        <v>SW Shreveport to Spring Ridge REC 138 kV Line Rebuild</v>
      </c>
      <c r="D54" s="216">
        <f t="shared" ca="1" si="13"/>
        <v>2013</v>
      </c>
      <c r="E54" s="665">
        <f t="shared" ca="1" si="13"/>
        <v>606058.35081928712</v>
      </c>
      <c r="F54" s="218">
        <f t="shared" ca="1" si="13"/>
        <v>0</v>
      </c>
      <c r="G54" s="218">
        <f t="shared" ca="1" si="24"/>
        <v>606058.35081928712</v>
      </c>
      <c r="H54" s="219"/>
      <c r="I54" s="221">
        <v>33535.164056312991</v>
      </c>
      <c r="J54" s="221">
        <v>518429.77893084963</v>
      </c>
      <c r="K54" s="221">
        <v>546176.02607316163</v>
      </c>
      <c r="L54" s="217">
        <f t="shared" si="25"/>
        <v>-27746.247142312001</v>
      </c>
      <c r="M54" s="217"/>
      <c r="N54" s="218">
        <v>0</v>
      </c>
      <c r="O54" s="218">
        <v>0</v>
      </c>
      <c r="P54" s="218">
        <f t="shared" si="26"/>
        <v>0</v>
      </c>
      <c r="Q54" s="217">
        <f t="shared" si="23"/>
        <v>389.09354326289645</v>
      </c>
      <c r="R54" s="222">
        <f t="shared" si="27"/>
        <v>6178.0104572638875</v>
      </c>
      <c r="S54" s="228" t="s">
        <v>266</v>
      </c>
      <c r="T54" s="225">
        <f t="shared" ca="1" si="28"/>
        <v>612236.36127655103</v>
      </c>
      <c r="V54" s="224">
        <f t="shared" si="29"/>
        <v>5788.9169140009908</v>
      </c>
      <c r="W54" s="183" t="str">
        <f t="shared" si="30"/>
        <v>S.037</v>
      </c>
      <c r="X54" s="183" t="s">
        <v>546</v>
      </c>
      <c r="AA54" s="670"/>
    </row>
    <row r="55" spans="1:27" ht="25">
      <c r="A55" s="214" t="s">
        <v>308</v>
      </c>
      <c r="B55" s="192" t="s">
        <v>191</v>
      </c>
      <c r="C55" s="226" t="str">
        <f t="shared" ca="1" si="13"/>
        <v>Eastex Switching Station - Whitney 138 kV Station - Rebuild 2.5 miles of 138 Kv</v>
      </c>
      <c r="D55" s="216">
        <f t="shared" ca="1" si="13"/>
        <v>2013</v>
      </c>
      <c r="E55" s="665">
        <f t="shared" ca="1" si="13"/>
        <v>315417.20046708721</v>
      </c>
      <c r="F55" s="218">
        <f t="shared" ca="1" si="13"/>
        <v>0</v>
      </c>
      <c r="G55" s="218">
        <f t="shared" ca="1" si="24"/>
        <v>315417.20046708721</v>
      </c>
      <c r="H55" s="219"/>
      <c r="I55" s="221">
        <v>18395.853983935958</v>
      </c>
      <c r="J55" s="221">
        <v>270648.49695727782</v>
      </c>
      <c r="K55" s="221">
        <v>285133.54467339977</v>
      </c>
      <c r="L55" s="217">
        <f t="shared" si="25"/>
        <v>-14485.047716121946</v>
      </c>
      <c r="M55" s="217"/>
      <c r="N55" s="218">
        <v>0</v>
      </c>
      <c r="O55" s="218">
        <v>0</v>
      </c>
      <c r="P55" s="218">
        <f t="shared" si="26"/>
        <v>0</v>
      </c>
      <c r="Q55" s="217">
        <f t="shared" si="23"/>
        <v>262.85909615980324</v>
      </c>
      <c r="R55" s="222">
        <f t="shared" si="27"/>
        <v>4173.6653639738151</v>
      </c>
      <c r="S55" s="228" t="s">
        <v>266</v>
      </c>
      <c r="T55" s="225">
        <f t="shared" ca="1" si="28"/>
        <v>319590.86583106103</v>
      </c>
      <c r="V55" s="224">
        <f t="shared" si="29"/>
        <v>3910.8062678140122</v>
      </c>
      <c r="W55" s="183" t="str">
        <f t="shared" si="30"/>
        <v>S.038</v>
      </c>
      <c r="X55" s="183" t="s">
        <v>547</v>
      </c>
      <c r="AA55" s="670"/>
    </row>
    <row r="56" spans="1:27" ht="25">
      <c r="A56" s="230" t="s">
        <v>317</v>
      </c>
      <c r="B56" s="192" t="s">
        <v>191</v>
      </c>
      <c r="C56" s="226" t="str">
        <f t="shared" ca="1" si="13"/>
        <v>Ashdown West - Craig Junction 138KV Rebuild (tie w/PSO)</v>
      </c>
      <c r="D56" s="216">
        <f t="shared" ca="1" si="13"/>
        <v>2013</v>
      </c>
      <c r="E56" s="665">
        <f t="shared" ca="1" si="13"/>
        <v>513279.7520559628</v>
      </c>
      <c r="F56" s="218">
        <f t="shared" ca="1" si="13"/>
        <v>0</v>
      </c>
      <c r="G56" s="218">
        <f t="shared" ca="1" si="24"/>
        <v>513279.7520559628</v>
      </c>
      <c r="H56" s="219"/>
      <c r="I56" s="221">
        <v>28915.468028963776</v>
      </c>
      <c r="J56" s="221">
        <v>439762.7715032468</v>
      </c>
      <c r="K56" s="221">
        <v>463298.77780149743</v>
      </c>
      <c r="L56" s="217">
        <f t="shared" si="25"/>
        <v>-23536.006298250635</v>
      </c>
      <c r="M56" s="217"/>
      <c r="N56" s="218">
        <v>0</v>
      </c>
      <c r="O56" s="218">
        <v>0</v>
      </c>
      <c r="P56" s="218">
        <f t="shared" si="26"/>
        <v>0</v>
      </c>
      <c r="Q56" s="217">
        <f t="shared" si="23"/>
        <v>361.57261483369268</v>
      </c>
      <c r="R56" s="222">
        <f t="shared" si="27"/>
        <v>5741.0343455468337</v>
      </c>
      <c r="S56" s="228" t="s">
        <v>266</v>
      </c>
      <c r="T56" s="225">
        <f t="shared" ca="1" si="28"/>
        <v>519020.78640150966</v>
      </c>
      <c r="V56" s="224">
        <f t="shared" si="29"/>
        <v>5379.4617307131412</v>
      </c>
      <c r="W56" s="183" t="str">
        <f t="shared" si="30"/>
        <v>S.039</v>
      </c>
      <c r="X56" s="183" t="s">
        <v>548</v>
      </c>
      <c r="AA56" s="670"/>
    </row>
    <row r="57" spans="1:27" ht="13">
      <c r="A57" s="230" t="s">
        <v>318</v>
      </c>
      <c r="B57" s="192" t="s">
        <v>191</v>
      </c>
      <c r="C57" s="226" t="str">
        <f t="shared" ca="1" si="13"/>
        <v xml:space="preserve">Rock Hill to Carthage 69 kV Rebuild 11.4 Miles </v>
      </c>
      <c r="D57" s="216">
        <f t="shared" ca="1" si="13"/>
        <v>2014</v>
      </c>
      <c r="E57" s="665">
        <f t="shared" ca="1" si="13"/>
        <v>1179890.6200067406</v>
      </c>
      <c r="F57" s="218">
        <f t="shared" ca="1" si="13"/>
        <v>0</v>
      </c>
      <c r="G57" s="218">
        <f t="shared" ca="1" si="24"/>
        <v>1179890.6200067406</v>
      </c>
      <c r="H57" s="219"/>
      <c r="I57" s="221">
        <v>66421.352519991808</v>
      </c>
      <c r="J57" s="221">
        <v>1008941.6443928994</v>
      </c>
      <c r="K57" s="221">
        <v>1062939.9781213908</v>
      </c>
      <c r="L57" s="217">
        <f t="shared" si="25"/>
        <v>-53998.333728491445</v>
      </c>
      <c r="M57" s="217"/>
      <c r="N57" s="218">
        <v>0</v>
      </c>
      <c r="O57" s="218">
        <v>0</v>
      </c>
      <c r="P57" s="218">
        <f t="shared" si="26"/>
        <v>0</v>
      </c>
      <c r="Q57" s="217">
        <f t="shared" si="23"/>
        <v>834.99495180448434</v>
      </c>
      <c r="R57" s="222">
        <f t="shared" si="27"/>
        <v>13258.013743304848</v>
      </c>
      <c r="S57" s="228" t="s">
        <v>266</v>
      </c>
      <c r="T57" s="225">
        <f t="shared" ca="1" si="28"/>
        <v>1193148.6337500454</v>
      </c>
      <c r="V57" s="224">
        <f t="shared" si="29"/>
        <v>12423.018791500363</v>
      </c>
      <c r="W57" s="183" t="str">
        <f t="shared" si="30"/>
        <v>S.040</v>
      </c>
      <c r="X57" s="183" t="s">
        <v>549</v>
      </c>
      <c r="AA57" s="670"/>
    </row>
    <row r="58" spans="1:27" ht="13">
      <c r="A58" s="230" t="s">
        <v>319</v>
      </c>
      <c r="B58" s="192" t="s">
        <v>191</v>
      </c>
      <c r="C58" s="226" t="str">
        <f t="shared" ref="C58:F77" ca="1" si="31">INDIRECT("'"&amp; $A58 &amp; "'!" &amp;C$103)</f>
        <v>Broadmoor to Fern Street 69 kV Rebuild 1 mile</v>
      </c>
      <c r="D58" s="216">
        <f t="shared" ca="1" si="31"/>
        <v>2014</v>
      </c>
      <c r="E58" s="665">
        <f t="shared" ca="1" si="31"/>
        <v>605858.73237546359</v>
      </c>
      <c r="F58" s="218">
        <f t="shared" ca="1" si="31"/>
        <v>0</v>
      </c>
      <c r="G58" s="218">
        <f t="shared" ca="1" si="24"/>
        <v>605858.73237546359</v>
      </c>
      <c r="H58" s="219"/>
      <c r="I58" s="221">
        <v>34347.778164822841</v>
      </c>
      <c r="J58" s="221">
        <v>517707.38798966404</v>
      </c>
      <c r="K58" s="221">
        <v>545414.97292852611</v>
      </c>
      <c r="L58" s="217">
        <f t="shared" si="25"/>
        <v>-27707.58493886207</v>
      </c>
      <c r="M58" s="217"/>
      <c r="N58" s="218">
        <v>0</v>
      </c>
      <c r="O58" s="218">
        <v>0</v>
      </c>
      <c r="P58" s="218">
        <f t="shared" si="26"/>
        <v>0</v>
      </c>
      <c r="Q58" s="217">
        <f t="shared" si="23"/>
        <v>446.31082957687045</v>
      </c>
      <c r="R58" s="222">
        <f t="shared" si="27"/>
        <v>7086.5040555376418</v>
      </c>
      <c r="S58" s="228" t="s">
        <v>266</v>
      </c>
      <c r="T58" s="225">
        <f t="shared" ca="1" si="28"/>
        <v>612945.23643100122</v>
      </c>
      <c r="V58" s="224">
        <f t="shared" si="29"/>
        <v>6640.1932259607711</v>
      </c>
      <c r="W58" s="183" t="str">
        <f t="shared" si="30"/>
        <v>S.041</v>
      </c>
      <c r="X58" s="183" t="s">
        <v>550</v>
      </c>
      <c r="AA58" s="670"/>
    </row>
    <row r="59" spans="1:27" ht="25.5" customHeight="1">
      <c r="A59" s="230" t="s">
        <v>320</v>
      </c>
      <c r="B59" s="192" t="s">
        <v>191</v>
      </c>
      <c r="C59" s="226" t="str">
        <f t="shared" ca="1" si="31"/>
        <v>Northwest Henderson to Poynter 69 kV Rebuild 3.2 miles</v>
      </c>
      <c r="D59" s="216">
        <f t="shared" ca="1" si="31"/>
        <v>2014</v>
      </c>
      <c r="E59" s="665">
        <f t="shared" ca="1" si="31"/>
        <v>651284.16062052594</v>
      </c>
      <c r="F59" s="218">
        <f t="shared" ca="1" si="31"/>
        <v>0</v>
      </c>
      <c r="G59" s="218">
        <f t="shared" ca="1" si="24"/>
        <v>651284.16062052594</v>
      </c>
      <c r="H59" s="219"/>
      <c r="I59" s="221">
        <v>35721.834301906405</v>
      </c>
      <c r="J59" s="221">
        <v>555944.61030317808</v>
      </c>
      <c r="K59" s="221">
        <v>585698.64292591787</v>
      </c>
      <c r="L59" s="217">
        <f t="shared" si="25"/>
        <v>-29754.032622739789</v>
      </c>
      <c r="M59" s="217"/>
      <c r="N59" s="218">
        <v>0</v>
      </c>
      <c r="O59" s="218">
        <v>0</v>
      </c>
      <c r="P59" s="218">
        <f t="shared" si="26"/>
        <v>0</v>
      </c>
      <c r="Q59" s="217">
        <f t="shared" si="23"/>
        <v>401.11701987312443</v>
      </c>
      <c r="R59" s="222">
        <f t="shared" si="27"/>
        <v>6368.9186990397402</v>
      </c>
      <c r="S59" s="228" t="s">
        <v>266</v>
      </c>
      <c r="T59" s="225">
        <f t="shared" ca="1" si="28"/>
        <v>657653.07931956567</v>
      </c>
      <c r="V59" s="224">
        <f t="shared" si="29"/>
        <v>5967.8016791666159</v>
      </c>
      <c r="W59" s="183" t="str">
        <f t="shared" si="30"/>
        <v>S.042</v>
      </c>
      <c r="X59" s="183" t="s">
        <v>551</v>
      </c>
      <c r="AA59" s="670"/>
    </row>
    <row r="60" spans="1:27" ht="28.5" customHeight="1">
      <c r="A60" s="230" t="s">
        <v>321</v>
      </c>
      <c r="B60" s="192" t="s">
        <v>191</v>
      </c>
      <c r="C60" s="226" t="str">
        <f t="shared" ca="1" si="31"/>
        <v>Diana to Perdue 138 kV Rebuild 21.8 miles; Station Upgrades at Diana and Perdue</v>
      </c>
      <c r="D60" s="216">
        <f t="shared" ca="1" si="31"/>
        <v>2014</v>
      </c>
      <c r="E60" s="665">
        <f t="shared" ca="1" si="31"/>
        <v>1848781.0485526482</v>
      </c>
      <c r="F60" s="218">
        <f t="shared" ca="1" si="31"/>
        <v>0</v>
      </c>
      <c r="G60" s="218">
        <f t="shared" ca="1" si="24"/>
        <v>1848781.0485526482</v>
      </c>
      <c r="H60" s="219"/>
      <c r="I60" s="221">
        <v>104964.42709237989</v>
      </c>
      <c r="J60" s="221">
        <v>1595126.4555338635</v>
      </c>
      <c r="K60" s="221">
        <v>1680497.2707477522</v>
      </c>
      <c r="L60" s="217">
        <f t="shared" si="25"/>
        <v>-85370.815213888651</v>
      </c>
      <c r="M60" s="217"/>
      <c r="N60" s="218">
        <v>0</v>
      </c>
      <c r="O60" s="218">
        <v>0</v>
      </c>
      <c r="P60" s="218">
        <f t="shared" si="26"/>
        <v>0</v>
      </c>
      <c r="Q60" s="217">
        <f t="shared" si="23"/>
        <v>1316.9558285905687</v>
      </c>
      <c r="R60" s="222">
        <f t="shared" si="27"/>
        <v>20910.567707081809</v>
      </c>
      <c r="S60" s="228" t="s">
        <v>266</v>
      </c>
      <c r="T60" s="225">
        <f t="shared" ca="1" si="28"/>
        <v>1869691.61625973</v>
      </c>
      <c r="V60" s="224">
        <f t="shared" si="29"/>
        <v>19593.61187849124</v>
      </c>
      <c r="W60" s="183" t="str">
        <f t="shared" si="30"/>
        <v>S.043</v>
      </c>
      <c r="X60" s="183" t="s">
        <v>552</v>
      </c>
      <c r="AA60" s="670"/>
    </row>
    <row r="61" spans="1:27" ht="17.25" customHeight="1">
      <c r="A61" s="230" t="s">
        <v>343</v>
      </c>
      <c r="B61" s="192" t="s">
        <v>191</v>
      </c>
      <c r="C61" s="226" t="str">
        <f t="shared" ca="1" si="31"/>
        <v>Pittsburg-Winnsboro-North Mineola</v>
      </c>
      <c r="D61" s="216">
        <f t="shared" ca="1" si="31"/>
        <v>2007</v>
      </c>
      <c r="E61" s="665">
        <f t="shared" ca="1" si="31"/>
        <v>3001403.5988125238</v>
      </c>
      <c r="F61" s="218">
        <f t="shared" ca="1" si="31"/>
        <v>0</v>
      </c>
      <c r="G61" s="218">
        <f t="shared" ref="G61:G71" ca="1" si="32">+E61+F61</f>
        <v>3001403.5988125238</v>
      </c>
      <c r="H61" s="219"/>
      <c r="I61" s="221">
        <v>738169.37898645969</v>
      </c>
      <c r="J61" s="221">
        <v>3085172.4233561847</v>
      </c>
      <c r="K61" s="221">
        <v>3250290.1693151877</v>
      </c>
      <c r="L61" s="217">
        <f t="shared" ref="L61:L71" si="33">+J61-K61</f>
        <v>-165117.74595900299</v>
      </c>
      <c r="M61" s="217"/>
      <c r="N61" s="218">
        <v>0</v>
      </c>
      <c r="O61" s="218">
        <v>0</v>
      </c>
      <c r="P61" s="218">
        <f t="shared" ref="P61:P71" si="34">+N61-O61</f>
        <v>0</v>
      </c>
      <c r="Q61" s="217">
        <f t="shared" si="23"/>
        <v>38516.823385039177</v>
      </c>
      <c r="R61" s="222">
        <f t="shared" ref="R61:R71" si="35">I61+L61+P61+Q61</f>
        <v>611568.45641249593</v>
      </c>
      <c r="S61" s="228" t="s">
        <v>266</v>
      </c>
      <c r="T61" s="225">
        <f t="shared" ref="T61:T70" ca="1" si="36">+G61+R61</f>
        <v>3612972.0552250198</v>
      </c>
      <c r="V61" s="224">
        <f t="shared" ref="V61:V71" si="37">+I61+L61+P61</f>
        <v>573051.6330274567</v>
      </c>
      <c r="W61" s="183" t="str">
        <f t="shared" ref="W61:W71" si="38">A61</f>
        <v>S.044</v>
      </c>
      <c r="X61" s="183" t="s">
        <v>328</v>
      </c>
      <c r="AA61" s="670"/>
    </row>
    <row r="62" spans="1:27" ht="17.25" customHeight="1">
      <c r="A62" s="230" t="s">
        <v>344</v>
      </c>
      <c r="B62" s="192" t="s">
        <v>191</v>
      </c>
      <c r="C62" s="226" t="str">
        <f t="shared" ca="1" si="31"/>
        <v>CHAMBER SPRINGS - TONTITOWN 161KV CKT 1</v>
      </c>
      <c r="D62" s="216">
        <f t="shared" ca="1" si="31"/>
        <v>2007</v>
      </c>
      <c r="E62" s="665">
        <f t="shared" ca="1" si="31"/>
        <v>268795.39807015983</v>
      </c>
      <c r="F62" s="218">
        <f t="shared" ca="1" si="31"/>
        <v>0</v>
      </c>
      <c r="G62" s="218">
        <f t="shared" ca="1" si="32"/>
        <v>268795.39807015983</v>
      </c>
      <c r="H62" s="219"/>
      <c r="I62" s="221">
        <v>72006.144341988052</v>
      </c>
      <c r="J62" s="221">
        <v>281698.52484467451</v>
      </c>
      <c r="K62" s="221">
        <v>296774.96761014225</v>
      </c>
      <c r="L62" s="217">
        <f t="shared" si="33"/>
        <v>-15076.442765467742</v>
      </c>
      <c r="M62" s="217"/>
      <c r="N62" s="218">
        <v>0</v>
      </c>
      <c r="O62" s="218">
        <v>0</v>
      </c>
      <c r="P62" s="218">
        <f t="shared" si="34"/>
        <v>0</v>
      </c>
      <c r="Q62" s="217">
        <f t="shared" si="23"/>
        <v>3826.4462303360319</v>
      </c>
      <c r="R62" s="222">
        <f t="shared" si="35"/>
        <v>60756.147806856345</v>
      </c>
      <c r="S62" s="228" t="s">
        <v>266</v>
      </c>
      <c r="T62" s="225">
        <f t="shared" ca="1" si="36"/>
        <v>329551.54587701615</v>
      </c>
      <c r="V62" s="224">
        <f t="shared" si="37"/>
        <v>56929.70157652031</v>
      </c>
      <c r="W62" s="183" t="str">
        <f t="shared" si="38"/>
        <v>S.045</v>
      </c>
      <c r="X62" s="183" t="s">
        <v>330</v>
      </c>
      <c r="AA62" s="670"/>
    </row>
    <row r="63" spans="1:27" ht="17.25" customHeight="1">
      <c r="A63" s="230" t="s">
        <v>345</v>
      </c>
      <c r="B63" s="192" t="s">
        <v>191</v>
      </c>
      <c r="C63" s="226" t="str">
        <f t="shared" ca="1" si="31"/>
        <v>CHAMBER SPRINGS - TONTITOWN 345KV CKT 1</v>
      </c>
      <c r="D63" s="216">
        <f t="shared" ca="1" si="31"/>
        <v>2008</v>
      </c>
      <c r="E63" s="665">
        <f t="shared" ca="1" si="31"/>
        <v>1707258.207662385</v>
      </c>
      <c r="F63" s="218">
        <f t="shared" ca="1" si="31"/>
        <v>0</v>
      </c>
      <c r="G63" s="218">
        <f t="shared" ca="1" si="32"/>
        <v>1707258.207662385</v>
      </c>
      <c r="H63" s="219"/>
      <c r="I63" s="221">
        <v>392730.85837477818</v>
      </c>
      <c r="J63" s="221">
        <v>1730041.7970041209</v>
      </c>
      <c r="K63" s="221">
        <v>1822633.2514633923</v>
      </c>
      <c r="L63" s="217">
        <f t="shared" si="33"/>
        <v>-92591.454459271394</v>
      </c>
      <c r="M63" s="217"/>
      <c r="N63" s="218">
        <v>0</v>
      </c>
      <c r="O63" s="218">
        <v>0</v>
      </c>
      <c r="P63" s="218">
        <f t="shared" si="34"/>
        <v>0</v>
      </c>
      <c r="Q63" s="217">
        <f t="shared" si="23"/>
        <v>20173.428963861996</v>
      </c>
      <c r="R63" s="222">
        <f t="shared" si="35"/>
        <v>320312.8328793688</v>
      </c>
      <c r="S63" s="228" t="s">
        <v>266</v>
      </c>
      <c r="T63" s="225">
        <f t="shared" ca="1" si="36"/>
        <v>2027571.0405417536</v>
      </c>
      <c r="V63" s="224">
        <f t="shared" si="37"/>
        <v>300139.40391550679</v>
      </c>
      <c r="W63" s="183" t="str">
        <f t="shared" si="38"/>
        <v>S.046</v>
      </c>
      <c r="X63" s="183" t="s">
        <v>332</v>
      </c>
      <c r="AA63" s="670"/>
    </row>
    <row r="64" spans="1:27" ht="17.25" customHeight="1">
      <c r="A64" s="230" t="s">
        <v>346</v>
      </c>
      <c r="B64" s="192" t="s">
        <v>191</v>
      </c>
      <c r="C64" s="226" t="str">
        <f t="shared" ca="1" si="31"/>
        <v>FULTON - HOPE 115KV CKT 1</v>
      </c>
      <c r="D64" s="216">
        <f t="shared" ca="1" si="31"/>
        <v>2012</v>
      </c>
      <c r="E64" s="665">
        <f t="shared" ca="1" si="31"/>
        <v>91313.71449184035</v>
      </c>
      <c r="F64" s="218">
        <f t="shared" ca="1" si="31"/>
        <v>0</v>
      </c>
      <c r="G64" s="218">
        <f t="shared" ca="1" si="32"/>
        <v>91313.71449184035</v>
      </c>
      <c r="H64" s="219"/>
      <c r="I64" s="221">
        <v>11314.027500528406</v>
      </c>
      <c r="J64" s="221">
        <v>83657.765886261652</v>
      </c>
      <c r="K64" s="221">
        <v>88135.111019561766</v>
      </c>
      <c r="L64" s="217">
        <f t="shared" si="33"/>
        <v>-4477.345133300114</v>
      </c>
      <c r="M64" s="217"/>
      <c r="N64" s="218">
        <v>0</v>
      </c>
      <c r="O64" s="218">
        <v>0</v>
      </c>
      <c r="P64" s="218">
        <f t="shared" si="34"/>
        <v>0</v>
      </c>
      <c r="Q64" s="217">
        <f t="shared" si="23"/>
        <v>459.51755845624962</v>
      </c>
      <c r="R64" s="222">
        <f t="shared" si="35"/>
        <v>7296.1999256845411</v>
      </c>
      <c r="S64" s="228" t="s">
        <v>266</v>
      </c>
      <c r="T64" s="225">
        <f t="shared" ca="1" si="36"/>
        <v>98609.914417524895</v>
      </c>
      <c r="V64" s="224">
        <f t="shared" si="37"/>
        <v>6836.6823672282917</v>
      </c>
      <c r="W64" s="183" t="str">
        <f t="shared" si="38"/>
        <v>S.047</v>
      </c>
      <c r="X64" s="183" t="s">
        <v>333</v>
      </c>
      <c r="AA64" s="670"/>
    </row>
    <row r="65" spans="1:27" ht="17.25" customHeight="1">
      <c r="A65" s="230" t="s">
        <v>347</v>
      </c>
      <c r="B65" s="192" t="s">
        <v>191</v>
      </c>
      <c r="C65" s="226" t="str">
        <f t="shared" ca="1" si="31"/>
        <v>MINEOLA - NORTH MINEOLA 69KV CKT 1</v>
      </c>
      <c r="D65" s="216">
        <f t="shared" ca="1" si="31"/>
        <v>2010</v>
      </c>
      <c r="E65" s="665">
        <f t="shared" ca="1" si="31"/>
        <v>17653.903980447743</v>
      </c>
      <c r="F65" s="218">
        <f t="shared" ca="1" si="31"/>
        <v>0</v>
      </c>
      <c r="G65" s="218">
        <f t="shared" ca="1" si="32"/>
        <v>17653.903980447743</v>
      </c>
      <c r="H65" s="219"/>
      <c r="I65" s="221">
        <v>3097.0585575390287</v>
      </c>
      <c r="J65" s="221">
        <v>17006.774736129319</v>
      </c>
      <c r="K65" s="221">
        <v>17916.973559768288</v>
      </c>
      <c r="L65" s="217">
        <f t="shared" si="33"/>
        <v>-910.19882363896977</v>
      </c>
      <c r="M65" s="217"/>
      <c r="N65" s="218">
        <v>0</v>
      </c>
      <c r="O65" s="218">
        <v>0</v>
      </c>
      <c r="P65" s="218">
        <f t="shared" si="34"/>
        <v>0</v>
      </c>
      <c r="Q65" s="217">
        <f t="shared" si="23"/>
        <v>146.98656331103513</v>
      </c>
      <c r="R65" s="222">
        <f t="shared" si="35"/>
        <v>2333.8462972110942</v>
      </c>
      <c r="S65" s="228" t="s">
        <v>266</v>
      </c>
      <c r="T65" s="225">
        <f t="shared" ca="1" si="36"/>
        <v>19987.750277658837</v>
      </c>
      <c r="V65" s="224">
        <f t="shared" si="37"/>
        <v>2186.8597339000589</v>
      </c>
      <c r="W65" s="183" t="str">
        <f t="shared" si="38"/>
        <v>S.048</v>
      </c>
      <c r="X65" s="183" t="s">
        <v>335</v>
      </c>
      <c r="AA65" s="670"/>
    </row>
    <row r="66" spans="1:27" ht="17.25" customHeight="1">
      <c r="A66" s="230" t="s">
        <v>348</v>
      </c>
      <c r="B66" s="192" t="s">
        <v>191</v>
      </c>
      <c r="C66" s="226" t="str">
        <f t="shared" ca="1" si="31"/>
        <v xml:space="preserve">SUGAR HILL 138/69KV TRANSFORMER CKT 1 </v>
      </c>
      <c r="D66" s="216">
        <f t="shared" ca="1" si="31"/>
        <v>2010</v>
      </c>
      <c r="E66" s="665">
        <f t="shared" ca="1" si="31"/>
        <v>2655.7484318113256</v>
      </c>
      <c r="F66" s="218">
        <f t="shared" ca="1" si="31"/>
        <v>0</v>
      </c>
      <c r="G66" s="218">
        <f t="shared" ca="1" si="32"/>
        <v>2655.7484318113256</v>
      </c>
      <c r="H66" s="219"/>
      <c r="I66" s="221">
        <v>301.91599198168615</v>
      </c>
      <c r="J66" s="221">
        <v>2489.3586735727622</v>
      </c>
      <c r="K66" s="221">
        <v>2622.5885993792053</v>
      </c>
      <c r="L66" s="217">
        <f t="shared" si="33"/>
        <v>-133.22992580644313</v>
      </c>
      <c r="M66" s="217"/>
      <c r="N66" s="218">
        <v>0</v>
      </c>
      <c r="O66" s="218">
        <v>0</v>
      </c>
      <c r="P66" s="218">
        <f t="shared" si="34"/>
        <v>0</v>
      </c>
      <c r="Q66" s="217">
        <f t="shared" si="23"/>
        <v>11.337986045103133</v>
      </c>
      <c r="R66" s="222">
        <f t="shared" si="35"/>
        <v>180.02405222034614</v>
      </c>
      <c r="S66" s="228" t="s">
        <v>266</v>
      </c>
      <c r="T66" s="225">
        <f t="shared" ca="1" si="36"/>
        <v>2835.7724840316719</v>
      </c>
      <c r="V66" s="224">
        <f t="shared" si="37"/>
        <v>168.68606617524301</v>
      </c>
      <c r="W66" s="183" t="str">
        <f t="shared" si="38"/>
        <v>S.049</v>
      </c>
      <c r="X66" s="183" t="s">
        <v>553</v>
      </c>
      <c r="AA66" s="670"/>
    </row>
    <row r="67" spans="1:27" ht="17.25" customHeight="1">
      <c r="A67" s="230" t="s">
        <v>349</v>
      </c>
      <c r="B67" s="192" t="s">
        <v>191</v>
      </c>
      <c r="C67" s="226" t="str">
        <f t="shared" ca="1" si="31"/>
        <v>Dekalb-New Boston 69 kV</v>
      </c>
      <c r="D67" s="216">
        <f t="shared" ca="1" si="31"/>
        <v>2015</v>
      </c>
      <c r="E67" s="665">
        <f t="shared" ca="1" si="31"/>
        <v>2005673.6176458267</v>
      </c>
      <c r="F67" s="218">
        <f t="shared" ca="1" si="31"/>
        <v>0</v>
      </c>
      <c r="G67" s="218">
        <f t="shared" ca="1" si="32"/>
        <v>2005673.6176458267</v>
      </c>
      <c r="H67" s="219"/>
      <c r="I67" s="221">
        <v>112387.81078289077</v>
      </c>
      <c r="J67" s="221">
        <v>1696478.9640168385</v>
      </c>
      <c r="K67" s="221">
        <v>1787274.1430754534</v>
      </c>
      <c r="L67" s="217">
        <f t="shared" si="33"/>
        <v>-90795.179058614885</v>
      </c>
      <c r="M67" s="217"/>
      <c r="N67" s="218">
        <v>0</v>
      </c>
      <c r="O67" s="218">
        <v>0</v>
      </c>
      <c r="P67" s="218">
        <f t="shared" si="34"/>
        <v>0</v>
      </c>
      <c r="Q67" s="217">
        <f t="shared" si="23"/>
        <v>1451.31700986232</v>
      </c>
      <c r="R67" s="222">
        <f t="shared" si="35"/>
        <v>23043.948734138201</v>
      </c>
      <c r="S67" s="228" t="s">
        <v>266</v>
      </c>
      <c r="T67" s="225">
        <f t="shared" ca="1" si="36"/>
        <v>2028717.5663799648</v>
      </c>
      <c r="V67" s="224">
        <f t="shared" si="37"/>
        <v>21592.631724275881</v>
      </c>
      <c r="W67" s="183" t="str">
        <f t="shared" si="38"/>
        <v>S.050</v>
      </c>
      <c r="X67" s="183" t="s">
        <v>338</v>
      </c>
      <c r="AA67" s="670"/>
    </row>
    <row r="68" spans="1:27" ht="17.25" customHeight="1">
      <c r="A68" s="230" t="s">
        <v>350</v>
      </c>
      <c r="B68" s="192" t="s">
        <v>191</v>
      </c>
      <c r="C68" s="226" t="str">
        <f t="shared" ca="1" si="31"/>
        <v>Hardy Street-Waterworks 69 kV</v>
      </c>
      <c r="D68" s="216">
        <f t="shared" ca="1" si="31"/>
        <v>2015</v>
      </c>
      <c r="E68" s="665">
        <f t="shared" ca="1" si="31"/>
        <v>705021.28192113526</v>
      </c>
      <c r="F68" s="218">
        <f t="shared" ca="1" si="31"/>
        <v>0</v>
      </c>
      <c r="G68" s="218">
        <f t="shared" ca="1" si="32"/>
        <v>705021.28192113526</v>
      </c>
      <c r="H68" s="219"/>
      <c r="I68" s="221">
        <v>39019.538631619071</v>
      </c>
      <c r="J68" s="221">
        <v>612414.17072447331</v>
      </c>
      <c r="K68" s="221">
        <v>645190.44173540559</v>
      </c>
      <c r="L68" s="217">
        <f t="shared" si="33"/>
        <v>-32776.27101093228</v>
      </c>
      <c r="M68" s="217"/>
      <c r="N68" s="218">
        <v>0</v>
      </c>
      <c r="O68" s="218">
        <v>0</v>
      </c>
      <c r="P68" s="218">
        <f t="shared" si="34"/>
        <v>0</v>
      </c>
      <c r="Q68" s="217">
        <f t="shared" si="23"/>
        <v>419.63205832100846</v>
      </c>
      <c r="R68" s="222">
        <f t="shared" si="35"/>
        <v>6662.899679007799</v>
      </c>
      <c r="S68" s="228" t="s">
        <v>266</v>
      </c>
      <c r="T68" s="225">
        <f t="shared" ca="1" si="36"/>
        <v>711684.18160014309</v>
      </c>
      <c r="V68" s="224">
        <f t="shared" si="37"/>
        <v>6243.2676206867909</v>
      </c>
      <c r="W68" s="183" t="str">
        <f t="shared" si="38"/>
        <v>S.051</v>
      </c>
      <c r="X68" s="183" t="s">
        <v>339</v>
      </c>
      <c r="AA68" s="670"/>
    </row>
    <row r="69" spans="1:27" ht="17.25" customHeight="1">
      <c r="A69" s="230" t="s">
        <v>351</v>
      </c>
      <c r="B69" s="192" t="s">
        <v>191</v>
      </c>
      <c r="C69" s="226" t="str">
        <f t="shared" ca="1" si="31"/>
        <v>Red Oak (State Line)-North Huntington 69 kV</v>
      </c>
      <c r="D69" s="216">
        <f t="shared" ca="1" si="31"/>
        <v>2015</v>
      </c>
      <c r="E69" s="665">
        <f t="shared" ca="1" si="31"/>
        <v>1512955.948747413</v>
      </c>
      <c r="F69" s="218">
        <f t="shared" ca="1" si="31"/>
        <v>0</v>
      </c>
      <c r="G69" s="218">
        <f t="shared" ca="1" si="32"/>
        <v>1512955.948747413</v>
      </c>
      <c r="H69" s="219"/>
      <c r="I69" s="221">
        <v>85842.443242434645</v>
      </c>
      <c r="J69" s="221">
        <v>1291783.4288377608</v>
      </c>
      <c r="K69" s="221">
        <v>1360919.3923327448</v>
      </c>
      <c r="L69" s="217">
        <f t="shared" si="33"/>
        <v>-69135.963494983967</v>
      </c>
      <c r="M69" s="217"/>
      <c r="N69" s="218">
        <v>0</v>
      </c>
      <c r="O69" s="218">
        <v>0</v>
      </c>
      <c r="P69" s="218">
        <f t="shared" si="34"/>
        <v>0</v>
      </c>
      <c r="Q69" s="217">
        <f t="shared" si="23"/>
        <v>1122.9014851921038</v>
      </c>
      <c r="R69" s="222">
        <f t="shared" si="35"/>
        <v>17829.38123264278</v>
      </c>
      <c r="S69" s="228" t="s">
        <v>266</v>
      </c>
      <c r="T69" s="225">
        <f t="shared" ca="1" si="36"/>
        <v>1530785.3299800558</v>
      </c>
      <c r="V69" s="224">
        <f t="shared" si="37"/>
        <v>16706.479747450678</v>
      </c>
      <c r="W69" s="183" t="str">
        <f t="shared" si="38"/>
        <v>S.052</v>
      </c>
      <c r="X69" s="183" t="s">
        <v>340</v>
      </c>
      <c r="AA69" s="670"/>
    </row>
    <row r="70" spans="1:27" ht="17.25" customHeight="1">
      <c r="A70" s="230" t="s">
        <v>352</v>
      </c>
      <c r="B70" s="192" t="s">
        <v>191</v>
      </c>
      <c r="C70" s="226" t="str">
        <f t="shared" ca="1" si="31"/>
        <v>Mt. Pleasant - West Mt. Pleasant 69 kV Ckt 1)</v>
      </c>
      <c r="D70" s="216">
        <f t="shared" ca="1" si="31"/>
        <v>2015</v>
      </c>
      <c r="E70" s="665">
        <f t="shared" ca="1" si="31"/>
        <v>729744.16665768996</v>
      </c>
      <c r="F70" s="218">
        <f t="shared" ca="1" si="31"/>
        <v>0</v>
      </c>
      <c r="G70" s="218">
        <f t="shared" ca="1" si="32"/>
        <v>729744.16665768996</v>
      </c>
      <c r="H70" s="219"/>
      <c r="I70" s="221">
        <v>41262.675578400027</v>
      </c>
      <c r="J70" s="221">
        <v>622554.30174441414</v>
      </c>
      <c r="K70" s="221">
        <v>655873.27032552648</v>
      </c>
      <c r="L70" s="217">
        <f t="shared" si="33"/>
        <v>-33318.968581112335</v>
      </c>
      <c r="M70" s="217"/>
      <c r="N70" s="218">
        <v>0</v>
      </c>
      <c r="O70" s="218">
        <v>0</v>
      </c>
      <c r="P70" s="218">
        <f t="shared" si="34"/>
        <v>0</v>
      </c>
      <c r="Q70" s="217">
        <f t="shared" si="23"/>
        <v>533.92459213595862</v>
      </c>
      <c r="R70" s="222">
        <f t="shared" si="35"/>
        <v>8477.6315894236504</v>
      </c>
      <c r="S70" s="228" t="s">
        <v>266</v>
      </c>
      <c r="T70" s="225">
        <f t="shared" ca="1" si="36"/>
        <v>738221.79824711359</v>
      </c>
      <c r="V70" s="224">
        <f t="shared" si="37"/>
        <v>7943.7069972876925</v>
      </c>
      <c r="W70" s="183" t="str">
        <f t="shared" si="38"/>
        <v>S.053</v>
      </c>
      <c r="X70" s="183" t="s">
        <v>554</v>
      </c>
      <c r="AA70" s="670"/>
    </row>
    <row r="71" spans="1:27" ht="17.25" customHeight="1">
      <c r="A71" s="230" t="s">
        <v>353</v>
      </c>
      <c r="B71" s="192" t="s">
        <v>191</v>
      </c>
      <c r="C71" s="226" t="str">
        <f t="shared" ca="1" si="31"/>
        <v>Benteler - Port Robson 138 kV Ckt 1 and 2</v>
      </c>
      <c r="D71" s="216">
        <f t="shared" ca="1" si="31"/>
        <v>2015</v>
      </c>
      <c r="E71" s="665">
        <f t="shared" ca="1" si="31"/>
        <v>1761571.6221046289</v>
      </c>
      <c r="F71" s="218">
        <f t="shared" ca="1" si="31"/>
        <v>0</v>
      </c>
      <c r="G71" s="218">
        <f t="shared" ca="1" si="32"/>
        <v>1761571.6221046289</v>
      </c>
      <c r="H71" s="219"/>
      <c r="I71" s="221">
        <v>99659.610216118861</v>
      </c>
      <c r="J71" s="221">
        <v>1502936.3010239301</v>
      </c>
      <c r="K71" s="221">
        <v>1583373.1195519115</v>
      </c>
      <c r="L71" s="217">
        <f t="shared" si="33"/>
        <v>-80436.818527981406</v>
      </c>
      <c r="M71" s="217"/>
      <c r="N71" s="218">
        <v>0</v>
      </c>
      <c r="O71" s="218">
        <v>0</v>
      </c>
      <c r="P71" s="218">
        <f t="shared" si="34"/>
        <v>0</v>
      </c>
      <c r="Q71" s="217">
        <f t="shared" si="23"/>
        <v>1292.0316944353153</v>
      </c>
      <c r="R71" s="222">
        <f t="shared" si="35"/>
        <v>20514.823382572769</v>
      </c>
      <c r="S71" s="228" t="s">
        <v>266</v>
      </c>
      <c r="T71" s="225">
        <f ca="1">+G71+R71</f>
        <v>1782086.4454872017</v>
      </c>
      <c r="V71" s="224">
        <f t="shared" si="37"/>
        <v>19222.791688137455</v>
      </c>
      <c r="W71" s="183" t="str">
        <f t="shared" si="38"/>
        <v>S.054</v>
      </c>
      <c r="X71" s="183" t="s">
        <v>342</v>
      </c>
      <c r="AA71" s="670"/>
    </row>
    <row r="72" spans="1:27" ht="17.25" customHeight="1">
      <c r="A72" s="230" t="s">
        <v>363</v>
      </c>
      <c r="B72" s="192" t="s">
        <v>191</v>
      </c>
      <c r="C72" s="226" t="str">
        <f t="shared" ca="1" si="31"/>
        <v>Ellerbe Rd-S Shreveport 69 kv Build</v>
      </c>
      <c r="D72" s="216">
        <f t="shared" ca="1" si="31"/>
        <v>2016</v>
      </c>
      <c r="E72" s="665">
        <f t="shared" ca="1" si="31"/>
        <v>1210467.8508998295</v>
      </c>
      <c r="F72" s="218">
        <f t="shared" ca="1" si="31"/>
        <v>0</v>
      </c>
      <c r="G72" s="218">
        <f t="shared" ref="G72:G77" ca="1" si="39">+E72+F72</f>
        <v>1210467.8508998295</v>
      </c>
      <c r="H72" s="219"/>
      <c r="I72" s="221">
        <v>63270.255776207661</v>
      </c>
      <c r="J72" s="221">
        <v>1030366.1141790693</v>
      </c>
      <c r="K72" s="221">
        <v>1085511.0807935148</v>
      </c>
      <c r="L72" s="217">
        <f t="shared" ref="L72:L77" si="40">+J72-K72</f>
        <v>-55144.966614445555</v>
      </c>
      <c r="M72" s="217"/>
      <c r="N72" s="218">
        <v>0</v>
      </c>
      <c r="O72" s="218">
        <v>0</v>
      </c>
      <c r="P72" s="218">
        <f t="shared" ref="P72:P77" si="41">+N72-O72</f>
        <v>0</v>
      </c>
      <c r="Q72" s="217">
        <f t="shared" si="23"/>
        <v>546.12937047675973</v>
      </c>
      <c r="R72" s="222">
        <f t="shared" ref="R72:R77" si="42">I72+L72+P72+Q72</f>
        <v>8671.4185322388657</v>
      </c>
      <c r="S72" s="228" t="s">
        <v>266</v>
      </c>
      <c r="T72" s="225">
        <f t="shared" ref="T72:T77" ca="1" si="43">+G72+R72</f>
        <v>1219139.2694320683</v>
      </c>
      <c r="V72" s="224">
        <f>+I72+L72+P72</f>
        <v>8125.2891617621062</v>
      </c>
      <c r="W72" s="183" t="str">
        <f>A72</f>
        <v>S.055</v>
      </c>
      <c r="X72" s="183" t="s">
        <v>555</v>
      </c>
      <c r="AA72" s="670"/>
    </row>
    <row r="73" spans="1:27" ht="17.25" customHeight="1">
      <c r="A73" s="230" t="s">
        <v>364</v>
      </c>
      <c r="B73" s="192" t="s">
        <v>191</v>
      </c>
      <c r="C73" s="226" t="str">
        <f t="shared" ca="1" si="31"/>
        <v>Logansport 138 kv</v>
      </c>
      <c r="D73" s="216">
        <f t="shared" ca="1" si="31"/>
        <v>2016</v>
      </c>
      <c r="E73" s="665">
        <f t="shared" ca="1" si="31"/>
        <v>201589.94885481661</v>
      </c>
      <c r="F73" s="218">
        <f t="shared" ca="1" si="31"/>
        <v>0</v>
      </c>
      <c r="G73" s="218">
        <f t="shared" ca="1" si="39"/>
        <v>201589.94885481661</v>
      </c>
      <c r="H73" s="219"/>
      <c r="I73" s="221">
        <v>11767.42837268865</v>
      </c>
      <c r="J73" s="221">
        <v>172715.83153983208</v>
      </c>
      <c r="K73" s="221">
        <v>181959.54465595944</v>
      </c>
      <c r="L73" s="217">
        <f t="shared" si="40"/>
        <v>-9243.7131161273574</v>
      </c>
      <c r="M73" s="217"/>
      <c r="N73" s="218">
        <v>0</v>
      </c>
      <c r="O73" s="218">
        <v>0</v>
      </c>
      <c r="P73" s="218">
        <f t="shared" si="41"/>
        <v>0</v>
      </c>
      <c r="Q73" s="217">
        <f t="shared" si="23"/>
        <v>169.62781224016283</v>
      </c>
      <c r="R73" s="222">
        <f t="shared" si="42"/>
        <v>2693.343068801455</v>
      </c>
      <c r="S73" s="228" t="s">
        <v>266</v>
      </c>
      <c r="T73" s="225">
        <f t="shared" ca="1" si="43"/>
        <v>204283.29192361806</v>
      </c>
      <c r="V73" s="224">
        <f>+I73+L73+P73</f>
        <v>2523.7152565612923</v>
      </c>
      <c r="W73" s="183" t="str">
        <f>A73</f>
        <v>S.056</v>
      </c>
      <c r="X73" s="183" t="s">
        <v>556</v>
      </c>
      <c r="AA73" s="670"/>
    </row>
    <row r="74" spans="1:27" ht="17.25" customHeight="1">
      <c r="A74" s="230" t="s">
        <v>365</v>
      </c>
      <c r="B74" s="192" t="s">
        <v>191</v>
      </c>
      <c r="C74" s="226" t="str">
        <f t="shared" ca="1" si="31"/>
        <v>Winnsboro 138 kw</v>
      </c>
      <c r="D74" s="216">
        <f t="shared" ca="1" si="31"/>
        <v>2016</v>
      </c>
      <c r="E74" s="665">
        <f t="shared" ca="1" si="31"/>
        <v>158904.22571462151</v>
      </c>
      <c r="F74" s="218">
        <f t="shared" ca="1" si="31"/>
        <v>0</v>
      </c>
      <c r="G74" s="218">
        <f t="shared" ca="1" si="39"/>
        <v>158904.22571462151</v>
      </c>
      <c r="H74" s="219"/>
      <c r="I74" s="221">
        <v>8283.2503756352235</v>
      </c>
      <c r="J74" s="221">
        <v>135188.54642147126</v>
      </c>
      <c r="K74" s="221">
        <v>142423.80753543667</v>
      </c>
      <c r="L74" s="217">
        <f t="shared" si="40"/>
        <v>-7235.2611139654182</v>
      </c>
      <c r="M74" s="217"/>
      <c r="N74" s="218">
        <v>0</v>
      </c>
      <c r="O74" s="218">
        <v>0</v>
      </c>
      <c r="P74" s="218">
        <f t="shared" si="41"/>
        <v>0</v>
      </c>
      <c r="Q74" s="217">
        <f t="shared" si="23"/>
        <v>70.439058148918093</v>
      </c>
      <c r="R74" s="222">
        <f t="shared" si="42"/>
        <v>1118.4283198187234</v>
      </c>
      <c r="S74" s="228" t="s">
        <v>266</v>
      </c>
      <c r="T74" s="225">
        <f t="shared" ca="1" si="43"/>
        <v>160022.65403444023</v>
      </c>
      <c r="V74" s="224">
        <f>+I74+L74+P74</f>
        <v>1047.9892616698053</v>
      </c>
      <c r="W74" s="183" t="str">
        <f>A74</f>
        <v>S.057</v>
      </c>
      <c r="X74" s="183" t="s">
        <v>557</v>
      </c>
      <c r="AA74" s="670"/>
    </row>
    <row r="75" spans="1:27" ht="17.25" customHeight="1">
      <c r="A75" s="230" t="s">
        <v>366</v>
      </c>
      <c r="B75" s="192" t="s">
        <v>191</v>
      </c>
      <c r="C75" s="226" t="str">
        <f t="shared" ca="1" si="31"/>
        <v>Rock Hill-Springridge Pan-Harr REC 138 kv</v>
      </c>
      <c r="D75" s="216">
        <f t="shared" ca="1" si="31"/>
        <v>2016</v>
      </c>
      <c r="E75" s="665">
        <f t="shared" ca="1" si="31"/>
        <v>3270508.0204212591</v>
      </c>
      <c r="F75" s="218">
        <f t="shared" ca="1" si="31"/>
        <v>0</v>
      </c>
      <c r="G75" s="218">
        <f t="shared" ca="1" si="39"/>
        <v>3270508.0204212591</v>
      </c>
      <c r="H75" s="219"/>
      <c r="I75" s="221">
        <v>197303.174921609</v>
      </c>
      <c r="J75" s="221">
        <v>2823839.7009801422</v>
      </c>
      <c r="K75" s="221">
        <v>2974970.9774188711</v>
      </c>
      <c r="L75" s="217">
        <f t="shared" si="40"/>
        <v>-151131.27643872891</v>
      </c>
      <c r="M75" s="217"/>
      <c r="N75" s="218">
        <v>0</v>
      </c>
      <c r="O75" s="218">
        <v>0</v>
      </c>
      <c r="P75" s="218">
        <f t="shared" si="41"/>
        <v>0</v>
      </c>
      <c r="Q75" s="217">
        <f t="shared" si="23"/>
        <v>3103.3763045429487</v>
      </c>
      <c r="R75" s="222">
        <f t="shared" si="42"/>
        <v>49275.274787423041</v>
      </c>
      <c r="S75" s="228" t="s">
        <v>266</v>
      </c>
      <c r="T75" s="225">
        <f t="shared" ca="1" si="43"/>
        <v>3319783.2952086823</v>
      </c>
      <c r="V75" s="224">
        <f>+I75+L75+P75</f>
        <v>46171.898482880089</v>
      </c>
      <c r="W75" s="183" t="str">
        <f>A75</f>
        <v>S.058</v>
      </c>
      <c r="X75" s="183" t="s">
        <v>558</v>
      </c>
      <c r="AA75" s="670"/>
    </row>
    <row r="76" spans="1:27" ht="17.25" customHeight="1">
      <c r="A76" s="230" t="s">
        <v>367</v>
      </c>
      <c r="B76" s="192" t="s">
        <v>191</v>
      </c>
      <c r="C76" s="226" t="str">
        <f t="shared" ca="1" si="31"/>
        <v>Brownlee-North Mrket 69 kv Rebuild</v>
      </c>
      <c r="D76" s="216">
        <f t="shared" ca="1" si="31"/>
        <v>2017</v>
      </c>
      <c r="E76" s="665">
        <f t="shared" ca="1" si="31"/>
        <v>2244295.3415744328</v>
      </c>
      <c r="F76" s="218">
        <f t="shared" ca="1" si="31"/>
        <v>0</v>
      </c>
      <c r="G76" s="218">
        <f t="shared" ca="1" si="39"/>
        <v>2244295.3415744328</v>
      </c>
      <c r="H76" s="219"/>
      <c r="I76" s="221">
        <v>129071.20585432602</v>
      </c>
      <c r="J76" s="221">
        <v>2252210.6681503868</v>
      </c>
      <c r="K76" s="221">
        <v>2372748.485140617</v>
      </c>
      <c r="L76" s="217">
        <f t="shared" si="40"/>
        <v>-120537.81699023023</v>
      </c>
      <c r="M76" s="217"/>
      <c r="N76" s="218">
        <v>0</v>
      </c>
      <c r="O76" s="218">
        <v>0</v>
      </c>
      <c r="P76" s="218">
        <f t="shared" si="41"/>
        <v>0</v>
      </c>
      <c r="Q76" s="217">
        <f t="shared" si="23"/>
        <v>573.55919224557817</v>
      </c>
      <c r="R76" s="222">
        <f t="shared" si="42"/>
        <v>9106.9480563413672</v>
      </c>
      <c r="S76" s="228" t="s">
        <v>266</v>
      </c>
      <c r="T76" s="225">
        <f t="shared" ca="1" si="43"/>
        <v>2253402.2896307739</v>
      </c>
      <c r="V76" s="224">
        <f>+I76+L76+P76</f>
        <v>8533.3888640957884</v>
      </c>
      <c r="W76" s="183" t="str">
        <f>A76</f>
        <v>S.059</v>
      </c>
      <c r="X76" s="183" t="s">
        <v>559</v>
      </c>
      <c r="AA76" s="670"/>
    </row>
    <row r="77" spans="1:27" ht="17.25" customHeight="1">
      <c r="A77" s="230" t="s">
        <v>371</v>
      </c>
      <c r="B77" s="192" t="s">
        <v>191</v>
      </c>
      <c r="C77" s="226" t="str">
        <f t="shared" ca="1" si="31"/>
        <v>Valliant-NW Texarkana 345 kV</v>
      </c>
      <c r="D77" s="216">
        <f t="shared" ca="1" si="31"/>
        <v>2016</v>
      </c>
      <c r="E77" s="665">
        <f t="shared" ca="1" si="31"/>
        <v>12677028.993315388</v>
      </c>
      <c r="F77" s="218">
        <f t="shared" ca="1" si="31"/>
        <v>0</v>
      </c>
      <c r="G77" s="218">
        <f t="shared" ca="1" si="39"/>
        <v>12677028.993315388</v>
      </c>
      <c r="H77" s="219"/>
      <c r="I77" s="221">
        <v>732667.94381638244</v>
      </c>
      <c r="J77" s="221">
        <v>10449974.678095188</v>
      </c>
      <c r="K77" s="221">
        <v>11009255.012352386</v>
      </c>
      <c r="L77" s="217">
        <f t="shared" si="40"/>
        <v>-559280.3342571985</v>
      </c>
      <c r="M77" s="217"/>
      <c r="N77" s="218">
        <v>0</v>
      </c>
      <c r="O77" s="218">
        <v>0</v>
      </c>
      <c r="P77" s="218">
        <f t="shared" si="41"/>
        <v>0</v>
      </c>
      <c r="Q77" s="217">
        <f t="shared" si="23"/>
        <v>11653.993374494472</v>
      </c>
      <c r="R77" s="222">
        <f t="shared" si="42"/>
        <v>185041.60293367843</v>
      </c>
      <c r="S77" s="228" t="s">
        <v>266</v>
      </c>
      <c r="T77" s="225">
        <f t="shared" ca="1" si="43"/>
        <v>12862070.596249066</v>
      </c>
      <c r="V77" s="224">
        <f t="shared" ref="V77:V84" si="44">+I77+L77+P77</f>
        <v>173387.60955918394</v>
      </c>
      <c r="W77" s="183" t="str">
        <f t="shared" ref="W77:W84" si="45">A77</f>
        <v>S.060</v>
      </c>
      <c r="X77" s="183" t="s">
        <v>379</v>
      </c>
      <c r="AA77" s="670"/>
    </row>
    <row r="78" spans="1:27" ht="17.25" customHeight="1">
      <c r="A78" s="230" t="s">
        <v>372</v>
      </c>
      <c r="B78" s="192" t="s">
        <v>191</v>
      </c>
      <c r="C78" s="226" t="str">
        <f t="shared" ref="C78:F91" ca="1" si="46">INDIRECT("'"&amp; $A78 &amp; "'!" &amp;C$103)</f>
        <v>Messick 500/230 kV</v>
      </c>
      <c r="D78" s="216">
        <f t="shared" ca="1" si="46"/>
        <v>2016</v>
      </c>
      <c r="E78" s="665">
        <f t="shared" ca="1" si="46"/>
        <v>7516854.5692845583</v>
      </c>
      <c r="F78" s="218">
        <f t="shared" ca="1" si="46"/>
        <v>0</v>
      </c>
      <c r="G78" s="218">
        <f t="shared" ref="G78:G84" ca="1" si="47">+E78+F78</f>
        <v>7516854.5692845583</v>
      </c>
      <c r="H78" s="219"/>
      <c r="I78" s="221">
        <v>437731.61779855471</v>
      </c>
      <c r="J78" s="221">
        <v>6375479.2316079382</v>
      </c>
      <c r="K78" s="221">
        <v>6716693.4704498518</v>
      </c>
      <c r="L78" s="217">
        <f t="shared" ref="L78:L84" si="48">+J78-K78</f>
        <v>-341214.23884191364</v>
      </c>
      <c r="M78" s="217"/>
      <c r="N78" s="218">
        <v>0</v>
      </c>
      <c r="O78" s="218">
        <v>0</v>
      </c>
      <c r="P78" s="218">
        <f t="shared" ref="P78:P84" si="49">+N78-O78</f>
        <v>0</v>
      </c>
      <c r="Q78" s="217">
        <f t="shared" si="23"/>
        <v>6487.2737893091762</v>
      </c>
      <c r="R78" s="222">
        <f t="shared" ref="R78:R84" si="50">I78+L78+P78+Q78</f>
        <v>103004.65274595024</v>
      </c>
      <c r="S78" s="228" t="s">
        <v>266</v>
      </c>
      <c r="T78" s="225">
        <f t="shared" ref="T78:T84" ca="1" si="51">+G78+R78</f>
        <v>7619859.2220305083</v>
      </c>
      <c r="V78" s="224">
        <f t="shared" si="44"/>
        <v>96517.378956641071</v>
      </c>
      <c r="W78" s="183" t="str">
        <f t="shared" si="45"/>
        <v>S.061</v>
      </c>
      <c r="X78" s="183" t="s">
        <v>560</v>
      </c>
      <c r="AA78" s="670"/>
    </row>
    <row r="79" spans="1:27" ht="17.25" customHeight="1">
      <c r="A79" s="230" t="s">
        <v>373</v>
      </c>
      <c r="B79" s="192" t="s">
        <v>191</v>
      </c>
      <c r="C79" s="226" t="str">
        <f t="shared" ca="1" si="46"/>
        <v>Letourneau 69 kV Capacitor Bank Addition</v>
      </c>
      <c r="D79" s="216">
        <f t="shared" ca="1" si="46"/>
        <v>2017</v>
      </c>
      <c r="E79" s="665">
        <f t="shared" ca="1" si="46"/>
        <v>164998.75779973256</v>
      </c>
      <c r="F79" s="218">
        <f t="shared" ca="1" si="46"/>
        <v>0</v>
      </c>
      <c r="G79" s="218">
        <f t="shared" ca="1" si="47"/>
        <v>164998.75779973256</v>
      </c>
      <c r="H79" s="219"/>
      <c r="I79" s="221">
        <v>8892.8910318154667</v>
      </c>
      <c r="J79" s="221">
        <v>149185.65701005506</v>
      </c>
      <c r="K79" s="221">
        <v>157170.04038792674</v>
      </c>
      <c r="L79" s="217">
        <f t="shared" si="48"/>
        <v>-7984.3833778716798</v>
      </c>
      <c r="M79" s="217"/>
      <c r="N79" s="218">
        <v>0</v>
      </c>
      <c r="O79" s="218">
        <v>0</v>
      </c>
      <c r="P79" s="218">
        <f t="shared" si="49"/>
        <v>0</v>
      </c>
      <c r="Q79" s="217">
        <f t="shared" si="23"/>
        <v>61.064006861023131</v>
      </c>
      <c r="R79" s="222">
        <f t="shared" si="50"/>
        <v>969.57166080480999</v>
      </c>
      <c r="S79" s="228" t="s">
        <v>266</v>
      </c>
      <c r="T79" s="225">
        <f t="shared" ca="1" si="51"/>
        <v>165968.32946053738</v>
      </c>
      <c r="V79" s="224">
        <f t="shared" si="44"/>
        <v>908.50765394378686</v>
      </c>
      <c r="W79" s="183" t="str">
        <f t="shared" si="45"/>
        <v>S.062</v>
      </c>
      <c r="X79" s="183" t="s">
        <v>382</v>
      </c>
      <c r="AA79" s="670"/>
    </row>
    <row r="80" spans="1:27" ht="17.25" customHeight="1">
      <c r="A80" s="230" t="s">
        <v>374</v>
      </c>
      <c r="B80" s="192" t="s">
        <v>191</v>
      </c>
      <c r="C80" s="226" t="str">
        <f t="shared" ca="1" si="46"/>
        <v>Brooks Street - Edwards Street 69 kV Line Rebuild</v>
      </c>
      <c r="D80" s="216">
        <f t="shared" ca="1" si="46"/>
        <v>2017</v>
      </c>
      <c r="E80" s="665">
        <f t="shared" ca="1" si="46"/>
        <v>614725.43863410503</v>
      </c>
      <c r="F80" s="218">
        <f t="shared" ca="1" si="46"/>
        <v>0</v>
      </c>
      <c r="G80" s="218">
        <f t="shared" ca="1" si="47"/>
        <v>614725.43863410503</v>
      </c>
      <c r="H80" s="219"/>
      <c r="I80" s="221">
        <v>39479.262277449714</v>
      </c>
      <c r="J80" s="221">
        <v>416391.1407148891</v>
      </c>
      <c r="K80" s="221">
        <v>438676.30250087043</v>
      </c>
      <c r="L80" s="217">
        <f t="shared" si="48"/>
        <v>-22285.161785981327</v>
      </c>
      <c r="M80" s="217"/>
      <c r="N80" s="218">
        <v>0</v>
      </c>
      <c r="O80" s="218">
        <v>0</v>
      </c>
      <c r="P80" s="218">
        <f t="shared" si="49"/>
        <v>0</v>
      </c>
      <c r="Q80" s="217">
        <f t="shared" si="23"/>
        <v>1155.6761969174461</v>
      </c>
      <c r="R80" s="222">
        <f t="shared" si="50"/>
        <v>18349.776688385835</v>
      </c>
      <c r="S80" s="228" t="s">
        <v>266</v>
      </c>
      <c r="T80" s="225">
        <f t="shared" ca="1" si="51"/>
        <v>633075.2153224909</v>
      </c>
      <c r="V80" s="224">
        <f t="shared" si="44"/>
        <v>17194.100491468387</v>
      </c>
      <c r="W80" s="183" t="str">
        <f t="shared" si="45"/>
        <v>S.063</v>
      </c>
      <c r="X80" s="183" t="s">
        <v>383</v>
      </c>
      <c r="AA80" s="670"/>
    </row>
    <row r="81" spans="1:27" ht="17.25" customHeight="1">
      <c r="A81" s="230" t="s">
        <v>375</v>
      </c>
      <c r="B81" s="192" t="s">
        <v>191</v>
      </c>
      <c r="C81" s="226" t="str">
        <f t="shared" ca="1" si="46"/>
        <v>Hallsville - Marshall New 69 kV Circuit</v>
      </c>
      <c r="D81" s="216">
        <f t="shared" ca="1" si="46"/>
        <v>2017</v>
      </c>
      <c r="E81" s="665">
        <f t="shared" ca="1" si="46"/>
        <v>2296505.9863365302</v>
      </c>
      <c r="F81" s="218">
        <f t="shared" ca="1" si="46"/>
        <v>0</v>
      </c>
      <c r="G81" s="218">
        <f t="shared" ca="1" si="47"/>
        <v>2296505.9863365302</v>
      </c>
      <c r="H81" s="219"/>
      <c r="I81" s="221">
        <v>100092.61208873568</v>
      </c>
      <c r="J81" s="221">
        <v>2054089.4770226716</v>
      </c>
      <c r="K81" s="221">
        <v>2164023.8916688166</v>
      </c>
      <c r="L81" s="217">
        <f t="shared" si="48"/>
        <v>-109934.41464614496</v>
      </c>
      <c r="M81" s="217"/>
      <c r="N81" s="218">
        <v>0</v>
      </c>
      <c r="O81" s="218">
        <v>0</v>
      </c>
      <c r="P81" s="218">
        <f t="shared" si="49"/>
        <v>0</v>
      </c>
      <c r="Q81" s="217">
        <f t="shared" si="23"/>
        <v>-661.50229586030559</v>
      </c>
      <c r="R81" s="222">
        <f t="shared" si="50"/>
        <v>-10503.304853269581</v>
      </c>
      <c r="S81" s="228" t="s">
        <v>266</v>
      </c>
      <c r="T81" s="225">
        <f t="shared" ca="1" si="51"/>
        <v>2286002.6814832608</v>
      </c>
      <c r="V81" s="224">
        <f t="shared" si="44"/>
        <v>-9841.8025574092753</v>
      </c>
      <c r="W81" s="183" t="str">
        <f t="shared" si="45"/>
        <v>S.064</v>
      </c>
      <c r="X81" s="183" t="s">
        <v>384</v>
      </c>
      <c r="AA81" s="670"/>
    </row>
    <row r="82" spans="1:27" ht="17.25" customHeight="1">
      <c r="A82" s="230" t="s">
        <v>376</v>
      </c>
      <c r="B82" s="192" t="s">
        <v>191</v>
      </c>
      <c r="C82" s="226" t="str">
        <f t="shared" ca="1" si="46"/>
        <v>Daingerfield - Jenkins Rebuild</v>
      </c>
      <c r="D82" s="216">
        <f t="shared" ca="1" si="46"/>
        <v>2017</v>
      </c>
      <c r="E82" s="665">
        <f t="shared" ca="1" si="46"/>
        <v>321515.02646129701</v>
      </c>
      <c r="F82" s="218">
        <f t="shared" ca="1" si="46"/>
        <v>0</v>
      </c>
      <c r="G82" s="218">
        <f t="shared" ca="1" si="47"/>
        <v>321515.02646129701</v>
      </c>
      <c r="H82" s="219"/>
      <c r="I82" s="221">
        <v>14717.116471449204</v>
      </c>
      <c r="J82" s="221">
        <v>348530.27456239436</v>
      </c>
      <c r="K82" s="221">
        <v>367183.53779609437</v>
      </c>
      <c r="L82" s="217">
        <f t="shared" si="48"/>
        <v>-18653.26323370001</v>
      </c>
      <c r="M82" s="217"/>
      <c r="N82" s="218">
        <v>0</v>
      </c>
      <c r="O82" s="218">
        <v>0</v>
      </c>
      <c r="P82" s="218">
        <f t="shared" si="49"/>
        <v>0</v>
      </c>
      <c r="Q82" s="217">
        <f t="shared" ref="Q82:Q88" si="52">+V82/$V$96 * $Q$96</f>
        <v>-264.56232025421008</v>
      </c>
      <c r="R82" s="222">
        <f t="shared" si="50"/>
        <v>-4200.7090825050163</v>
      </c>
      <c r="S82" s="228" t="s">
        <v>266</v>
      </c>
      <c r="T82" s="225">
        <f t="shared" ca="1" si="51"/>
        <v>317314.31737879198</v>
      </c>
      <c r="V82" s="224">
        <f t="shared" si="44"/>
        <v>-3936.1467622508062</v>
      </c>
      <c r="W82" s="183" t="str">
        <f t="shared" si="45"/>
        <v>S.065</v>
      </c>
      <c r="X82" s="183" t="s">
        <v>385</v>
      </c>
      <c r="AA82" s="670"/>
    </row>
    <row r="83" spans="1:27" ht="17.25" customHeight="1">
      <c r="A83" s="230" t="s">
        <v>377</v>
      </c>
      <c r="B83" s="192" t="s">
        <v>191</v>
      </c>
      <c r="C83" s="226" t="str">
        <f t="shared" ca="1" si="46"/>
        <v>Broadmoor - Fort Humbug Rebuild</v>
      </c>
      <c r="D83" s="216">
        <f t="shared" ca="1" si="46"/>
        <v>2017</v>
      </c>
      <c r="E83" s="665">
        <f t="shared" ca="1" si="46"/>
        <v>869679.3831822155</v>
      </c>
      <c r="F83" s="218">
        <f t="shared" ca="1" si="46"/>
        <v>0</v>
      </c>
      <c r="G83" s="218">
        <f t="shared" ca="1" si="47"/>
        <v>869679.3831822155</v>
      </c>
      <c r="H83" s="219"/>
      <c r="I83" s="221">
        <v>40038.564718050184</v>
      </c>
      <c r="J83" s="221">
        <v>734740.26573993766</v>
      </c>
      <c r="K83" s="221">
        <v>774063.40230950469</v>
      </c>
      <c r="L83" s="217">
        <f t="shared" si="48"/>
        <v>-39323.136569567025</v>
      </c>
      <c r="M83" s="217"/>
      <c r="N83" s="218">
        <v>0</v>
      </c>
      <c r="O83" s="218">
        <v>0</v>
      </c>
      <c r="P83" s="218">
        <f t="shared" si="49"/>
        <v>0</v>
      </c>
      <c r="Q83" s="217">
        <f t="shared" si="52"/>
        <v>48.086451641768761</v>
      </c>
      <c r="R83" s="222">
        <f t="shared" si="50"/>
        <v>763.51460012492782</v>
      </c>
      <c r="S83" s="228" t="s">
        <v>266</v>
      </c>
      <c r="T83" s="225">
        <f t="shared" ca="1" si="51"/>
        <v>870442.89778234041</v>
      </c>
      <c r="V83" s="224">
        <f t="shared" si="44"/>
        <v>715.42814848315902</v>
      </c>
      <c r="W83" s="183" t="str">
        <f t="shared" si="45"/>
        <v>S.066</v>
      </c>
      <c r="X83" s="183" t="s">
        <v>561</v>
      </c>
      <c r="AA83" s="670"/>
    </row>
    <row r="84" spans="1:27" ht="17.25" customHeight="1">
      <c r="A84" s="230" t="s">
        <v>378</v>
      </c>
      <c r="B84" s="192" t="s">
        <v>191</v>
      </c>
      <c r="C84" s="226" t="str">
        <f t="shared" ca="1" si="46"/>
        <v>Chamber Springs - Farmington 161 kV Line</v>
      </c>
      <c r="D84" s="216">
        <f t="shared" ca="1" si="46"/>
        <v>2017</v>
      </c>
      <c r="E84" s="665">
        <f t="shared" ca="1" si="46"/>
        <v>1411657.7761742773</v>
      </c>
      <c r="F84" s="218">
        <f t="shared" ca="1" si="46"/>
        <v>0</v>
      </c>
      <c r="G84" s="218">
        <f t="shared" ca="1" si="47"/>
        <v>1411657.7761742773</v>
      </c>
      <c r="H84" s="219"/>
      <c r="I84" s="221">
        <v>68865.772888602223</v>
      </c>
      <c r="J84" s="221">
        <v>1398539.5052039546</v>
      </c>
      <c r="K84" s="221">
        <v>1473389.0303020328</v>
      </c>
      <c r="L84" s="217">
        <f t="shared" si="48"/>
        <v>-74849.525098078186</v>
      </c>
      <c r="M84" s="217"/>
      <c r="N84" s="218">
        <v>0</v>
      </c>
      <c r="O84" s="218">
        <v>0</v>
      </c>
      <c r="P84" s="218">
        <f t="shared" si="49"/>
        <v>0</v>
      </c>
      <c r="Q84" s="217">
        <f t="shared" si="52"/>
        <v>-402.18911132774099</v>
      </c>
      <c r="R84" s="222">
        <f t="shared" si="50"/>
        <v>-6385.9413208037031</v>
      </c>
      <c r="S84" s="228" t="s">
        <v>266</v>
      </c>
      <c r="T84" s="225">
        <f t="shared" ca="1" si="51"/>
        <v>1405271.8348534736</v>
      </c>
      <c r="V84" s="224">
        <f t="shared" si="44"/>
        <v>-5983.7522094759624</v>
      </c>
      <c r="W84" s="183" t="str">
        <f t="shared" si="45"/>
        <v>S.067</v>
      </c>
      <c r="X84" s="183" t="s">
        <v>387</v>
      </c>
      <c r="AA84" s="668"/>
    </row>
    <row r="85" spans="1:27" ht="17.25" customHeight="1">
      <c r="A85" s="230" t="s">
        <v>428</v>
      </c>
      <c r="B85" s="192" t="s">
        <v>191</v>
      </c>
      <c r="C85" s="226" t="str">
        <f t="shared" ca="1" si="46"/>
        <v>Evenside - Northwest Henderson 69 KV Line Rebuild</v>
      </c>
      <c r="D85" s="216">
        <f t="shared" ca="1" si="46"/>
        <v>2018</v>
      </c>
      <c r="E85" s="665">
        <f t="shared" ca="1" si="46"/>
        <v>1511354.4294618871</v>
      </c>
      <c r="F85" s="218">
        <f t="shared" ca="1" si="46"/>
        <v>0</v>
      </c>
      <c r="G85" s="218">
        <f t="shared" ref="G85:G91" ca="1" si="53">+E85+F85</f>
        <v>1511354.4294618871</v>
      </c>
      <c r="H85" s="219"/>
      <c r="I85" s="221">
        <v>79263.077645602403</v>
      </c>
      <c r="J85" s="221">
        <v>1504978.5236081944</v>
      </c>
      <c r="K85" s="221">
        <v>1585524.6414373452</v>
      </c>
      <c r="L85" s="217">
        <f t="shared" ref="L85:L91" si="54">+J85-K85</f>
        <v>-80546.117829150753</v>
      </c>
      <c r="M85" s="217"/>
      <c r="N85" s="218">
        <v>0</v>
      </c>
      <c r="O85" s="218">
        <v>0</v>
      </c>
      <c r="P85" s="218">
        <f t="shared" ref="P85:P91" si="55">+N85-O85</f>
        <v>0</v>
      </c>
      <c r="Q85" s="217">
        <f t="shared" si="52"/>
        <v>-86.237660443543717</v>
      </c>
      <c r="R85" s="222">
        <f t="shared" ref="R85:R91" si="56">I85+L85+P85+Q85</f>
        <v>-1369.2778439918936</v>
      </c>
      <c r="S85" s="228" t="s">
        <v>266</v>
      </c>
      <c r="T85" s="225">
        <f t="shared" ref="T85:T91" ca="1" si="57">+G85+R85</f>
        <v>1509985.1516178951</v>
      </c>
      <c r="V85" s="224">
        <f t="shared" ref="V85:V91" si="58">+I85+L85+P85</f>
        <v>-1283.0401835483499</v>
      </c>
      <c r="W85" s="183" t="str">
        <f t="shared" ref="W85:W91" si="59">A85</f>
        <v>S.068</v>
      </c>
      <c r="X85" s="183" t="s">
        <v>562</v>
      </c>
      <c r="AA85" s="668"/>
    </row>
    <row r="86" spans="1:27" ht="17.25" customHeight="1">
      <c r="A86" s="230" t="s">
        <v>429</v>
      </c>
      <c r="B86" s="192" t="s">
        <v>191</v>
      </c>
      <c r="C86" s="226" t="str">
        <f t="shared" ca="1" si="46"/>
        <v>Hallsville - Longview Heights 69 KV Line Rebuild</v>
      </c>
      <c r="D86" s="216">
        <f t="shared" ca="1" si="46"/>
        <v>2017</v>
      </c>
      <c r="E86" s="665">
        <f t="shared" ca="1" si="46"/>
        <v>1305651.7696958741</v>
      </c>
      <c r="F86" s="218">
        <f t="shared" ca="1" si="46"/>
        <v>0</v>
      </c>
      <c r="G86" s="218">
        <f t="shared" ca="1" si="53"/>
        <v>1305651.7696958741</v>
      </c>
      <c r="H86" s="219"/>
      <c r="I86" s="221">
        <v>69372.908627953846</v>
      </c>
      <c r="J86" s="221">
        <v>1233925.7351664796</v>
      </c>
      <c r="K86" s="221">
        <v>1299965.1676886512</v>
      </c>
      <c r="L86" s="217">
        <f t="shared" si="54"/>
        <v>-66039.432522171643</v>
      </c>
      <c r="M86" s="217"/>
      <c r="N86" s="218">
        <v>0</v>
      </c>
      <c r="O86" s="218">
        <v>0</v>
      </c>
      <c r="P86" s="218">
        <f t="shared" si="55"/>
        <v>0</v>
      </c>
      <c r="Q86" s="217">
        <f t="shared" si="52"/>
        <v>224.05469773525536</v>
      </c>
      <c r="R86" s="222">
        <f t="shared" si="56"/>
        <v>3557.5308035174589</v>
      </c>
      <c r="S86" s="228" t="s">
        <v>266</v>
      </c>
      <c r="T86" s="225">
        <f t="shared" ca="1" si="57"/>
        <v>1309209.3004993915</v>
      </c>
      <c r="V86" s="224">
        <f t="shared" si="58"/>
        <v>3333.4761057822034</v>
      </c>
      <c r="W86" s="183" t="str">
        <f t="shared" si="59"/>
        <v>S.069</v>
      </c>
      <c r="X86" s="183" t="s">
        <v>563</v>
      </c>
      <c r="AA86" s="668"/>
    </row>
    <row r="87" spans="1:27" ht="17.25" customHeight="1">
      <c r="A87" s="230" t="s">
        <v>430</v>
      </c>
      <c r="B87" s="192" t="s">
        <v>191</v>
      </c>
      <c r="C87" s="226" t="str">
        <f t="shared" ca="1" si="46"/>
        <v>Linwood - South Shreveport 138 KV Kine Rebuild</v>
      </c>
      <c r="D87" s="216">
        <f t="shared" ca="1" si="46"/>
        <v>2018</v>
      </c>
      <c r="E87" s="665">
        <f t="shared" ca="1" si="46"/>
        <v>967710.61723506683</v>
      </c>
      <c r="F87" s="218">
        <f t="shared" ca="1" si="46"/>
        <v>0</v>
      </c>
      <c r="G87" s="218">
        <f t="shared" ca="1" si="53"/>
        <v>967710.61723506683</v>
      </c>
      <c r="H87" s="219"/>
      <c r="I87" s="221">
        <v>57405.225548341172</v>
      </c>
      <c r="J87" s="221">
        <v>726043.85488124157</v>
      </c>
      <c r="K87" s="221">
        <v>764901.56146444858</v>
      </c>
      <c r="L87" s="217">
        <f t="shared" si="54"/>
        <v>-38857.706583207007</v>
      </c>
      <c r="M87" s="217"/>
      <c r="N87" s="218">
        <v>0</v>
      </c>
      <c r="O87" s="218">
        <v>0</v>
      </c>
      <c r="P87" s="218">
        <f t="shared" si="55"/>
        <v>0</v>
      </c>
      <c r="Q87" s="217">
        <f t="shared" si="52"/>
        <v>1246.6442307067091</v>
      </c>
      <c r="R87" s="222">
        <f t="shared" si="56"/>
        <v>19794.163195840873</v>
      </c>
      <c r="S87" s="228" t="s">
        <v>266</v>
      </c>
      <c r="T87" s="225">
        <f t="shared" ca="1" si="57"/>
        <v>987504.78043090773</v>
      </c>
      <c r="V87" s="224">
        <f t="shared" si="58"/>
        <v>18547.518965134164</v>
      </c>
      <c r="W87" s="183" t="str">
        <f t="shared" si="59"/>
        <v>S.070</v>
      </c>
      <c r="X87" s="183" t="s">
        <v>564</v>
      </c>
      <c r="AA87" s="668"/>
    </row>
    <row r="88" spans="1:27" ht="17.25" customHeight="1">
      <c r="A88" s="230" t="s">
        <v>431</v>
      </c>
      <c r="B88" s="192" t="s">
        <v>191</v>
      </c>
      <c r="C88" s="226" t="str">
        <f t="shared" ca="1" si="46"/>
        <v>IPC 138 KV Capacitor Bank Addition</v>
      </c>
      <c r="D88" s="216">
        <f t="shared" ca="1" si="46"/>
        <v>2018</v>
      </c>
      <c r="E88" s="665">
        <f t="shared" ca="1" si="46"/>
        <v>239500.55805520574</v>
      </c>
      <c r="F88" s="218">
        <f t="shared" ca="1" si="46"/>
        <v>0</v>
      </c>
      <c r="G88" s="218">
        <f t="shared" ca="1" si="53"/>
        <v>239500.55805520574</v>
      </c>
      <c r="H88" s="219"/>
      <c r="I88" s="221">
        <v>13110.731557621621</v>
      </c>
      <c r="J88" s="221">
        <v>211383.30505003632</v>
      </c>
      <c r="K88" s="221">
        <v>222696.4927989587</v>
      </c>
      <c r="L88" s="217">
        <f t="shared" si="54"/>
        <v>-11313.187748922384</v>
      </c>
      <c r="M88" s="217"/>
      <c r="N88" s="218">
        <v>0</v>
      </c>
      <c r="O88" s="218">
        <v>0</v>
      </c>
      <c r="P88" s="218">
        <f t="shared" si="55"/>
        <v>0</v>
      </c>
      <c r="Q88" s="217">
        <f t="shared" si="52"/>
        <v>120.8192655184735</v>
      </c>
      <c r="R88" s="222">
        <f t="shared" si="56"/>
        <v>1918.3630742177097</v>
      </c>
      <c r="S88" s="228" t="s">
        <v>266</v>
      </c>
      <c r="T88" s="225">
        <f t="shared" ca="1" si="57"/>
        <v>241418.92112942346</v>
      </c>
      <c r="V88" s="224">
        <f t="shared" si="58"/>
        <v>1797.5438086992363</v>
      </c>
      <c r="W88" s="183" t="str">
        <f t="shared" si="59"/>
        <v>S.071</v>
      </c>
      <c r="X88" s="183" t="s">
        <v>565</v>
      </c>
      <c r="AA88" s="668"/>
    </row>
    <row r="89" spans="1:27" ht="17.25" customHeight="1">
      <c r="A89" s="230" t="s">
        <v>441</v>
      </c>
      <c r="B89" s="192" t="s">
        <v>191</v>
      </c>
      <c r="C89" s="226" t="str">
        <f t="shared" ca="1" si="46"/>
        <v>Ellerbe Road - Lucas 69 kV Rebuild</v>
      </c>
      <c r="D89" s="216">
        <f t="shared" ca="1" si="46"/>
        <v>2019</v>
      </c>
      <c r="E89" s="665">
        <f t="shared" ca="1" si="46"/>
        <v>1348625.7120695773</v>
      </c>
      <c r="F89" s="218">
        <f t="shared" ca="1" si="46"/>
        <v>0</v>
      </c>
      <c r="G89" s="218">
        <f t="shared" ca="1" si="53"/>
        <v>1348625.7120695773</v>
      </c>
      <c r="H89" s="219"/>
      <c r="I89" s="221">
        <v>52215.447109015193</v>
      </c>
      <c r="J89" s="221">
        <v>1299464.5553188815</v>
      </c>
      <c r="K89" s="221">
        <v>1369011.6110048192</v>
      </c>
      <c r="L89" s="217">
        <f t="shared" si="54"/>
        <v>-69547.055685937637</v>
      </c>
      <c r="M89" s="217"/>
      <c r="N89" s="218">
        <v>0</v>
      </c>
      <c r="O89" s="218">
        <v>0</v>
      </c>
      <c r="P89" s="218">
        <f t="shared" si="55"/>
        <v>0</v>
      </c>
      <c r="Q89" s="217">
        <f t="shared" ref="Q89:Q91" si="60">+V89/$V$96 * $Q$96</f>
        <v>-1164.918600806024</v>
      </c>
      <c r="R89" s="222">
        <f t="shared" si="56"/>
        <v>-18496.527177728469</v>
      </c>
      <c r="S89" s="228" t="s">
        <v>266</v>
      </c>
      <c r="T89" s="225">
        <f t="shared" ca="1" si="57"/>
        <v>1330129.1848918488</v>
      </c>
      <c r="V89" s="224">
        <f t="shared" si="58"/>
        <v>-17331.608576922445</v>
      </c>
      <c r="W89" s="183" t="str">
        <f t="shared" si="59"/>
        <v>S.072</v>
      </c>
      <c r="X89" s="183" t="s">
        <v>443</v>
      </c>
      <c r="AA89" s="670"/>
    </row>
    <row r="90" spans="1:27" ht="17.25" customHeight="1">
      <c r="A90" s="230" t="s">
        <v>440</v>
      </c>
      <c r="B90" s="192" t="s">
        <v>191</v>
      </c>
      <c r="C90" s="226" t="str">
        <f t="shared" ca="1" si="46"/>
        <v>Siloam Springs - Siloam Springs City 161 kV Rebuild</v>
      </c>
      <c r="D90" s="216">
        <f t="shared" ca="1" si="46"/>
        <v>2019</v>
      </c>
      <c r="E90" s="665">
        <f t="shared" ca="1" si="46"/>
        <v>532025.67622840172</v>
      </c>
      <c r="F90" s="218">
        <f t="shared" ca="1" si="46"/>
        <v>0</v>
      </c>
      <c r="G90" s="218">
        <f t="shared" ca="1" si="53"/>
        <v>532025.67622840172</v>
      </c>
      <c r="H90" s="219"/>
      <c r="I90" s="221">
        <v>29067.197098651552</v>
      </c>
      <c r="J90" s="221">
        <v>470851.23102852277</v>
      </c>
      <c r="K90" s="221">
        <v>496051.08480683324</v>
      </c>
      <c r="L90" s="217">
        <f t="shared" si="54"/>
        <v>-25199.853778310469</v>
      </c>
      <c r="M90" s="217"/>
      <c r="N90" s="218">
        <v>0</v>
      </c>
      <c r="O90" s="218">
        <v>0</v>
      </c>
      <c r="P90" s="218">
        <f t="shared" si="55"/>
        <v>0</v>
      </c>
      <c r="Q90" s="217">
        <f t="shared" si="60"/>
        <v>259.93779801645098</v>
      </c>
      <c r="R90" s="222">
        <f t="shared" si="56"/>
        <v>4127.2811183575332</v>
      </c>
      <c r="S90" s="228" t="s">
        <v>266</v>
      </c>
      <c r="T90" s="225">
        <f t="shared" ca="1" si="57"/>
        <v>536152.95734675927</v>
      </c>
      <c r="V90" s="224">
        <f t="shared" si="58"/>
        <v>3867.3433203410823</v>
      </c>
      <c r="W90" s="183" t="str">
        <f t="shared" si="59"/>
        <v>S.073</v>
      </c>
      <c r="X90" s="183" t="s">
        <v>442</v>
      </c>
      <c r="AA90" s="670"/>
    </row>
    <row r="91" spans="1:27" ht="13">
      <c r="A91" s="230" t="s">
        <v>446</v>
      </c>
      <c r="B91" s="192" t="s">
        <v>191</v>
      </c>
      <c r="C91" s="226" t="str">
        <f t="shared" ca="1" si="46"/>
        <v>Figure Five - VBI North 69 kV Rebuild</v>
      </c>
      <c r="D91" s="216">
        <f t="shared" ca="1" si="46"/>
        <v>2019</v>
      </c>
      <c r="E91" s="665">
        <f t="shared" ca="1" si="46"/>
        <v>403402.9797902116</v>
      </c>
      <c r="F91" s="218">
        <f t="shared" ca="1" si="46"/>
        <v>0</v>
      </c>
      <c r="G91" s="218">
        <f t="shared" ca="1" si="53"/>
        <v>403402.9797902116</v>
      </c>
      <c r="H91" s="231"/>
      <c r="I91" s="221">
        <v>15248.237539198366</v>
      </c>
      <c r="J91" s="221">
        <v>540973.47027950338</v>
      </c>
      <c r="K91" s="221">
        <v>569926.25079833111</v>
      </c>
      <c r="L91" s="217">
        <f t="shared" si="54"/>
        <v>-28952.780518827727</v>
      </c>
      <c r="M91" s="231"/>
      <c r="N91" s="218">
        <v>0</v>
      </c>
      <c r="O91" s="218">
        <v>0</v>
      </c>
      <c r="P91" s="218">
        <f t="shared" si="55"/>
        <v>0</v>
      </c>
      <c r="Q91" s="217">
        <f t="shared" si="60"/>
        <v>-921.13071684374972</v>
      </c>
      <c r="R91" s="222">
        <f t="shared" si="56"/>
        <v>-14625.67369647311</v>
      </c>
      <c r="S91" s="231"/>
      <c r="T91" s="225">
        <f t="shared" ca="1" si="57"/>
        <v>388777.30609373847</v>
      </c>
      <c r="U91" s="233"/>
      <c r="V91" s="224">
        <f t="shared" si="58"/>
        <v>-13704.542979629361</v>
      </c>
      <c r="W91" s="183" t="str">
        <f t="shared" si="59"/>
        <v>S.074</v>
      </c>
      <c r="X91" s="183" t="s">
        <v>444</v>
      </c>
      <c r="AA91" s="670"/>
    </row>
    <row r="92" spans="1:27" ht="13">
      <c r="A92" s="230"/>
      <c r="B92" s="192"/>
      <c r="C92" s="226"/>
      <c r="D92" s="216"/>
      <c r="E92" s="665"/>
      <c r="F92" s="218"/>
      <c r="G92" s="218"/>
      <c r="H92" s="231"/>
      <c r="I92" s="220"/>
      <c r="J92" s="221"/>
      <c r="K92" s="221"/>
      <c r="L92" s="217"/>
      <c r="M92" s="231"/>
      <c r="N92" s="218"/>
      <c r="O92" s="218"/>
      <c r="P92" s="218"/>
      <c r="Q92" s="217"/>
      <c r="R92" s="222"/>
      <c r="S92" s="231"/>
      <c r="T92" s="225"/>
      <c r="U92" s="233"/>
      <c r="V92" s="224"/>
      <c r="AA92"/>
    </row>
    <row r="93" spans="1:27" ht="13">
      <c r="A93" s="230"/>
      <c r="B93" s="192"/>
      <c r="C93" s="226"/>
      <c r="D93" s="216"/>
      <c r="E93" s="665"/>
      <c r="F93" s="218"/>
      <c r="G93" s="218"/>
      <c r="H93" s="231"/>
      <c r="I93" s="220"/>
      <c r="J93" s="221"/>
      <c r="K93" s="221"/>
      <c r="L93" s="217"/>
      <c r="M93" s="231"/>
      <c r="N93" s="218"/>
      <c r="O93" s="218"/>
      <c r="P93" s="218"/>
      <c r="Q93" s="217"/>
      <c r="R93" s="222"/>
      <c r="S93" s="231"/>
      <c r="T93" s="225"/>
      <c r="U93" s="233"/>
      <c r="V93" s="224"/>
      <c r="AA93"/>
    </row>
    <row r="94" spans="1:27" ht="13">
      <c r="A94" s="230"/>
      <c r="B94" s="192"/>
      <c r="C94" s="226"/>
      <c r="D94" s="216"/>
      <c r="E94" s="665"/>
      <c r="F94" s="218"/>
      <c r="G94" s="218"/>
      <c r="H94" s="231"/>
      <c r="I94" s="220"/>
      <c r="J94" s="221"/>
      <c r="K94" s="221"/>
      <c r="L94" s="217"/>
      <c r="M94" s="231"/>
      <c r="N94" s="218"/>
      <c r="O94" s="218"/>
      <c r="P94" s="218"/>
      <c r="Q94" s="217"/>
      <c r="R94" s="222"/>
      <c r="S94" s="231"/>
      <c r="T94" s="225"/>
      <c r="U94" s="233"/>
      <c r="V94" s="224"/>
      <c r="AA94"/>
    </row>
    <row r="95" spans="1:27" ht="13">
      <c r="A95" s="194"/>
      <c r="B95" s="194"/>
      <c r="C95" s="194"/>
      <c r="D95" s="192"/>
      <c r="E95" s="231"/>
      <c r="F95" s="231"/>
      <c r="G95" s="231"/>
      <c r="H95" s="222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22"/>
      <c r="T95" s="232"/>
      <c r="V95" s="213"/>
      <c r="AA95"/>
    </row>
    <row r="96" spans="1:27" ht="13">
      <c r="A96" s="194"/>
      <c r="B96" s="194"/>
      <c r="C96" s="214" t="s">
        <v>247</v>
      </c>
      <c r="D96" s="192"/>
      <c r="E96" s="222">
        <f ca="1">SUM(E18:E91)</f>
        <v>87400207.32980676</v>
      </c>
      <c r="F96" s="222">
        <f ca="1">SUM(F18:F91)</f>
        <v>0</v>
      </c>
      <c r="G96" s="222">
        <f ca="1">SUM(G18:G91)</f>
        <v>87400207.32980676</v>
      </c>
      <c r="H96" s="222"/>
      <c r="I96" s="222">
        <f>ROUND(SUM(I18:I91),0)</f>
        <v>5849541</v>
      </c>
      <c r="J96" s="222">
        <f>SUM(J18:J91)</f>
        <v>76487746.802593425</v>
      </c>
      <c r="K96" s="222">
        <v>80581354.099844024</v>
      </c>
      <c r="L96" s="222">
        <f>SUM(L18:L91)</f>
        <v>-4093607.2972505996</v>
      </c>
      <c r="M96" s="222"/>
      <c r="N96" s="222">
        <f>SUM(N18:N91)</f>
        <v>0</v>
      </c>
      <c r="O96" s="222">
        <f>SUM(O18:O91)</f>
        <v>0</v>
      </c>
      <c r="P96" s="222">
        <f>SUM(P18:P91)</f>
        <v>0</v>
      </c>
      <c r="Q96" s="221">
        <v>118022.50696167187</v>
      </c>
      <c r="R96" s="222">
        <f>SUM(R18:R91)</f>
        <v>1873956.2627721431</v>
      </c>
      <c r="S96" s="222"/>
      <c r="T96" s="234">
        <f ca="1">SUM(T18:T91)</f>
        <v>89274163.592578918</v>
      </c>
      <c r="V96" s="235">
        <f>SUM(V18:V91)</f>
        <v>1755933.7558104717</v>
      </c>
      <c r="W96" s="236" t="s">
        <v>368</v>
      </c>
      <c r="AA96"/>
    </row>
    <row r="97" spans="1:27" ht="13.5" thickBot="1">
      <c r="A97" s="194"/>
      <c r="B97" s="194"/>
      <c r="C97" s="237"/>
      <c r="D97" s="194"/>
      <c r="E97" s="238"/>
      <c r="F97" s="222"/>
      <c r="G97" s="222"/>
      <c r="H97" s="194"/>
      <c r="I97" s="239" t="str">
        <f>IF(I96='SWE.WS.G.BPU.ATRR.True-up'!N19,"","Error")</f>
        <v/>
      </c>
      <c r="J97" s="238"/>
      <c r="K97" s="240" t="str">
        <f>IF(K96=SUM(K18:K91),"","Error -- check allocations above).")</f>
        <v/>
      </c>
      <c r="L97" s="241"/>
      <c r="M97" s="241"/>
      <c r="N97" s="241"/>
      <c r="O97" s="241"/>
      <c r="P97" s="241"/>
      <c r="Q97" s="240" t="str">
        <f>IF(ROUND(Q96,0)=ROUND(SUM(Q18:Q94),0),"","Error -- check allocations above).")</f>
        <v/>
      </c>
      <c r="R97" s="222"/>
      <c r="S97" s="222"/>
      <c r="T97" s="222"/>
      <c r="V97" s="242"/>
      <c r="W97" s="236"/>
      <c r="AA97"/>
    </row>
    <row r="98" spans="1:27" ht="12.5">
      <c r="A98" s="194"/>
      <c r="B98" s="194"/>
      <c r="C98" s="243" t="s">
        <v>267</v>
      </c>
      <c r="D98" s="194"/>
      <c r="E98" s="222"/>
      <c r="F98" s="222"/>
      <c r="G98" s="222"/>
      <c r="H98" s="194"/>
      <c r="I98" s="244"/>
      <c r="J98" s="244"/>
      <c r="K98" s="241"/>
      <c r="L98" s="194"/>
      <c r="M98" s="194"/>
      <c r="N98" s="241"/>
      <c r="O98" s="241"/>
      <c r="P98" s="241"/>
      <c r="Q98" s="241"/>
      <c r="R98" s="222"/>
      <c r="S98" s="222"/>
      <c r="T98" s="222"/>
      <c r="AA98"/>
    </row>
    <row r="99" spans="1:27" ht="12.5">
      <c r="A99" s="194"/>
      <c r="B99" s="194"/>
      <c r="C99" s="243"/>
      <c r="D99" s="194"/>
      <c r="E99" s="222"/>
      <c r="F99" s="222"/>
      <c r="G99" s="222"/>
      <c r="H99" s="194"/>
      <c r="I99" s="245"/>
      <c r="J99" s="245"/>
      <c r="K99" s="221"/>
      <c r="L99" s="194"/>
      <c r="M99" s="194"/>
      <c r="N99" s="241"/>
      <c r="O99" s="241"/>
      <c r="P99" s="241"/>
      <c r="Q99" s="246"/>
      <c r="R99" s="241"/>
      <c r="S99" s="194"/>
      <c r="T99" s="194"/>
      <c r="AA99"/>
    </row>
    <row r="100" spans="1:27" ht="12.5">
      <c r="E100" s="247"/>
      <c r="F100" s="247"/>
      <c r="G100" s="247"/>
      <c r="I100" s="247"/>
      <c r="K100" s="247"/>
      <c r="N100" s="248"/>
      <c r="O100" s="248"/>
      <c r="P100" s="248"/>
      <c r="Q100" s="248"/>
      <c r="R100" s="248"/>
      <c r="AA100"/>
    </row>
    <row r="101" spans="1:27" ht="12.5">
      <c r="E101" s="247"/>
      <c r="F101" s="247"/>
      <c r="G101" s="247"/>
      <c r="K101" s="249"/>
      <c r="V101" s="183" t="s">
        <v>221</v>
      </c>
      <c r="AA101"/>
    </row>
    <row r="102" spans="1:27" ht="12.5">
      <c r="A102" s="250" t="s">
        <v>188</v>
      </c>
      <c r="B102" s="251"/>
      <c r="C102" s="251"/>
      <c r="D102" s="251"/>
      <c r="E102" s="252"/>
      <c r="F102" s="252"/>
      <c r="G102" s="252"/>
      <c r="H102" s="251"/>
      <c r="I102" s="251"/>
      <c r="J102" s="251"/>
      <c r="K102" s="251"/>
      <c r="L102" s="251"/>
      <c r="M102" s="251"/>
      <c r="N102" s="251"/>
      <c r="O102" s="253"/>
      <c r="V102" s="183" t="s">
        <v>222</v>
      </c>
      <c r="AA102"/>
    </row>
    <row r="103" spans="1:27" ht="15.5">
      <c r="A103" s="254" t="s">
        <v>213</v>
      </c>
      <c r="B103" s="233"/>
      <c r="C103" s="255" t="str">
        <f ca="1">RIGHT(CELL("address",S.001!D7),4)</f>
        <v>$D$7</v>
      </c>
      <c r="D103" s="255" t="str">
        <f ca="1">RIGHT(CELL("address",S.001!D11),4)</f>
        <v>D$11</v>
      </c>
      <c r="E103" s="255" t="str">
        <f ca="1">RIGHT(CELL("address",S.001!N5),4)</f>
        <v>$N$5</v>
      </c>
      <c r="F103" s="255" t="str">
        <f ca="1">RIGHT(CELL("address",S.001!N7),4)</f>
        <v>$N$7</v>
      </c>
      <c r="G103" s="233"/>
      <c r="H103" s="256"/>
      <c r="I103" s="255" t="str">
        <f ca="1">RIGHT(CELL("address",S.001!M89),4)</f>
        <v>M$89</v>
      </c>
      <c r="J103" s="255"/>
      <c r="K103" s="233"/>
      <c r="L103" s="233"/>
      <c r="M103" s="233"/>
      <c r="N103" s="255" t="str">
        <f ca="1">RIGHT(CELL("address",S.001!N87),4)</f>
        <v>N$87</v>
      </c>
      <c r="O103" s="257" t="str">
        <f ca="1">RIGHT(CELL("address",S.001!N88),4)</f>
        <v>N$88</v>
      </c>
      <c r="P103" s="212" t="s">
        <v>189</v>
      </c>
      <c r="V103" s="183" t="s">
        <v>223</v>
      </c>
      <c r="AA103"/>
    </row>
    <row r="104" spans="1:27" ht="12.5">
      <c r="A104" s="258" t="s">
        <v>214</v>
      </c>
      <c r="B104" s="259"/>
      <c r="C104" s="259"/>
      <c r="D104" s="259"/>
      <c r="E104" s="260"/>
      <c r="F104" s="260"/>
      <c r="G104" s="260"/>
      <c r="H104" s="259"/>
      <c r="I104" s="259"/>
      <c r="J104" s="259"/>
      <c r="K104" s="259"/>
      <c r="L104" s="259"/>
      <c r="M104" s="259"/>
      <c r="N104" s="259"/>
      <c r="O104" s="261"/>
      <c r="V104" s="183" t="s">
        <v>224</v>
      </c>
      <c r="AA104"/>
    </row>
    <row r="105" spans="1:27" ht="12.5">
      <c r="E105" s="247"/>
      <c r="F105" s="247"/>
      <c r="G105" s="247"/>
      <c r="V105" s="262" t="s">
        <v>269</v>
      </c>
      <c r="AA105"/>
    </row>
    <row r="106" spans="1:27" ht="12.75" customHeight="1">
      <c r="AA106"/>
    </row>
    <row r="107" spans="1:27" ht="12.75" customHeight="1">
      <c r="AA107"/>
    </row>
    <row r="108" spans="1:27" ht="12.75" customHeight="1">
      <c r="E108" s="195"/>
      <c r="F108" s="195"/>
      <c r="G108" s="195"/>
      <c r="H108" s="195"/>
      <c r="I108" s="263"/>
      <c r="J108" s="263"/>
      <c r="AA108"/>
    </row>
    <row r="109" spans="1:27" ht="12.75" customHeight="1">
      <c r="AA109"/>
    </row>
    <row r="110" spans="1:27" ht="12.75" customHeight="1">
      <c r="E110" s="264"/>
      <c r="F110" s="264"/>
      <c r="G110" s="249"/>
      <c r="H110" s="249"/>
      <c r="I110" s="265"/>
      <c r="J110" s="266"/>
      <c r="AA110"/>
    </row>
    <row r="111" spans="1:27" ht="12.75" customHeight="1">
      <c r="E111" s="264"/>
      <c r="F111" s="264"/>
      <c r="G111" s="249"/>
      <c r="H111" s="249"/>
      <c r="I111" s="265"/>
      <c r="J111" s="266"/>
      <c r="AA111"/>
    </row>
    <row r="112" spans="1:27" ht="12.75" customHeight="1">
      <c r="E112" s="264"/>
      <c r="F112" s="264"/>
      <c r="G112" s="249"/>
      <c r="H112" s="249"/>
      <c r="I112" s="265"/>
      <c r="J112" s="266"/>
      <c r="AA112"/>
    </row>
    <row r="113" spans="5:27" ht="12.75" customHeight="1">
      <c r="E113" s="264"/>
      <c r="F113" s="264"/>
      <c r="G113" s="249"/>
      <c r="H113" s="249"/>
      <c r="I113" s="265"/>
      <c r="J113" s="266"/>
      <c r="AA113"/>
    </row>
    <row r="114" spans="5:27" ht="12.75" customHeight="1">
      <c r="E114" s="264"/>
      <c r="F114" s="264"/>
      <c r="G114" s="249"/>
      <c r="H114" s="249"/>
      <c r="I114" s="265"/>
      <c r="J114" s="266"/>
      <c r="AA114"/>
    </row>
    <row r="115" spans="5:27" ht="12.75" customHeight="1">
      <c r="E115" s="264"/>
      <c r="F115" s="264"/>
      <c r="G115" s="249"/>
      <c r="H115" s="249"/>
      <c r="I115" s="265"/>
      <c r="J115" s="266"/>
      <c r="AA115"/>
    </row>
    <row r="116" spans="5:27" ht="12.75" customHeight="1">
      <c r="E116" s="264"/>
      <c r="F116" s="264"/>
      <c r="G116" s="249"/>
      <c r="H116" s="249"/>
      <c r="I116" s="265"/>
      <c r="J116" s="266"/>
      <c r="AA116"/>
    </row>
    <row r="117" spans="5:27" ht="12.75" customHeight="1">
      <c r="E117" s="264"/>
      <c r="F117" s="264"/>
      <c r="G117" s="249"/>
      <c r="H117" s="249"/>
      <c r="I117" s="265"/>
      <c r="J117" s="266"/>
      <c r="AA117"/>
    </row>
    <row r="118" spans="5:27" ht="12.75" customHeight="1">
      <c r="E118" s="264"/>
      <c r="F118" s="264"/>
      <c r="G118" s="249"/>
      <c r="H118" s="249"/>
      <c r="I118" s="265"/>
      <c r="J118" s="266"/>
      <c r="AA118"/>
    </row>
    <row r="119" spans="5:27" ht="12.75" customHeight="1">
      <c r="E119" s="264"/>
      <c r="F119" s="264"/>
      <c r="G119" s="249"/>
      <c r="H119" s="249"/>
      <c r="I119" s="265"/>
      <c r="J119" s="266"/>
      <c r="AA119"/>
    </row>
    <row r="120" spans="5:27" ht="12.75" customHeight="1">
      <c r="E120" s="264"/>
      <c r="F120" s="264"/>
      <c r="G120" s="249"/>
      <c r="H120" s="249"/>
      <c r="I120" s="265"/>
      <c r="J120" s="266"/>
      <c r="AA120"/>
    </row>
    <row r="121" spans="5:27" ht="12.75" customHeight="1">
      <c r="E121" s="264"/>
      <c r="F121" s="264"/>
      <c r="G121" s="249"/>
      <c r="H121" s="249"/>
      <c r="I121" s="265"/>
      <c r="J121" s="266"/>
      <c r="AA121"/>
    </row>
    <row r="122" spans="5:27" ht="12.75" customHeight="1">
      <c r="E122" s="264"/>
      <c r="F122" s="264"/>
      <c r="G122" s="249"/>
      <c r="H122" s="249"/>
      <c r="I122" s="265"/>
      <c r="J122" s="266"/>
      <c r="AA122"/>
    </row>
    <row r="123" spans="5:27" ht="12.75" customHeight="1">
      <c r="E123" s="264"/>
      <c r="F123" s="264"/>
      <c r="G123" s="249"/>
      <c r="H123" s="249"/>
      <c r="I123" s="265"/>
      <c r="J123" s="266"/>
      <c r="AA123"/>
    </row>
    <row r="124" spans="5:27" ht="12.75" customHeight="1">
      <c r="E124" s="264"/>
      <c r="F124" s="264"/>
      <c r="G124" s="249"/>
      <c r="H124" s="249"/>
      <c r="I124" s="265"/>
      <c r="J124" s="266"/>
      <c r="AA124"/>
    </row>
    <row r="125" spans="5:27" ht="12.75" customHeight="1">
      <c r="E125" s="264"/>
      <c r="F125" s="264"/>
      <c r="G125" s="249"/>
      <c r="H125" s="249"/>
      <c r="I125" s="265"/>
      <c r="J125" s="266"/>
      <c r="AA125"/>
    </row>
    <row r="126" spans="5:27" ht="12.75" customHeight="1">
      <c r="E126" s="264"/>
      <c r="F126" s="264"/>
      <c r="G126" s="249"/>
      <c r="H126" s="249"/>
      <c r="I126" s="265"/>
      <c r="J126" s="266"/>
      <c r="AA126"/>
    </row>
    <row r="127" spans="5:27" ht="12.75" customHeight="1">
      <c r="E127" s="264"/>
      <c r="F127" s="264"/>
      <c r="G127" s="249"/>
      <c r="H127" s="249"/>
      <c r="I127" s="265"/>
      <c r="J127" s="266"/>
      <c r="AA127"/>
    </row>
    <row r="128" spans="5:27" ht="12.75" customHeight="1">
      <c r="E128" s="264"/>
      <c r="F128" s="264"/>
      <c r="G128" s="249"/>
      <c r="H128" s="249"/>
      <c r="I128" s="265"/>
      <c r="J128" s="266"/>
      <c r="AA128"/>
    </row>
    <row r="129" spans="5:27" ht="12.75" customHeight="1">
      <c r="E129" s="264"/>
      <c r="F129" s="264"/>
      <c r="G129" s="249"/>
      <c r="H129" s="249"/>
      <c r="I129" s="265"/>
      <c r="J129" s="266"/>
      <c r="AA129"/>
    </row>
    <row r="130" spans="5:27" ht="12.75" customHeight="1">
      <c r="E130" s="264"/>
      <c r="F130" s="264"/>
      <c r="G130" s="249"/>
      <c r="H130" s="249"/>
      <c r="I130" s="265"/>
      <c r="J130" s="266"/>
      <c r="AA130"/>
    </row>
    <row r="131" spans="5:27" ht="12.75" customHeight="1">
      <c r="E131" s="264"/>
      <c r="F131" s="264"/>
      <c r="G131" s="249"/>
      <c r="H131" s="249"/>
      <c r="I131" s="265"/>
      <c r="J131" s="266"/>
      <c r="AA131"/>
    </row>
    <row r="132" spans="5:27" ht="12.75" customHeight="1">
      <c r="E132" s="264"/>
      <c r="F132" s="264"/>
      <c r="G132" s="249"/>
      <c r="H132" s="249"/>
      <c r="I132" s="265"/>
      <c r="J132" s="266"/>
      <c r="AA132"/>
    </row>
    <row r="133" spans="5:27" ht="12.75" customHeight="1">
      <c r="E133" s="264"/>
      <c r="F133" s="264"/>
      <c r="G133" s="249"/>
      <c r="H133" s="249"/>
      <c r="I133" s="265"/>
      <c r="J133" s="266"/>
      <c r="AA133"/>
    </row>
    <row r="134" spans="5:27" ht="12.75" customHeight="1">
      <c r="E134" s="264"/>
      <c r="F134" s="264"/>
      <c r="G134" s="249"/>
      <c r="H134" s="249"/>
      <c r="I134" s="265"/>
      <c r="J134" s="266"/>
      <c r="AA134"/>
    </row>
    <row r="135" spans="5:27" ht="12.75" customHeight="1">
      <c r="E135" s="264"/>
      <c r="F135" s="264"/>
      <c r="G135" s="249"/>
      <c r="H135" s="249"/>
      <c r="I135" s="265"/>
      <c r="J135" s="266"/>
      <c r="AA135"/>
    </row>
    <row r="136" spans="5:27" ht="12.75" customHeight="1">
      <c r="E136" s="264"/>
      <c r="F136" s="264"/>
      <c r="G136" s="249"/>
      <c r="H136" s="249"/>
      <c r="I136" s="265"/>
      <c r="J136" s="266"/>
      <c r="AA136"/>
    </row>
    <row r="137" spans="5:27" ht="12.75" customHeight="1">
      <c r="E137" s="264"/>
      <c r="F137" s="264"/>
      <c r="G137" s="249"/>
      <c r="H137" s="249"/>
      <c r="I137" s="265"/>
      <c r="J137" s="266"/>
      <c r="AA137"/>
    </row>
    <row r="138" spans="5:27" ht="12.75" customHeight="1">
      <c r="E138" s="264"/>
      <c r="F138" s="264"/>
      <c r="G138" s="249"/>
      <c r="H138" s="249"/>
      <c r="I138" s="265"/>
      <c r="J138" s="266"/>
      <c r="AA138"/>
    </row>
    <row r="139" spans="5:27" ht="12.75" customHeight="1">
      <c r="E139" s="264"/>
      <c r="F139" s="264"/>
      <c r="G139" s="249"/>
      <c r="H139" s="249"/>
      <c r="I139" s="265"/>
      <c r="J139" s="266"/>
      <c r="AA139"/>
    </row>
    <row r="140" spans="5:27" ht="12.75" customHeight="1">
      <c r="E140" s="264"/>
      <c r="F140" s="264"/>
      <c r="G140" s="249"/>
      <c r="H140" s="249"/>
      <c r="I140" s="265"/>
      <c r="J140" s="266"/>
      <c r="AA140"/>
    </row>
    <row r="141" spans="5:27" ht="12.75" customHeight="1">
      <c r="E141" s="264"/>
      <c r="F141" s="264"/>
      <c r="G141" s="249"/>
      <c r="H141" s="249"/>
      <c r="I141" s="265"/>
      <c r="J141" s="266"/>
      <c r="AA141"/>
    </row>
    <row r="142" spans="5:27" ht="12.75" customHeight="1">
      <c r="E142" s="264"/>
      <c r="F142" s="264"/>
      <c r="G142" s="249"/>
      <c r="H142" s="249"/>
      <c r="I142" s="265"/>
      <c r="J142" s="266"/>
      <c r="AA142"/>
    </row>
    <row r="143" spans="5:27" ht="12.75" customHeight="1">
      <c r="E143" s="264"/>
      <c r="F143" s="264"/>
      <c r="G143" s="249"/>
      <c r="H143" s="249"/>
      <c r="I143" s="265"/>
      <c r="J143" s="266"/>
      <c r="AA143"/>
    </row>
    <row r="144" spans="5:27" ht="12.75" customHeight="1">
      <c r="E144" s="264"/>
      <c r="F144" s="264"/>
      <c r="G144" s="249"/>
      <c r="H144" s="249"/>
      <c r="I144" s="265"/>
      <c r="J144" s="266"/>
      <c r="AA144"/>
    </row>
    <row r="145" spans="5:27" ht="12.75" customHeight="1">
      <c r="E145" s="264"/>
      <c r="F145" s="264"/>
      <c r="G145" s="249"/>
      <c r="H145" s="249"/>
      <c r="I145" s="265"/>
      <c r="J145" s="266"/>
      <c r="AA145"/>
    </row>
    <row r="146" spans="5:27" ht="12.75" customHeight="1">
      <c r="E146" s="264"/>
      <c r="F146" s="264"/>
      <c r="G146" s="249"/>
      <c r="H146" s="249"/>
      <c r="I146" s="265"/>
      <c r="J146" s="266"/>
      <c r="AA146"/>
    </row>
    <row r="147" spans="5:27" ht="12.75" customHeight="1">
      <c r="E147" s="264"/>
      <c r="F147" s="264"/>
      <c r="G147" s="249"/>
      <c r="H147" s="249"/>
      <c r="I147" s="265"/>
      <c r="J147" s="266"/>
      <c r="AA147"/>
    </row>
    <row r="148" spans="5:27" ht="12.75" customHeight="1">
      <c r="E148" s="264"/>
      <c r="F148" s="264"/>
      <c r="G148" s="249"/>
      <c r="H148" s="249"/>
      <c r="I148" s="265"/>
      <c r="J148" s="266"/>
      <c r="AA148"/>
    </row>
    <row r="149" spans="5:27" ht="12.75" customHeight="1">
      <c r="E149" s="264"/>
      <c r="F149" s="264"/>
      <c r="G149" s="249"/>
      <c r="H149" s="249"/>
      <c r="I149" s="265"/>
      <c r="J149" s="266"/>
      <c r="AA149"/>
    </row>
    <row r="150" spans="5:27" ht="12.75" customHeight="1">
      <c r="E150" s="264"/>
      <c r="F150" s="264"/>
      <c r="G150" s="249"/>
      <c r="H150" s="249"/>
      <c r="I150" s="265"/>
      <c r="J150" s="266"/>
      <c r="AA150"/>
    </row>
    <row r="151" spans="5:27" ht="12.75" customHeight="1">
      <c r="E151" s="264"/>
      <c r="F151" s="264"/>
      <c r="G151" s="249"/>
      <c r="H151" s="249"/>
      <c r="I151" s="265"/>
      <c r="J151" s="266"/>
      <c r="AA151"/>
    </row>
    <row r="152" spans="5:27" ht="12.75" customHeight="1">
      <c r="E152" s="264"/>
      <c r="F152" s="264"/>
      <c r="G152" s="249"/>
      <c r="H152" s="249"/>
      <c r="I152" s="265"/>
      <c r="J152" s="266"/>
      <c r="AA152"/>
    </row>
    <row r="153" spans="5:27" ht="12.75" customHeight="1">
      <c r="E153" s="264"/>
      <c r="F153" s="264"/>
      <c r="G153" s="249"/>
      <c r="H153" s="249"/>
      <c r="I153" s="265"/>
      <c r="J153" s="266"/>
      <c r="AA153"/>
    </row>
    <row r="154" spans="5:27" ht="12.75" customHeight="1">
      <c r="E154" s="264"/>
      <c r="F154" s="264"/>
      <c r="G154" s="249"/>
      <c r="H154" s="249"/>
      <c r="I154" s="265"/>
      <c r="J154" s="266"/>
      <c r="AA154"/>
    </row>
    <row r="155" spans="5:27" ht="12.75" customHeight="1">
      <c r="E155" s="264"/>
      <c r="F155" s="264"/>
      <c r="G155" s="249"/>
      <c r="H155" s="249"/>
      <c r="I155" s="265"/>
      <c r="J155" s="266"/>
      <c r="AA155"/>
    </row>
    <row r="156" spans="5:27" ht="12.75" customHeight="1">
      <c r="E156" s="264"/>
      <c r="F156" s="264"/>
      <c r="G156" s="249"/>
      <c r="H156" s="249"/>
      <c r="I156" s="265"/>
      <c r="J156" s="266"/>
      <c r="AA156"/>
    </row>
    <row r="157" spans="5:27" ht="12.75" customHeight="1">
      <c r="E157" s="264"/>
      <c r="F157" s="264"/>
      <c r="G157" s="249"/>
      <c r="H157" s="249"/>
      <c r="I157" s="265"/>
      <c r="J157" s="266"/>
      <c r="AA157"/>
    </row>
    <row r="158" spans="5:27" ht="12.75" customHeight="1">
      <c r="E158" s="264"/>
      <c r="F158" s="264"/>
      <c r="G158" s="249"/>
      <c r="H158" s="249"/>
      <c r="I158" s="265"/>
      <c r="J158" s="266"/>
      <c r="AA158"/>
    </row>
    <row r="159" spans="5:27" ht="12.75" customHeight="1">
      <c r="E159" s="264"/>
      <c r="F159" s="264"/>
      <c r="G159" s="249"/>
      <c r="H159" s="249"/>
      <c r="I159" s="265"/>
      <c r="J159" s="266"/>
      <c r="AA159"/>
    </row>
    <row r="160" spans="5:27" ht="12.75" customHeight="1">
      <c r="E160" s="264"/>
      <c r="F160" s="264"/>
      <c r="G160" s="249"/>
      <c r="H160" s="249"/>
      <c r="I160" s="265"/>
      <c r="J160" s="266"/>
      <c r="AA160"/>
    </row>
    <row r="161" spans="5:27" ht="12.75" customHeight="1">
      <c r="E161" s="264"/>
      <c r="F161" s="264"/>
      <c r="G161" s="249"/>
      <c r="H161" s="249"/>
      <c r="I161" s="265"/>
      <c r="J161" s="266"/>
      <c r="AA161"/>
    </row>
    <row r="162" spans="5:27" ht="12.75" customHeight="1">
      <c r="E162" s="264"/>
      <c r="F162" s="264"/>
      <c r="G162" s="249"/>
      <c r="H162" s="249"/>
      <c r="I162" s="265"/>
      <c r="J162" s="266"/>
      <c r="AA162"/>
    </row>
    <row r="163" spans="5:27" ht="12.75" customHeight="1">
      <c r="E163" s="264"/>
      <c r="F163" s="264"/>
      <c r="G163" s="249"/>
      <c r="H163" s="249"/>
      <c r="I163" s="265"/>
      <c r="J163" s="266"/>
      <c r="AA163"/>
    </row>
    <row r="164" spans="5:27" ht="12.75" customHeight="1">
      <c r="E164" s="264"/>
      <c r="F164" s="264"/>
      <c r="G164" s="249"/>
      <c r="H164" s="249"/>
      <c r="I164" s="265"/>
      <c r="J164" s="266"/>
      <c r="AA164"/>
    </row>
    <row r="165" spans="5:27" ht="12.75" customHeight="1">
      <c r="E165" s="264"/>
      <c r="F165" s="264"/>
      <c r="G165" s="249"/>
      <c r="H165" s="249"/>
      <c r="I165" s="265"/>
      <c r="J165" s="266"/>
      <c r="AA165"/>
    </row>
    <row r="166" spans="5:27" ht="12.75" customHeight="1">
      <c r="E166" s="264"/>
      <c r="F166" s="264"/>
      <c r="G166" s="249"/>
      <c r="H166" s="249"/>
      <c r="I166" s="265"/>
      <c r="J166" s="266"/>
      <c r="AA166"/>
    </row>
    <row r="167" spans="5:27" ht="12.75" customHeight="1">
      <c r="E167" s="264"/>
      <c r="F167" s="264"/>
      <c r="G167" s="249"/>
      <c r="H167" s="249"/>
      <c r="I167" s="265"/>
      <c r="J167" s="266"/>
      <c r="AA167"/>
    </row>
    <row r="168" spans="5:27" ht="12.75" customHeight="1">
      <c r="E168" s="264"/>
      <c r="F168" s="264"/>
      <c r="G168" s="249"/>
      <c r="H168" s="249"/>
      <c r="I168" s="265"/>
      <c r="J168" s="266"/>
      <c r="AA168"/>
    </row>
    <row r="169" spans="5:27" ht="12.75" customHeight="1">
      <c r="E169" s="264"/>
      <c r="F169" s="264"/>
      <c r="G169" s="249"/>
      <c r="H169" s="249"/>
      <c r="I169" s="265"/>
      <c r="J169" s="266"/>
      <c r="AA169"/>
    </row>
    <row r="170" spans="5:27" ht="12.75" customHeight="1">
      <c r="E170" s="264"/>
      <c r="F170" s="264"/>
      <c r="G170" s="249"/>
      <c r="H170" s="249"/>
      <c r="I170" s="265"/>
      <c r="J170" s="266"/>
      <c r="AA170"/>
    </row>
    <row r="171" spans="5:27" ht="12.75" customHeight="1">
      <c r="E171" s="264"/>
      <c r="F171" s="264"/>
      <c r="G171" s="249"/>
      <c r="H171" s="249"/>
      <c r="I171" s="265"/>
      <c r="J171" s="266"/>
      <c r="AA171"/>
    </row>
    <row r="172" spans="5:27" ht="12.75" customHeight="1">
      <c r="E172" s="264"/>
      <c r="F172" s="264"/>
      <c r="G172" s="249"/>
      <c r="H172" s="249"/>
      <c r="I172" s="265"/>
      <c r="J172" s="266"/>
      <c r="AA172"/>
    </row>
    <row r="173" spans="5:27" ht="12.75" customHeight="1">
      <c r="E173" s="264"/>
      <c r="F173" s="264"/>
      <c r="G173" s="249"/>
      <c r="H173" s="249"/>
      <c r="I173" s="265"/>
      <c r="J173" s="266"/>
      <c r="AA173"/>
    </row>
    <row r="174" spans="5:27" ht="12.75" customHeight="1">
      <c r="E174" s="264"/>
      <c r="F174" s="264"/>
      <c r="G174" s="249"/>
      <c r="H174" s="249"/>
      <c r="I174" s="265"/>
      <c r="J174" s="266"/>
      <c r="AA174"/>
    </row>
    <row r="175" spans="5:27" ht="12.75" customHeight="1">
      <c r="E175" s="264"/>
      <c r="F175" s="264"/>
      <c r="G175" s="249"/>
      <c r="H175" s="249"/>
      <c r="I175" s="265"/>
      <c r="J175" s="266"/>
      <c r="AA175"/>
    </row>
    <row r="176" spans="5:27" ht="12.75" customHeight="1">
      <c r="E176" s="264"/>
      <c r="F176" s="264"/>
      <c r="G176" s="249"/>
      <c r="H176" s="249"/>
      <c r="I176" s="265"/>
      <c r="J176" s="266"/>
      <c r="AA176"/>
    </row>
    <row r="177" spans="5:27" ht="12.75" customHeight="1">
      <c r="E177" s="264"/>
      <c r="F177" s="264"/>
      <c r="G177" s="249"/>
      <c r="H177" s="249"/>
      <c r="I177" s="265"/>
      <c r="J177" s="266"/>
      <c r="AA177"/>
    </row>
    <row r="178" spans="5:27" ht="12.75" customHeight="1">
      <c r="E178" s="264"/>
      <c r="F178" s="264"/>
      <c r="G178" s="249"/>
      <c r="H178" s="249"/>
      <c r="I178" s="265"/>
      <c r="J178" s="266"/>
      <c r="AA178"/>
    </row>
    <row r="179" spans="5:27" ht="12.75" customHeight="1">
      <c r="E179" s="264"/>
      <c r="F179" s="264"/>
      <c r="G179" s="249"/>
      <c r="H179" s="249"/>
      <c r="I179" s="265"/>
      <c r="J179" s="266"/>
      <c r="AA179"/>
    </row>
    <row r="180" spans="5:27" ht="12.75" customHeight="1">
      <c r="E180" s="264"/>
      <c r="F180" s="264"/>
      <c r="G180" s="249"/>
      <c r="H180" s="249"/>
      <c r="I180" s="265"/>
      <c r="J180" s="266"/>
      <c r="AA180"/>
    </row>
    <row r="181" spans="5:27" ht="12.75" customHeight="1">
      <c r="E181" s="249"/>
      <c r="F181" s="249"/>
      <c r="H181" s="249"/>
      <c r="I181" s="249"/>
      <c r="J181" s="249"/>
      <c r="AA181"/>
    </row>
    <row r="182" spans="5:27" ht="12.75" customHeight="1">
      <c r="E182" s="249"/>
      <c r="F182" s="249"/>
      <c r="G182" s="249"/>
      <c r="H182" s="249"/>
      <c r="I182" s="249"/>
      <c r="J182" s="249"/>
      <c r="AA182"/>
    </row>
    <row r="183" spans="5:27" ht="12.75" customHeight="1">
      <c r="AA183"/>
    </row>
    <row r="184" spans="5:27" ht="12.75" customHeight="1">
      <c r="AA184"/>
    </row>
    <row r="185" spans="5:27" ht="12.75" customHeight="1">
      <c r="AA185"/>
    </row>
    <row r="186" spans="5:27" ht="12.75" customHeight="1">
      <c r="AA186"/>
    </row>
    <row r="187" spans="5:27" ht="12.75" customHeight="1">
      <c r="AA187"/>
    </row>
    <row r="188" spans="5:27" ht="12.75" customHeight="1">
      <c r="AA188"/>
    </row>
    <row r="189" spans="5:27" ht="12.75" customHeight="1">
      <c r="AA189"/>
    </row>
    <row r="190" spans="5:27" ht="12.75" customHeight="1">
      <c r="AA190"/>
    </row>
    <row r="191" spans="5:27" ht="12.75" customHeight="1">
      <c r="AA191"/>
    </row>
    <row r="192" spans="5:27" ht="12.75" customHeight="1">
      <c r="AA192"/>
    </row>
    <row r="193" spans="27:27" ht="12.75" customHeight="1">
      <c r="AA193"/>
    </row>
    <row r="194" spans="27:27" ht="12.75" customHeight="1">
      <c r="AA194"/>
    </row>
    <row r="195" spans="27:27" ht="12.75" customHeight="1">
      <c r="AA195"/>
    </row>
    <row r="196" spans="27:27" ht="12.75" customHeight="1">
      <c r="AA196"/>
    </row>
    <row r="197" spans="27:27" ht="12.75" customHeight="1">
      <c r="AA197"/>
    </row>
    <row r="198" spans="27:27" ht="12.75" customHeight="1">
      <c r="AA198"/>
    </row>
    <row r="199" spans="27:27" ht="12.75" customHeight="1">
      <c r="AA199"/>
    </row>
    <row r="200" spans="27:27" ht="12.75" customHeight="1">
      <c r="AA200"/>
    </row>
    <row r="201" spans="27:27" ht="12.75" customHeight="1">
      <c r="AA201"/>
    </row>
    <row r="202" spans="27:27" ht="12.75" customHeight="1">
      <c r="AA202"/>
    </row>
    <row r="203" spans="27:27" ht="12.75" customHeight="1">
      <c r="AA203"/>
    </row>
    <row r="204" spans="27:27" ht="12.75" customHeight="1">
      <c r="AA204"/>
    </row>
    <row r="205" spans="27:27" ht="12.75" customHeight="1">
      <c r="AA205"/>
    </row>
    <row r="206" spans="27:27" ht="12.75" customHeight="1">
      <c r="AA206"/>
    </row>
    <row r="207" spans="27:27" ht="12.75" customHeight="1">
      <c r="AA207"/>
    </row>
    <row r="208" spans="27:27" ht="12.75" customHeight="1">
      <c r="AA208"/>
    </row>
    <row r="209" spans="27:27" ht="12.75" customHeight="1">
      <c r="AA209"/>
    </row>
    <row r="210" spans="27:27" ht="12.75" customHeight="1">
      <c r="AA210"/>
    </row>
    <row r="211" spans="27:27" ht="12.75" customHeight="1">
      <c r="AA211"/>
    </row>
    <row r="212" spans="27:27" ht="12.75" customHeight="1">
      <c r="AA212"/>
    </row>
    <row r="213" spans="27:27" ht="12.75" customHeight="1">
      <c r="AA213"/>
    </row>
    <row r="214" spans="27:27" ht="12.75" customHeight="1">
      <c r="AA214"/>
    </row>
    <row r="215" spans="27:27" ht="12.75" customHeight="1">
      <c r="AA215"/>
    </row>
    <row r="216" spans="27:27" ht="12.75" customHeight="1">
      <c r="AA216"/>
    </row>
    <row r="217" spans="27:27" ht="12.75" customHeight="1">
      <c r="AA217"/>
    </row>
    <row r="218" spans="27:27" ht="12.75" customHeight="1">
      <c r="AA218"/>
    </row>
    <row r="219" spans="27:27" ht="12.75" customHeight="1">
      <c r="AA219"/>
    </row>
    <row r="220" spans="27:27" ht="12.75" customHeight="1">
      <c r="AA220"/>
    </row>
    <row r="221" spans="27:27" ht="12.75" customHeight="1">
      <c r="AA221"/>
    </row>
    <row r="222" spans="27:27" ht="12.75" customHeight="1">
      <c r="AA222"/>
    </row>
    <row r="223" spans="27:27" ht="12.75" customHeight="1">
      <c r="AA223"/>
    </row>
  </sheetData>
  <mergeCells count="2">
    <mergeCell ref="E13:G13"/>
    <mergeCell ref="T14:T16"/>
  </mergeCells>
  <phoneticPr fontId="62" type="noConversion"/>
  <pageMargins left="0.25" right="0.25" top="1" bottom="1" header="0.65" footer="0.5"/>
  <pageSetup scale="52" fitToHeight="0" orientation="landscape" horizontalDpi="1200" verticalDpi="1200" r:id="rId1"/>
  <headerFooter alignWithMargins="0">
    <oddHeader xml:space="preserve">&amp;R&amp;16AEP - SPP Formula Rate
Schedule 11 Revenue Requirements
Southwestern Electric Power Company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5">
    <tabColor indexed="16"/>
  </sheetPr>
  <dimension ref="A1:Q162"/>
  <sheetViews>
    <sheetView view="pageBreakPreview" zoomScale="80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7 of 74</v>
      </c>
      <c r="Q1" s="594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8328.5417090766241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8328.5417090766241</v>
      </c>
      <c r="O6" s="269"/>
      <c r="P6" s="269"/>
    </row>
    <row r="7" spans="1:17" ht="13.5" thickBot="1">
      <c r="C7" s="467" t="s">
        <v>48</v>
      </c>
      <c r="D7" s="468" t="s">
        <v>234</v>
      </c>
      <c r="E7" s="269"/>
      <c r="F7" s="269"/>
      <c r="G7" s="269"/>
      <c r="H7" s="595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146</v>
      </c>
      <c r="E9" s="666" t="s">
        <v>478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77750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1851.1904761904761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64397</v>
      </c>
      <c r="E17" s="509">
        <v>1015</v>
      </c>
      <c r="F17" s="508">
        <v>63382</v>
      </c>
      <c r="G17" s="509">
        <v>0</v>
      </c>
      <c r="H17" s="510">
        <v>0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81941</v>
      </c>
      <c r="E18" s="516">
        <v>2183</v>
      </c>
      <c r="F18" s="515">
        <v>79757</v>
      </c>
      <c r="G18" s="516">
        <v>13649</v>
      </c>
      <c r="H18" s="510">
        <v>13649</v>
      </c>
      <c r="I18" s="517">
        <v>0</v>
      </c>
      <c r="J18" s="511"/>
      <c r="K18" s="518">
        <f t="shared" ref="K18:K23" si="4">G18</f>
        <v>13649</v>
      </c>
      <c r="L18" s="519">
        <f t="shared" si="1"/>
        <v>0</v>
      </c>
      <c r="M18" s="518">
        <f t="shared" ref="M18:M23" si="5">H18</f>
        <v>13649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74552</v>
      </c>
      <c r="E19" s="516">
        <v>1896.3414634146341</v>
      </c>
      <c r="F19" s="515">
        <v>72655.658536585368</v>
      </c>
      <c r="G19" s="516">
        <v>13244.587478742107</v>
      </c>
      <c r="H19" s="510">
        <v>13244.587478742107</v>
      </c>
      <c r="I19" s="517">
        <v>0</v>
      </c>
      <c r="J19" s="511"/>
      <c r="K19" s="518">
        <f t="shared" si="4"/>
        <v>13244.587478742107</v>
      </c>
      <c r="L19" s="519">
        <f t="shared" si="1"/>
        <v>0</v>
      </c>
      <c r="M19" s="518">
        <f t="shared" si="5"/>
        <v>13244.587478742107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72655.658536585368</v>
      </c>
      <c r="E20" s="516">
        <v>1851.1904761904761</v>
      </c>
      <c r="F20" s="515">
        <v>70804.468060394895</v>
      </c>
      <c r="G20" s="516">
        <v>12381.24088352887</v>
      </c>
      <c r="H20" s="510">
        <v>12381.24088352887</v>
      </c>
      <c r="I20" s="517">
        <v>0</v>
      </c>
      <c r="J20" s="511"/>
      <c r="K20" s="518">
        <f t="shared" si="4"/>
        <v>12381.24088352887</v>
      </c>
      <c r="L20" s="519">
        <f t="shared" si="1"/>
        <v>0</v>
      </c>
      <c r="M20" s="518">
        <f t="shared" si="5"/>
        <v>12381.24088352887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70804.468060394895</v>
      </c>
      <c r="E21" s="516">
        <v>1851.1904761904761</v>
      </c>
      <c r="F21" s="515">
        <v>68953.277584204421</v>
      </c>
      <c r="G21" s="516">
        <v>11503.75860476607</v>
      </c>
      <c r="H21" s="510">
        <v>11503.75860476607</v>
      </c>
      <c r="I21" s="596">
        <v>0</v>
      </c>
      <c r="J21" s="511"/>
      <c r="K21" s="518">
        <f t="shared" si="4"/>
        <v>11503.75860476607</v>
      </c>
      <c r="L21" s="519">
        <f t="shared" ref="L21:L26" si="7">IF(K21&lt;&gt;0,+G21-K21,0)</f>
        <v>0</v>
      </c>
      <c r="M21" s="518">
        <f t="shared" si="5"/>
        <v>11503.75860476607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68953.277584204421</v>
      </c>
      <c r="E22" s="516">
        <v>1851.1904761904761</v>
      </c>
      <c r="F22" s="515">
        <v>67102.087108013948</v>
      </c>
      <c r="G22" s="516">
        <v>10903.96715256805</v>
      </c>
      <c r="H22" s="510">
        <v>10903.96715256805</v>
      </c>
      <c r="I22" s="596">
        <v>0</v>
      </c>
      <c r="J22" s="511"/>
      <c r="K22" s="518">
        <f t="shared" si="4"/>
        <v>10903.96715256805</v>
      </c>
      <c r="L22" s="519">
        <f t="shared" si="7"/>
        <v>0</v>
      </c>
      <c r="M22" s="518">
        <f t="shared" si="5"/>
        <v>10903.96715256805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67102.087108013948</v>
      </c>
      <c r="E23" s="516">
        <v>1851.1904761904761</v>
      </c>
      <c r="F23" s="515">
        <v>65250.896631823474</v>
      </c>
      <c r="G23" s="516">
        <v>10445.046830532348</v>
      </c>
      <c r="H23" s="510">
        <v>10445.046830532348</v>
      </c>
      <c r="I23" s="511">
        <v>0</v>
      </c>
      <c r="J23" s="511"/>
      <c r="K23" s="518">
        <f t="shared" si="4"/>
        <v>10445.046830532348</v>
      </c>
      <c r="L23" s="519">
        <f t="shared" si="7"/>
        <v>0</v>
      </c>
      <c r="M23" s="518">
        <f t="shared" si="5"/>
        <v>10445.046830532348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2016</v>
      </c>
      <c r="D24" s="515">
        <v>65250.896631823474</v>
      </c>
      <c r="E24" s="516">
        <v>1851.1904761904761</v>
      </c>
      <c r="F24" s="515">
        <v>63399.706155633001</v>
      </c>
      <c r="G24" s="516">
        <v>10098.222669121984</v>
      </c>
      <c r="H24" s="510">
        <v>10098.222669121984</v>
      </c>
      <c r="I24" s="511">
        <f t="shared" si="0"/>
        <v>0</v>
      </c>
      <c r="J24" s="511"/>
      <c r="K24" s="518">
        <f t="shared" ref="K24:K29" si="10">G24</f>
        <v>10098.222669121984</v>
      </c>
      <c r="L24" s="519">
        <f t="shared" si="7"/>
        <v>0</v>
      </c>
      <c r="M24" s="518">
        <f t="shared" ref="M24:M29" si="11">H24</f>
        <v>10098.222669121984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63399.706155633001</v>
      </c>
      <c r="E25" s="516">
        <v>1808.1395348837209</v>
      </c>
      <c r="F25" s="515">
        <v>61591.566620749283</v>
      </c>
      <c r="G25" s="516">
        <v>9550.8822669869332</v>
      </c>
      <c r="H25" s="510">
        <v>9550.8822669869332</v>
      </c>
      <c r="I25" s="511">
        <f t="shared" si="0"/>
        <v>0</v>
      </c>
      <c r="J25" s="511"/>
      <c r="K25" s="518">
        <f t="shared" si="10"/>
        <v>9550.8822669869332</v>
      </c>
      <c r="L25" s="519">
        <f t="shared" si="7"/>
        <v>0</v>
      </c>
      <c r="M25" s="518">
        <f t="shared" si="11"/>
        <v>9550.8822669869332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61591.566620749283</v>
      </c>
      <c r="E26" s="516">
        <v>1896.3414634146341</v>
      </c>
      <c r="F26" s="515">
        <v>59695.225157334651</v>
      </c>
      <c r="G26" s="516">
        <v>9603.7592198821312</v>
      </c>
      <c r="H26" s="510">
        <v>9603.7592198821312</v>
      </c>
      <c r="I26" s="511">
        <f t="shared" si="0"/>
        <v>0</v>
      </c>
      <c r="J26" s="511"/>
      <c r="K26" s="518">
        <f t="shared" si="10"/>
        <v>9603.7592198821312</v>
      </c>
      <c r="L26" s="519">
        <f t="shared" si="7"/>
        <v>0</v>
      </c>
      <c r="M26" s="518">
        <f t="shared" si="11"/>
        <v>9603.7592198821312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59695.225157334651</v>
      </c>
      <c r="E27" s="516">
        <v>1896.3414634146341</v>
      </c>
      <c r="F27" s="515">
        <v>57798.883693920019</v>
      </c>
      <c r="G27" s="516">
        <v>9362.7454103291529</v>
      </c>
      <c r="H27" s="510">
        <v>9362.7454103291529</v>
      </c>
      <c r="I27" s="511">
        <f t="shared" si="0"/>
        <v>0</v>
      </c>
      <c r="J27" s="511"/>
      <c r="K27" s="518">
        <f t="shared" si="10"/>
        <v>9362.7454103291529</v>
      </c>
      <c r="L27" s="519">
        <f t="shared" ref="L27" si="12">IF(K27&lt;&gt;0,+G27-K27,0)</f>
        <v>0</v>
      </c>
      <c r="M27" s="518">
        <f t="shared" si="11"/>
        <v>9362.7454103291529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57798.883693920019</v>
      </c>
      <c r="E28" s="516">
        <v>1896.3414634146341</v>
      </c>
      <c r="F28" s="515">
        <v>55902.542230505387</v>
      </c>
      <c r="G28" s="516">
        <v>7714.1850577819459</v>
      </c>
      <c r="H28" s="510">
        <v>7714.1850577819459</v>
      </c>
      <c r="I28" s="511">
        <f t="shared" si="0"/>
        <v>0</v>
      </c>
      <c r="J28" s="511"/>
      <c r="K28" s="518">
        <f t="shared" si="10"/>
        <v>7714.1850577819459</v>
      </c>
      <c r="L28" s="519">
        <f t="shared" ref="L28" si="13">IF(K28&lt;&gt;0,+G28-K28,0)</f>
        <v>0</v>
      </c>
      <c r="M28" s="518">
        <f t="shared" si="11"/>
        <v>7714.1850577819459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15">
        <v>55990.744159036272</v>
      </c>
      <c r="E29" s="516">
        <v>1851.1904761904761</v>
      </c>
      <c r="F29" s="515">
        <v>54139.553682845799</v>
      </c>
      <c r="G29" s="516">
        <v>7688.3465352590638</v>
      </c>
      <c r="H29" s="510">
        <v>7688.3465352590638</v>
      </c>
      <c r="I29" s="511">
        <f t="shared" si="0"/>
        <v>0</v>
      </c>
      <c r="J29" s="511"/>
      <c r="K29" s="518">
        <f t="shared" si="10"/>
        <v>7688.3465352590638</v>
      </c>
      <c r="L29" s="519">
        <f t="shared" ref="L29" si="14">IF(K29&lt;&gt;0,+G29-K29,0)</f>
        <v>0</v>
      </c>
      <c r="M29" s="518">
        <f t="shared" si="11"/>
        <v>7688.3465352590638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515">
        <v>54051.351754314877</v>
      </c>
      <c r="E30" s="516">
        <v>1851.1904761904761</v>
      </c>
      <c r="F30" s="515">
        <v>52200.161278124404</v>
      </c>
      <c r="G30" s="516">
        <v>7824.8681888866868</v>
      </c>
      <c r="H30" s="510">
        <v>7824.8681888866868</v>
      </c>
      <c r="I30" s="511">
        <f t="shared" si="0"/>
        <v>0</v>
      </c>
      <c r="J30" s="511"/>
      <c r="K30" s="518">
        <f t="shared" ref="K30" si="15">G30</f>
        <v>7824.8681888866868</v>
      </c>
      <c r="L30" s="519">
        <f t="shared" ref="L30" si="16">IF(K30&lt;&gt;0,+G30-K30,0)</f>
        <v>0</v>
      </c>
      <c r="M30" s="518">
        <f t="shared" ref="M30" si="17">H30</f>
        <v>7824.8681888866868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52200.161278124404</v>
      </c>
      <c r="E31" s="522">
        <f>IF(+I14&lt;F30,I14,D31)</f>
        <v>1851.1904761904761</v>
      </c>
      <c r="F31" s="523">
        <f t="shared" ref="F31:F48" si="18">+D31-E31</f>
        <v>50348.97080193393</v>
      </c>
      <c r="G31" s="524">
        <f t="shared" ref="G31:G72" si="19">+I$12*((D31+F31)/2)+E31</f>
        <v>8328.5417090766241</v>
      </c>
      <c r="H31" s="491">
        <f t="shared" ref="H31:H72" si="20">+I$13*((D31+F31)/2)+E31</f>
        <v>8328.5417090766241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50348.97080193393</v>
      </c>
      <c r="E32" s="522">
        <f>IF(+I14&lt;F31,I14,D32)</f>
        <v>1851.1904761904761</v>
      </c>
      <c r="F32" s="523">
        <f t="shared" si="18"/>
        <v>48497.780325743457</v>
      </c>
      <c r="G32" s="524">
        <f t="shared" si="19"/>
        <v>8094.6867622810059</v>
      </c>
      <c r="H32" s="491">
        <f t="shared" si="20"/>
        <v>8094.6867622810059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48497.780325743457</v>
      </c>
      <c r="E33" s="522">
        <f>IF(+I14&lt;F32,I14,D33)</f>
        <v>1851.1904761904761</v>
      </c>
      <c r="F33" s="523">
        <f t="shared" si="18"/>
        <v>46646.589849552984</v>
      </c>
      <c r="G33" s="524">
        <f t="shared" si="19"/>
        <v>7860.8318154853869</v>
      </c>
      <c r="H33" s="491">
        <f t="shared" si="20"/>
        <v>7860.8318154853869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46646.589849552984</v>
      </c>
      <c r="E34" s="522">
        <f>IF(+I14&lt;F33,I14,D34)</f>
        <v>1851.1904761904761</v>
      </c>
      <c r="F34" s="523">
        <f t="shared" si="18"/>
        <v>44795.39937336251</v>
      </c>
      <c r="G34" s="524">
        <f t="shared" si="19"/>
        <v>7626.9768686897678</v>
      </c>
      <c r="H34" s="491">
        <f t="shared" si="20"/>
        <v>7626.9768686897678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44795.39937336251</v>
      </c>
      <c r="E35" s="522">
        <f>IF(+I14&lt;F34,I14,D35)</f>
        <v>1851.1904761904761</v>
      </c>
      <c r="F35" s="523">
        <f t="shared" si="18"/>
        <v>42944.208897172037</v>
      </c>
      <c r="G35" s="524">
        <f t="shared" si="19"/>
        <v>7393.1219218941496</v>
      </c>
      <c r="H35" s="491">
        <f t="shared" si="20"/>
        <v>7393.1219218941496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42944.208897172037</v>
      </c>
      <c r="E36" s="522">
        <f>IF(+I14&lt;F35,I14,D36)</f>
        <v>1851.1904761904761</v>
      </c>
      <c r="F36" s="523">
        <f t="shared" si="18"/>
        <v>41093.018420981563</v>
      </c>
      <c r="G36" s="524">
        <f t="shared" si="19"/>
        <v>7159.2669750985306</v>
      </c>
      <c r="H36" s="491">
        <f t="shared" si="20"/>
        <v>7159.2669750985306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41093.018420981563</v>
      </c>
      <c r="E37" s="522">
        <f>IF(+I14&lt;F36,I14,D37)</f>
        <v>1851.1904761904761</v>
      </c>
      <c r="F37" s="523">
        <f t="shared" si="18"/>
        <v>39241.82794479109</v>
      </c>
      <c r="G37" s="524">
        <f t="shared" si="19"/>
        <v>6925.4120283029124</v>
      </c>
      <c r="H37" s="491">
        <f t="shared" si="20"/>
        <v>6925.4120283029124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39241.82794479109</v>
      </c>
      <c r="E38" s="522">
        <f>IF(+I14&lt;F37,I14,D38)</f>
        <v>1851.1904761904761</v>
      </c>
      <c r="F38" s="523">
        <f t="shared" si="18"/>
        <v>37390.637468600617</v>
      </c>
      <c r="G38" s="524">
        <f t="shared" si="19"/>
        <v>6691.5570815072933</v>
      </c>
      <c r="H38" s="491">
        <f t="shared" si="20"/>
        <v>6691.5570815072933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37390.637468600617</v>
      </c>
      <c r="E39" s="522">
        <f>IF(+I14&lt;F38,I14,D39)</f>
        <v>1851.1904761904761</v>
      </c>
      <c r="F39" s="523">
        <f t="shared" si="18"/>
        <v>35539.446992410143</v>
      </c>
      <c r="G39" s="524">
        <f t="shared" si="19"/>
        <v>6457.7021347116743</v>
      </c>
      <c r="H39" s="491">
        <f t="shared" si="20"/>
        <v>6457.7021347116743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35539.446992410143</v>
      </c>
      <c r="E40" s="522">
        <f>IF(+I14&lt;F39,I14,D40)</f>
        <v>1851.1904761904761</v>
      </c>
      <c r="F40" s="523">
        <f t="shared" si="18"/>
        <v>33688.25651621967</v>
      </c>
      <c r="G40" s="524">
        <f t="shared" si="19"/>
        <v>6223.8471879160561</v>
      </c>
      <c r="H40" s="491">
        <f t="shared" si="20"/>
        <v>6223.8471879160561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33688.25651621967</v>
      </c>
      <c r="E41" s="522">
        <f>IF(+I14&lt;F40,I14,D41)</f>
        <v>1851.1904761904761</v>
      </c>
      <c r="F41" s="523">
        <f t="shared" si="18"/>
        <v>31837.066040029193</v>
      </c>
      <c r="G41" s="524">
        <f t="shared" si="19"/>
        <v>5989.992241120437</v>
      </c>
      <c r="H41" s="491">
        <f t="shared" si="20"/>
        <v>5989.992241120437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31837.066040029193</v>
      </c>
      <c r="E42" s="522">
        <f>IF(+I14&lt;F41,I14,D42)</f>
        <v>1851.1904761904761</v>
      </c>
      <c r="F42" s="523">
        <f t="shared" si="18"/>
        <v>29985.875563838716</v>
      </c>
      <c r="G42" s="524">
        <f t="shared" si="19"/>
        <v>5756.137294324817</v>
      </c>
      <c r="H42" s="491">
        <f t="shared" si="20"/>
        <v>5756.137294324817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29985.875563838716</v>
      </c>
      <c r="E43" s="522">
        <f>IF(+I14&lt;F42,I14,D43)</f>
        <v>1851.1904761904761</v>
      </c>
      <c r="F43" s="523">
        <f t="shared" si="18"/>
        <v>28134.685087648239</v>
      </c>
      <c r="G43" s="524">
        <f t="shared" si="19"/>
        <v>5522.2823475291989</v>
      </c>
      <c r="H43" s="491">
        <f t="shared" si="20"/>
        <v>5522.2823475291989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28134.685087648239</v>
      </c>
      <c r="E44" s="522">
        <f>IF(+I14&lt;F43,I14,D44)</f>
        <v>1851.1904761904761</v>
      </c>
      <c r="F44" s="523">
        <f t="shared" si="18"/>
        <v>26283.494611457761</v>
      </c>
      <c r="G44" s="524">
        <f t="shared" si="19"/>
        <v>5288.4274007335789</v>
      </c>
      <c r="H44" s="491">
        <f t="shared" si="20"/>
        <v>5288.4274007335789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26283.494611457761</v>
      </c>
      <c r="E45" s="522">
        <f>IF(+I14&lt;F44,I14,D45)</f>
        <v>1851.1904761904761</v>
      </c>
      <c r="F45" s="523">
        <f t="shared" si="18"/>
        <v>24432.304135267284</v>
      </c>
      <c r="G45" s="524">
        <f t="shared" si="19"/>
        <v>5054.5724539379607</v>
      </c>
      <c r="H45" s="491">
        <f t="shared" si="20"/>
        <v>5054.5724539379607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24432.304135267284</v>
      </c>
      <c r="E46" s="522">
        <f>IF(+I14&lt;F45,I14,D46)</f>
        <v>1851.1904761904761</v>
      </c>
      <c r="F46" s="523">
        <f t="shared" si="18"/>
        <v>22581.113659076807</v>
      </c>
      <c r="G46" s="524">
        <f t="shared" si="19"/>
        <v>4820.7175071423408</v>
      </c>
      <c r="H46" s="491">
        <f t="shared" si="20"/>
        <v>4820.7175071423408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22581.113659076807</v>
      </c>
      <c r="E47" s="522">
        <f>IF(+I14&lt;F46,I14,D47)</f>
        <v>1851.1904761904761</v>
      </c>
      <c r="F47" s="523">
        <f t="shared" si="18"/>
        <v>20729.92318288633</v>
      </c>
      <c r="G47" s="524">
        <f t="shared" si="19"/>
        <v>4586.8625603467226</v>
      </c>
      <c r="H47" s="491">
        <f t="shared" si="20"/>
        <v>4586.8625603467226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20729.92318288633</v>
      </c>
      <c r="E48" s="522">
        <f>IF(+I14&lt;F47,I14,D48)</f>
        <v>1851.1904761904761</v>
      </c>
      <c r="F48" s="523">
        <f t="shared" si="18"/>
        <v>18878.732706695853</v>
      </c>
      <c r="G48" s="524">
        <f t="shared" si="19"/>
        <v>4353.0076135511026</v>
      </c>
      <c r="H48" s="491">
        <f t="shared" si="20"/>
        <v>4353.0076135511026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18878.732706695853</v>
      </c>
      <c r="E49" s="522">
        <f>IF(+I14&lt;F48,I14,D49)</f>
        <v>1851.1904761904761</v>
      </c>
      <c r="F49" s="523">
        <f t="shared" ref="F49:F72" si="21">+D49-E49</f>
        <v>17027.542230505376</v>
      </c>
      <c r="G49" s="524">
        <f t="shared" si="19"/>
        <v>4119.1526667554845</v>
      </c>
      <c r="H49" s="491">
        <f t="shared" si="20"/>
        <v>4119.1526667554845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17027.542230505376</v>
      </c>
      <c r="E50" s="522">
        <f>IF(+I14&lt;F49,I14,D50)</f>
        <v>1851.1904761904761</v>
      </c>
      <c r="F50" s="523">
        <f t="shared" si="21"/>
        <v>15176.351754314899</v>
      </c>
      <c r="G50" s="524">
        <f t="shared" si="19"/>
        <v>3885.2977199598645</v>
      </c>
      <c r="H50" s="491">
        <f t="shared" si="20"/>
        <v>3885.2977199598645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15176.351754314899</v>
      </c>
      <c r="E51" s="522">
        <f>IF(+I14&lt;F50,I14,D51)</f>
        <v>1851.1904761904761</v>
      </c>
      <c r="F51" s="523">
        <f t="shared" si="21"/>
        <v>13325.161278124422</v>
      </c>
      <c r="G51" s="524">
        <f t="shared" si="19"/>
        <v>3651.4427731642454</v>
      </c>
      <c r="H51" s="491">
        <f t="shared" si="20"/>
        <v>3651.4427731642454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13325.161278124422</v>
      </c>
      <c r="E52" s="522">
        <f>IF(+I14&lt;F51,I14,D52)</f>
        <v>1851.1904761904761</v>
      </c>
      <c r="F52" s="523">
        <f t="shared" si="21"/>
        <v>11473.970801933945</v>
      </c>
      <c r="G52" s="524">
        <f t="shared" si="19"/>
        <v>3417.5878263686263</v>
      </c>
      <c r="H52" s="491">
        <f t="shared" si="20"/>
        <v>3417.5878263686263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11473.970801933945</v>
      </c>
      <c r="E53" s="522">
        <f>IF(+I14&lt;F52,I14,D53)</f>
        <v>1851.1904761904761</v>
      </c>
      <c r="F53" s="523">
        <f t="shared" si="21"/>
        <v>9622.780325743468</v>
      </c>
      <c r="G53" s="524">
        <f t="shared" si="19"/>
        <v>3183.7328795730073</v>
      </c>
      <c r="H53" s="491">
        <f t="shared" si="20"/>
        <v>3183.7328795730073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9622.780325743468</v>
      </c>
      <c r="E54" s="522">
        <f>IF(+I14&lt;F53,I14,D54)</f>
        <v>1851.1904761904761</v>
      </c>
      <c r="F54" s="523">
        <f t="shared" si="21"/>
        <v>7771.5898495529918</v>
      </c>
      <c r="G54" s="524">
        <f t="shared" si="19"/>
        <v>2949.8779327773877</v>
      </c>
      <c r="H54" s="491">
        <f t="shared" si="20"/>
        <v>2949.8779327773877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7771.5898495529918</v>
      </c>
      <c r="E55" s="522">
        <f>IF(+I14&lt;F54,I14,D55)</f>
        <v>1851.1904761904761</v>
      </c>
      <c r="F55" s="523">
        <f t="shared" si="21"/>
        <v>5920.3993733625157</v>
      </c>
      <c r="G55" s="524">
        <f t="shared" si="19"/>
        <v>2716.0229859817691</v>
      </c>
      <c r="H55" s="491">
        <f t="shared" si="20"/>
        <v>2716.0229859817691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5920.3993733625157</v>
      </c>
      <c r="E56" s="522">
        <f>IF(+I14&lt;F55,I14,D56)</f>
        <v>1851.1904761904761</v>
      </c>
      <c r="F56" s="523">
        <f t="shared" si="21"/>
        <v>4069.2088971720395</v>
      </c>
      <c r="G56" s="524">
        <f t="shared" si="19"/>
        <v>2482.1680391861496</v>
      </c>
      <c r="H56" s="491">
        <f t="shared" si="20"/>
        <v>2482.1680391861496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4069.2088971720395</v>
      </c>
      <c r="E57" s="522">
        <f>IF(+I14&lt;F56,I14,D57)</f>
        <v>1851.1904761904761</v>
      </c>
      <c r="F57" s="523">
        <f t="shared" si="21"/>
        <v>2218.0184209815634</v>
      </c>
      <c r="G57" s="524">
        <f t="shared" si="19"/>
        <v>2248.3130923905305</v>
      </c>
      <c r="H57" s="491">
        <f t="shared" si="20"/>
        <v>2248.3130923905305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 ht="12.5">
      <c r="B58" s="582" t="str">
        <f t="shared" si="6"/>
        <v/>
      </c>
      <c r="C58" s="507">
        <f>IF(D11="","-",+C57+1)</f>
        <v>2050</v>
      </c>
      <c r="D58" s="523">
        <f>IF(F57+SUM(E$17:E57)=D$10,F57,D$10-SUM(E$17:E57))</f>
        <v>2218.0184209815634</v>
      </c>
      <c r="E58" s="522">
        <f>IF(+I14&lt;F57,I14,D58)</f>
        <v>1851.1904761904761</v>
      </c>
      <c r="F58" s="523">
        <f t="shared" si="21"/>
        <v>366.82794479108725</v>
      </c>
      <c r="G58" s="524">
        <f t="shared" si="19"/>
        <v>2014.4581455949117</v>
      </c>
      <c r="H58" s="491">
        <f t="shared" si="20"/>
        <v>2014.4581455949117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366.82794479108725</v>
      </c>
      <c r="E59" s="522">
        <f>IF(+I14&lt;F58,I14,D59)</f>
        <v>366.82794479108725</v>
      </c>
      <c r="F59" s="523">
        <f t="shared" si="21"/>
        <v>0</v>
      </c>
      <c r="G59" s="524">
        <f t="shared" si="19"/>
        <v>389.99804279440025</v>
      </c>
      <c r="H59" s="491">
        <f t="shared" si="20"/>
        <v>389.99804279440025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19"/>
        <v>0</v>
      </c>
      <c r="H60" s="491">
        <f t="shared" si="20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19"/>
        <v>0</v>
      </c>
      <c r="H61" s="491">
        <f t="shared" si="20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19"/>
        <v>0</v>
      </c>
      <c r="H72" s="47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 ht="12.5">
      <c r="C73" s="374" t="s">
        <v>78</v>
      </c>
      <c r="D73" s="375"/>
      <c r="E73" s="375">
        <f>SUM(E17:E72)</f>
        <v>77749.999999999956</v>
      </c>
      <c r="F73" s="375"/>
      <c r="G73" s="375">
        <f>SUM(G17:G72)</f>
        <v>279162.60630658123</v>
      </c>
      <c r="H73" s="375">
        <f>SUM(H17:H72)</f>
        <v>279162.60630658123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7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7688.3465352590638</v>
      </c>
      <c r="N87" s="546">
        <f>IF(J92&lt;D11,0,VLOOKUP(J92,C17:O72,11))</f>
        <v>7688.3465352590638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8194.7560624520156</v>
      </c>
      <c r="N88" s="550">
        <f>IF(J92&lt;D11,0,VLOOKUP(J92,C99:P154,7))</f>
        <v>8194.7560624520156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Linwood 138 Station Switch Replacement*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506.40952719295183</v>
      </c>
      <c r="N89" s="555">
        <f>+N88-N87</f>
        <v>506.40952719295183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TP2008080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77750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1896.3414634146341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994</v>
      </c>
      <c r="F99" s="515">
        <v>63775</v>
      </c>
      <c r="G99" s="574">
        <v>318887</v>
      </c>
      <c r="H99" s="575">
        <v>5610</v>
      </c>
      <c r="I99" s="576">
        <v>5610</v>
      </c>
      <c r="J99" s="514">
        <f t="shared" ref="J99:J130" si="26">+I99-H99</f>
        <v>0</v>
      </c>
      <c r="K99" s="514"/>
      <c r="L99" s="512">
        <f t="shared" ref="L99:L104" si="27">H99</f>
        <v>5610</v>
      </c>
      <c r="M99" s="597">
        <f t="shared" ref="M99:M130" si="28">IF(L99&lt;&gt;0,+H99-L99,0)</f>
        <v>0</v>
      </c>
      <c r="N99" s="512">
        <f t="shared" ref="N99:N104" si="29">I99</f>
        <v>5610</v>
      </c>
      <c r="O99" s="513">
        <f t="shared" ref="O99:O130" si="30">IF(N99&lt;&gt;0,+I99-N99,0)</f>
        <v>0</v>
      </c>
      <c r="P99" s="513">
        <f t="shared" ref="P99:P130" si="31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76756</v>
      </c>
      <c r="E100" s="516">
        <v>1896.3414634146341</v>
      </c>
      <c r="F100" s="515">
        <v>74859.658536585368</v>
      </c>
      <c r="G100" s="515">
        <v>75807.829268292684</v>
      </c>
      <c r="H100" s="516">
        <v>14411.158990782849</v>
      </c>
      <c r="I100" s="510">
        <v>14411.158990782849</v>
      </c>
      <c r="J100" s="514">
        <f t="shared" si="26"/>
        <v>0</v>
      </c>
      <c r="K100" s="514"/>
      <c r="L100" s="518">
        <f t="shared" si="27"/>
        <v>14411.158990782849</v>
      </c>
      <c r="M100" s="519">
        <f t="shared" si="28"/>
        <v>0</v>
      </c>
      <c r="N100" s="518">
        <f t="shared" si="29"/>
        <v>14411.158990782849</v>
      </c>
      <c r="O100" s="514">
        <f t="shared" si="30"/>
        <v>0</v>
      </c>
      <c r="P100" s="514">
        <f t="shared" si="31"/>
        <v>0</v>
      </c>
      <c r="Q100" s="269"/>
    </row>
    <row r="101" spans="1:17" ht="12.5">
      <c r="B101" s="195" t="str">
        <f t="shared" ref="B101:B154" si="32">IF(D101=F100,"","IU")</f>
        <v/>
      </c>
      <c r="C101" s="507">
        <f>IF(D93="","-",+C100+1)</f>
        <v>2011</v>
      </c>
      <c r="D101" s="508">
        <v>74859.658536585368</v>
      </c>
      <c r="E101" s="520">
        <v>1851.1904761904761</v>
      </c>
      <c r="F101" s="515">
        <v>73008.468060394895</v>
      </c>
      <c r="G101" s="515">
        <v>73934.063298490131</v>
      </c>
      <c r="H101" s="516">
        <v>12969.387615340562</v>
      </c>
      <c r="I101" s="510">
        <v>12969.387615340562</v>
      </c>
      <c r="J101" s="514">
        <f t="shared" si="26"/>
        <v>0</v>
      </c>
      <c r="K101" s="514"/>
      <c r="L101" s="518">
        <f t="shared" si="27"/>
        <v>12969.387615340562</v>
      </c>
      <c r="M101" s="519">
        <f t="shared" si="28"/>
        <v>0</v>
      </c>
      <c r="N101" s="518">
        <f t="shared" si="29"/>
        <v>12969.387615340562</v>
      </c>
      <c r="O101" s="514">
        <f t="shared" si="30"/>
        <v>0</v>
      </c>
      <c r="P101" s="514">
        <f t="shared" si="31"/>
        <v>0</v>
      </c>
      <c r="Q101" s="269"/>
    </row>
    <row r="102" spans="1:17" ht="12.5">
      <c r="B102" s="195" t="str">
        <f t="shared" si="32"/>
        <v/>
      </c>
      <c r="C102" s="507">
        <f>IF(D93="","-",+C101+1)</f>
        <v>2012</v>
      </c>
      <c r="D102" s="508">
        <v>73008.468060394895</v>
      </c>
      <c r="E102" s="516">
        <v>1851.1904761904761</v>
      </c>
      <c r="F102" s="515">
        <v>71157.277584204421</v>
      </c>
      <c r="G102" s="515">
        <v>72082.872822299658</v>
      </c>
      <c r="H102" s="516">
        <v>12458.468627153823</v>
      </c>
      <c r="I102" s="510">
        <v>12458.468627153823</v>
      </c>
      <c r="J102" s="514">
        <f t="shared" si="26"/>
        <v>0</v>
      </c>
      <c r="K102" s="514"/>
      <c r="L102" s="518">
        <f t="shared" si="27"/>
        <v>12458.468627153823</v>
      </c>
      <c r="M102" s="519">
        <f t="shared" si="28"/>
        <v>0</v>
      </c>
      <c r="N102" s="518">
        <f t="shared" si="29"/>
        <v>12458.468627153823</v>
      </c>
      <c r="O102" s="514">
        <f t="shared" si="30"/>
        <v>0</v>
      </c>
      <c r="P102" s="514">
        <f t="shared" si="31"/>
        <v>0</v>
      </c>
      <c r="Q102" s="269"/>
    </row>
    <row r="103" spans="1:17" ht="12.5">
      <c r="B103" s="195" t="str">
        <f t="shared" si="32"/>
        <v/>
      </c>
      <c r="C103" s="507">
        <f>IF(D93="","-",+C102+1)</f>
        <v>2013</v>
      </c>
      <c r="D103" s="508">
        <v>71157.277584204421</v>
      </c>
      <c r="E103" s="516">
        <v>1851.1904761904761</v>
      </c>
      <c r="F103" s="515">
        <v>69306.087108013948</v>
      </c>
      <c r="G103" s="515">
        <v>70231.682346109184</v>
      </c>
      <c r="H103" s="516">
        <v>11352.954336851966</v>
      </c>
      <c r="I103" s="510">
        <v>11352.954336851966</v>
      </c>
      <c r="J103" s="514">
        <v>0</v>
      </c>
      <c r="K103" s="514"/>
      <c r="L103" s="518">
        <f t="shared" si="27"/>
        <v>11352.954336851966</v>
      </c>
      <c r="M103" s="519">
        <f t="shared" ref="M103:M108" si="33">IF(L103&lt;&gt;0,+H103-L103,0)</f>
        <v>0</v>
      </c>
      <c r="N103" s="518">
        <f t="shared" si="29"/>
        <v>11352.954336851966</v>
      </c>
      <c r="O103" s="514">
        <f t="shared" ref="O103:O108" si="34">IF(N103&lt;&gt;0,+I103-N103,0)</f>
        <v>0</v>
      </c>
      <c r="P103" s="514">
        <f t="shared" ref="P103:P108" si="35">+O103-M103</f>
        <v>0</v>
      </c>
      <c r="Q103" s="269"/>
    </row>
    <row r="104" spans="1:17" ht="12.5">
      <c r="B104" s="195" t="str">
        <f t="shared" si="32"/>
        <v/>
      </c>
      <c r="C104" s="507">
        <f>IF(D93="","-",+C103+1)</f>
        <v>2014</v>
      </c>
      <c r="D104" s="508">
        <v>69306.087108013948</v>
      </c>
      <c r="E104" s="516">
        <v>1851.1904761904761</v>
      </c>
      <c r="F104" s="515">
        <v>67454.896631823474</v>
      </c>
      <c r="G104" s="515">
        <v>68380.491869918711</v>
      </c>
      <c r="H104" s="516">
        <v>11145.703511546504</v>
      </c>
      <c r="I104" s="510">
        <v>11145.703511546504</v>
      </c>
      <c r="J104" s="514">
        <v>0</v>
      </c>
      <c r="K104" s="514"/>
      <c r="L104" s="518">
        <f t="shared" si="27"/>
        <v>11145.703511546504</v>
      </c>
      <c r="M104" s="519">
        <f t="shared" si="33"/>
        <v>0</v>
      </c>
      <c r="N104" s="518">
        <f t="shared" si="29"/>
        <v>11145.703511546504</v>
      </c>
      <c r="O104" s="514">
        <f t="shared" si="34"/>
        <v>0</v>
      </c>
      <c r="P104" s="514">
        <f t="shared" si="35"/>
        <v>0</v>
      </c>
      <c r="Q104" s="269"/>
    </row>
    <row r="105" spans="1:17" ht="12.5">
      <c r="B105" s="195" t="str">
        <f t="shared" si="32"/>
        <v/>
      </c>
      <c r="C105" s="507">
        <f>IF(D93="","-",+C104+1)</f>
        <v>2015</v>
      </c>
      <c r="D105" s="508">
        <v>67454.896631823474</v>
      </c>
      <c r="E105" s="516">
        <v>1851.1904761904761</v>
      </c>
      <c r="F105" s="515">
        <v>65603.706155633001</v>
      </c>
      <c r="G105" s="515">
        <v>66529.301393728238</v>
      </c>
      <c r="H105" s="516">
        <v>10617.681866649142</v>
      </c>
      <c r="I105" s="510">
        <v>10617.681866649142</v>
      </c>
      <c r="J105" s="514">
        <f t="shared" si="26"/>
        <v>0</v>
      </c>
      <c r="K105" s="514"/>
      <c r="L105" s="518">
        <f t="shared" ref="L105:L110" si="36">H105</f>
        <v>10617.681866649142</v>
      </c>
      <c r="M105" s="519">
        <f t="shared" si="33"/>
        <v>0</v>
      </c>
      <c r="N105" s="518">
        <f t="shared" ref="N105:N110" si="37">I105</f>
        <v>10617.681866649142</v>
      </c>
      <c r="O105" s="514">
        <f t="shared" si="34"/>
        <v>0</v>
      </c>
      <c r="P105" s="514">
        <f t="shared" si="35"/>
        <v>0</v>
      </c>
      <c r="Q105" s="269"/>
    </row>
    <row r="106" spans="1:17" ht="12.5">
      <c r="B106" s="195" t="str">
        <f t="shared" si="32"/>
        <v/>
      </c>
      <c r="C106" s="507">
        <f>IF(D93="","-",+C105+1)</f>
        <v>2016</v>
      </c>
      <c r="D106" s="508">
        <v>65603.706155633001</v>
      </c>
      <c r="E106" s="516">
        <v>1808.1395348837209</v>
      </c>
      <c r="F106" s="515">
        <v>63795.566620749283</v>
      </c>
      <c r="G106" s="515">
        <v>64699.636388191138</v>
      </c>
      <c r="H106" s="516">
        <v>10021.757616625862</v>
      </c>
      <c r="I106" s="510">
        <v>10021.757616625862</v>
      </c>
      <c r="J106" s="514">
        <f t="shared" si="26"/>
        <v>0</v>
      </c>
      <c r="K106" s="514"/>
      <c r="L106" s="518">
        <f t="shared" si="36"/>
        <v>10021.757616625862</v>
      </c>
      <c r="M106" s="519">
        <f t="shared" si="33"/>
        <v>0</v>
      </c>
      <c r="N106" s="518">
        <f t="shared" si="37"/>
        <v>10021.757616625862</v>
      </c>
      <c r="O106" s="514">
        <f t="shared" si="34"/>
        <v>0</v>
      </c>
      <c r="P106" s="514">
        <f t="shared" si="35"/>
        <v>0</v>
      </c>
      <c r="Q106" s="269"/>
    </row>
    <row r="107" spans="1:17" ht="12.5">
      <c r="B107" s="195" t="str">
        <f t="shared" si="32"/>
        <v/>
      </c>
      <c r="C107" s="507">
        <f>IF(D93="","-",+C106+1)</f>
        <v>2017</v>
      </c>
      <c r="D107" s="508">
        <v>63795.566620749283</v>
      </c>
      <c r="E107" s="516">
        <v>1851.1904761904761</v>
      </c>
      <c r="F107" s="515">
        <v>61944.37614455881</v>
      </c>
      <c r="G107" s="515">
        <v>62869.971382654046</v>
      </c>
      <c r="H107" s="516">
        <v>9488.0975445916993</v>
      </c>
      <c r="I107" s="510">
        <v>9488.0975445916993</v>
      </c>
      <c r="J107" s="514">
        <f t="shared" si="26"/>
        <v>0</v>
      </c>
      <c r="K107" s="514"/>
      <c r="L107" s="518">
        <f t="shared" si="36"/>
        <v>9488.0975445916993</v>
      </c>
      <c r="M107" s="519">
        <f t="shared" si="33"/>
        <v>0</v>
      </c>
      <c r="N107" s="518">
        <f t="shared" si="37"/>
        <v>9488.0975445916993</v>
      </c>
      <c r="O107" s="514">
        <f t="shared" si="34"/>
        <v>0</v>
      </c>
      <c r="P107" s="514">
        <f t="shared" si="35"/>
        <v>0</v>
      </c>
      <c r="Q107" s="269"/>
    </row>
    <row r="108" spans="1:17" ht="12.5">
      <c r="B108" s="195" t="str">
        <f t="shared" si="32"/>
        <v/>
      </c>
      <c r="C108" s="507">
        <f>IF(D93="","-",+C107+1)</f>
        <v>2018</v>
      </c>
      <c r="D108" s="508">
        <v>61944.37614455881</v>
      </c>
      <c r="E108" s="516">
        <v>1851.1904761904761</v>
      </c>
      <c r="F108" s="515">
        <v>60093.185668368336</v>
      </c>
      <c r="G108" s="515">
        <v>61018.780906463573</v>
      </c>
      <c r="H108" s="516">
        <v>8295.0535610460302</v>
      </c>
      <c r="I108" s="510">
        <v>8295.0535610460302</v>
      </c>
      <c r="J108" s="514">
        <f t="shared" si="26"/>
        <v>0</v>
      </c>
      <c r="K108" s="514"/>
      <c r="L108" s="518">
        <f t="shared" si="36"/>
        <v>8295.0535610460302</v>
      </c>
      <c r="M108" s="519">
        <f t="shared" si="33"/>
        <v>0</v>
      </c>
      <c r="N108" s="518">
        <f t="shared" si="37"/>
        <v>8295.0535610460302</v>
      </c>
      <c r="O108" s="514">
        <f t="shared" si="34"/>
        <v>0</v>
      </c>
      <c r="P108" s="514">
        <f t="shared" si="35"/>
        <v>0</v>
      </c>
      <c r="Q108" s="269"/>
    </row>
    <row r="109" spans="1:17" ht="12.5">
      <c r="B109" s="195" t="str">
        <f t="shared" si="32"/>
        <v/>
      </c>
      <c r="C109" s="507">
        <f>IF(D93="","-",+C108+1)</f>
        <v>2019</v>
      </c>
      <c r="D109" s="508">
        <v>60093.185668368336</v>
      </c>
      <c r="E109" s="516">
        <v>1808.1395348837209</v>
      </c>
      <c r="F109" s="515">
        <v>58285.046133484619</v>
      </c>
      <c r="G109" s="515">
        <v>59189.115900926481</v>
      </c>
      <c r="H109" s="516">
        <v>8143.7748502603245</v>
      </c>
      <c r="I109" s="510">
        <v>8143.7748502603245</v>
      </c>
      <c r="J109" s="514">
        <f t="shared" si="26"/>
        <v>0</v>
      </c>
      <c r="K109" s="514"/>
      <c r="L109" s="518">
        <f t="shared" si="36"/>
        <v>8143.7748502603245</v>
      </c>
      <c r="M109" s="519">
        <f t="shared" ref="M109:M110" si="38">IF(L109&lt;&gt;0,+H109-L109,0)</f>
        <v>0</v>
      </c>
      <c r="N109" s="518">
        <f t="shared" si="37"/>
        <v>8143.7748502603245</v>
      </c>
      <c r="O109" s="514">
        <f t="shared" si="30"/>
        <v>0</v>
      </c>
      <c r="P109" s="514">
        <f t="shared" si="31"/>
        <v>0</v>
      </c>
      <c r="Q109" s="269"/>
    </row>
    <row r="110" spans="1:17" ht="12.5">
      <c r="B110" s="195" t="str">
        <f t="shared" si="32"/>
        <v/>
      </c>
      <c r="C110" s="507">
        <f>IF(D93="","-",+C109+1)</f>
        <v>2020</v>
      </c>
      <c r="D110" s="508">
        <v>58285.046133484619</v>
      </c>
      <c r="E110" s="516">
        <v>1851.1904761904761</v>
      </c>
      <c r="F110" s="515">
        <v>56433.855657294145</v>
      </c>
      <c r="G110" s="515">
        <v>57359.450895389382</v>
      </c>
      <c r="H110" s="516">
        <v>8021.5664391453738</v>
      </c>
      <c r="I110" s="510">
        <v>8021.5664391453738</v>
      </c>
      <c r="J110" s="514">
        <f t="shared" si="26"/>
        <v>0</v>
      </c>
      <c r="K110" s="514"/>
      <c r="L110" s="518">
        <f t="shared" si="36"/>
        <v>8021.5664391453738</v>
      </c>
      <c r="M110" s="519">
        <f t="shared" si="38"/>
        <v>0</v>
      </c>
      <c r="N110" s="518">
        <f t="shared" si="37"/>
        <v>8021.5664391453738</v>
      </c>
      <c r="O110" s="514">
        <f t="shared" si="30"/>
        <v>0</v>
      </c>
      <c r="P110" s="514">
        <f t="shared" si="31"/>
        <v>0</v>
      </c>
      <c r="Q110" s="269"/>
    </row>
    <row r="111" spans="1:17" ht="12.5">
      <c r="B111" s="195" t="str">
        <f t="shared" si="32"/>
        <v/>
      </c>
      <c r="C111" s="507">
        <f>IF(D93="","-",+C110+1)</f>
        <v>2021</v>
      </c>
      <c r="D111" s="374">
        <f>IF(F110+SUM(E$99:E110)=D$92,F110,D$92-SUM(E$99:E110))</f>
        <v>56433.855657294145</v>
      </c>
      <c r="E111" s="522">
        <f>IF(+J96&lt;F110,J96,D111)</f>
        <v>1896.3414634146341</v>
      </c>
      <c r="F111" s="523">
        <f t="shared" ref="F111:F130" si="39">+D111-E111</f>
        <v>54537.514193879513</v>
      </c>
      <c r="G111" s="523">
        <f t="shared" ref="G111:G130" si="40">+(F111+D111)/2</f>
        <v>55485.684925586829</v>
      </c>
      <c r="H111" s="526">
        <f>+J$94*G111+E111</f>
        <v>8194.7560624520156</v>
      </c>
      <c r="I111" s="577">
        <f>+J$95*G111+E111</f>
        <v>8194.7560624520156</v>
      </c>
      <c r="J111" s="514">
        <f t="shared" si="26"/>
        <v>0</v>
      </c>
      <c r="K111" s="514"/>
      <c r="L111" s="525"/>
      <c r="M111" s="514">
        <f t="shared" si="28"/>
        <v>0</v>
      </c>
      <c r="N111" s="525"/>
      <c r="O111" s="514">
        <f t="shared" si="30"/>
        <v>0</v>
      </c>
      <c r="P111" s="514">
        <f t="shared" si="31"/>
        <v>0</v>
      </c>
      <c r="Q111" s="269"/>
    </row>
    <row r="112" spans="1:17" ht="12.5">
      <c r="B112" s="195" t="str">
        <f t="shared" si="32"/>
        <v/>
      </c>
      <c r="C112" s="507">
        <f>IF(D93="","-",+C111+1)</f>
        <v>2022</v>
      </c>
      <c r="D112" s="374">
        <f>IF(F111+SUM(E$99:E111)=D$92,F111,D$92-SUM(E$99:E111))</f>
        <v>54537.514193879513</v>
      </c>
      <c r="E112" s="522">
        <f>IF(+J96&lt;F111,J96,D112)</f>
        <v>1896.3414634146341</v>
      </c>
      <c r="F112" s="523">
        <f t="shared" si="39"/>
        <v>52641.172730464881</v>
      </c>
      <c r="G112" s="523">
        <f t="shared" si="40"/>
        <v>53589.343462172197</v>
      </c>
      <c r="H112" s="526">
        <f>+J$94*G112+E112</f>
        <v>7979.4943282957383</v>
      </c>
      <c r="I112" s="577">
        <f>+J$95*G112+E112</f>
        <v>7979.4943282957383</v>
      </c>
      <c r="J112" s="514">
        <f t="shared" si="26"/>
        <v>0</v>
      </c>
      <c r="K112" s="514"/>
      <c r="L112" s="525"/>
      <c r="M112" s="514">
        <f t="shared" si="28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 ht="12.5">
      <c r="B113" s="195" t="str">
        <f t="shared" si="32"/>
        <v/>
      </c>
      <c r="C113" s="507">
        <f>IF(D93="","-",+C112+1)</f>
        <v>2023</v>
      </c>
      <c r="D113" s="374">
        <f>IF(F112+SUM(E$99:E112)=D$92,F112,D$92-SUM(E$99:E112))</f>
        <v>52641.172730464881</v>
      </c>
      <c r="E113" s="522">
        <f>IF(+J96&lt;F112,J96,D113)</f>
        <v>1896.3414634146341</v>
      </c>
      <c r="F113" s="523">
        <f t="shared" si="39"/>
        <v>50744.831267050249</v>
      </c>
      <c r="G113" s="523">
        <f t="shared" si="40"/>
        <v>51693.001998757565</v>
      </c>
      <c r="H113" s="526">
        <f t="shared" ref="H113:H154" si="41">+J$94*G113+E113</f>
        <v>7764.2325941394611</v>
      </c>
      <c r="I113" s="577">
        <f t="shared" ref="I113:I154" si="42">+J$95*G113+E113</f>
        <v>7764.2325941394611</v>
      </c>
      <c r="J113" s="514">
        <f t="shared" si="26"/>
        <v>0</v>
      </c>
      <c r="K113" s="514"/>
      <c r="L113" s="525"/>
      <c r="M113" s="514">
        <f t="shared" si="28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 ht="12.5">
      <c r="B114" s="195" t="str">
        <f t="shared" si="32"/>
        <v/>
      </c>
      <c r="C114" s="507">
        <f>IF(D93="","-",+C113+1)</f>
        <v>2024</v>
      </c>
      <c r="D114" s="374">
        <f>IF(F113+SUM(E$99:E113)=D$92,F113,D$92-SUM(E$99:E113))</f>
        <v>50744.831267050249</v>
      </c>
      <c r="E114" s="522">
        <f>IF(+J96&lt;F113,J96,D114)</f>
        <v>1896.3414634146341</v>
      </c>
      <c r="F114" s="523">
        <f t="shared" si="39"/>
        <v>48848.489803635617</v>
      </c>
      <c r="G114" s="523">
        <f t="shared" si="40"/>
        <v>49796.660535342933</v>
      </c>
      <c r="H114" s="526">
        <f t="shared" si="41"/>
        <v>7548.9708599831838</v>
      </c>
      <c r="I114" s="577">
        <f t="shared" si="42"/>
        <v>7548.9708599831838</v>
      </c>
      <c r="J114" s="514">
        <f t="shared" si="26"/>
        <v>0</v>
      </c>
      <c r="K114" s="514"/>
      <c r="L114" s="525"/>
      <c r="M114" s="514">
        <f t="shared" si="28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 ht="12.5">
      <c r="B115" s="195" t="str">
        <f t="shared" si="32"/>
        <v/>
      </c>
      <c r="C115" s="507">
        <f>IF(D93="","-",+C114+1)</f>
        <v>2025</v>
      </c>
      <c r="D115" s="374">
        <f>IF(F114+SUM(E$99:E114)=D$92,F114,D$92-SUM(E$99:E114))</f>
        <v>48848.489803635566</v>
      </c>
      <c r="E115" s="522">
        <f>IF(+J96&lt;F114,J96,D115)</f>
        <v>1896.3414634146341</v>
      </c>
      <c r="F115" s="523">
        <f t="shared" si="39"/>
        <v>46952.148340220934</v>
      </c>
      <c r="G115" s="523">
        <f t="shared" si="40"/>
        <v>47900.31907192825</v>
      </c>
      <c r="H115" s="526">
        <f t="shared" si="41"/>
        <v>7333.7091258269011</v>
      </c>
      <c r="I115" s="577">
        <f t="shared" si="42"/>
        <v>7333.7091258269011</v>
      </c>
      <c r="J115" s="514">
        <f t="shared" si="26"/>
        <v>0</v>
      </c>
      <c r="K115" s="514"/>
      <c r="L115" s="525"/>
      <c r="M115" s="514">
        <f t="shared" si="28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 ht="12.5">
      <c r="B116" s="195" t="str">
        <f t="shared" si="32"/>
        <v/>
      </c>
      <c r="C116" s="507">
        <f>IF(D93="","-",+C115+1)</f>
        <v>2026</v>
      </c>
      <c r="D116" s="374">
        <f>IF(F115+SUM(E$99:E115)=D$92,F115,D$92-SUM(E$99:E115))</f>
        <v>46952.148340220934</v>
      </c>
      <c r="E116" s="522">
        <f>IF(+J96&lt;F115,J96,D116)</f>
        <v>1896.3414634146341</v>
      </c>
      <c r="F116" s="523">
        <f t="shared" si="39"/>
        <v>45055.806876806302</v>
      </c>
      <c r="G116" s="523">
        <f t="shared" si="40"/>
        <v>46003.977608513618</v>
      </c>
      <c r="H116" s="526">
        <f t="shared" si="41"/>
        <v>7118.4473916706238</v>
      </c>
      <c r="I116" s="577">
        <f t="shared" si="42"/>
        <v>7118.4473916706238</v>
      </c>
      <c r="J116" s="514">
        <f t="shared" si="26"/>
        <v>0</v>
      </c>
      <c r="K116" s="514"/>
      <c r="L116" s="525"/>
      <c r="M116" s="514">
        <f t="shared" si="28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 ht="12.5">
      <c r="B117" s="195" t="str">
        <f t="shared" si="32"/>
        <v/>
      </c>
      <c r="C117" s="507">
        <f>IF(D93="","-",+C116+1)</f>
        <v>2027</v>
      </c>
      <c r="D117" s="374">
        <f>IF(F116+SUM(E$99:E116)=D$92,F116,D$92-SUM(E$99:E116))</f>
        <v>45055.806876806302</v>
      </c>
      <c r="E117" s="522">
        <f>IF(+J96&lt;F116,J96,D117)</f>
        <v>1896.3414634146341</v>
      </c>
      <c r="F117" s="523">
        <f t="shared" si="39"/>
        <v>43159.46541339167</v>
      </c>
      <c r="G117" s="523">
        <f t="shared" si="40"/>
        <v>44107.636145098986</v>
      </c>
      <c r="H117" s="526">
        <f t="shared" si="41"/>
        <v>6903.1856575143465</v>
      </c>
      <c r="I117" s="577">
        <f t="shared" si="42"/>
        <v>6903.1856575143465</v>
      </c>
      <c r="J117" s="514">
        <f t="shared" si="26"/>
        <v>0</v>
      </c>
      <c r="K117" s="514"/>
      <c r="L117" s="525"/>
      <c r="M117" s="514">
        <f t="shared" si="28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 ht="12.5">
      <c r="B118" s="195" t="str">
        <f t="shared" si="32"/>
        <v/>
      </c>
      <c r="C118" s="507">
        <f>IF(D93="","-",+C117+1)</f>
        <v>2028</v>
      </c>
      <c r="D118" s="374">
        <f>IF(F117+SUM(E$99:E117)=D$92,F117,D$92-SUM(E$99:E117))</f>
        <v>43159.46541339167</v>
      </c>
      <c r="E118" s="522">
        <f>IF(+J96&lt;F117,J96,D118)</f>
        <v>1896.3414634146341</v>
      </c>
      <c r="F118" s="523">
        <f t="shared" si="39"/>
        <v>41263.123949977038</v>
      </c>
      <c r="G118" s="523">
        <f t="shared" si="40"/>
        <v>42211.294681684354</v>
      </c>
      <c r="H118" s="526">
        <f t="shared" si="41"/>
        <v>6687.9239233580693</v>
      </c>
      <c r="I118" s="577">
        <f t="shared" si="42"/>
        <v>6687.9239233580693</v>
      </c>
      <c r="J118" s="514">
        <f t="shared" si="26"/>
        <v>0</v>
      </c>
      <c r="K118" s="514"/>
      <c r="L118" s="525"/>
      <c r="M118" s="514">
        <f t="shared" si="28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 ht="12.5">
      <c r="B119" s="195" t="str">
        <f t="shared" si="32"/>
        <v/>
      </c>
      <c r="C119" s="507">
        <f>IF(D93="","-",+C118+1)</f>
        <v>2029</v>
      </c>
      <c r="D119" s="374">
        <f>IF(F118+SUM(E$99:E118)=D$92,F118,D$92-SUM(E$99:E118))</f>
        <v>41263.123949977038</v>
      </c>
      <c r="E119" s="522">
        <f>IF(+J96&lt;F118,J96,D119)</f>
        <v>1896.3414634146341</v>
      </c>
      <c r="F119" s="523">
        <f t="shared" si="39"/>
        <v>39366.782486562406</v>
      </c>
      <c r="G119" s="523">
        <f t="shared" si="40"/>
        <v>40314.953218269722</v>
      </c>
      <c r="H119" s="526">
        <f t="shared" si="41"/>
        <v>6472.662189201792</v>
      </c>
      <c r="I119" s="577">
        <f t="shared" si="42"/>
        <v>6472.662189201792</v>
      </c>
      <c r="J119" s="514">
        <f t="shared" si="26"/>
        <v>0</v>
      </c>
      <c r="K119" s="514"/>
      <c r="L119" s="525"/>
      <c r="M119" s="514">
        <f t="shared" si="28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 ht="12.5">
      <c r="B120" s="195" t="str">
        <f t="shared" si="32"/>
        <v/>
      </c>
      <c r="C120" s="507">
        <f>IF(D93="","-",+C119+1)</f>
        <v>2030</v>
      </c>
      <c r="D120" s="374">
        <f>IF(F119+SUM(E$99:E119)=D$92,F119,D$92-SUM(E$99:E119))</f>
        <v>39366.782486562406</v>
      </c>
      <c r="E120" s="522">
        <f>IF(+J96&lt;F119,J96,D120)</f>
        <v>1896.3414634146341</v>
      </c>
      <c r="F120" s="523">
        <f t="shared" si="39"/>
        <v>37470.441023147774</v>
      </c>
      <c r="G120" s="523">
        <f t="shared" si="40"/>
        <v>38418.61175485509</v>
      </c>
      <c r="H120" s="526">
        <f t="shared" si="41"/>
        <v>6257.4004550455147</v>
      </c>
      <c r="I120" s="577">
        <f t="shared" si="42"/>
        <v>6257.4004550455147</v>
      </c>
      <c r="J120" s="514">
        <f t="shared" si="26"/>
        <v>0</v>
      </c>
      <c r="K120" s="514"/>
      <c r="L120" s="525"/>
      <c r="M120" s="514">
        <f t="shared" si="28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 ht="12.5">
      <c r="B121" s="195" t="str">
        <f t="shared" si="32"/>
        <v/>
      </c>
      <c r="C121" s="507">
        <f>IF(D93="","-",+C120+1)</f>
        <v>2031</v>
      </c>
      <c r="D121" s="374">
        <f>IF(F120+SUM(E$99:E120)=D$92,F120,D$92-SUM(E$99:E120))</f>
        <v>37470.441023147774</v>
      </c>
      <c r="E121" s="522">
        <f>IF(+J96&lt;F120,J96,D121)</f>
        <v>1896.3414634146341</v>
      </c>
      <c r="F121" s="523">
        <f t="shared" si="39"/>
        <v>35574.099559733142</v>
      </c>
      <c r="G121" s="523">
        <f t="shared" si="40"/>
        <v>36522.270291440458</v>
      </c>
      <c r="H121" s="526">
        <f t="shared" si="41"/>
        <v>6042.1387208892374</v>
      </c>
      <c r="I121" s="577">
        <f t="shared" si="42"/>
        <v>6042.1387208892374</v>
      </c>
      <c r="J121" s="514">
        <f t="shared" si="26"/>
        <v>0</v>
      </c>
      <c r="K121" s="514"/>
      <c r="L121" s="525"/>
      <c r="M121" s="514">
        <f t="shared" si="28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 ht="12.5">
      <c r="B122" s="195" t="str">
        <f t="shared" si="32"/>
        <v/>
      </c>
      <c r="C122" s="507">
        <f>IF(D93="","-",+C121+1)</f>
        <v>2032</v>
      </c>
      <c r="D122" s="374">
        <f>IF(F121+SUM(E$99:E121)=D$92,F121,D$92-SUM(E$99:E121))</f>
        <v>35574.099559733142</v>
      </c>
      <c r="E122" s="522">
        <f>IF(+J96&lt;F121,J96,D122)</f>
        <v>1896.3414634146341</v>
      </c>
      <c r="F122" s="523">
        <f t="shared" si="39"/>
        <v>33677.75809631851</v>
      </c>
      <c r="G122" s="523">
        <f t="shared" si="40"/>
        <v>34625.928828025826</v>
      </c>
      <c r="H122" s="526">
        <f t="shared" si="41"/>
        <v>5826.8769867329602</v>
      </c>
      <c r="I122" s="577">
        <f t="shared" si="42"/>
        <v>5826.8769867329602</v>
      </c>
      <c r="J122" s="514">
        <f t="shared" si="26"/>
        <v>0</v>
      </c>
      <c r="K122" s="514"/>
      <c r="L122" s="525"/>
      <c r="M122" s="514">
        <f t="shared" si="28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 ht="12.5">
      <c r="B123" s="195" t="str">
        <f t="shared" si="32"/>
        <v/>
      </c>
      <c r="C123" s="507">
        <f>IF(D93="","-",+C122+1)</f>
        <v>2033</v>
      </c>
      <c r="D123" s="374">
        <f>IF(F122+SUM(E$99:E122)=D$92,F122,D$92-SUM(E$99:E122))</f>
        <v>33677.75809631851</v>
      </c>
      <c r="E123" s="522">
        <f>IF(+J96&lt;F122,J96,D123)</f>
        <v>1896.3414634146341</v>
      </c>
      <c r="F123" s="523">
        <f t="shared" si="39"/>
        <v>31781.416632903874</v>
      </c>
      <c r="G123" s="523">
        <f t="shared" si="40"/>
        <v>32729.587364611194</v>
      </c>
      <c r="H123" s="526">
        <f t="shared" si="41"/>
        <v>5611.6152525766829</v>
      </c>
      <c r="I123" s="577">
        <f t="shared" si="42"/>
        <v>5611.6152525766829</v>
      </c>
      <c r="J123" s="514">
        <f t="shared" si="26"/>
        <v>0</v>
      </c>
      <c r="K123" s="514"/>
      <c r="L123" s="525"/>
      <c r="M123" s="514">
        <f t="shared" si="28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 ht="12.5">
      <c r="B124" s="195" t="str">
        <f t="shared" si="32"/>
        <v/>
      </c>
      <c r="C124" s="507">
        <f>IF(D93="","-",+C123+1)</f>
        <v>2034</v>
      </c>
      <c r="D124" s="374">
        <f>IF(F123+SUM(E$99:E123)=D$92,F123,D$92-SUM(E$99:E123))</f>
        <v>31781.416632903874</v>
      </c>
      <c r="E124" s="522">
        <f>IF(+J96&lt;F123,J96,D124)</f>
        <v>1896.3414634146341</v>
      </c>
      <c r="F124" s="523">
        <f t="shared" si="39"/>
        <v>29885.075169489239</v>
      </c>
      <c r="G124" s="523">
        <f t="shared" si="40"/>
        <v>30833.245901196555</v>
      </c>
      <c r="H124" s="526">
        <f t="shared" si="41"/>
        <v>5396.3535184204056</v>
      </c>
      <c r="I124" s="577">
        <f t="shared" si="42"/>
        <v>5396.3535184204056</v>
      </c>
      <c r="J124" s="514">
        <f t="shared" si="26"/>
        <v>0</v>
      </c>
      <c r="K124" s="514"/>
      <c r="L124" s="525"/>
      <c r="M124" s="514">
        <f t="shared" si="28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 ht="12.5">
      <c r="B125" s="195" t="str">
        <f t="shared" si="32"/>
        <v/>
      </c>
      <c r="C125" s="507">
        <f>IF(D93="","-",+C124+1)</f>
        <v>2035</v>
      </c>
      <c r="D125" s="374">
        <f>IF(F124+SUM(E$99:E124)=D$92,F124,D$92-SUM(E$99:E124))</f>
        <v>29885.075169489239</v>
      </c>
      <c r="E125" s="522">
        <f>IF(+J96&lt;F124,J96,D125)</f>
        <v>1896.3414634146341</v>
      </c>
      <c r="F125" s="523">
        <f t="shared" si="39"/>
        <v>27988.733706074603</v>
      </c>
      <c r="G125" s="523">
        <f t="shared" si="40"/>
        <v>28936.904437781923</v>
      </c>
      <c r="H125" s="526">
        <f t="shared" si="41"/>
        <v>5181.0917842641284</v>
      </c>
      <c r="I125" s="577">
        <f t="shared" si="42"/>
        <v>5181.0917842641284</v>
      </c>
      <c r="J125" s="514">
        <f t="shared" si="26"/>
        <v>0</v>
      </c>
      <c r="K125" s="514"/>
      <c r="L125" s="525"/>
      <c r="M125" s="514">
        <f t="shared" si="28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 ht="12.5">
      <c r="B126" s="195" t="str">
        <f t="shared" si="32"/>
        <v/>
      </c>
      <c r="C126" s="507">
        <f>IF(D93="","-",+C125+1)</f>
        <v>2036</v>
      </c>
      <c r="D126" s="374">
        <f>IF(F125+SUM(E$99:E125)=D$92,F125,D$92-SUM(E$99:E125))</f>
        <v>27988.733706074603</v>
      </c>
      <c r="E126" s="522">
        <f>IF(+J96&lt;F125,J96,D126)</f>
        <v>1896.3414634146341</v>
      </c>
      <c r="F126" s="523">
        <f t="shared" si="39"/>
        <v>26092.392242659967</v>
      </c>
      <c r="G126" s="523">
        <f t="shared" si="40"/>
        <v>27040.562974367283</v>
      </c>
      <c r="H126" s="526">
        <f t="shared" si="41"/>
        <v>4965.8300501078502</v>
      </c>
      <c r="I126" s="577">
        <f t="shared" si="42"/>
        <v>4965.8300501078502</v>
      </c>
      <c r="J126" s="514">
        <f t="shared" si="26"/>
        <v>0</v>
      </c>
      <c r="K126" s="514"/>
      <c r="L126" s="525"/>
      <c r="M126" s="514">
        <f t="shared" si="28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 ht="12.5">
      <c r="B127" s="195" t="str">
        <f t="shared" si="32"/>
        <v/>
      </c>
      <c r="C127" s="507">
        <f>IF(D93="","-",+C126+1)</f>
        <v>2037</v>
      </c>
      <c r="D127" s="374">
        <f>IF(F126+SUM(E$99:E126)=D$92,F126,D$92-SUM(E$99:E126))</f>
        <v>26092.392242659967</v>
      </c>
      <c r="E127" s="522">
        <f>IF(+J96&lt;F126,J96,D127)</f>
        <v>1896.3414634146341</v>
      </c>
      <c r="F127" s="523">
        <f t="shared" si="39"/>
        <v>24196.050779245332</v>
      </c>
      <c r="G127" s="523">
        <f t="shared" si="40"/>
        <v>25144.221510952651</v>
      </c>
      <c r="H127" s="526">
        <f t="shared" si="41"/>
        <v>4750.5683159515729</v>
      </c>
      <c r="I127" s="577">
        <f t="shared" si="42"/>
        <v>4750.5683159515729</v>
      </c>
      <c r="J127" s="514">
        <f t="shared" si="26"/>
        <v>0</v>
      </c>
      <c r="K127" s="514"/>
      <c r="L127" s="525"/>
      <c r="M127" s="514">
        <f t="shared" si="28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 ht="12.5">
      <c r="B128" s="195" t="str">
        <f t="shared" si="32"/>
        <v/>
      </c>
      <c r="C128" s="507">
        <f>IF(D93="","-",+C127+1)</f>
        <v>2038</v>
      </c>
      <c r="D128" s="374">
        <f>IF(F127+SUM(E$99:E127)=D$92,F127,D$92-SUM(E$99:E127))</f>
        <v>24196.050779245332</v>
      </c>
      <c r="E128" s="522">
        <f>IF(+J96&lt;F127,J96,D128)</f>
        <v>1896.3414634146341</v>
      </c>
      <c r="F128" s="523">
        <f t="shared" si="39"/>
        <v>22299.709315830696</v>
      </c>
      <c r="G128" s="523">
        <f t="shared" si="40"/>
        <v>23247.880047538012</v>
      </c>
      <c r="H128" s="526">
        <f t="shared" si="41"/>
        <v>4535.3065817952947</v>
      </c>
      <c r="I128" s="577">
        <f t="shared" si="42"/>
        <v>4535.3065817952947</v>
      </c>
      <c r="J128" s="514">
        <f t="shared" si="26"/>
        <v>0</v>
      </c>
      <c r="K128" s="514"/>
      <c r="L128" s="525"/>
      <c r="M128" s="514">
        <f t="shared" si="28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 ht="12.5">
      <c r="B129" s="195" t="str">
        <f t="shared" si="32"/>
        <v/>
      </c>
      <c r="C129" s="507">
        <f>IF(D93="","-",+C128+1)</f>
        <v>2039</v>
      </c>
      <c r="D129" s="374">
        <f>IF(F128+SUM(E$99:E128)=D$92,F128,D$92-SUM(E$99:E128))</f>
        <v>22299.709315830696</v>
      </c>
      <c r="E129" s="522">
        <f>IF(+J96&lt;F128,J96,D129)</f>
        <v>1896.3414634146341</v>
      </c>
      <c r="F129" s="523">
        <f t="shared" si="39"/>
        <v>20403.36785241606</v>
      </c>
      <c r="G129" s="523">
        <f t="shared" si="40"/>
        <v>21351.53858412338</v>
      </c>
      <c r="H129" s="526">
        <f t="shared" si="41"/>
        <v>4320.0448476390175</v>
      </c>
      <c r="I129" s="577">
        <f t="shared" si="42"/>
        <v>4320.0448476390175</v>
      </c>
      <c r="J129" s="514">
        <f t="shared" si="26"/>
        <v>0</v>
      </c>
      <c r="K129" s="514"/>
      <c r="L129" s="525"/>
      <c r="M129" s="514">
        <f t="shared" si="28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 ht="12.5">
      <c r="B130" s="195" t="str">
        <f t="shared" si="32"/>
        <v/>
      </c>
      <c r="C130" s="507">
        <f>IF(D93="","-",+C129+1)</f>
        <v>2040</v>
      </c>
      <c r="D130" s="374">
        <f>IF(F129+SUM(E$99:E129)=D$92,F129,D$92-SUM(E$99:E129))</f>
        <v>20403.36785241606</v>
      </c>
      <c r="E130" s="522">
        <f>IF(+J96&lt;F129,J96,D130)</f>
        <v>1896.3414634146341</v>
      </c>
      <c r="F130" s="523">
        <f t="shared" si="39"/>
        <v>18507.026389001425</v>
      </c>
      <c r="G130" s="523">
        <f t="shared" si="40"/>
        <v>19455.197120708741</v>
      </c>
      <c r="H130" s="526">
        <f t="shared" si="41"/>
        <v>4104.7831134827393</v>
      </c>
      <c r="I130" s="577">
        <f t="shared" si="42"/>
        <v>4104.7831134827393</v>
      </c>
      <c r="J130" s="514">
        <f t="shared" si="26"/>
        <v>0</v>
      </c>
      <c r="K130" s="514"/>
      <c r="L130" s="525"/>
      <c r="M130" s="514">
        <f t="shared" si="28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 ht="12.5">
      <c r="B131" s="195" t="str">
        <f t="shared" si="32"/>
        <v/>
      </c>
      <c r="C131" s="507">
        <f>IF(D93="","-",+C130+1)</f>
        <v>2041</v>
      </c>
      <c r="D131" s="374">
        <f>IF(F130+SUM(E$99:E130)=D$92,F130,D$92-SUM(E$99:E130))</f>
        <v>18507.026389001425</v>
      </c>
      <c r="E131" s="522">
        <f>IF(+J96&lt;F130,J96,D131)</f>
        <v>1896.3414634146341</v>
      </c>
      <c r="F131" s="523">
        <f t="shared" ref="F131:F154" si="43">+D131-E131</f>
        <v>16610.684925586789</v>
      </c>
      <c r="G131" s="523">
        <f t="shared" ref="G131:G154" si="44">+(F131+D131)/2</f>
        <v>17558.855657294109</v>
      </c>
      <c r="H131" s="526">
        <f t="shared" si="41"/>
        <v>3889.521379326462</v>
      </c>
      <c r="I131" s="577">
        <f t="shared" si="42"/>
        <v>3889.521379326462</v>
      </c>
      <c r="J131" s="514">
        <f t="shared" ref="J131:J154" si="45">+I131-H131</f>
        <v>0</v>
      </c>
      <c r="K131" s="514"/>
      <c r="L131" s="525"/>
      <c r="M131" s="514">
        <f t="shared" ref="M131:M154" si="46">IF(L131&lt;&gt;0,+H131-L131,0)</f>
        <v>0</v>
      </c>
      <c r="N131" s="525"/>
      <c r="O131" s="514">
        <f t="shared" ref="O131:O154" si="47">IF(N131&lt;&gt;0,+I131-N131,0)</f>
        <v>0</v>
      </c>
      <c r="P131" s="514">
        <f t="shared" ref="P131:P154" si="48">+O131-M131</f>
        <v>0</v>
      </c>
      <c r="Q131" s="269"/>
    </row>
    <row r="132" spans="2:17" ht="12.5">
      <c r="B132" s="195" t="str">
        <f t="shared" si="32"/>
        <v/>
      </c>
      <c r="C132" s="507">
        <f>IF(D93="","-",+C131+1)</f>
        <v>2042</v>
      </c>
      <c r="D132" s="374">
        <f>IF(F131+SUM(E$99:E131)=D$92,F131,D$92-SUM(E$99:E131))</f>
        <v>16610.684925586789</v>
      </c>
      <c r="E132" s="522">
        <f>IF(+J96&lt;F131,J96,D132)</f>
        <v>1896.3414634146341</v>
      </c>
      <c r="F132" s="523">
        <f t="shared" si="43"/>
        <v>14714.343462172155</v>
      </c>
      <c r="G132" s="523">
        <f t="shared" si="44"/>
        <v>15662.514193879473</v>
      </c>
      <c r="H132" s="526">
        <f t="shared" si="41"/>
        <v>3674.2596451701847</v>
      </c>
      <c r="I132" s="577">
        <f t="shared" si="42"/>
        <v>3674.2596451701847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  <c r="Q132" s="269"/>
    </row>
    <row r="133" spans="2:17" ht="12.5">
      <c r="B133" s="195" t="str">
        <f t="shared" si="32"/>
        <v/>
      </c>
      <c r="C133" s="507">
        <f>IF(D93="","-",+C132+1)</f>
        <v>2043</v>
      </c>
      <c r="D133" s="374">
        <f>IF(F132+SUM(E$99:E132)=D$92,F132,D$92-SUM(E$99:E132))</f>
        <v>14714.343462172155</v>
      </c>
      <c r="E133" s="522">
        <f>IF(+J96&lt;F132,J96,D133)</f>
        <v>1896.3414634146341</v>
      </c>
      <c r="F133" s="523">
        <f t="shared" si="43"/>
        <v>12818.001998757522</v>
      </c>
      <c r="G133" s="523">
        <f t="shared" si="44"/>
        <v>13766.172730464838</v>
      </c>
      <c r="H133" s="526">
        <f t="shared" si="41"/>
        <v>3458.9979110139066</v>
      </c>
      <c r="I133" s="577">
        <f t="shared" si="42"/>
        <v>3458.9979110139066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  <c r="Q133" s="269"/>
    </row>
    <row r="134" spans="2:17" ht="12.5">
      <c r="B134" s="195" t="str">
        <f t="shared" si="32"/>
        <v/>
      </c>
      <c r="C134" s="507">
        <f>IF(D93="","-",+C133+1)</f>
        <v>2044</v>
      </c>
      <c r="D134" s="374">
        <f>IF(F133+SUM(E$99:E133)=D$92,F133,D$92-SUM(E$99:E133))</f>
        <v>12818.001998757522</v>
      </c>
      <c r="E134" s="522">
        <f>IF(+J96&lt;F133,J96,D134)</f>
        <v>1896.3414634146341</v>
      </c>
      <c r="F134" s="523">
        <f t="shared" si="43"/>
        <v>10921.660535342888</v>
      </c>
      <c r="G134" s="523">
        <f t="shared" si="44"/>
        <v>11869.831267050205</v>
      </c>
      <c r="H134" s="526">
        <f t="shared" si="41"/>
        <v>3243.7361768576293</v>
      </c>
      <c r="I134" s="577">
        <f t="shared" si="42"/>
        <v>3243.7361768576293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  <c r="Q134" s="269"/>
    </row>
    <row r="135" spans="2:17" ht="12.5">
      <c r="B135" s="195" t="str">
        <f t="shared" si="32"/>
        <v/>
      </c>
      <c r="C135" s="507">
        <f>IF(D93="","-",+C134+1)</f>
        <v>2045</v>
      </c>
      <c r="D135" s="374">
        <f>IF(F134+SUM(E$99:E134)=D$92,F134,D$92-SUM(E$99:E134))</f>
        <v>10921.660535342888</v>
      </c>
      <c r="E135" s="522">
        <f>IF(+J96&lt;F134,J96,D135)</f>
        <v>1896.3414634146341</v>
      </c>
      <c r="F135" s="523">
        <f t="shared" si="43"/>
        <v>9025.3190719282538</v>
      </c>
      <c r="G135" s="523">
        <f t="shared" si="44"/>
        <v>9973.4898036355698</v>
      </c>
      <c r="H135" s="526">
        <f t="shared" si="41"/>
        <v>3028.474442701352</v>
      </c>
      <c r="I135" s="577">
        <f t="shared" si="42"/>
        <v>3028.474442701352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  <c r="Q135" s="269"/>
    </row>
    <row r="136" spans="2:17" ht="12.5">
      <c r="B136" s="195" t="str">
        <f t="shared" si="32"/>
        <v/>
      </c>
      <c r="C136" s="507">
        <f>IF(D93="","-",+C135+1)</f>
        <v>2046</v>
      </c>
      <c r="D136" s="374">
        <f>IF(F135+SUM(E$99:E135)=D$92,F135,D$92-SUM(E$99:E135))</f>
        <v>9025.3190719282538</v>
      </c>
      <c r="E136" s="522">
        <f>IF(+J96&lt;F135,J96,D136)</f>
        <v>1896.3414634146341</v>
      </c>
      <c r="F136" s="523">
        <f t="shared" si="43"/>
        <v>7128.97760851362</v>
      </c>
      <c r="G136" s="523">
        <f t="shared" si="44"/>
        <v>8077.1483402209369</v>
      </c>
      <c r="H136" s="526">
        <f t="shared" si="41"/>
        <v>2813.2127085450747</v>
      </c>
      <c r="I136" s="577">
        <f t="shared" si="42"/>
        <v>2813.2127085450747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  <c r="Q136" s="269"/>
    </row>
    <row r="137" spans="2:17" ht="12.5">
      <c r="B137" s="195" t="str">
        <f t="shared" si="32"/>
        <v/>
      </c>
      <c r="C137" s="507">
        <f>IF(D93="","-",+C136+1)</f>
        <v>2047</v>
      </c>
      <c r="D137" s="374">
        <f>IF(F136+SUM(E$99:E136)=D$92,F136,D$92-SUM(E$99:E136))</f>
        <v>7128.97760851362</v>
      </c>
      <c r="E137" s="522">
        <f>IF(+J96&lt;F136,J96,D137)</f>
        <v>1896.3414634146341</v>
      </c>
      <c r="F137" s="523">
        <f t="shared" si="43"/>
        <v>5232.6361450989862</v>
      </c>
      <c r="G137" s="523">
        <f t="shared" si="44"/>
        <v>6180.8068768063031</v>
      </c>
      <c r="H137" s="526">
        <f t="shared" si="41"/>
        <v>2597.950974388797</v>
      </c>
      <c r="I137" s="577">
        <f t="shared" si="42"/>
        <v>2597.950974388797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  <c r="Q137" s="269"/>
    </row>
    <row r="138" spans="2:17" ht="12.5">
      <c r="B138" s="195" t="str">
        <f t="shared" si="32"/>
        <v/>
      </c>
      <c r="C138" s="507">
        <f>IF(D93="","-",+C137+1)</f>
        <v>2048</v>
      </c>
      <c r="D138" s="374">
        <f>IF(F137+SUM(E$99:E137)=D$92,F137,D$92-SUM(E$99:E137))</f>
        <v>5232.6361450989862</v>
      </c>
      <c r="E138" s="522">
        <f>IF(+J96&lt;F137,J96,D138)</f>
        <v>1896.3414634146341</v>
      </c>
      <c r="F138" s="523">
        <f t="shared" si="43"/>
        <v>3336.2946816843523</v>
      </c>
      <c r="G138" s="523">
        <f t="shared" si="44"/>
        <v>4284.4654133916692</v>
      </c>
      <c r="H138" s="526">
        <f t="shared" si="41"/>
        <v>2382.6892402325198</v>
      </c>
      <c r="I138" s="577">
        <f t="shared" si="42"/>
        <v>2382.6892402325198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  <c r="Q138" s="269"/>
    </row>
    <row r="139" spans="2:17" ht="12.5">
      <c r="B139" s="195" t="str">
        <f t="shared" si="32"/>
        <v/>
      </c>
      <c r="C139" s="507">
        <f>IF(D93="","-",+C138+1)</f>
        <v>2049</v>
      </c>
      <c r="D139" s="374">
        <f>IF(F138+SUM(E$99:E138)=D$92,F138,D$92-SUM(E$99:E138))</f>
        <v>3336.2946816843523</v>
      </c>
      <c r="E139" s="522">
        <f>IF(+J96&lt;F138,J96,D139)</f>
        <v>1896.3414634146341</v>
      </c>
      <c r="F139" s="523">
        <f t="shared" si="43"/>
        <v>1439.9532182697183</v>
      </c>
      <c r="G139" s="523">
        <f t="shared" si="44"/>
        <v>2388.1239499770354</v>
      </c>
      <c r="H139" s="526">
        <f t="shared" si="41"/>
        <v>2167.427506076242</v>
      </c>
      <c r="I139" s="577">
        <f t="shared" si="42"/>
        <v>2167.427506076242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  <c r="Q139" s="269"/>
    </row>
    <row r="140" spans="2:17" ht="12.5">
      <c r="B140" s="582" t="str">
        <f t="shared" si="32"/>
        <v/>
      </c>
      <c r="C140" s="507">
        <f>IF(D93="","-",+C139+1)</f>
        <v>2050</v>
      </c>
      <c r="D140" s="374">
        <f>IF(F139+SUM(E$99:E139)=D$92,F139,D$92-SUM(E$99:E139))</f>
        <v>1439.9532182697183</v>
      </c>
      <c r="E140" s="522">
        <f>IF(+J96&lt;F139,J96,D140)</f>
        <v>1439.9532182697183</v>
      </c>
      <c r="F140" s="523">
        <f t="shared" si="43"/>
        <v>0</v>
      </c>
      <c r="G140" s="523">
        <f t="shared" si="44"/>
        <v>719.97660913485913</v>
      </c>
      <c r="H140" s="526">
        <f t="shared" si="41"/>
        <v>1521.680806061453</v>
      </c>
      <c r="I140" s="577">
        <f t="shared" si="42"/>
        <v>1521.680806061453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  <c r="Q140" s="269"/>
    </row>
    <row r="141" spans="2:17" ht="12.5">
      <c r="B141" s="195" t="str">
        <f t="shared" si="32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3"/>
        <v>0</v>
      </c>
      <c r="G141" s="523">
        <f t="shared" si="44"/>
        <v>0</v>
      </c>
      <c r="H141" s="526">
        <f t="shared" si="41"/>
        <v>0</v>
      </c>
      <c r="I141" s="577">
        <f t="shared" si="42"/>
        <v>0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  <c r="Q141" s="269"/>
    </row>
    <row r="142" spans="2:17" ht="12.5">
      <c r="B142" s="195" t="str">
        <f t="shared" si="32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3"/>
        <v>0</v>
      </c>
      <c r="G142" s="523">
        <f t="shared" si="44"/>
        <v>0</v>
      </c>
      <c r="H142" s="526">
        <f t="shared" si="41"/>
        <v>0</v>
      </c>
      <c r="I142" s="577">
        <f t="shared" si="42"/>
        <v>0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  <c r="Q142" s="269"/>
    </row>
    <row r="143" spans="2:17" ht="12.5">
      <c r="B143" s="195" t="str">
        <f t="shared" si="32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3"/>
        <v>0</v>
      </c>
      <c r="G143" s="523">
        <f t="shared" si="44"/>
        <v>0</v>
      </c>
      <c r="H143" s="526">
        <f t="shared" si="41"/>
        <v>0</v>
      </c>
      <c r="I143" s="577">
        <f t="shared" si="42"/>
        <v>0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  <c r="Q143" s="269"/>
    </row>
    <row r="144" spans="2:17" ht="12.5">
      <c r="B144" s="195" t="str">
        <f t="shared" si="32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3"/>
        <v>0</v>
      </c>
      <c r="G144" s="523">
        <f t="shared" si="44"/>
        <v>0</v>
      </c>
      <c r="H144" s="526">
        <f t="shared" si="41"/>
        <v>0</v>
      </c>
      <c r="I144" s="577">
        <f t="shared" si="42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  <c r="Q144" s="269"/>
    </row>
    <row r="145" spans="2:17" ht="12.5">
      <c r="B145" s="195" t="str">
        <f t="shared" si="32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3"/>
        <v>0</v>
      </c>
      <c r="G145" s="523">
        <f t="shared" si="44"/>
        <v>0</v>
      </c>
      <c r="H145" s="526">
        <f t="shared" si="41"/>
        <v>0</v>
      </c>
      <c r="I145" s="577">
        <f t="shared" si="42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  <c r="Q145" s="269"/>
    </row>
    <row r="146" spans="2:17" ht="12.5">
      <c r="B146" s="195" t="str">
        <f t="shared" si="32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3"/>
        <v>0</v>
      </c>
      <c r="G146" s="523">
        <f t="shared" si="44"/>
        <v>0</v>
      </c>
      <c r="H146" s="526">
        <f t="shared" si="41"/>
        <v>0</v>
      </c>
      <c r="I146" s="577">
        <f t="shared" si="42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  <c r="Q146" s="269"/>
    </row>
    <row r="147" spans="2:17" ht="12.5">
      <c r="B147" s="195" t="str">
        <f t="shared" si="32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3"/>
        <v>0</v>
      </c>
      <c r="G147" s="523">
        <f t="shared" si="44"/>
        <v>0</v>
      </c>
      <c r="H147" s="526">
        <f t="shared" si="41"/>
        <v>0</v>
      </c>
      <c r="I147" s="577">
        <f t="shared" si="42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  <c r="Q147" s="269"/>
    </row>
    <row r="148" spans="2:17" ht="12.5">
      <c r="B148" s="195" t="str">
        <f t="shared" si="32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3"/>
        <v>0</v>
      </c>
      <c r="G148" s="523">
        <f t="shared" si="44"/>
        <v>0</v>
      </c>
      <c r="H148" s="526">
        <f t="shared" si="41"/>
        <v>0</v>
      </c>
      <c r="I148" s="577">
        <f t="shared" si="42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  <c r="Q148" s="269"/>
    </row>
    <row r="149" spans="2:17" ht="12.5">
      <c r="B149" s="195" t="str">
        <f t="shared" si="32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3"/>
        <v>0</v>
      </c>
      <c r="G149" s="523">
        <f t="shared" si="44"/>
        <v>0</v>
      </c>
      <c r="H149" s="526">
        <f t="shared" si="41"/>
        <v>0</v>
      </c>
      <c r="I149" s="577">
        <f t="shared" si="42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  <c r="Q149" s="269"/>
    </row>
    <row r="150" spans="2:17" ht="12.5">
      <c r="B150" s="195" t="str">
        <f t="shared" si="32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3"/>
        <v>0</v>
      </c>
      <c r="G150" s="523">
        <f t="shared" si="44"/>
        <v>0</v>
      </c>
      <c r="H150" s="526">
        <f t="shared" si="41"/>
        <v>0</v>
      </c>
      <c r="I150" s="577">
        <f t="shared" si="42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  <c r="Q150" s="269"/>
    </row>
    <row r="151" spans="2:17" ht="12.5">
      <c r="B151" s="195" t="str">
        <f t="shared" si="32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3"/>
        <v>0</v>
      </c>
      <c r="G151" s="523">
        <f t="shared" si="44"/>
        <v>0</v>
      </c>
      <c r="H151" s="526">
        <f t="shared" si="41"/>
        <v>0</v>
      </c>
      <c r="I151" s="577">
        <f t="shared" si="42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  <c r="Q151" s="269"/>
    </row>
    <row r="152" spans="2:17" ht="12.5">
      <c r="B152" s="195" t="str">
        <f t="shared" si="32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3"/>
        <v>0</v>
      </c>
      <c r="G152" s="523">
        <f t="shared" si="44"/>
        <v>0</v>
      </c>
      <c r="H152" s="526">
        <f t="shared" si="41"/>
        <v>0</v>
      </c>
      <c r="I152" s="577">
        <f t="shared" si="42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  <c r="Q152" s="269"/>
    </row>
    <row r="153" spans="2:17" ht="12.5">
      <c r="B153" s="195" t="str">
        <f t="shared" si="32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3"/>
        <v>0</v>
      </c>
      <c r="G153" s="523">
        <f t="shared" si="44"/>
        <v>0</v>
      </c>
      <c r="H153" s="526">
        <f t="shared" si="41"/>
        <v>0</v>
      </c>
      <c r="I153" s="577">
        <f t="shared" si="42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  <c r="Q153" s="269"/>
    </row>
    <row r="154" spans="2:17" ht="13" thickBot="1">
      <c r="B154" s="195" t="str">
        <f t="shared" si="32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3"/>
        <v>0</v>
      </c>
      <c r="G154" s="528">
        <f t="shared" si="44"/>
        <v>0</v>
      </c>
      <c r="H154" s="530">
        <f t="shared" si="41"/>
        <v>0</v>
      </c>
      <c r="I154" s="579">
        <f t="shared" si="42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  <c r="Q154" s="269"/>
    </row>
    <row r="155" spans="2:17" ht="12.5">
      <c r="C155" s="374" t="s">
        <v>78</v>
      </c>
      <c r="D155" s="375"/>
      <c r="E155" s="375">
        <f>SUM(E99:E154)</f>
        <v>77749.999999999956</v>
      </c>
      <c r="F155" s="375"/>
      <c r="G155" s="375"/>
      <c r="H155" s="375">
        <f>SUM(H99:H154)</f>
        <v>274308.94750971528</v>
      </c>
      <c r="I155" s="375">
        <f>SUM(I99:I154)</f>
        <v>274308.94750971528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7" priority="1" stopIfTrue="1" operator="equal">
      <formula>$I$10</formula>
    </cfRule>
  </conditionalFormatting>
  <conditionalFormatting sqref="C99:C154">
    <cfRule type="cellIs" dxfId="1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6"/>
  <dimension ref="A1:Q162"/>
  <sheetViews>
    <sheetView view="pageBreakPreview" zoomScale="89" zoomScaleNormal="100" zoomScaleSheetLayoutView="89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20.269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8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1012805.931367748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1012805.931367748</v>
      </c>
      <c r="O6" s="269"/>
      <c r="P6" s="269"/>
    </row>
    <row r="7" spans="1:17" ht="13.5" thickBot="1">
      <c r="C7" s="467" t="s">
        <v>48</v>
      </c>
      <c r="D7" s="468" t="s">
        <v>230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147</v>
      </c>
      <c r="E9" s="666" t="s">
        <v>477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9655697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229897.54761904763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>
        <v>1708278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16763318</v>
      </c>
      <c r="E17" s="509">
        <v>226531</v>
      </c>
      <c r="F17" s="508">
        <v>16536787</v>
      </c>
      <c r="G17" s="509">
        <v>1708278</v>
      </c>
      <c r="H17" s="510">
        <v>1708278</v>
      </c>
      <c r="I17" s="596">
        <f t="shared" ref="I17:I48" si="0">H17-G17</f>
        <v>0</v>
      </c>
      <c r="J17" s="511"/>
      <c r="K17" s="512">
        <v>1708278</v>
      </c>
      <c r="L17" s="513">
        <f t="shared" ref="L17:L48" si="1">IF(K17&lt;&gt;0,+G17-K17,0)</f>
        <v>0</v>
      </c>
      <c r="M17" s="512">
        <f>K17</f>
        <v>1708278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2009</v>
      </c>
      <c r="D18" s="515">
        <v>6302584</v>
      </c>
      <c r="E18" s="516">
        <v>172280</v>
      </c>
      <c r="F18" s="515">
        <v>6130304</v>
      </c>
      <c r="G18" s="516">
        <v>1111825</v>
      </c>
      <c r="H18" s="510">
        <v>1111825</v>
      </c>
      <c r="I18" s="596">
        <f t="shared" si="0"/>
        <v>0</v>
      </c>
      <c r="J18" s="511"/>
      <c r="K18" s="518">
        <v>1111825</v>
      </c>
      <c r="L18" s="514">
        <f t="shared" si="1"/>
        <v>0</v>
      </c>
      <c r="M18" s="518">
        <v>1111825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2010</v>
      </c>
      <c r="D19" s="515">
        <v>6007971</v>
      </c>
      <c r="E19" s="516">
        <v>168599</v>
      </c>
      <c r="F19" s="515">
        <v>5839371</v>
      </c>
      <c r="G19" s="516">
        <v>1008096</v>
      </c>
      <c r="H19" s="510">
        <v>1008096</v>
      </c>
      <c r="I19" s="517">
        <v>0</v>
      </c>
      <c r="J19" s="511"/>
      <c r="K19" s="518">
        <f t="shared" ref="K19:K24" si="4">G19</f>
        <v>1008096</v>
      </c>
      <c r="L19" s="519">
        <f t="shared" si="1"/>
        <v>0</v>
      </c>
      <c r="M19" s="518">
        <f t="shared" ref="M19:M24" si="5">H19</f>
        <v>1008096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2011</v>
      </c>
      <c r="D20" s="515">
        <v>9088287</v>
      </c>
      <c r="E20" s="516">
        <v>235504.80487804877</v>
      </c>
      <c r="F20" s="515">
        <v>8852782.1951219514</v>
      </c>
      <c r="G20" s="516">
        <v>1618240.1938879332</v>
      </c>
      <c r="H20" s="510">
        <v>1618240.1938879332</v>
      </c>
      <c r="I20" s="517">
        <v>0</v>
      </c>
      <c r="J20" s="511"/>
      <c r="K20" s="518">
        <f t="shared" si="4"/>
        <v>1618240.1938879332</v>
      </c>
      <c r="L20" s="519">
        <f t="shared" si="1"/>
        <v>0</v>
      </c>
      <c r="M20" s="518">
        <f t="shared" si="5"/>
        <v>1618240.1938879332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8852782.1951219514</v>
      </c>
      <c r="E21" s="516">
        <v>229897.54761904763</v>
      </c>
      <c r="F21" s="515">
        <v>8622884.6475029029</v>
      </c>
      <c r="G21" s="516">
        <v>1512294.1601805561</v>
      </c>
      <c r="H21" s="510">
        <v>1512294.1601805561</v>
      </c>
      <c r="I21" s="517">
        <v>0</v>
      </c>
      <c r="J21" s="511"/>
      <c r="K21" s="518">
        <f t="shared" si="4"/>
        <v>1512294.1601805561</v>
      </c>
      <c r="L21" s="519">
        <f t="shared" si="1"/>
        <v>0</v>
      </c>
      <c r="M21" s="518">
        <f t="shared" si="5"/>
        <v>1512294.1601805561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515">
        <v>8622884.6475029029</v>
      </c>
      <c r="E22" s="516">
        <v>229897.54761904763</v>
      </c>
      <c r="F22" s="515">
        <v>8392987.0998838544</v>
      </c>
      <c r="G22" s="516">
        <v>1404807.3216316376</v>
      </c>
      <c r="H22" s="510">
        <v>1404807.3216316376</v>
      </c>
      <c r="I22" s="596">
        <v>0</v>
      </c>
      <c r="J22" s="511"/>
      <c r="K22" s="518">
        <f t="shared" si="4"/>
        <v>1404807.3216316376</v>
      </c>
      <c r="L22" s="519">
        <f t="shared" ref="L22:L27" si="7">IF(K22&lt;&gt;0,+G22-K22,0)</f>
        <v>0</v>
      </c>
      <c r="M22" s="518">
        <f t="shared" si="5"/>
        <v>1404807.3216316376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515">
        <v>8392987.0998838544</v>
      </c>
      <c r="E23" s="516">
        <v>229897.54761904763</v>
      </c>
      <c r="F23" s="515">
        <v>8163089.5522648068</v>
      </c>
      <c r="G23" s="516">
        <v>1331184.1080053137</v>
      </c>
      <c r="H23" s="510">
        <v>1331184.1080053137</v>
      </c>
      <c r="I23" s="596">
        <v>0</v>
      </c>
      <c r="J23" s="511"/>
      <c r="K23" s="518">
        <f t="shared" si="4"/>
        <v>1331184.1080053137</v>
      </c>
      <c r="L23" s="519">
        <f t="shared" si="7"/>
        <v>0</v>
      </c>
      <c r="M23" s="518">
        <f t="shared" si="5"/>
        <v>1331184.1080053137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515">
        <v>8163089.5522648068</v>
      </c>
      <c r="E24" s="516">
        <v>229897.54761904763</v>
      </c>
      <c r="F24" s="515">
        <v>7933192.0046457592</v>
      </c>
      <c r="G24" s="516">
        <v>1274737.0216882618</v>
      </c>
      <c r="H24" s="510">
        <v>1274737.0216882618</v>
      </c>
      <c r="I24" s="511">
        <v>0</v>
      </c>
      <c r="J24" s="511"/>
      <c r="K24" s="518">
        <f t="shared" si="4"/>
        <v>1274737.0216882618</v>
      </c>
      <c r="L24" s="519">
        <f t="shared" si="7"/>
        <v>0</v>
      </c>
      <c r="M24" s="518">
        <f t="shared" si="5"/>
        <v>1274737.0216882618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2016</v>
      </c>
      <c r="D25" s="515">
        <v>7933192.0046457592</v>
      </c>
      <c r="E25" s="516">
        <v>229897.54761904763</v>
      </c>
      <c r="F25" s="515">
        <v>7703294.4570267117</v>
      </c>
      <c r="G25" s="516">
        <v>1231941.898152455</v>
      </c>
      <c r="H25" s="510">
        <v>1231941.898152455</v>
      </c>
      <c r="I25" s="511">
        <f t="shared" si="0"/>
        <v>0</v>
      </c>
      <c r="J25" s="511"/>
      <c r="K25" s="518">
        <f t="shared" ref="K25:K30" si="10">G25</f>
        <v>1231941.898152455</v>
      </c>
      <c r="L25" s="519">
        <f t="shared" si="7"/>
        <v>0</v>
      </c>
      <c r="M25" s="518">
        <f t="shared" ref="M25:M30" si="11">H25</f>
        <v>1231941.898152455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515">
        <v>7703294.4570267117</v>
      </c>
      <c r="E26" s="516">
        <v>224551.09302325582</v>
      </c>
      <c r="F26" s="515">
        <v>7478743.3640034562</v>
      </c>
      <c r="G26" s="516">
        <v>1165021.6585770869</v>
      </c>
      <c r="H26" s="510">
        <v>1165021.6585770869</v>
      </c>
      <c r="I26" s="511">
        <f t="shared" si="0"/>
        <v>0</v>
      </c>
      <c r="J26" s="511"/>
      <c r="K26" s="518">
        <f t="shared" si="10"/>
        <v>1165021.6585770869</v>
      </c>
      <c r="L26" s="519">
        <f t="shared" si="7"/>
        <v>0</v>
      </c>
      <c r="M26" s="518">
        <f t="shared" si="11"/>
        <v>1165021.6585770869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515">
        <v>7478743.3640034562</v>
      </c>
      <c r="E27" s="516">
        <v>235504.80487804877</v>
      </c>
      <c r="F27" s="515">
        <v>7243238.5591254076</v>
      </c>
      <c r="G27" s="516">
        <v>1171043.3183571417</v>
      </c>
      <c r="H27" s="510">
        <v>1171043.3183571417</v>
      </c>
      <c r="I27" s="511">
        <f t="shared" si="0"/>
        <v>0</v>
      </c>
      <c r="J27" s="511"/>
      <c r="K27" s="518">
        <f t="shared" si="10"/>
        <v>1171043.3183571417</v>
      </c>
      <c r="L27" s="519">
        <f t="shared" si="7"/>
        <v>0</v>
      </c>
      <c r="M27" s="518">
        <f t="shared" si="11"/>
        <v>1171043.3183571417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515">
        <v>7243238.5591254076</v>
      </c>
      <c r="E28" s="516">
        <v>235504.80487804877</v>
      </c>
      <c r="F28" s="515">
        <v>7007733.754247359</v>
      </c>
      <c r="G28" s="516">
        <v>1141112.0473878908</v>
      </c>
      <c r="H28" s="510">
        <v>1141112.0473878908</v>
      </c>
      <c r="I28" s="511">
        <f t="shared" si="0"/>
        <v>0</v>
      </c>
      <c r="J28" s="511"/>
      <c r="K28" s="518">
        <f t="shared" si="10"/>
        <v>1141112.0473878908</v>
      </c>
      <c r="L28" s="519">
        <f t="shared" ref="L28" si="12">IF(K28&lt;&gt;0,+G28-K28,0)</f>
        <v>0</v>
      </c>
      <c r="M28" s="518">
        <f t="shared" si="11"/>
        <v>1141112.0473878908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2020</v>
      </c>
      <c r="D29" s="515">
        <v>7007733.754247359</v>
      </c>
      <c r="E29" s="516">
        <v>235504.80487804877</v>
      </c>
      <c r="F29" s="515">
        <v>6772228.9493693104</v>
      </c>
      <c r="G29" s="516">
        <v>940594.18343292759</v>
      </c>
      <c r="H29" s="510">
        <v>940594.18343292759</v>
      </c>
      <c r="I29" s="511">
        <f t="shared" si="0"/>
        <v>0</v>
      </c>
      <c r="J29" s="511"/>
      <c r="K29" s="518">
        <f t="shared" si="10"/>
        <v>940594.18343292759</v>
      </c>
      <c r="L29" s="519">
        <f t="shared" ref="L29" si="13">IF(K29&lt;&gt;0,+G29-K29,0)</f>
        <v>0</v>
      </c>
      <c r="M29" s="518">
        <f t="shared" si="11"/>
        <v>940594.18343292759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2021</v>
      </c>
      <c r="D30" s="515">
        <v>6783182.6612241045</v>
      </c>
      <c r="E30" s="516">
        <v>229897.54761904763</v>
      </c>
      <c r="F30" s="515">
        <v>6553285.1136050569</v>
      </c>
      <c r="G30" s="516">
        <v>936760.6470922255</v>
      </c>
      <c r="H30" s="510">
        <v>936760.6470922255</v>
      </c>
      <c r="I30" s="511">
        <f t="shared" si="0"/>
        <v>0</v>
      </c>
      <c r="J30" s="511"/>
      <c r="K30" s="518">
        <f t="shared" si="10"/>
        <v>936760.6470922255</v>
      </c>
      <c r="L30" s="519">
        <f t="shared" ref="L30" si="14">IF(K30&lt;&gt;0,+G30-K30,0)</f>
        <v>0</v>
      </c>
      <c r="M30" s="518">
        <f t="shared" si="11"/>
        <v>936760.6470922255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2022</v>
      </c>
      <c r="D31" s="515">
        <v>6542331.4017502647</v>
      </c>
      <c r="E31" s="516">
        <v>229897.54761904763</v>
      </c>
      <c r="F31" s="515">
        <v>6312433.8541312171</v>
      </c>
      <c r="G31" s="516">
        <v>952618.78253978002</v>
      </c>
      <c r="H31" s="510">
        <v>952618.78253978002</v>
      </c>
      <c r="I31" s="511">
        <f t="shared" si="0"/>
        <v>0</v>
      </c>
      <c r="J31" s="511"/>
      <c r="K31" s="518">
        <f t="shared" ref="K31" si="15">G31</f>
        <v>952618.78253978002</v>
      </c>
      <c r="L31" s="519">
        <f t="shared" ref="L31" si="16">IF(K31&lt;&gt;0,+G31-K31,0)</f>
        <v>0</v>
      </c>
      <c r="M31" s="518">
        <f t="shared" ref="M31" si="17">H31</f>
        <v>952618.78253978002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6312433.8541312171</v>
      </c>
      <c r="E32" s="522">
        <f>IF(+I14&lt;F31,I14,D32)</f>
        <v>229897.54761904763</v>
      </c>
      <c r="F32" s="523">
        <f t="shared" ref="F32:F48" si="18">+D32-E32</f>
        <v>6082536.3065121695</v>
      </c>
      <c r="G32" s="524">
        <f t="shared" ref="G32:G72" si="19">+I$12*((D32+F32)/2)+E32</f>
        <v>1012805.931367748</v>
      </c>
      <c r="H32" s="491">
        <f t="shared" ref="H32:H72" si="20">+I$13*((D32+F32)/2)+E32</f>
        <v>1012805.931367748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6082536.3065121695</v>
      </c>
      <c r="E33" s="522">
        <f>IF(+I14&lt;F32,I14,D33)</f>
        <v>229897.54761904763</v>
      </c>
      <c r="F33" s="523">
        <f t="shared" si="18"/>
        <v>5852638.758893122</v>
      </c>
      <c r="G33" s="524">
        <f t="shared" si="19"/>
        <v>983763.71261264011</v>
      </c>
      <c r="H33" s="491">
        <f t="shared" si="20"/>
        <v>983763.71261264011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5852638.758893122</v>
      </c>
      <c r="E34" s="522">
        <f>IF(+I14&lt;F33,I14,D34)</f>
        <v>229897.54761904763</v>
      </c>
      <c r="F34" s="523">
        <f t="shared" si="18"/>
        <v>5622741.2112740744</v>
      </c>
      <c r="G34" s="524">
        <f t="shared" si="19"/>
        <v>954721.49385753274</v>
      </c>
      <c r="H34" s="491">
        <f t="shared" si="20"/>
        <v>954721.49385753274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5622741.2112740744</v>
      </c>
      <c r="E35" s="522">
        <f>IF(+I14&lt;F34,I14,D35)</f>
        <v>229897.54761904763</v>
      </c>
      <c r="F35" s="523">
        <f t="shared" si="18"/>
        <v>5392843.6636550268</v>
      </c>
      <c r="G35" s="524">
        <f t="shared" si="19"/>
        <v>925679.2751024249</v>
      </c>
      <c r="H35" s="491">
        <f t="shared" si="20"/>
        <v>925679.2751024249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5392843.6636550268</v>
      </c>
      <c r="E36" s="522">
        <f>IF(+I14&lt;F35,I14,D36)</f>
        <v>229897.54761904763</v>
      </c>
      <c r="F36" s="523">
        <f t="shared" si="18"/>
        <v>5162946.1160359792</v>
      </c>
      <c r="G36" s="524">
        <f t="shared" si="19"/>
        <v>896637.05634731753</v>
      </c>
      <c r="H36" s="491">
        <f t="shared" si="20"/>
        <v>896637.05634731753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5162946.1160359792</v>
      </c>
      <c r="E37" s="522">
        <f>IF(+I14&lt;F36,I14,D37)</f>
        <v>229897.54761904763</v>
      </c>
      <c r="F37" s="523">
        <f t="shared" si="18"/>
        <v>4933048.5684169317</v>
      </c>
      <c r="G37" s="524">
        <f t="shared" si="19"/>
        <v>867594.83759220969</v>
      </c>
      <c r="H37" s="491">
        <f t="shared" si="20"/>
        <v>867594.83759220969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4933048.5684169317</v>
      </c>
      <c r="E38" s="522">
        <f>IF(+I14&lt;F37,I14,D38)</f>
        <v>229897.54761904763</v>
      </c>
      <c r="F38" s="523">
        <f t="shared" si="18"/>
        <v>4703151.0207978841</v>
      </c>
      <c r="G38" s="524">
        <f t="shared" si="19"/>
        <v>838552.61883710208</v>
      </c>
      <c r="H38" s="491">
        <f t="shared" si="20"/>
        <v>838552.61883710208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4703151.0207978841</v>
      </c>
      <c r="E39" s="522">
        <f>IF(+I14&lt;F38,I14,D39)</f>
        <v>229897.54761904763</v>
      </c>
      <c r="F39" s="523">
        <f t="shared" si="18"/>
        <v>4473253.4731788365</v>
      </c>
      <c r="G39" s="524">
        <f t="shared" si="19"/>
        <v>809510.40008199448</v>
      </c>
      <c r="H39" s="491">
        <f t="shared" si="20"/>
        <v>809510.40008199448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4473253.4731788365</v>
      </c>
      <c r="E40" s="522">
        <f>IF(+I14&lt;F39,I14,D40)</f>
        <v>229897.54761904763</v>
      </c>
      <c r="F40" s="523">
        <f t="shared" si="18"/>
        <v>4243355.9255597889</v>
      </c>
      <c r="G40" s="524">
        <f t="shared" si="19"/>
        <v>780468.18132688687</v>
      </c>
      <c r="H40" s="491">
        <f t="shared" si="20"/>
        <v>780468.18132688687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4243355.9255597889</v>
      </c>
      <c r="E41" s="522">
        <f>IF(+I14&lt;F40,I14,D41)</f>
        <v>229897.54761904763</v>
      </c>
      <c r="F41" s="523">
        <f t="shared" si="18"/>
        <v>4013458.3779407414</v>
      </c>
      <c r="G41" s="524">
        <f t="shared" si="19"/>
        <v>751425.96257177927</v>
      </c>
      <c r="H41" s="491">
        <f t="shared" si="20"/>
        <v>751425.96257177927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4013458.3779407414</v>
      </c>
      <c r="E42" s="522">
        <f>IF(+I14&lt;F41,I14,D42)</f>
        <v>229897.54761904763</v>
      </c>
      <c r="F42" s="523">
        <f t="shared" si="18"/>
        <v>3783560.8303216938</v>
      </c>
      <c r="G42" s="524">
        <f t="shared" si="19"/>
        <v>722383.74381667166</v>
      </c>
      <c r="H42" s="491">
        <f t="shared" si="20"/>
        <v>722383.74381667166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3783560.8303216938</v>
      </c>
      <c r="E43" s="522">
        <f>IF(+I14&lt;F42,I14,D43)</f>
        <v>229897.54761904763</v>
      </c>
      <c r="F43" s="523">
        <f t="shared" si="18"/>
        <v>3553663.2827026462</v>
      </c>
      <c r="G43" s="524">
        <f t="shared" si="19"/>
        <v>693341.52506156405</v>
      </c>
      <c r="H43" s="491">
        <f t="shared" si="20"/>
        <v>693341.52506156405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3553663.2827026462</v>
      </c>
      <c r="E44" s="522">
        <f>IF(+I14&lt;F43,I14,D44)</f>
        <v>229897.54761904763</v>
      </c>
      <c r="F44" s="523">
        <f t="shared" si="18"/>
        <v>3323765.7350835986</v>
      </c>
      <c r="G44" s="524">
        <f t="shared" si="19"/>
        <v>664299.30630645633</v>
      </c>
      <c r="H44" s="491">
        <f t="shared" si="20"/>
        <v>664299.30630645633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3323765.7350835986</v>
      </c>
      <c r="E45" s="522">
        <f>IF(+I14&lt;F44,I14,D45)</f>
        <v>229897.54761904763</v>
      </c>
      <c r="F45" s="523">
        <f t="shared" si="18"/>
        <v>3093868.1874645511</v>
      </c>
      <c r="G45" s="524">
        <f t="shared" si="19"/>
        <v>635257.08755134873</v>
      </c>
      <c r="H45" s="491">
        <f t="shared" si="20"/>
        <v>635257.08755134873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3093868.1874645511</v>
      </c>
      <c r="E46" s="522">
        <f>IF(+I14&lt;F45,I14,D46)</f>
        <v>229897.54761904763</v>
      </c>
      <c r="F46" s="523">
        <f t="shared" si="18"/>
        <v>2863970.6398455035</v>
      </c>
      <c r="G46" s="524">
        <f t="shared" si="19"/>
        <v>606214.868796241</v>
      </c>
      <c r="H46" s="491">
        <f t="shared" si="20"/>
        <v>606214.868796241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2863970.6398455035</v>
      </c>
      <c r="E47" s="522">
        <f>IF(+I14&lt;F46,I14,D47)</f>
        <v>229897.54761904763</v>
      </c>
      <c r="F47" s="523">
        <f t="shared" si="18"/>
        <v>2634073.0922264559</v>
      </c>
      <c r="G47" s="524">
        <f t="shared" si="19"/>
        <v>577172.6500411334</v>
      </c>
      <c r="H47" s="491">
        <f t="shared" si="20"/>
        <v>577172.6500411334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2634073.0922264559</v>
      </c>
      <c r="E48" s="522">
        <f>IF(+I14&lt;F47,I14,D48)</f>
        <v>229897.54761904763</v>
      </c>
      <c r="F48" s="523">
        <f t="shared" si="18"/>
        <v>2404175.5446074083</v>
      </c>
      <c r="G48" s="524">
        <f t="shared" si="19"/>
        <v>548130.43128602579</v>
      </c>
      <c r="H48" s="491">
        <f t="shared" si="20"/>
        <v>548130.43128602579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2404175.5446074083</v>
      </c>
      <c r="E49" s="522">
        <f>IF(+I14&lt;F48,I14,D49)</f>
        <v>229897.54761904763</v>
      </c>
      <c r="F49" s="523">
        <f t="shared" ref="F49:F72" si="21">+D49-E49</f>
        <v>2174277.9969883608</v>
      </c>
      <c r="G49" s="524">
        <f t="shared" si="19"/>
        <v>519088.21253091819</v>
      </c>
      <c r="H49" s="491">
        <f t="shared" si="20"/>
        <v>519088.21253091819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2174277.9969883608</v>
      </c>
      <c r="E50" s="522">
        <f>IF(+I14&lt;F49,I14,D50)</f>
        <v>229897.54761904763</v>
      </c>
      <c r="F50" s="523">
        <f t="shared" si="21"/>
        <v>1944380.4493693132</v>
      </c>
      <c r="G50" s="524">
        <f t="shared" si="19"/>
        <v>490045.99377581058</v>
      </c>
      <c r="H50" s="491">
        <f t="shared" si="20"/>
        <v>490045.99377581058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1944380.4493693132</v>
      </c>
      <c r="E51" s="522">
        <f>IF(+I14&lt;F50,I14,D51)</f>
        <v>229897.54761904763</v>
      </c>
      <c r="F51" s="523">
        <f t="shared" si="21"/>
        <v>1714482.9017502656</v>
      </c>
      <c r="G51" s="524">
        <f t="shared" si="19"/>
        <v>461003.77502070297</v>
      </c>
      <c r="H51" s="491">
        <f t="shared" si="20"/>
        <v>461003.77502070297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1714482.9017502656</v>
      </c>
      <c r="E52" s="522">
        <f>IF(+I14&lt;F51,I14,D52)</f>
        <v>229897.54761904763</v>
      </c>
      <c r="F52" s="523">
        <f t="shared" si="21"/>
        <v>1484585.354131218</v>
      </c>
      <c r="G52" s="524">
        <f t="shared" si="19"/>
        <v>431961.55626559531</v>
      </c>
      <c r="H52" s="491">
        <f t="shared" si="20"/>
        <v>431961.55626559531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1484585.354131218</v>
      </c>
      <c r="E53" s="522">
        <f>IF(+I14&lt;F52,I14,D53)</f>
        <v>229897.54761904763</v>
      </c>
      <c r="F53" s="523">
        <f t="shared" si="21"/>
        <v>1254687.8065121705</v>
      </c>
      <c r="G53" s="524">
        <f t="shared" si="19"/>
        <v>402919.33751048765</v>
      </c>
      <c r="H53" s="491">
        <f t="shared" si="20"/>
        <v>402919.33751048765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1254687.8065121705</v>
      </c>
      <c r="E54" s="522">
        <f>IF(+I14&lt;F53,I14,D54)</f>
        <v>229897.54761904763</v>
      </c>
      <c r="F54" s="523">
        <f t="shared" si="21"/>
        <v>1024790.2588931229</v>
      </c>
      <c r="G54" s="524">
        <f t="shared" si="19"/>
        <v>373877.11875538004</v>
      </c>
      <c r="H54" s="491">
        <f t="shared" si="20"/>
        <v>373877.11875538004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1024790.2588931229</v>
      </c>
      <c r="E55" s="522">
        <f>IF(+I14&lt;F54,I14,D55)</f>
        <v>229897.54761904763</v>
      </c>
      <c r="F55" s="523">
        <f t="shared" si="21"/>
        <v>794892.71127407532</v>
      </c>
      <c r="G55" s="524">
        <f t="shared" si="19"/>
        <v>344834.90000027244</v>
      </c>
      <c r="H55" s="491">
        <f t="shared" si="20"/>
        <v>344834.90000027244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794892.71127407532</v>
      </c>
      <c r="E56" s="522">
        <f>IF(+I14&lt;F55,I14,D56)</f>
        <v>229897.54761904763</v>
      </c>
      <c r="F56" s="523">
        <f t="shared" si="21"/>
        <v>564995.16365502775</v>
      </c>
      <c r="G56" s="524">
        <f t="shared" si="19"/>
        <v>315792.68124516483</v>
      </c>
      <c r="H56" s="491">
        <f t="shared" si="20"/>
        <v>315792.68124516483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564995.16365502775</v>
      </c>
      <c r="E57" s="522">
        <f>IF(+I14&lt;F56,I14,D57)</f>
        <v>229897.54761904763</v>
      </c>
      <c r="F57" s="523">
        <f t="shared" si="21"/>
        <v>335097.61603598011</v>
      </c>
      <c r="G57" s="524">
        <f t="shared" si="19"/>
        <v>286750.46249005717</v>
      </c>
      <c r="H57" s="491">
        <f t="shared" si="20"/>
        <v>286750.46249005717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335097.61603598011</v>
      </c>
      <c r="E58" s="522">
        <f>IF(+I14&lt;F57,I14,D58)</f>
        <v>229897.54761904763</v>
      </c>
      <c r="F58" s="523">
        <f t="shared" si="21"/>
        <v>105200.06841693248</v>
      </c>
      <c r="G58" s="524">
        <f t="shared" si="19"/>
        <v>257708.24373494953</v>
      </c>
      <c r="H58" s="491">
        <f t="shared" si="20"/>
        <v>257708.24373494953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>IU</v>
      </c>
      <c r="C59" s="507">
        <f>IF(D11="","-",+C58+1)</f>
        <v>2050</v>
      </c>
      <c r="D59" s="523">
        <f>IF(F58+SUM(E$17:E58)=D$10,F58,D$10-SUM(E$17:E58))</f>
        <v>105200.06841692701</v>
      </c>
      <c r="E59" s="522">
        <f>IF(+I14&lt;F58,I14,D59)</f>
        <v>105200.06841692701</v>
      </c>
      <c r="F59" s="523">
        <f t="shared" si="21"/>
        <v>0</v>
      </c>
      <c r="G59" s="524">
        <f t="shared" si="19"/>
        <v>111844.86178610071</v>
      </c>
      <c r="H59" s="491">
        <f t="shared" si="20"/>
        <v>111844.86178610071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19"/>
        <v>0</v>
      </c>
      <c r="H60" s="491">
        <f t="shared" si="20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19"/>
        <v>0</v>
      </c>
      <c r="H61" s="491">
        <f t="shared" si="20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19"/>
        <v>0</v>
      </c>
      <c r="H72" s="47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 ht="12.5">
      <c r="C73" s="374" t="s">
        <v>78</v>
      </c>
      <c r="D73" s="375"/>
      <c r="E73" s="375">
        <f>SUM(E17:E72)</f>
        <v>9655697</v>
      </c>
      <c r="F73" s="375"/>
      <c r="G73" s="375">
        <f>SUM(G17:G72)</f>
        <v>35772340.566605724</v>
      </c>
      <c r="H73" s="375">
        <f>SUM(H17:H72)</f>
        <v>35772340.566605724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8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936760.6470922255</v>
      </c>
      <c r="N87" s="546">
        <f>IF(J92&lt;D11,0,VLOOKUP(J92,C17:O72,11))</f>
        <v>936760.6470922255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1004424.6592380304</v>
      </c>
      <c r="N88" s="550">
        <f>IF(J92&lt;D11,0,VLOOKUP(J92,C99:P154,7))</f>
        <v>1004424.6592380304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Dyess to S. Fayetteville 69 kV Convert to 161 kV (multi-projects)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67664.01214580494</v>
      </c>
      <c r="N89" s="555">
        <f>+N88-N87</f>
        <v>67664.01214580494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TP2002085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9655697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235504.80487804877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1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71783</v>
      </c>
      <c r="F99" s="515">
        <v>6302584</v>
      </c>
      <c r="G99" s="574">
        <v>3151292</v>
      </c>
      <c r="H99" s="575">
        <v>574103</v>
      </c>
      <c r="I99" s="576">
        <v>574103</v>
      </c>
      <c r="J99" s="514">
        <f t="shared" ref="J99:J130" si="26">+I99-H99</f>
        <v>0</v>
      </c>
      <c r="K99" s="514"/>
      <c r="L99" s="512">
        <v>574103</v>
      </c>
      <c r="M99" s="597">
        <f t="shared" ref="M99:M130" si="27">IF(L99&lt;&gt;0,+H99-L99,0)</f>
        <v>0</v>
      </c>
      <c r="N99" s="512">
        <v>574103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2009</v>
      </c>
      <c r="D100" s="508">
        <v>6334999</v>
      </c>
      <c r="E100" s="516">
        <v>168599</v>
      </c>
      <c r="F100" s="515">
        <v>6166399</v>
      </c>
      <c r="G100" s="515">
        <v>6250699</v>
      </c>
      <c r="H100" s="516">
        <v>1073311</v>
      </c>
      <c r="I100" s="510">
        <v>1073311</v>
      </c>
      <c r="J100" s="514">
        <f t="shared" si="26"/>
        <v>0</v>
      </c>
      <c r="K100" s="514"/>
      <c r="L100" s="518">
        <f t="shared" ref="L100:L105" si="30">H100</f>
        <v>1073311</v>
      </c>
      <c r="M100" s="519">
        <f t="shared" si="27"/>
        <v>0</v>
      </c>
      <c r="N100" s="518">
        <f t="shared" ref="N100:N105" si="31">I100</f>
        <v>1073311</v>
      </c>
      <c r="O100" s="514">
        <f t="shared" si="28"/>
        <v>0</v>
      </c>
      <c r="P100" s="514">
        <f t="shared" si="29"/>
        <v>0</v>
      </c>
      <c r="Q100" s="269"/>
    </row>
    <row r="101" spans="1:17" ht="12.5">
      <c r="B101" s="195" t="str">
        <f t="shared" ref="B101:B154" si="32">IF(D101=F100,"","IU")</f>
        <v>IU</v>
      </c>
      <c r="C101" s="507">
        <f>IF(D93="","-",+C100+1)</f>
        <v>2010</v>
      </c>
      <c r="D101" s="508">
        <v>9415315</v>
      </c>
      <c r="E101" s="516">
        <v>235504.80487804877</v>
      </c>
      <c r="F101" s="515">
        <v>9179810.1951219514</v>
      </c>
      <c r="G101" s="515">
        <v>9297562.5975609757</v>
      </c>
      <c r="H101" s="516">
        <v>1770402.9873066382</v>
      </c>
      <c r="I101" s="510">
        <v>1770402.9873066382</v>
      </c>
      <c r="J101" s="514">
        <f t="shared" si="26"/>
        <v>0</v>
      </c>
      <c r="K101" s="514"/>
      <c r="L101" s="518">
        <f t="shared" si="30"/>
        <v>1770402.9873066382</v>
      </c>
      <c r="M101" s="519">
        <f t="shared" si="27"/>
        <v>0</v>
      </c>
      <c r="N101" s="518">
        <f t="shared" si="31"/>
        <v>1770402.9873066382</v>
      </c>
      <c r="O101" s="514">
        <f t="shared" si="28"/>
        <v>0</v>
      </c>
      <c r="P101" s="514">
        <f t="shared" si="29"/>
        <v>0</v>
      </c>
      <c r="Q101" s="269"/>
    </row>
    <row r="102" spans="1:17" ht="12.5">
      <c r="B102" s="195" t="str">
        <f t="shared" si="32"/>
        <v/>
      </c>
      <c r="C102" s="507">
        <f>IF(D93="","-",+C101+1)</f>
        <v>2011</v>
      </c>
      <c r="D102" s="508">
        <v>9179810.1951219514</v>
      </c>
      <c r="E102" s="520">
        <v>229897.54761904763</v>
      </c>
      <c r="F102" s="515">
        <v>8949912.6475029029</v>
      </c>
      <c r="G102" s="515">
        <v>9064861.4213124271</v>
      </c>
      <c r="H102" s="516">
        <v>1593070.5131617924</v>
      </c>
      <c r="I102" s="510">
        <v>1593070.5131617924</v>
      </c>
      <c r="J102" s="514">
        <f t="shared" si="26"/>
        <v>0</v>
      </c>
      <c r="K102" s="514"/>
      <c r="L102" s="518">
        <f t="shared" si="30"/>
        <v>1593070.5131617924</v>
      </c>
      <c r="M102" s="519">
        <f t="shared" si="27"/>
        <v>0</v>
      </c>
      <c r="N102" s="518">
        <f t="shared" si="31"/>
        <v>1593070.5131617924</v>
      </c>
      <c r="O102" s="514">
        <f t="shared" si="28"/>
        <v>0</v>
      </c>
      <c r="P102" s="514">
        <f t="shared" si="29"/>
        <v>0</v>
      </c>
      <c r="Q102" s="269"/>
    </row>
    <row r="103" spans="1:17" ht="12.5">
      <c r="B103" s="195" t="str">
        <f t="shared" si="32"/>
        <v/>
      </c>
      <c r="C103" s="507">
        <f>IF(D93="","-",+C102+1)</f>
        <v>2012</v>
      </c>
      <c r="D103" s="508">
        <v>8949912.6475029029</v>
      </c>
      <c r="E103" s="516">
        <v>229897.54761904763</v>
      </c>
      <c r="F103" s="515">
        <v>8720015.0998838544</v>
      </c>
      <c r="G103" s="515">
        <v>8834963.8736933786</v>
      </c>
      <c r="H103" s="516">
        <v>1529997.2189099854</v>
      </c>
      <c r="I103" s="510">
        <v>1529997.2189099854</v>
      </c>
      <c r="J103" s="514">
        <f t="shared" si="26"/>
        <v>0</v>
      </c>
      <c r="K103" s="514"/>
      <c r="L103" s="518">
        <f t="shared" si="30"/>
        <v>1529997.2189099854</v>
      </c>
      <c r="M103" s="519">
        <f t="shared" si="27"/>
        <v>0</v>
      </c>
      <c r="N103" s="518">
        <f t="shared" si="31"/>
        <v>1529997.2189099854</v>
      </c>
      <c r="O103" s="514">
        <f t="shared" si="28"/>
        <v>0</v>
      </c>
      <c r="P103" s="514">
        <f t="shared" si="29"/>
        <v>0</v>
      </c>
      <c r="Q103" s="269"/>
    </row>
    <row r="104" spans="1:17" ht="12.5">
      <c r="B104" s="195" t="str">
        <f t="shared" si="32"/>
        <v/>
      </c>
      <c r="C104" s="507">
        <f>IF(D93="","-",+C103+1)</f>
        <v>2013</v>
      </c>
      <c r="D104" s="508">
        <v>8720015.0998838544</v>
      </c>
      <c r="E104" s="516">
        <v>229897.54761904763</v>
      </c>
      <c r="F104" s="515">
        <v>8490117.5522648059</v>
      </c>
      <c r="G104" s="515">
        <v>8605066.3260743301</v>
      </c>
      <c r="H104" s="516">
        <v>1394091.6193593477</v>
      </c>
      <c r="I104" s="510">
        <v>1394091.6193593477</v>
      </c>
      <c r="J104" s="514">
        <v>0</v>
      </c>
      <c r="K104" s="514"/>
      <c r="L104" s="518">
        <f t="shared" si="30"/>
        <v>1394091.6193593477</v>
      </c>
      <c r="M104" s="519">
        <f t="shared" ref="M104:M109" si="33">IF(L104&lt;&gt;0,+H104-L104,0)</f>
        <v>0</v>
      </c>
      <c r="N104" s="518">
        <f t="shared" si="31"/>
        <v>1394091.6193593477</v>
      </c>
      <c r="O104" s="514">
        <f t="shared" ref="O104:O109" si="34">IF(N104&lt;&gt;0,+I104-N104,0)</f>
        <v>0</v>
      </c>
      <c r="P104" s="514">
        <f t="shared" ref="P104:P109" si="35">+O104-M104</f>
        <v>0</v>
      </c>
      <c r="Q104" s="269"/>
    </row>
    <row r="105" spans="1:17" ht="12.5">
      <c r="B105" s="195" t="str">
        <f t="shared" si="32"/>
        <v/>
      </c>
      <c r="C105" s="507">
        <f>IF(D93="","-",+C104+1)</f>
        <v>2014</v>
      </c>
      <c r="D105" s="508">
        <v>8490117.5522648059</v>
      </c>
      <c r="E105" s="516">
        <v>229897.54761904763</v>
      </c>
      <c r="F105" s="515">
        <v>8260220.0046457583</v>
      </c>
      <c r="G105" s="515">
        <v>8375168.7784552816</v>
      </c>
      <c r="H105" s="516">
        <v>1368279.4640981164</v>
      </c>
      <c r="I105" s="510">
        <v>1368279.4640981164</v>
      </c>
      <c r="J105" s="514">
        <v>0</v>
      </c>
      <c r="K105" s="514"/>
      <c r="L105" s="518">
        <f t="shared" si="30"/>
        <v>1368279.4640981164</v>
      </c>
      <c r="M105" s="519">
        <f t="shared" si="33"/>
        <v>0</v>
      </c>
      <c r="N105" s="518">
        <f t="shared" si="31"/>
        <v>1368279.4640981164</v>
      </c>
      <c r="O105" s="514">
        <f t="shared" si="34"/>
        <v>0</v>
      </c>
      <c r="P105" s="514">
        <f t="shared" si="35"/>
        <v>0</v>
      </c>
      <c r="Q105" s="269"/>
    </row>
    <row r="106" spans="1:17" ht="12.5">
      <c r="B106" s="195" t="str">
        <f t="shared" si="32"/>
        <v/>
      </c>
      <c r="C106" s="507">
        <f>IF(D93="","-",+C105+1)</f>
        <v>2015</v>
      </c>
      <c r="D106" s="508">
        <v>8260220.0046457583</v>
      </c>
      <c r="E106" s="516">
        <v>229897.54761904763</v>
      </c>
      <c r="F106" s="515">
        <v>8030322.4570267107</v>
      </c>
      <c r="G106" s="515">
        <v>8145271.230836235</v>
      </c>
      <c r="H106" s="516">
        <v>1303190.7976937878</v>
      </c>
      <c r="I106" s="510">
        <v>1303190.7976937878</v>
      </c>
      <c r="J106" s="514">
        <f t="shared" si="26"/>
        <v>0</v>
      </c>
      <c r="K106" s="514"/>
      <c r="L106" s="518">
        <f t="shared" ref="L106:L111" si="36">H106</f>
        <v>1303190.7976937878</v>
      </c>
      <c r="M106" s="519">
        <f t="shared" si="33"/>
        <v>0</v>
      </c>
      <c r="N106" s="518">
        <f t="shared" ref="N106:N111" si="37">I106</f>
        <v>1303190.7976937878</v>
      </c>
      <c r="O106" s="514">
        <f t="shared" si="34"/>
        <v>0</v>
      </c>
      <c r="P106" s="514">
        <f t="shared" si="35"/>
        <v>0</v>
      </c>
      <c r="Q106" s="269"/>
    </row>
    <row r="107" spans="1:17" ht="12.5">
      <c r="B107" s="195" t="str">
        <f t="shared" si="32"/>
        <v/>
      </c>
      <c r="C107" s="507">
        <f>IF(D93="","-",+C106+1)</f>
        <v>2016</v>
      </c>
      <c r="D107" s="508">
        <v>8030322.4570267107</v>
      </c>
      <c r="E107" s="516">
        <v>224551.09302325582</v>
      </c>
      <c r="F107" s="515">
        <v>7805771.3640034553</v>
      </c>
      <c r="G107" s="515">
        <v>7918046.910515083</v>
      </c>
      <c r="H107" s="516">
        <v>1229747.055579846</v>
      </c>
      <c r="I107" s="510">
        <v>1229747.055579846</v>
      </c>
      <c r="J107" s="514">
        <f t="shared" si="26"/>
        <v>0</v>
      </c>
      <c r="K107" s="514"/>
      <c r="L107" s="518">
        <f t="shared" si="36"/>
        <v>1229747.055579846</v>
      </c>
      <c r="M107" s="519">
        <f t="shared" si="33"/>
        <v>0</v>
      </c>
      <c r="N107" s="518">
        <f t="shared" si="37"/>
        <v>1229747.055579846</v>
      </c>
      <c r="O107" s="514">
        <f t="shared" si="34"/>
        <v>0</v>
      </c>
      <c r="P107" s="514">
        <f t="shared" si="35"/>
        <v>0</v>
      </c>
      <c r="Q107" s="269"/>
    </row>
    <row r="108" spans="1:17" ht="12.5">
      <c r="B108" s="195" t="str">
        <f t="shared" si="32"/>
        <v/>
      </c>
      <c r="C108" s="507">
        <f>IF(D93="","-",+C107+1)</f>
        <v>2017</v>
      </c>
      <c r="D108" s="508">
        <v>7805771.3640034553</v>
      </c>
      <c r="E108" s="516">
        <v>229897.54761904763</v>
      </c>
      <c r="F108" s="515">
        <v>7575873.8163844077</v>
      </c>
      <c r="G108" s="515">
        <v>7690822.590193931</v>
      </c>
      <c r="H108" s="516">
        <v>1164112.978438803</v>
      </c>
      <c r="I108" s="510">
        <v>1164112.978438803</v>
      </c>
      <c r="J108" s="514">
        <f t="shared" si="26"/>
        <v>0</v>
      </c>
      <c r="K108" s="514"/>
      <c r="L108" s="518">
        <f t="shared" si="36"/>
        <v>1164112.978438803</v>
      </c>
      <c r="M108" s="519">
        <f t="shared" si="33"/>
        <v>0</v>
      </c>
      <c r="N108" s="518">
        <f t="shared" si="37"/>
        <v>1164112.978438803</v>
      </c>
      <c r="O108" s="514">
        <f t="shared" si="34"/>
        <v>0</v>
      </c>
      <c r="P108" s="514">
        <f t="shared" si="35"/>
        <v>0</v>
      </c>
      <c r="Q108" s="269"/>
    </row>
    <row r="109" spans="1:17" ht="12.5">
      <c r="B109" s="195" t="str">
        <f t="shared" si="32"/>
        <v/>
      </c>
      <c r="C109" s="507">
        <f>IF(D93="","-",+C108+1)</f>
        <v>2018</v>
      </c>
      <c r="D109" s="508">
        <v>7575873.8163844077</v>
      </c>
      <c r="E109" s="516">
        <v>229897.54761904763</v>
      </c>
      <c r="F109" s="515">
        <v>7345976.2687653601</v>
      </c>
      <c r="G109" s="515">
        <v>7460925.0425748844</v>
      </c>
      <c r="H109" s="516">
        <v>1017805.4465726623</v>
      </c>
      <c r="I109" s="510">
        <v>1017805.4465726623</v>
      </c>
      <c r="J109" s="514">
        <f t="shared" si="26"/>
        <v>0</v>
      </c>
      <c r="K109" s="514"/>
      <c r="L109" s="518">
        <f t="shared" si="36"/>
        <v>1017805.4465726623</v>
      </c>
      <c r="M109" s="519">
        <f t="shared" si="33"/>
        <v>0</v>
      </c>
      <c r="N109" s="518">
        <f t="shared" si="37"/>
        <v>1017805.4465726623</v>
      </c>
      <c r="O109" s="514">
        <f t="shared" si="34"/>
        <v>0</v>
      </c>
      <c r="P109" s="514">
        <f t="shared" si="35"/>
        <v>0</v>
      </c>
      <c r="Q109" s="269"/>
    </row>
    <row r="110" spans="1:17" ht="12.5">
      <c r="B110" s="195" t="str">
        <f t="shared" si="32"/>
        <v/>
      </c>
      <c r="C110" s="507">
        <f>IF(D93="","-",+C109+1)</f>
        <v>2019</v>
      </c>
      <c r="D110" s="508">
        <v>7345976.2687653601</v>
      </c>
      <c r="E110" s="516">
        <v>224551.09302325582</v>
      </c>
      <c r="F110" s="515">
        <v>7121425.1757421046</v>
      </c>
      <c r="G110" s="515">
        <v>7233700.7222537324</v>
      </c>
      <c r="H110" s="516">
        <v>998850.37185500155</v>
      </c>
      <c r="I110" s="510">
        <v>998850.37185500155</v>
      </c>
      <c r="J110" s="514">
        <f t="shared" si="26"/>
        <v>0</v>
      </c>
      <c r="K110" s="514"/>
      <c r="L110" s="518">
        <f t="shared" si="36"/>
        <v>998850.37185500155</v>
      </c>
      <c r="M110" s="519">
        <f t="shared" ref="M110:M111" si="38">IF(L110&lt;&gt;0,+H110-L110,0)</f>
        <v>0</v>
      </c>
      <c r="N110" s="518">
        <f t="shared" si="37"/>
        <v>998850.37185500155</v>
      </c>
      <c r="O110" s="514">
        <f t="shared" si="28"/>
        <v>0</v>
      </c>
      <c r="P110" s="514">
        <f t="shared" si="29"/>
        <v>0</v>
      </c>
      <c r="Q110" s="269"/>
    </row>
    <row r="111" spans="1:17" ht="12.5">
      <c r="B111" s="195" t="str">
        <f t="shared" si="32"/>
        <v/>
      </c>
      <c r="C111" s="507">
        <f>IF(D93="","-",+C110+1)</f>
        <v>2020</v>
      </c>
      <c r="D111" s="508">
        <v>7121425.1757421046</v>
      </c>
      <c r="E111" s="516">
        <v>229897.54761904763</v>
      </c>
      <c r="F111" s="515">
        <v>6891527.6281230571</v>
      </c>
      <c r="G111" s="515">
        <v>7006476.4019325804</v>
      </c>
      <c r="H111" s="516">
        <v>983611.06650091335</v>
      </c>
      <c r="I111" s="510">
        <v>983611.06650091335</v>
      </c>
      <c r="J111" s="514">
        <f t="shared" si="26"/>
        <v>0</v>
      </c>
      <c r="K111" s="514"/>
      <c r="L111" s="518">
        <f t="shared" si="36"/>
        <v>983611.06650091335</v>
      </c>
      <c r="M111" s="519">
        <f t="shared" si="38"/>
        <v>0</v>
      </c>
      <c r="N111" s="518">
        <f t="shared" si="37"/>
        <v>983611.06650091335</v>
      </c>
      <c r="O111" s="514">
        <f t="shared" si="28"/>
        <v>0</v>
      </c>
      <c r="P111" s="514">
        <f t="shared" si="29"/>
        <v>0</v>
      </c>
      <c r="Q111" s="269"/>
    </row>
    <row r="112" spans="1:17" ht="12.5">
      <c r="B112" s="195" t="str">
        <f t="shared" si="32"/>
        <v/>
      </c>
      <c r="C112" s="507">
        <f>IF(D93="","-",+C111+1)</f>
        <v>2021</v>
      </c>
      <c r="D112" s="374">
        <f>IF(F111+SUM(E$99:E111)=D$92,F111,D$92-SUM(E$99:E111))</f>
        <v>6891527.6281230571</v>
      </c>
      <c r="E112" s="522">
        <f>IF(+J96&lt;F111,J96,D112)</f>
        <v>235504.80487804877</v>
      </c>
      <c r="F112" s="523">
        <f t="shared" ref="F112:F130" si="39">+D112-E112</f>
        <v>6656022.8232450085</v>
      </c>
      <c r="G112" s="523">
        <f t="shared" ref="G112:G130" si="40">+(F112+D112)/2</f>
        <v>6773775.2256840328</v>
      </c>
      <c r="H112" s="526">
        <f>+J$94*G112+E112</f>
        <v>1004424.6592380304</v>
      </c>
      <c r="I112" s="577">
        <f>+J$95*G112+E112</f>
        <v>1004424.6592380304</v>
      </c>
      <c r="J112" s="514">
        <f t="shared" si="26"/>
        <v>0</v>
      </c>
      <c r="K112" s="514"/>
      <c r="L112" s="525"/>
      <c r="M112" s="514">
        <f t="shared" si="27"/>
        <v>0</v>
      </c>
      <c r="N112" s="525"/>
      <c r="O112" s="514">
        <f t="shared" si="28"/>
        <v>0</v>
      </c>
      <c r="P112" s="514">
        <f t="shared" si="29"/>
        <v>0</v>
      </c>
      <c r="Q112" s="269"/>
    </row>
    <row r="113" spans="2:17" ht="12.5">
      <c r="B113" s="195" t="str">
        <f t="shared" si="32"/>
        <v/>
      </c>
      <c r="C113" s="507">
        <f>IF(D93="","-",+C112+1)</f>
        <v>2022</v>
      </c>
      <c r="D113" s="374">
        <f>IF(F112+SUM(E$99:E112)=D$92,F112,D$92-SUM(E$99:E112))</f>
        <v>6656022.8232450085</v>
      </c>
      <c r="E113" s="522">
        <f>IF(+J96&lt;F112,J96,D113)</f>
        <v>235504.80487804877</v>
      </c>
      <c r="F113" s="523">
        <f t="shared" si="39"/>
        <v>6420518.0183669599</v>
      </c>
      <c r="G113" s="523">
        <f t="shared" si="40"/>
        <v>6538270.4208059842</v>
      </c>
      <c r="H113" s="526">
        <f t="shared" ref="H113:H154" si="41">+J$94*G113+E113</f>
        <v>977691.5135054572</v>
      </c>
      <c r="I113" s="577">
        <f t="shared" ref="I113:I154" si="42">+J$95*G113+E113</f>
        <v>977691.5135054572</v>
      </c>
      <c r="J113" s="514">
        <f t="shared" si="26"/>
        <v>0</v>
      </c>
      <c r="K113" s="514"/>
      <c r="L113" s="525"/>
      <c r="M113" s="514">
        <f t="shared" si="27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 ht="12.5">
      <c r="B114" s="195" t="str">
        <f t="shared" si="32"/>
        <v/>
      </c>
      <c r="C114" s="507">
        <f>IF(D93="","-",+C113+1)</f>
        <v>2023</v>
      </c>
      <c r="D114" s="374">
        <f>IF(F113+SUM(E$99:E113)=D$92,F113,D$92-SUM(E$99:E113))</f>
        <v>6420518.0183669599</v>
      </c>
      <c r="E114" s="522">
        <f>IF(+J96&lt;F113,J96,D114)</f>
        <v>235504.80487804877</v>
      </c>
      <c r="F114" s="523">
        <f t="shared" si="39"/>
        <v>6185013.2134889113</v>
      </c>
      <c r="G114" s="523">
        <f t="shared" si="40"/>
        <v>6302765.6159279356</v>
      </c>
      <c r="H114" s="526">
        <f t="shared" si="41"/>
        <v>950958.36777288397</v>
      </c>
      <c r="I114" s="577">
        <f t="shared" si="42"/>
        <v>950958.36777288397</v>
      </c>
      <c r="J114" s="514">
        <f t="shared" si="26"/>
        <v>0</v>
      </c>
      <c r="K114" s="514"/>
      <c r="L114" s="525"/>
      <c r="M114" s="514">
        <f t="shared" si="27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 ht="12.5">
      <c r="B115" s="195" t="str">
        <f t="shared" si="32"/>
        <v/>
      </c>
      <c r="C115" s="507">
        <f>IF(D93="","-",+C114+1)</f>
        <v>2024</v>
      </c>
      <c r="D115" s="374">
        <f>IF(F114+SUM(E$99:E114)=D$92,F114,D$92-SUM(E$99:E114))</f>
        <v>6185013.2134889113</v>
      </c>
      <c r="E115" s="522">
        <f>IF(+J96&lt;F114,J96,D115)</f>
        <v>235504.80487804877</v>
      </c>
      <c r="F115" s="523">
        <f t="shared" si="39"/>
        <v>5949508.4086108627</v>
      </c>
      <c r="G115" s="523">
        <f t="shared" si="40"/>
        <v>6067260.811049887</v>
      </c>
      <c r="H115" s="526">
        <f t="shared" si="41"/>
        <v>924225.22204031073</v>
      </c>
      <c r="I115" s="577">
        <f t="shared" si="42"/>
        <v>924225.22204031073</v>
      </c>
      <c r="J115" s="514">
        <f t="shared" si="26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 ht="12.5">
      <c r="B116" s="195" t="str">
        <f t="shared" si="32"/>
        <v/>
      </c>
      <c r="C116" s="507">
        <f>IF(D93="","-",+C115+1)</f>
        <v>2025</v>
      </c>
      <c r="D116" s="374">
        <f>IF(F115+SUM(E$99:E115)=D$92,F115,D$92-SUM(E$99:E115))</f>
        <v>5949508.4086108627</v>
      </c>
      <c r="E116" s="522">
        <f>IF(+J96&lt;F115,J96,D116)</f>
        <v>235504.80487804877</v>
      </c>
      <c r="F116" s="523">
        <f t="shared" si="39"/>
        <v>5714003.6037328141</v>
      </c>
      <c r="G116" s="523">
        <f t="shared" si="40"/>
        <v>5831756.0061718384</v>
      </c>
      <c r="H116" s="526">
        <f t="shared" si="41"/>
        <v>897492.07630773773</v>
      </c>
      <c r="I116" s="577">
        <f t="shared" si="42"/>
        <v>897492.07630773773</v>
      </c>
      <c r="J116" s="514">
        <f t="shared" si="26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 ht="12.5">
      <c r="B117" s="195" t="str">
        <f t="shared" si="32"/>
        <v/>
      </c>
      <c r="C117" s="507">
        <f>IF(D93="","-",+C116+1)</f>
        <v>2026</v>
      </c>
      <c r="D117" s="374">
        <f>IF(F116+SUM(E$99:E116)=D$92,F116,D$92-SUM(E$99:E116))</f>
        <v>5714003.6037328141</v>
      </c>
      <c r="E117" s="522">
        <f>IF(+J96&lt;F116,J96,D117)</f>
        <v>235504.80487804877</v>
      </c>
      <c r="F117" s="523">
        <f t="shared" si="39"/>
        <v>5478498.7988547655</v>
      </c>
      <c r="G117" s="523">
        <f t="shared" si="40"/>
        <v>5596251.2012937898</v>
      </c>
      <c r="H117" s="526">
        <f t="shared" si="41"/>
        <v>870758.9305751645</v>
      </c>
      <c r="I117" s="577">
        <f t="shared" si="42"/>
        <v>870758.9305751645</v>
      </c>
      <c r="J117" s="514">
        <f t="shared" si="26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 ht="12.5">
      <c r="B118" s="195" t="str">
        <f t="shared" si="32"/>
        <v/>
      </c>
      <c r="C118" s="507">
        <f>IF(D93="","-",+C117+1)</f>
        <v>2027</v>
      </c>
      <c r="D118" s="374">
        <f>IF(F117+SUM(E$99:E117)=D$92,F117,D$92-SUM(E$99:E117))</f>
        <v>5478498.7988547655</v>
      </c>
      <c r="E118" s="522">
        <f>IF(+J96&lt;F117,J96,D118)</f>
        <v>235504.80487804877</v>
      </c>
      <c r="F118" s="523">
        <f t="shared" si="39"/>
        <v>5242993.9939767169</v>
      </c>
      <c r="G118" s="523">
        <f t="shared" si="40"/>
        <v>5360746.3964157412</v>
      </c>
      <c r="H118" s="526">
        <f t="shared" si="41"/>
        <v>844025.78484259127</v>
      </c>
      <c r="I118" s="577">
        <f t="shared" si="42"/>
        <v>844025.78484259127</v>
      </c>
      <c r="J118" s="514">
        <f t="shared" si="26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 ht="12.5">
      <c r="B119" s="195" t="str">
        <f t="shared" si="32"/>
        <v/>
      </c>
      <c r="C119" s="507">
        <f>IF(D93="","-",+C118+1)</f>
        <v>2028</v>
      </c>
      <c r="D119" s="374">
        <f>IF(F118+SUM(E$99:E118)=D$92,F118,D$92-SUM(E$99:E118))</f>
        <v>5242993.9939767169</v>
      </c>
      <c r="E119" s="522">
        <f>IF(+J96&lt;F118,J96,D119)</f>
        <v>235504.80487804877</v>
      </c>
      <c r="F119" s="523">
        <f t="shared" si="39"/>
        <v>5007489.1890986683</v>
      </c>
      <c r="G119" s="523">
        <f t="shared" si="40"/>
        <v>5125241.5915376926</v>
      </c>
      <c r="H119" s="526">
        <f t="shared" si="41"/>
        <v>817292.63911001803</v>
      </c>
      <c r="I119" s="577">
        <f t="shared" si="42"/>
        <v>817292.63911001803</v>
      </c>
      <c r="J119" s="514">
        <f t="shared" si="26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 ht="12.5">
      <c r="B120" s="195" t="str">
        <f t="shared" si="32"/>
        <v/>
      </c>
      <c r="C120" s="507">
        <f>IF(D93="","-",+C119+1)</f>
        <v>2029</v>
      </c>
      <c r="D120" s="374">
        <f>IF(F119+SUM(E$99:E119)=D$92,F119,D$92-SUM(E$99:E119))</f>
        <v>5007489.1890986683</v>
      </c>
      <c r="E120" s="522">
        <f>IF(+J96&lt;F119,J96,D120)</f>
        <v>235504.80487804877</v>
      </c>
      <c r="F120" s="523">
        <f t="shared" si="39"/>
        <v>4771984.3842206197</v>
      </c>
      <c r="G120" s="523">
        <f t="shared" si="40"/>
        <v>4889736.786659644</v>
      </c>
      <c r="H120" s="526">
        <f t="shared" si="41"/>
        <v>790559.49337744503</v>
      </c>
      <c r="I120" s="577">
        <f t="shared" si="42"/>
        <v>790559.49337744503</v>
      </c>
      <c r="J120" s="514">
        <f t="shared" si="26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 ht="12.5">
      <c r="B121" s="195" t="str">
        <f t="shared" si="32"/>
        <v/>
      </c>
      <c r="C121" s="507">
        <f>IF(D93="","-",+C120+1)</f>
        <v>2030</v>
      </c>
      <c r="D121" s="374">
        <f>IF(F120+SUM(E$99:E120)=D$92,F120,D$92-SUM(E$99:E120))</f>
        <v>4771984.3842206197</v>
      </c>
      <c r="E121" s="522">
        <f>IF(+J96&lt;F120,J96,D121)</f>
        <v>235504.80487804877</v>
      </c>
      <c r="F121" s="523">
        <f t="shared" si="39"/>
        <v>4536479.5793425711</v>
      </c>
      <c r="G121" s="523">
        <f t="shared" si="40"/>
        <v>4654231.9817815954</v>
      </c>
      <c r="H121" s="526">
        <f t="shared" si="41"/>
        <v>763826.3476448718</v>
      </c>
      <c r="I121" s="577">
        <f t="shared" si="42"/>
        <v>763826.3476448718</v>
      </c>
      <c r="J121" s="514">
        <f t="shared" si="26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 ht="12.5">
      <c r="B122" s="195" t="str">
        <f t="shared" si="32"/>
        <v/>
      </c>
      <c r="C122" s="507">
        <f>IF(D93="","-",+C121+1)</f>
        <v>2031</v>
      </c>
      <c r="D122" s="374">
        <f>IF(F121+SUM(E$99:E121)=D$92,F121,D$92-SUM(E$99:E121))</f>
        <v>4536479.5793425711</v>
      </c>
      <c r="E122" s="522">
        <f>IF(+J96&lt;F121,J96,D122)</f>
        <v>235504.80487804877</v>
      </c>
      <c r="F122" s="523">
        <f t="shared" si="39"/>
        <v>4300974.7744645225</v>
      </c>
      <c r="G122" s="523">
        <f t="shared" si="40"/>
        <v>4418727.1769035468</v>
      </c>
      <c r="H122" s="526">
        <f t="shared" si="41"/>
        <v>737093.20191229857</v>
      </c>
      <c r="I122" s="577">
        <f t="shared" si="42"/>
        <v>737093.20191229857</v>
      </c>
      <c r="J122" s="514">
        <f t="shared" si="26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 ht="12.5">
      <c r="B123" s="195" t="str">
        <f t="shared" si="32"/>
        <v/>
      </c>
      <c r="C123" s="507">
        <f>IF(D93="","-",+C122+1)</f>
        <v>2032</v>
      </c>
      <c r="D123" s="374">
        <f>IF(F122+SUM(E$99:E122)=D$92,F122,D$92-SUM(E$99:E122))</f>
        <v>4300974.7744645225</v>
      </c>
      <c r="E123" s="522">
        <f>IF(+J96&lt;F122,J96,D123)</f>
        <v>235504.80487804877</v>
      </c>
      <c r="F123" s="523">
        <f t="shared" si="39"/>
        <v>4065469.9695864739</v>
      </c>
      <c r="G123" s="523">
        <f t="shared" si="40"/>
        <v>4183222.3720254982</v>
      </c>
      <c r="H123" s="526">
        <f t="shared" si="41"/>
        <v>710360.05617972533</v>
      </c>
      <c r="I123" s="577">
        <f t="shared" si="42"/>
        <v>710360.05617972533</v>
      </c>
      <c r="J123" s="514">
        <f t="shared" si="26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 ht="12.5">
      <c r="B124" s="195" t="str">
        <f t="shared" si="32"/>
        <v/>
      </c>
      <c r="C124" s="507">
        <f>IF(D93="","-",+C123+1)</f>
        <v>2033</v>
      </c>
      <c r="D124" s="374">
        <f>IF(F123+SUM(E$99:E123)=D$92,F123,D$92-SUM(E$99:E123))</f>
        <v>4065469.9695864739</v>
      </c>
      <c r="E124" s="522">
        <f>IF(+J96&lt;F123,J96,D124)</f>
        <v>235504.80487804877</v>
      </c>
      <c r="F124" s="523">
        <f t="shared" si="39"/>
        <v>3829965.1647084253</v>
      </c>
      <c r="G124" s="523">
        <f t="shared" si="40"/>
        <v>3947717.5671474496</v>
      </c>
      <c r="H124" s="526">
        <f t="shared" si="41"/>
        <v>683626.91044715222</v>
      </c>
      <c r="I124" s="577">
        <f t="shared" si="42"/>
        <v>683626.91044715222</v>
      </c>
      <c r="J124" s="514">
        <f t="shared" si="26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 ht="12.5">
      <c r="B125" s="195" t="str">
        <f t="shared" si="32"/>
        <v/>
      </c>
      <c r="C125" s="507">
        <f>IF(D93="","-",+C124+1)</f>
        <v>2034</v>
      </c>
      <c r="D125" s="374">
        <f>IF(F124+SUM(E$99:E124)=D$92,F124,D$92-SUM(E$99:E124))</f>
        <v>3829965.1647084253</v>
      </c>
      <c r="E125" s="522">
        <f>IF(+J96&lt;F124,J96,D125)</f>
        <v>235504.80487804877</v>
      </c>
      <c r="F125" s="523">
        <f t="shared" si="39"/>
        <v>3594460.3598303767</v>
      </c>
      <c r="G125" s="523">
        <f t="shared" si="40"/>
        <v>3712212.762269401</v>
      </c>
      <c r="H125" s="526">
        <f t="shared" si="41"/>
        <v>656893.7647145791</v>
      </c>
      <c r="I125" s="577">
        <f t="shared" si="42"/>
        <v>656893.7647145791</v>
      </c>
      <c r="J125" s="514">
        <f t="shared" si="26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 ht="12.5">
      <c r="B126" s="195" t="str">
        <f t="shared" si="32"/>
        <v/>
      </c>
      <c r="C126" s="507">
        <f>IF(D93="","-",+C125+1)</f>
        <v>2035</v>
      </c>
      <c r="D126" s="374">
        <f>IF(F125+SUM(E$99:E125)=D$92,F125,D$92-SUM(E$99:E125))</f>
        <v>3594460.3598303767</v>
      </c>
      <c r="E126" s="522">
        <f>IF(+J96&lt;F125,J96,D126)</f>
        <v>235504.80487804877</v>
      </c>
      <c r="F126" s="523">
        <f t="shared" si="39"/>
        <v>3358955.5549523281</v>
      </c>
      <c r="G126" s="523">
        <f t="shared" si="40"/>
        <v>3476707.9573913524</v>
      </c>
      <c r="H126" s="526">
        <f t="shared" si="41"/>
        <v>630160.61898200586</v>
      </c>
      <c r="I126" s="577">
        <f t="shared" si="42"/>
        <v>630160.61898200586</v>
      </c>
      <c r="J126" s="514">
        <f t="shared" si="26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 ht="12.5">
      <c r="B127" s="195" t="str">
        <f t="shared" si="32"/>
        <v/>
      </c>
      <c r="C127" s="507">
        <f>IF(D93="","-",+C126+1)</f>
        <v>2036</v>
      </c>
      <c r="D127" s="374">
        <f>IF(F126+SUM(E$99:E126)=D$92,F126,D$92-SUM(E$99:E126))</f>
        <v>3358955.5549523281</v>
      </c>
      <c r="E127" s="522">
        <f>IF(+J96&lt;F126,J96,D127)</f>
        <v>235504.80487804877</v>
      </c>
      <c r="F127" s="523">
        <f t="shared" si="39"/>
        <v>3123450.7500742795</v>
      </c>
      <c r="G127" s="523">
        <f t="shared" si="40"/>
        <v>3241203.1525133038</v>
      </c>
      <c r="H127" s="526">
        <f t="shared" si="41"/>
        <v>603427.47324943263</v>
      </c>
      <c r="I127" s="577">
        <f t="shared" si="42"/>
        <v>603427.47324943263</v>
      </c>
      <c r="J127" s="514">
        <f t="shared" si="26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 ht="12.5">
      <c r="B128" s="195" t="str">
        <f t="shared" si="32"/>
        <v/>
      </c>
      <c r="C128" s="507">
        <f>IF(D93="","-",+C127+1)</f>
        <v>2037</v>
      </c>
      <c r="D128" s="374">
        <f>IF(F127+SUM(E$99:E127)=D$92,F127,D$92-SUM(E$99:E127))</f>
        <v>3123450.7500742795</v>
      </c>
      <c r="E128" s="522">
        <f>IF(+J96&lt;F127,J96,D128)</f>
        <v>235504.80487804877</v>
      </c>
      <c r="F128" s="523">
        <f t="shared" si="39"/>
        <v>2887945.9451962309</v>
      </c>
      <c r="G128" s="523">
        <f t="shared" si="40"/>
        <v>3005698.3476352552</v>
      </c>
      <c r="H128" s="526">
        <f t="shared" si="41"/>
        <v>576694.32751685951</v>
      </c>
      <c r="I128" s="577">
        <f t="shared" si="42"/>
        <v>576694.32751685951</v>
      </c>
      <c r="J128" s="514">
        <f t="shared" si="26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 ht="12.5">
      <c r="B129" s="195" t="str">
        <f t="shared" si="32"/>
        <v/>
      </c>
      <c r="C129" s="507">
        <f>IF(D93="","-",+C128+1)</f>
        <v>2038</v>
      </c>
      <c r="D129" s="374">
        <f>IF(F128+SUM(E$99:E128)=D$92,F128,D$92-SUM(E$99:E128))</f>
        <v>2887945.9451962309</v>
      </c>
      <c r="E129" s="522">
        <f>IF(+J96&lt;F128,J96,D129)</f>
        <v>235504.80487804877</v>
      </c>
      <c r="F129" s="523">
        <f t="shared" si="39"/>
        <v>2652441.1403181823</v>
      </c>
      <c r="G129" s="523">
        <f t="shared" si="40"/>
        <v>2770193.5427572066</v>
      </c>
      <c r="H129" s="526">
        <f t="shared" si="41"/>
        <v>549961.1817842864</v>
      </c>
      <c r="I129" s="577">
        <f t="shared" si="42"/>
        <v>549961.1817842864</v>
      </c>
      <c r="J129" s="514">
        <f t="shared" si="26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 ht="12.5">
      <c r="B130" s="195" t="str">
        <f t="shared" si="32"/>
        <v/>
      </c>
      <c r="C130" s="507">
        <f>IF(D93="","-",+C129+1)</f>
        <v>2039</v>
      </c>
      <c r="D130" s="374">
        <f>IF(F129+SUM(E$99:E129)=D$92,F129,D$92-SUM(E$99:E129))</f>
        <v>2652441.1403181823</v>
      </c>
      <c r="E130" s="522">
        <f>IF(+J96&lt;F129,J96,D130)</f>
        <v>235504.80487804877</v>
      </c>
      <c r="F130" s="523">
        <f t="shared" si="39"/>
        <v>2416936.3354401337</v>
      </c>
      <c r="G130" s="523">
        <f t="shared" si="40"/>
        <v>2534688.737879158</v>
      </c>
      <c r="H130" s="526">
        <f t="shared" si="41"/>
        <v>523228.03605171316</v>
      </c>
      <c r="I130" s="577">
        <f t="shared" si="42"/>
        <v>523228.03605171316</v>
      </c>
      <c r="J130" s="514">
        <f t="shared" si="26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 ht="12.5">
      <c r="B131" s="195" t="str">
        <f t="shared" si="32"/>
        <v/>
      </c>
      <c r="C131" s="507">
        <f>IF(D93="","-",+C130+1)</f>
        <v>2040</v>
      </c>
      <c r="D131" s="374">
        <f>IF(F130+SUM(E$99:E130)=D$92,F130,D$92-SUM(E$99:E130))</f>
        <v>2416936.3354401337</v>
      </c>
      <c r="E131" s="522">
        <f>IF(+J96&lt;F130,J96,D131)</f>
        <v>235504.80487804877</v>
      </c>
      <c r="F131" s="523">
        <f t="shared" ref="F131:F154" si="43">+D131-E131</f>
        <v>2181431.5305620851</v>
      </c>
      <c r="G131" s="523">
        <f t="shared" ref="G131:G154" si="44">+(F131+D131)/2</f>
        <v>2299183.9330011094</v>
      </c>
      <c r="H131" s="526">
        <f t="shared" si="41"/>
        <v>496494.89031913999</v>
      </c>
      <c r="I131" s="577">
        <f t="shared" si="42"/>
        <v>496494.89031913999</v>
      </c>
      <c r="J131" s="514">
        <f t="shared" ref="J131:J154" si="45">+I131-H131</f>
        <v>0</v>
      </c>
      <c r="K131" s="514"/>
      <c r="L131" s="525"/>
      <c r="M131" s="514">
        <f t="shared" ref="M131:M154" si="46">IF(L131&lt;&gt;0,+H131-L131,0)</f>
        <v>0</v>
      </c>
      <c r="N131" s="525"/>
      <c r="O131" s="514">
        <f t="shared" ref="O131:O154" si="47">IF(N131&lt;&gt;0,+I131-N131,0)</f>
        <v>0</v>
      </c>
      <c r="P131" s="514">
        <f t="shared" ref="P131:P154" si="48">+O131-M131</f>
        <v>0</v>
      </c>
      <c r="Q131" s="269"/>
    </row>
    <row r="132" spans="2:17" ht="12.5">
      <c r="B132" s="195" t="str">
        <f t="shared" si="32"/>
        <v/>
      </c>
      <c r="C132" s="507">
        <f>IF(D93="","-",+C131+1)</f>
        <v>2041</v>
      </c>
      <c r="D132" s="374">
        <f>IF(F131+SUM(E$99:E131)=D$92,F131,D$92-SUM(E$99:E131))</f>
        <v>2181431.5305620851</v>
      </c>
      <c r="E132" s="522">
        <f>IF(+J96&lt;F131,J96,D132)</f>
        <v>235504.80487804877</v>
      </c>
      <c r="F132" s="523">
        <f t="shared" si="43"/>
        <v>1945926.7256840363</v>
      </c>
      <c r="G132" s="523">
        <f t="shared" si="44"/>
        <v>2063679.1281230608</v>
      </c>
      <c r="H132" s="526">
        <f t="shared" si="41"/>
        <v>469761.74458656681</v>
      </c>
      <c r="I132" s="577">
        <f t="shared" si="42"/>
        <v>469761.74458656681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  <c r="Q132" s="269"/>
    </row>
    <row r="133" spans="2:17" ht="12.5">
      <c r="B133" s="195" t="str">
        <f t="shared" si="32"/>
        <v/>
      </c>
      <c r="C133" s="507">
        <f>IF(D93="","-",+C132+1)</f>
        <v>2042</v>
      </c>
      <c r="D133" s="374">
        <f>IF(F132+SUM(E$99:E132)=D$92,F132,D$92-SUM(E$99:E132))</f>
        <v>1945926.7256840363</v>
      </c>
      <c r="E133" s="522">
        <f>IF(+J96&lt;F132,J96,D133)</f>
        <v>235504.80487804877</v>
      </c>
      <c r="F133" s="523">
        <f t="shared" si="43"/>
        <v>1710421.9208059874</v>
      </c>
      <c r="G133" s="523">
        <f t="shared" si="44"/>
        <v>1828174.3232450117</v>
      </c>
      <c r="H133" s="526">
        <f t="shared" si="41"/>
        <v>443028.59885399358</v>
      </c>
      <c r="I133" s="577">
        <f t="shared" si="42"/>
        <v>443028.59885399358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  <c r="Q133" s="269"/>
    </row>
    <row r="134" spans="2:17" ht="12.5">
      <c r="B134" s="195" t="str">
        <f t="shared" si="32"/>
        <v/>
      </c>
      <c r="C134" s="507">
        <f>IF(D93="","-",+C133+1)</f>
        <v>2043</v>
      </c>
      <c r="D134" s="374">
        <f>IF(F133+SUM(E$99:E133)=D$92,F133,D$92-SUM(E$99:E133))</f>
        <v>1710421.9208059874</v>
      </c>
      <c r="E134" s="522">
        <f>IF(+J96&lt;F133,J96,D134)</f>
        <v>235504.80487804877</v>
      </c>
      <c r="F134" s="523">
        <f t="shared" si="43"/>
        <v>1474917.1159279386</v>
      </c>
      <c r="G134" s="523">
        <f t="shared" si="44"/>
        <v>1592669.5183669631</v>
      </c>
      <c r="H134" s="526">
        <f t="shared" si="41"/>
        <v>416295.4531214204</v>
      </c>
      <c r="I134" s="577">
        <f t="shared" si="42"/>
        <v>416295.4531214204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  <c r="Q134" s="269"/>
    </row>
    <row r="135" spans="2:17" ht="12.5">
      <c r="B135" s="195" t="str">
        <f t="shared" si="32"/>
        <v/>
      </c>
      <c r="C135" s="507">
        <f>IF(D93="","-",+C134+1)</f>
        <v>2044</v>
      </c>
      <c r="D135" s="374">
        <f>IF(F134+SUM(E$99:E134)=D$92,F134,D$92-SUM(E$99:E134))</f>
        <v>1474917.1159279386</v>
      </c>
      <c r="E135" s="522">
        <f>IF(+J96&lt;F134,J96,D135)</f>
        <v>235504.80487804877</v>
      </c>
      <c r="F135" s="523">
        <f t="shared" si="43"/>
        <v>1239412.3110498898</v>
      </c>
      <c r="G135" s="523">
        <f t="shared" si="44"/>
        <v>1357164.7134889141</v>
      </c>
      <c r="H135" s="526">
        <f t="shared" si="41"/>
        <v>389562.30738884717</v>
      </c>
      <c r="I135" s="577">
        <f t="shared" si="42"/>
        <v>389562.30738884717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  <c r="Q135" s="269"/>
    </row>
    <row r="136" spans="2:17" ht="12.5">
      <c r="B136" s="195" t="str">
        <f t="shared" si="32"/>
        <v/>
      </c>
      <c r="C136" s="507">
        <f>IF(D93="","-",+C135+1)</f>
        <v>2045</v>
      </c>
      <c r="D136" s="374">
        <f>IF(F135+SUM(E$99:E135)=D$92,F135,D$92-SUM(E$99:E135))</f>
        <v>1239412.3110498898</v>
      </c>
      <c r="E136" s="522">
        <f>IF(+J96&lt;F135,J96,D136)</f>
        <v>235504.80487804877</v>
      </c>
      <c r="F136" s="523">
        <f t="shared" si="43"/>
        <v>1003907.5061718409</v>
      </c>
      <c r="G136" s="523">
        <f t="shared" si="44"/>
        <v>1121659.9086108655</v>
      </c>
      <c r="H136" s="526">
        <f t="shared" si="41"/>
        <v>362829.16165627399</v>
      </c>
      <c r="I136" s="577">
        <f t="shared" si="42"/>
        <v>362829.16165627399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  <c r="Q136" s="269"/>
    </row>
    <row r="137" spans="2:17" ht="12.5">
      <c r="B137" s="195" t="str">
        <f t="shared" si="32"/>
        <v/>
      </c>
      <c r="C137" s="507">
        <f>IF(D93="","-",+C136+1)</f>
        <v>2046</v>
      </c>
      <c r="D137" s="374">
        <f>IF(F136+SUM(E$99:E136)=D$92,F136,D$92-SUM(E$99:E136))</f>
        <v>1003907.5061718409</v>
      </c>
      <c r="E137" s="522">
        <f>IF(+J96&lt;F136,J96,D137)</f>
        <v>235504.80487804877</v>
      </c>
      <c r="F137" s="523">
        <f t="shared" si="43"/>
        <v>768402.70129379211</v>
      </c>
      <c r="G137" s="523">
        <f t="shared" si="44"/>
        <v>886155.10373281653</v>
      </c>
      <c r="H137" s="526">
        <f t="shared" si="41"/>
        <v>336096.01592370076</v>
      </c>
      <c r="I137" s="577">
        <f t="shared" si="42"/>
        <v>336096.01592370076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  <c r="Q137" s="269"/>
    </row>
    <row r="138" spans="2:17" ht="12.5">
      <c r="B138" s="195" t="str">
        <f t="shared" si="32"/>
        <v/>
      </c>
      <c r="C138" s="507">
        <f>IF(D93="","-",+C137+1)</f>
        <v>2047</v>
      </c>
      <c r="D138" s="374">
        <f>IF(F137+SUM(E$99:E137)=D$92,F137,D$92-SUM(E$99:E137))</f>
        <v>768402.70129379211</v>
      </c>
      <c r="E138" s="522">
        <f>IF(+J96&lt;F137,J96,D138)</f>
        <v>235504.80487804877</v>
      </c>
      <c r="F138" s="523">
        <f t="shared" si="43"/>
        <v>532897.89641574328</v>
      </c>
      <c r="G138" s="523">
        <f t="shared" si="44"/>
        <v>650650.29885476769</v>
      </c>
      <c r="H138" s="526">
        <f t="shared" si="41"/>
        <v>309362.87019112759</v>
      </c>
      <c r="I138" s="577">
        <f t="shared" si="42"/>
        <v>309362.87019112759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  <c r="Q138" s="269"/>
    </row>
    <row r="139" spans="2:17" ht="12.5">
      <c r="B139" s="195" t="str">
        <f t="shared" si="32"/>
        <v/>
      </c>
      <c r="C139" s="507">
        <f>IF(D93="","-",+C138+1)</f>
        <v>2048</v>
      </c>
      <c r="D139" s="374">
        <f>IF(F138+SUM(E$99:E138)=D$92,F138,D$92-SUM(E$99:E138))</f>
        <v>532897.89641574328</v>
      </c>
      <c r="E139" s="522">
        <f>IF(+J96&lt;F138,J96,D139)</f>
        <v>235504.80487804877</v>
      </c>
      <c r="F139" s="523">
        <f t="shared" si="43"/>
        <v>297393.0915376945</v>
      </c>
      <c r="G139" s="523">
        <f t="shared" si="44"/>
        <v>415145.49397671886</v>
      </c>
      <c r="H139" s="526">
        <f t="shared" si="41"/>
        <v>282629.72445855441</v>
      </c>
      <c r="I139" s="577">
        <f t="shared" si="42"/>
        <v>282629.72445855441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  <c r="Q139" s="269"/>
    </row>
    <row r="140" spans="2:17" ht="12.5">
      <c r="B140" s="195" t="str">
        <f t="shared" si="32"/>
        <v/>
      </c>
      <c r="C140" s="507">
        <f>IF(D93="","-",+C139+1)</f>
        <v>2049</v>
      </c>
      <c r="D140" s="374">
        <f>IF(F139+SUM(E$99:E139)=D$92,F139,D$92-SUM(E$99:E139))</f>
        <v>297393.0915376945</v>
      </c>
      <c r="E140" s="522">
        <f>IF(+J96&lt;F139,J96,D140)</f>
        <v>235504.80487804877</v>
      </c>
      <c r="F140" s="523">
        <f t="shared" si="43"/>
        <v>61888.286659645732</v>
      </c>
      <c r="G140" s="523">
        <f t="shared" si="44"/>
        <v>179640.68909867012</v>
      </c>
      <c r="H140" s="526">
        <f t="shared" si="41"/>
        <v>255896.57872598118</v>
      </c>
      <c r="I140" s="577">
        <f t="shared" si="42"/>
        <v>255896.57872598118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  <c r="Q140" s="269"/>
    </row>
    <row r="141" spans="2:17" ht="12.5">
      <c r="B141" s="195" t="str">
        <f t="shared" si="32"/>
        <v/>
      </c>
      <c r="C141" s="507">
        <f>IF(D93="","-",+C140+1)</f>
        <v>2050</v>
      </c>
      <c r="D141" s="374">
        <f>IF(F140+SUM(E$99:E140)=D$92,F140,D$92-SUM(E$99:E140))</f>
        <v>61888.286659645732</v>
      </c>
      <c r="E141" s="522">
        <f>IF(+J96&lt;F140,J96,D141)</f>
        <v>61888.286659645732</v>
      </c>
      <c r="F141" s="523">
        <f t="shared" si="43"/>
        <v>0</v>
      </c>
      <c r="G141" s="523">
        <f t="shared" si="44"/>
        <v>30944.143329822866</v>
      </c>
      <c r="H141" s="526">
        <f t="shared" si="41"/>
        <v>65400.887150468639</v>
      </c>
      <c r="I141" s="577">
        <f t="shared" si="42"/>
        <v>65400.887150468639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  <c r="Q141" s="269"/>
    </row>
    <row r="142" spans="2:17" ht="12.5">
      <c r="B142" s="195" t="str">
        <f t="shared" si="32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3"/>
        <v>0</v>
      </c>
      <c r="G142" s="523">
        <f t="shared" si="44"/>
        <v>0</v>
      </c>
      <c r="H142" s="526">
        <f t="shared" si="41"/>
        <v>0</v>
      </c>
      <c r="I142" s="577">
        <f t="shared" si="42"/>
        <v>0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  <c r="Q142" s="269"/>
    </row>
    <row r="143" spans="2:17" ht="12.5">
      <c r="B143" s="195" t="str">
        <f t="shared" si="32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3"/>
        <v>0</v>
      </c>
      <c r="G143" s="523">
        <f t="shared" si="44"/>
        <v>0</v>
      </c>
      <c r="H143" s="526">
        <f t="shared" si="41"/>
        <v>0</v>
      </c>
      <c r="I143" s="577">
        <f t="shared" si="42"/>
        <v>0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  <c r="Q143" s="269"/>
    </row>
    <row r="144" spans="2:17" ht="12.5">
      <c r="B144" s="195" t="str">
        <f t="shared" si="32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3"/>
        <v>0</v>
      </c>
      <c r="G144" s="523">
        <f t="shared" si="44"/>
        <v>0</v>
      </c>
      <c r="H144" s="526">
        <f t="shared" si="41"/>
        <v>0</v>
      </c>
      <c r="I144" s="577">
        <f t="shared" si="42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  <c r="Q144" s="269"/>
    </row>
    <row r="145" spans="2:17" ht="12.5">
      <c r="B145" s="195" t="str">
        <f t="shared" si="32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3"/>
        <v>0</v>
      </c>
      <c r="G145" s="523">
        <f t="shared" si="44"/>
        <v>0</v>
      </c>
      <c r="H145" s="526">
        <f t="shared" si="41"/>
        <v>0</v>
      </c>
      <c r="I145" s="577">
        <f t="shared" si="42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  <c r="Q145" s="269"/>
    </row>
    <row r="146" spans="2:17" ht="12.5">
      <c r="B146" s="195" t="str">
        <f t="shared" si="32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3"/>
        <v>0</v>
      </c>
      <c r="G146" s="523">
        <f t="shared" si="44"/>
        <v>0</v>
      </c>
      <c r="H146" s="526">
        <f t="shared" si="41"/>
        <v>0</v>
      </c>
      <c r="I146" s="577">
        <f t="shared" si="42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  <c r="Q146" s="269"/>
    </row>
    <row r="147" spans="2:17" ht="12.5">
      <c r="B147" s="195" t="str">
        <f t="shared" si="32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3"/>
        <v>0</v>
      </c>
      <c r="G147" s="523">
        <f t="shared" si="44"/>
        <v>0</v>
      </c>
      <c r="H147" s="526">
        <f t="shared" si="41"/>
        <v>0</v>
      </c>
      <c r="I147" s="577">
        <f t="shared" si="42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  <c r="Q147" s="269"/>
    </row>
    <row r="148" spans="2:17" ht="12.5">
      <c r="B148" s="195" t="str">
        <f t="shared" si="32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3"/>
        <v>0</v>
      </c>
      <c r="G148" s="523">
        <f t="shared" si="44"/>
        <v>0</v>
      </c>
      <c r="H148" s="526">
        <f t="shared" si="41"/>
        <v>0</v>
      </c>
      <c r="I148" s="577">
        <f t="shared" si="42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  <c r="Q148" s="269"/>
    </row>
    <row r="149" spans="2:17" ht="12.5">
      <c r="B149" s="195" t="str">
        <f t="shared" si="32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3"/>
        <v>0</v>
      </c>
      <c r="G149" s="523">
        <f t="shared" si="44"/>
        <v>0</v>
      </c>
      <c r="H149" s="526">
        <f t="shared" si="41"/>
        <v>0</v>
      </c>
      <c r="I149" s="577">
        <f t="shared" si="42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  <c r="Q149" s="269"/>
    </row>
    <row r="150" spans="2:17" ht="12.5">
      <c r="B150" s="195" t="str">
        <f t="shared" si="32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3"/>
        <v>0</v>
      </c>
      <c r="G150" s="523">
        <f t="shared" si="44"/>
        <v>0</v>
      </c>
      <c r="H150" s="526">
        <f t="shared" si="41"/>
        <v>0</v>
      </c>
      <c r="I150" s="577">
        <f t="shared" si="42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  <c r="Q150" s="269"/>
    </row>
    <row r="151" spans="2:17" ht="12.5">
      <c r="B151" s="195" t="str">
        <f t="shared" si="32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3"/>
        <v>0</v>
      </c>
      <c r="G151" s="523">
        <f t="shared" si="44"/>
        <v>0</v>
      </c>
      <c r="H151" s="526">
        <f t="shared" si="41"/>
        <v>0</v>
      </c>
      <c r="I151" s="577">
        <f t="shared" si="42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  <c r="Q151" s="269"/>
    </row>
    <row r="152" spans="2:17" ht="12.5">
      <c r="B152" s="195" t="str">
        <f t="shared" si="32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3"/>
        <v>0</v>
      </c>
      <c r="G152" s="523">
        <f t="shared" si="44"/>
        <v>0</v>
      </c>
      <c r="H152" s="526">
        <f t="shared" si="41"/>
        <v>0</v>
      </c>
      <c r="I152" s="577">
        <f t="shared" si="42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  <c r="Q152" s="269"/>
    </row>
    <row r="153" spans="2:17" ht="12.5">
      <c r="B153" s="195" t="str">
        <f t="shared" si="32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3"/>
        <v>0</v>
      </c>
      <c r="G153" s="523">
        <f t="shared" si="44"/>
        <v>0</v>
      </c>
      <c r="H153" s="526">
        <f t="shared" si="41"/>
        <v>0</v>
      </c>
      <c r="I153" s="577">
        <f t="shared" si="42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  <c r="Q153" s="269"/>
    </row>
    <row r="154" spans="2:17" ht="13" thickBot="1">
      <c r="B154" s="195" t="str">
        <f t="shared" si="32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3"/>
        <v>0</v>
      </c>
      <c r="G154" s="528">
        <f t="shared" si="44"/>
        <v>0</v>
      </c>
      <c r="H154" s="530">
        <f t="shared" si="41"/>
        <v>0</v>
      </c>
      <c r="I154" s="579">
        <f t="shared" si="42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  <c r="Q154" s="269"/>
    </row>
    <row r="155" spans="2:17" ht="12.5">
      <c r="C155" s="374" t="s">
        <v>78</v>
      </c>
      <c r="D155" s="375"/>
      <c r="E155" s="375">
        <f>SUM(E99:E154)</f>
        <v>9655696.9999999963</v>
      </c>
      <c r="F155" s="375"/>
      <c r="G155" s="375"/>
      <c r="H155" s="375">
        <f>SUM(H99:H154)</f>
        <v>34340632.357105531</v>
      </c>
      <c r="I155" s="375">
        <f>SUM(I99:I154)</f>
        <v>34340632.357105531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5" priority="1" stopIfTrue="1" operator="equal">
      <formula>$I$10</formula>
    </cfRule>
  </conditionalFormatting>
  <conditionalFormatting sqref="C99:C154">
    <cfRule type="cellIs" dxfId="1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7"/>
  <dimension ref="A1:Q162"/>
  <sheetViews>
    <sheetView view="pageBreakPreview" zoomScale="84" zoomScaleNormal="100" zoomScaleSheetLayoutView="84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9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300427.61382365174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300427.61382365174</v>
      </c>
      <c r="O6" s="269"/>
      <c r="P6" s="269"/>
    </row>
    <row r="7" spans="1:17" ht="13.5" thickBot="1">
      <c r="C7" s="467" t="s">
        <v>48</v>
      </c>
      <c r="D7" s="468" t="s">
        <v>231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148</v>
      </c>
      <c r="E9" s="666" t="s">
        <v>479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2820328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67150.666666666672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1475169</v>
      </c>
      <c r="E17" s="509">
        <v>29902</v>
      </c>
      <c r="F17" s="508">
        <v>1445267</v>
      </c>
      <c r="G17" s="509">
        <v>214903</v>
      </c>
      <c r="H17" s="510">
        <v>214903</v>
      </c>
      <c r="I17" s="596">
        <f t="shared" ref="I17:I48" si="0">H17-G17</f>
        <v>0</v>
      </c>
      <c r="J17" s="511"/>
      <c r="K17" s="512">
        <v>214903</v>
      </c>
      <c r="L17" s="513">
        <f t="shared" ref="L17:L48" si="1">IF(K17&lt;&gt;0,+G17-K17,0)</f>
        <v>0</v>
      </c>
      <c r="M17" s="512">
        <f>K17</f>
        <v>214903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2009</v>
      </c>
      <c r="D18" s="515">
        <v>1831326</v>
      </c>
      <c r="E18" s="516">
        <v>50403</v>
      </c>
      <c r="F18" s="515">
        <v>1780923</v>
      </c>
      <c r="G18" s="516">
        <v>323352</v>
      </c>
      <c r="H18" s="510">
        <v>323352</v>
      </c>
      <c r="I18" s="596">
        <f t="shared" si="0"/>
        <v>0</v>
      </c>
      <c r="J18" s="511"/>
      <c r="K18" s="518">
        <v>323352</v>
      </c>
      <c r="L18" s="514">
        <f t="shared" si="1"/>
        <v>0</v>
      </c>
      <c r="M18" s="518">
        <v>323352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2010</v>
      </c>
      <c r="D19" s="515">
        <v>1782801</v>
      </c>
      <c r="E19" s="516">
        <v>49029</v>
      </c>
      <c r="F19" s="515">
        <v>1733771</v>
      </c>
      <c r="G19" s="516">
        <v>298284</v>
      </c>
      <c r="H19" s="510">
        <v>298285</v>
      </c>
      <c r="I19" s="598">
        <v>0</v>
      </c>
      <c r="J19" s="511"/>
      <c r="K19" s="518">
        <f t="shared" ref="K19:K24" si="4">G19</f>
        <v>298284</v>
      </c>
      <c r="L19" s="519">
        <f t="shared" si="1"/>
        <v>0</v>
      </c>
      <c r="M19" s="518">
        <f t="shared" ref="M19:M24" si="5">H19</f>
        <v>298285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2011</v>
      </c>
      <c r="D20" s="515">
        <v>2691044</v>
      </c>
      <c r="E20" s="516">
        <v>68789.707317073175</v>
      </c>
      <c r="F20" s="515">
        <v>2622254.2926829266</v>
      </c>
      <c r="G20" s="516">
        <v>478365.33332464576</v>
      </c>
      <c r="H20" s="510">
        <v>478365.33332464576</v>
      </c>
      <c r="I20" s="598">
        <v>0</v>
      </c>
      <c r="J20" s="511"/>
      <c r="K20" s="518">
        <f t="shared" si="4"/>
        <v>478365.33332464576</v>
      </c>
      <c r="L20" s="519">
        <f t="shared" si="1"/>
        <v>0</v>
      </c>
      <c r="M20" s="518">
        <f t="shared" si="5"/>
        <v>478365.33332464576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2622254.2926829266</v>
      </c>
      <c r="E21" s="516">
        <v>67151.857142857145</v>
      </c>
      <c r="F21" s="515">
        <v>2555102.4355400694</v>
      </c>
      <c r="G21" s="516">
        <v>447147.04924288485</v>
      </c>
      <c r="H21" s="510">
        <v>447147.04924288485</v>
      </c>
      <c r="I21" s="517">
        <v>0</v>
      </c>
      <c r="J21" s="511"/>
      <c r="K21" s="518">
        <f t="shared" si="4"/>
        <v>447147.04924288485</v>
      </c>
      <c r="L21" s="519">
        <f t="shared" si="1"/>
        <v>0</v>
      </c>
      <c r="M21" s="518">
        <f t="shared" si="5"/>
        <v>447147.04924288485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515">
        <v>2555102.4355400694</v>
      </c>
      <c r="E22" s="516">
        <v>67151.857142857145</v>
      </c>
      <c r="F22" s="515">
        <v>2487950.5783972121</v>
      </c>
      <c r="G22" s="516">
        <v>415432.79896148719</v>
      </c>
      <c r="H22" s="510">
        <v>415432.79896148719</v>
      </c>
      <c r="I22" s="596">
        <v>0</v>
      </c>
      <c r="J22" s="511"/>
      <c r="K22" s="518">
        <f t="shared" si="4"/>
        <v>415432.79896148719</v>
      </c>
      <c r="L22" s="519">
        <f t="shared" ref="L22:L27" si="7">IF(K22&lt;&gt;0,+G22-K22,0)</f>
        <v>0</v>
      </c>
      <c r="M22" s="518">
        <f t="shared" si="5"/>
        <v>415432.79896148719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515">
        <v>2487950.5783972121</v>
      </c>
      <c r="E23" s="516">
        <v>67151.857142857145</v>
      </c>
      <c r="F23" s="515">
        <v>2420798.7212543548</v>
      </c>
      <c r="G23" s="516">
        <v>393743.0429982192</v>
      </c>
      <c r="H23" s="510">
        <v>393743.0429982192</v>
      </c>
      <c r="I23" s="596">
        <v>0</v>
      </c>
      <c r="J23" s="511"/>
      <c r="K23" s="518">
        <f t="shared" si="4"/>
        <v>393743.0429982192</v>
      </c>
      <c r="L23" s="519">
        <f t="shared" si="7"/>
        <v>0</v>
      </c>
      <c r="M23" s="518">
        <f t="shared" si="5"/>
        <v>393743.0429982192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515">
        <v>2420798.7212543548</v>
      </c>
      <c r="E24" s="516">
        <v>67151.857142857145</v>
      </c>
      <c r="F24" s="515">
        <v>2353646.8641114975</v>
      </c>
      <c r="G24" s="516">
        <v>377138.44894635677</v>
      </c>
      <c r="H24" s="510">
        <v>377138.44894635677</v>
      </c>
      <c r="I24" s="511">
        <v>0</v>
      </c>
      <c r="J24" s="511"/>
      <c r="K24" s="518">
        <f t="shared" si="4"/>
        <v>377138.44894635677</v>
      </c>
      <c r="L24" s="519">
        <f t="shared" si="7"/>
        <v>0</v>
      </c>
      <c r="M24" s="518">
        <f t="shared" si="5"/>
        <v>377138.44894635677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>IU</v>
      </c>
      <c r="C25" s="507">
        <f>IF(D11="","-",+C24+1)</f>
        <v>2016</v>
      </c>
      <c r="D25" s="515">
        <v>2353596.864111498</v>
      </c>
      <c r="E25" s="516">
        <v>67150.666666666672</v>
      </c>
      <c r="F25" s="515">
        <v>2286446.1974448315</v>
      </c>
      <c r="G25" s="516">
        <v>364571.53091239138</v>
      </c>
      <c r="H25" s="510">
        <v>364571.53091239138</v>
      </c>
      <c r="I25" s="511">
        <f t="shared" si="0"/>
        <v>0</v>
      </c>
      <c r="J25" s="511"/>
      <c r="K25" s="518">
        <f t="shared" ref="K25:K30" si="10">G25</f>
        <v>364571.53091239138</v>
      </c>
      <c r="L25" s="519">
        <f t="shared" si="7"/>
        <v>0</v>
      </c>
      <c r="M25" s="518">
        <f t="shared" ref="M25:M30" si="11">H25</f>
        <v>364571.53091239138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515">
        <v>2286446.1974448315</v>
      </c>
      <c r="E26" s="516">
        <v>65589.023255813954</v>
      </c>
      <c r="F26" s="515">
        <v>2220857.1741890176</v>
      </c>
      <c r="G26" s="516">
        <v>344799.6405005774</v>
      </c>
      <c r="H26" s="510">
        <v>344799.6405005774</v>
      </c>
      <c r="I26" s="511">
        <f t="shared" si="0"/>
        <v>0</v>
      </c>
      <c r="J26" s="511"/>
      <c r="K26" s="518">
        <f t="shared" si="10"/>
        <v>344799.6405005774</v>
      </c>
      <c r="L26" s="519">
        <f t="shared" si="7"/>
        <v>0</v>
      </c>
      <c r="M26" s="518">
        <f t="shared" si="11"/>
        <v>344799.6405005774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515">
        <v>2220857.1741890176</v>
      </c>
      <c r="E27" s="516">
        <v>68788.487804878052</v>
      </c>
      <c r="F27" s="515">
        <v>2152068.6863841396</v>
      </c>
      <c r="G27" s="516">
        <v>346675.02376969234</v>
      </c>
      <c r="H27" s="510">
        <v>346675.02376969234</v>
      </c>
      <c r="I27" s="511">
        <f t="shared" si="0"/>
        <v>0</v>
      </c>
      <c r="J27" s="511"/>
      <c r="K27" s="518">
        <f t="shared" si="10"/>
        <v>346675.02376969234</v>
      </c>
      <c r="L27" s="519">
        <f t="shared" si="7"/>
        <v>0</v>
      </c>
      <c r="M27" s="518">
        <f t="shared" si="11"/>
        <v>346675.02376969234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515">
        <v>2152068.6863841396</v>
      </c>
      <c r="E28" s="516">
        <v>68788.487804878052</v>
      </c>
      <c r="F28" s="515">
        <v>2083280.1985792615</v>
      </c>
      <c r="G28" s="516">
        <v>337932.41289549379</v>
      </c>
      <c r="H28" s="510">
        <v>337932.41289549379</v>
      </c>
      <c r="I28" s="511">
        <f t="shared" si="0"/>
        <v>0</v>
      </c>
      <c r="J28" s="511"/>
      <c r="K28" s="518">
        <f t="shared" si="10"/>
        <v>337932.41289549379</v>
      </c>
      <c r="L28" s="519">
        <f t="shared" ref="L28" si="12">IF(K28&lt;&gt;0,+G28-K28,0)</f>
        <v>0</v>
      </c>
      <c r="M28" s="518">
        <f t="shared" si="11"/>
        <v>337932.41289549379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2020</v>
      </c>
      <c r="D29" s="515">
        <v>2083280.1985792615</v>
      </c>
      <c r="E29" s="516">
        <v>68788.487804878052</v>
      </c>
      <c r="F29" s="515">
        <v>2014491.7107743835</v>
      </c>
      <c r="G29" s="516">
        <v>278462.16480746388</v>
      </c>
      <c r="H29" s="510">
        <v>278462.16480746388</v>
      </c>
      <c r="I29" s="511">
        <f t="shared" si="0"/>
        <v>0</v>
      </c>
      <c r="J29" s="511"/>
      <c r="K29" s="518">
        <f t="shared" si="10"/>
        <v>278462.16480746388</v>
      </c>
      <c r="L29" s="519">
        <f t="shared" ref="L29" si="13">IF(K29&lt;&gt;0,+G29-K29,0)</f>
        <v>0</v>
      </c>
      <c r="M29" s="518">
        <f t="shared" si="11"/>
        <v>278462.16480746388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2021</v>
      </c>
      <c r="D30" s="515">
        <v>2017691.1753234474</v>
      </c>
      <c r="E30" s="516">
        <v>67150.666666666672</v>
      </c>
      <c r="F30" s="515">
        <v>1950540.5086567807</v>
      </c>
      <c r="G30" s="516">
        <v>277475.96380868781</v>
      </c>
      <c r="H30" s="510">
        <v>277475.96380868781</v>
      </c>
      <c r="I30" s="511">
        <f t="shared" si="0"/>
        <v>0</v>
      </c>
      <c r="J30" s="511"/>
      <c r="K30" s="518">
        <f t="shared" si="10"/>
        <v>277475.96380868781</v>
      </c>
      <c r="L30" s="519">
        <f t="shared" ref="L30" si="14">IF(K30&lt;&gt;0,+G30-K30,0)</f>
        <v>0</v>
      </c>
      <c r="M30" s="518">
        <f t="shared" si="11"/>
        <v>277475.96380868781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2022</v>
      </c>
      <c r="D31" s="515">
        <v>1947341.0441077168</v>
      </c>
      <c r="E31" s="516">
        <v>67150.666666666672</v>
      </c>
      <c r="F31" s="515">
        <v>1880190.37744105</v>
      </c>
      <c r="G31" s="516">
        <v>282342.32366047957</v>
      </c>
      <c r="H31" s="510">
        <v>282342.32366047957</v>
      </c>
      <c r="I31" s="511">
        <f t="shared" si="0"/>
        <v>0</v>
      </c>
      <c r="J31" s="511"/>
      <c r="K31" s="518">
        <f t="shared" ref="K31" si="15">G31</f>
        <v>282342.32366047957</v>
      </c>
      <c r="L31" s="519">
        <f t="shared" ref="L31" si="16">IF(K31&lt;&gt;0,+G31-K31,0)</f>
        <v>0</v>
      </c>
      <c r="M31" s="518">
        <f t="shared" ref="M31" si="17">H31</f>
        <v>282342.32366047957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1880190.37744105</v>
      </c>
      <c r="E32" s="522">
        <f>IF(+I14&lt;F31,I14,D32)</f>
        <v>67150.666666666672</v>
      </c>
      <c r="F32" s="523">
        <f t="shared" ref="F32:F48" si="18">+D32-E32</f>
        <v>1813039.7107743833</v>
      </c>
      <c r="G32" s="524">
        <f t="shared" ref="G32:G72" si="19">+I$12*((D32+F32)/2)+E32</f>
        <v>300427.61382365174</v>
      </c>
      <c r="H32" s="491">
        <f t="shared" ref="H32:H72" si="20">+I$13*((D32+F32)/2)+E32</f>
        <v>300427.61382365174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1813039.7107743833</v>
      </c>
      <c r="E33" s="522">
        <f>IF(+I14&lt;F32,I14,D33)</f>
        <v>67150.666666666672</v>
      </c>
      <c r="F33" s="523">
        <f t="shared" si="18"/>
        <v>1745889.0441077165</v>
      </c>
      <c r="G33" s="524">
        <f t="shared" si="19"/>
        <v>291944.68579296116</v>
      </c>
      <c r="H33" s="491">
        <f t="shared" si="20"/>
        <v>291944.68579296116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1745889.0441077165</v>
      </c>
      <c r="E34" s="522">
        <f>IF(+I14&lt;F33,I14,D34)</f>
        <v>67150.666666666672</v>
      </c>
      <c r="F34" s="523">
        <f t="shared" si="18"/>
        <v>1678738.3774410498</v>
      </c>
      <c r="G34" s="524">
        <f t="shared" si="19"/>
        <v>283461.75776227051</v>
      </c>
      <c r="H34" s="491">
        <f t="shared" si="20"/>
        <v>283461.75776227051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1678738.3774410498</v>
      </c>
      <c r="E35" s="522">
        <f>IF(+I14&lt;F34,I14,D35)</f>
        <v>67150.666666666672</v>
      </c>
      <c r="F35" s="523">
        <f t="shared" si="18"/>
        <v>1611587.710774383</v>
      </c>
      <c r="G35" s="524">
        <f t="shared" si="19"/>
        <v>274978.82973157993</v>
      </c>
      <c r="H35" s="491">
        <f t="shared" si="20"/>
        <v>274978.82973157993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1611587.710774383</v>
      </c>
      <c r="E36" s="522">
        <f>IF(+I14&lt;F35,I14,D36)</f>
        <v>67150.666666666672</v>
      </c>
      <c r="F36" s="523">
        <f t="shared" si="18"/>
        <v>1544437.0441077163</v>
      </c>
      <c r="G36" s="524">
        <f t="shared" si="19"/>
        <v>266495.90170088928</v>
      </c>
      <c r="H36" s="491">
        <f t="shared" si="20"/>
        <v>266495.90170088928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1544437.0441077163</v>
      </c>
      <c r="E37" s="522">
        <f>IF(+I14&lt;F36,I14,D37)</f>
        <v>67150.666666666672</v>
      </c>
      <c r="F37" s="523">
        <f t="shared" si="18"/>
        <v>1477286.3774410496</v>
      </c>
      <c r="G37" s="524">
        <f t="shared" si="19"/>
        <v>258012.9736701987</v>
      </c>
      <c r="H37" s="491">
        <f t="shared" si="20"/>
        <v>258012.9736701987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1477286.3774410496</v>
      </c>
      <c r="E38" s="522">
        <f>IF(+I14&lt;F37,I14,D38)</f>
        <v>67150.666666666672</v>
      </c>
      <c r="F38" s="523">
        <f t="shared" si="18"/>
        <v>1410135.7107743828</v>
      </c>
      <c r="G38" s="524">
        <f t="shared" si="19"/>
        <v>249530.04563950805</v>
      </c>
      <c r="H38" s="491">
        <f t="shared" si="20"/>
        <v>249530.04563950805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1410135.7107743828</v>
      </c>
      <c r="E39" s="522">
        <f>IF(+I14&lt;F38,I14,D39)</f>
        <v>67150.666666666672</v>
      </c>
      <c r="F39" s="523">
        <f t="shared" si="18"/>
        <v>1342985.0441077161</v>
      </c>
      <c r="G39" s="524">
        <f t="shared" si="19"/>
        <v>241047.11760881747</v>
      </c>
      <c r="H39" s="491">
        <f t="shared" si="20"/>
        <v>241047.11760881747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1342985.0441077161</v>
      </c>
      <c r="E40" s="522">
        <f>IF(+I14&lt;F39,I14,D40)</f>
        <v>67150.666666666672</v>
      </c>
      <c r="F40" s="523">
        <f t="shared" si="18"/>
        <v>1275834.3774410493</v>
      </c>
      <c r="G40" s="524">
        <f t="shared" si="19"/>
        <v>232564.18957812682</v>
      </c>
      <c r="H40" s="491">
        <f t="shared" si="20"/>
        <v>232564.18957812682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1275834.3774410493</v>
      </c>
      <c r="E41" s="522">
        <f>IF(+I14&lt;F40,I14,D41)</f>
        <v>67150.666666666672</v>
      </c>
      <c r="F41" s="523">
        <f t="shared" si="18"/>
        <v>1208683.7107743826</v>
      </c>
      <c r="G41" s="524">
        <f t="shared" si="19"/>
        <v>224081.26154743624</v>
      </c>
      <c r="H41" s="491">
        <f t="shared" si="20"/>
        <v>224081.26154743624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1208683.7107743826</v>
      </c>
      <c r="E42" s="522">
        <f>IF(+I14&lt;F41,I14,D42)</f>
        <v>67150.666666666672</v>
      </c>
      <c r="F42" s="523">
        <f t="shared" si="18"/>
        <v>1141533.0441077158</v>
      </c>
      <c r="G42" s="524">
        <f t="shared" si="19"/>
        <v>215598.3335167456</v>
      </c>
      <c r="H42" s="491">
        <f t="shared" si="20"/>
        <v>215598.3335167456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1141533.0441077158</v>
      </c>
      <c r="E43" s="522">
        <f>IF(+I14&lt;F42,I14,D43)</f>
        <v>67150.666666666672</v>
      </c>
      <c r="F43" s="523">
        <f t="shared" si="18"/>
        <v>1074382.3774410491</v>
      </c>
      <c r="G43" s="524">
        <f t="shared" si="19"/>
        <v>207115.40548605501</v>
      </c>
      <c r="H43" s="491">
        <f t="shared" si="20"/>
        <v>207115.40548605501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1074382.3774410491</v>
      </c>
      <c r="E44" s="522">
        <f>IF(+I14&lt;F43,I14,D44)</f>
        <v>67150.666666666672</v>
      </c>
      <c r="F44" s="523">
        <f t="shared" si="18"/>
        <v>1007231.7107743825</v>
      </c>
      <c r="G44" s="524">
        <f t="shared" si="19"/>
        <v>198632.47745536437</v>
      </c>
      <c r="H44" s="491">
        <f t="shared" si="20"/>
        <v>198632.47745536437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1007231.7107743825</v>
      </c>
      <c r="E45" s="522">
        <f>IF(+I14&lt;F44,I14,D45)</f>
        <v>67150.666666666672</v>
      </c>
      <c r="F45" s="523">
        <f t="shared" si="18"/>
        <v>940081.04410771583</v>
      </c>
      <c r="G45" s="524">
        <f t="shared" si="19"/>
        <v>190149.54942467378</v>
      </c>
      <c r="H45" s="491">
        <f t="shared" si="20"/>
        <v>190149.54942467378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940081.04410771583</v>
      </c>
      <c r="E46" s="522">
        <f>IF(+I14&lt;F45,I14,D46)</f>
        <v>67150.666666666672</v>
      </c>
      <c r="F46" s="523">
        <f t="shared" si="18"/>
        <v>872930.3774410492</v>
      </c>
      <c r="G46" s="524">
        <f t="shared" si="19"/>
        <v>181666.62139398319</v>
      </c>
      <c r="H46" s="491">
        <f t="shared" si="20"/>
        <v>181666.62139398319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872930.3774410492</v>
      </c>
      <c r="E47" s="522">
        <f>IF(+I14&lt;F46,I14,D47)</f>
        <v>67150.666666666672</v>
      </c>
      <c r="F47" s="523">
        <f t="shared" si="18"/>
        <v>805779.71077438258</v>
      </c>
      <c r="G47" s="524">
        <f t="shared" si="19"/>
        <v>173183.69336329255</v>
      </c>
      <c r="H47" s="491">
        <f t="shared" si="20"/>
        <v>173183.69336329255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805779.71077438258</v>
      </c>
      <c r="E48" s="522">
        <f>IF(+I14&lt;F47,I14,D48)</f>
        <v>67150.666666666672</v>
      </c>
      <c r="F48" s="523">
        <f t="shared" si="18"/>
        <v>738629.04410771595</v>
      </c>
      <c r="G48" s="524">
        <f t="shared" si="19"/>
        <v>164700.76533260196</v>
      </c>
      <c r="H48" s="491">
        <f t="shared" si="20"/>
        <v>164700.76533260196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738629.04410771595</v>
      </c>
      <c r="E49" s="522">
        <f>IF(+I14&lt;F48,I14,D49)</f>
        <v>67150.666666666672</v>
      </c>
      <c r="F49" s="523">
        <f t="shared" ref="F49:F72" si="21">+D49-E49</f>
        <v>671478.37744104932</v>
      </c>
      <c r="G49" s="524">
        <f t="shared" si="19"/>
        <v>156217.83730191138</v>
      </c>
      <c r="H49" s="491">
        <f t="shared" si="20"/>
        <v>156217.83730191138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671478.37744104932</v>
      </c>
      <c r="E50" s="522">
        <f>IF(+I14&lt;F49,I14,D50)</f>
        <v>67150.666666666672</v>
      </c>
      <c r="F50" s="523">
        <f t="shared" si="21"/>
        <v>604327.71077438269</v>
      </c>
      <c r="G50" s="524">
        <f t="shared" si="19"/>
        <v>147734.90927122079</v>
      </c>
      <c r="H50" s="491">
        <f t="shared" si="20"/>
        <v>147734.90927122079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604327.71077438269</v>
      </c>
      <c r="E51" s="522">
        <f>IF(+I14&lt;F50,I14,D51)</f>
        <v>67150.666666666672</v>
      </c>
      <c r="F51" s="523">
        <f t="shared" si="21"/>
        <v>537177.04410771606</v>
      </c>
      <c r="G51" s="524">
        <f t="shared" si="19"/>
        <v>139251.98124053015</v>
      </c>
      <c r="H51" s="491">
        <f t="shared" si="20"/>
        <v>139251.98124053015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537177.04410771606</v>
      </c>
      <c r="E52" s="522">
        <f>IF(+I14&lt;F51,I14,D52)</f>
        <v>67150.666666666672</v>
      </c>
      <c r="F52" s="523">
        <f t="shared" si="21"/>
        <v>470026.37744104938</v>
      </c>
      <c r="G52" s="524">
        <f t="shared" si="19"/>
        <v>130769.05320983956</v>
      </c>
      <c r="H52" s="491">
        <f t="shared" si="20"/>
        <v>130769.05320983956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470026.37744104938</v>
      </c>
      <c r="E53" s="522">
        <f>IF(+I14&lt;F52,I14,D53)</f>
        <v>67150.666666666672</v>
      </c>
      <c r="F53" s="523">
        <f t="shared" si="21"/>
        <v>402875.71077438269</v>
      </c>
      <c r="G53" s="524">
        <f t="shared" si="19"/>
        <v>122286.12517914895</v>
      </c>
      <c r="H53" s="491">
        <f t="shared" si="20"/>
        <v>122286.12517914895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402875.71077438269</v>
      </c>
      <c r="E54" s="522">
        <f>IF(+I14&lt;F53,I14,D54)</f>
        <v>67150.666666666672</v>
      </c>
      <c r="F54" s="523">
        <f t="shared" si="21"/>
        <v>335725.04410771601</v>
      </c>
      <c r="G54" s="524">
        <f t="shared" si="19"/>
        <v>113803.19714845833</v>
      </c>
      <c r="H54" s="491">
        <f t="shared" si="20"/>
        <v>113803.19714845833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335725.04410771601</v>
      </c>
      <c r="E55" s="522">
        <f>IF(+I14&lt;F54,I14,D55)</f>
        <v>67150.666666666672</v>
      </c>
      <c r="F55" s="523">
        <f t="shared" si="21"/>
        <v>268574.37744104932</v>
      </c>
      <c r="G55" s="524">
        <f t="shared" si="19"/>
        <v>105320.26911776775</v>
      </c>
      <c r="H55" s="491">
        <f t="shared" si="20"/>
        <v>105320.26911776775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268574.37744104932</v>
      </c>
      <c r="E56" s="522">
        <f>IF(+I14&lt;F55,I14,D56)</f>
        <v>67150.666666666672</v>
      </c>
      <c r="F56" s="523">
        <f t="shared" si="21"/>
        <v>201423.71077438263</v>
      </c>
      <c r="G56" s="524">
        <f t="shared" si="19"/>
        <v>96837.341087077133</v>
      </c>
      <c r="H56" s="491">
        <f t="shared" si="20"/>
        <v>96837.341087077133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201423.71077438263</v>
      </c>
      <c r="E57" s="522">
        <f>IF(+I14&lt;F56,I14,D57)</f>
        <v>67150.666666666672</v>
      </c>
      <c r="F57" s="523">
        <f t="shared" si="21"/>
        <v>134273.04410771595</v>
      </c>
      <c r="G57" s="524">
        <f t="shared" si="19"/>
        <v>88354.413056386518</v>
      </c>
      <c r="H57" s="491">
        <f t="shared" si="20"/>
        <v>88354.413056386518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134273.04410771595</v>
      </c>
      <c r="E58" s="522">
        <f>IF(+I14&lt;F57,I14,D58)</f>
        <v>67150.666666666672</v>
      </c>
      <c r="F58" s="523">
        <f t="shared" si="21"/>
        <v>67122.377441049277</v>
      </c>
      <c r="G58" s="524">
        <f t="shared" si="19"/>
        <v>79871.485025695903</v>
      </c>
      <c r="H58" s="491">
        <f t="shared" si="20"/>
        <v>79871.485025695903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67122.377441049277</v>
      </c>
      <c r="E59" s="522">
        <f>IF(+I14&lt;F58,I14,D59)</f>
        <v>67122.377441049277</v>
      </c>
      <c r="F59" s="523">
        <f t="shared" si="21"/>
        <v>0</v>
      </c>
      <c r="G59" s="524">
        <f t="shared" si="19"/>
        <v>71362.054612891239</v>
      </c>
      <c r="H59" s="491">
        <f t="shared" si="20"/>
        <v>71362.054612891239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19"/>
        <v>0</v>
      </c>
      <c r="H60" s="491">
        <f t="shared" si="20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19"/>
        <v>0</v>
      </c>
      <c r="H61" s="491">
        <f t="shared" si="20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19"/>
        <v>0</v>
      </c>
      <c r="H72" s="47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 ht="12.5">
      <c r="C73" s="374" t="s">
        <v>78</v>
      </c>
      <c r="D73" s="375"/>
      <c r="E73" s="375">
        <f>SUM(E17:E72)</f>
        <v>2820327.9999999986</v>
      </c>
      <c r="F73" s="375"/>
      <c r="G73" s="375">
        <f>SUM(G17:G72)</f>
        <v>10386024.622907465</v>
      </c>
      <c r="H73" s="375">
        <f>SUM(H17:H72)</f>
        <v>10386025.622907465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9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277475.96380868781</v>
      </c>
      <c r="N87" s="546">
        <f>IF(J92&lt;D11,0,VLOOKUP(J92,C17:O72,11))</f>
        <v>277475.96380868781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291971.63557680068</v>
      </c>
      <c r="N88" s="550">
        <f>IF(J92&lt;D11,0,VLOOKUP(J92,C99:P154,7))</f>
        <v>291971.63557680068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Northwest Texarkana-Bann-Alumax Tap 138kV -- reconductor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14495.671768112865</v>
      </c>
      <c r="N89" s="555">
        <f>+N88-N87</f>
        <v>14495.671768112865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TP2006130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2820328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68788.487804878052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33602</v>
      </c>
      <c r="F99" s="515">
        <v>1831326</v>
      </c>
      <c r="G99" s="574">
        <v>915663</v>
      </c>
      <c r="H99" s="575">
        <v>179560</v>
      </c>
      <c r="I99" s="576">
        <v>179560</v>
      </c>
      <c r="J99" s="514">
        <f t="shared" ref="J99:J130" si="26">+I99-H99</f>
        <v>0</v>
      </c>
      <c r="K99" s="514"/>
      <c r="L99" s="512">
        <v>179560</v>
      </c>
      <c r="M99" s="513">
        <f t="shared" ref="M99:M130" si="27">IF(L99&lt;&gt;0,+H99-L99,0)</f>
        <v>0</v>
      </c>
      <c r="N99" s="512">
        <v>179560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2009</v>
      </c>
      <c r="D100" s="508">
        <v>1829504</v>
      </c>
      <c r="E100" s="516">
        <v>49029</v>
      </c>
      <c r="F100" s="515">
        <v>1780474</v>
      </c>
      <c r="G100" s="515">
        <v>1804989</v>
      </c>
      <c r="H100" s="516">
        <v>310279</v>
      </c>
      <c r="I100" s="510">
        <v>310279</v>
      </c>
      <c r="J100" s="514">
        <f t="shared" si="26"/>
        <v>0</v>
      </c>
      <c r="K100" s="514"/>
      <c r="L100" s="518">
        <f t="shared" ref="L100:L105" si="30">H100</f>
        <v>310279</v>
      </c>
      <c r="M100" s="519">
        <f t="shared" si="27"/>
        <v>0</v>
      </c>
      <c r="N100" s="518">
        <f t="shared" ref="N100:N105" si="31">I100</f>
        <v>310279</v>
      </c>
      <c r="O100" s="514">
        <f t="shared" si="28"/>
        <v>0</v>
      </c>
      <c r="P100" s="514">
        <f t="shared" si="29"/>
        <v>0</v>
      </c>
      <c r="Q100" s="269"/>
    </row>
    <row r="101" spans="1:17" ht="12.5">
      <c r="B101" s="195" t="str">
        <f t="shared" ref="B101:B154" si="32">IF(D101=F100,"","IU")</f>
        <v>IU</v>
      </c>
      <c r="C101" s="507">
        <f>IF(D93="","-",+C100+1)</f>
        <v>2010</v>
      </c>
      <c r="D101" s="508">
        <v>2737747</v>
      </c>
      <c r="E101" s="516">
        <v>68789.707317073175</v>
      </c>
      <c r="F101" s="515">
        <v>2668957.2926829266</v>
      </c>
      <c r="G101" s="515">
        <v>2703352.1463414636</v>
      </c>
      <c r="H101" s="516">
        <v>515075.52172744781</v>
      </c>
      <c r="I101" s="510">
        <v>515075.52172744781</v>
      </c>
      <c r="J101" s="514">
        <f t="shared" si="26"/>
        <v>0</v>
      </c>
      <c r="K101" s="514"/>
      <c r="L101" s="518">
        <f t="shared" si="30"/>
        <v>515075.52172744781</v>
      </c>
      <c r="M101" s="519">
        <f t="shared" si="27"/>
        <v>0</v>
      </c>
      <c r="N101" s="518">
        <f t="shared" si="31"/>
        <v>515075.52172744781</v>
      </c>
      <c r="O101" s="514">
        <f t="shared" si="28"/>
        <v>0</v>
      </c>
      <c r="P101" s="514">
        <f t="shared" si="29"/>
        <v>0</v>
      </c>
      <c r="Q101" s="269"/>
    </row>
    <row r="102" spans="1:17" ht="12.5">
      <c r="B102" s="195" t="str">
        <f t="shared" si="32"/>
        <v/>
      </c>
      <c r="C102" s="507">
        <f>IF(D93="","-",+C101+1)</f>
        <v>2011</v>
      </c>
      <c r="D102" s="508">
        <v>2668957.2926829266</v>
      </c>
      <c r="E102" s="520">
        <v>67151.857142857145</v>
      </c>
      <c r="F102" s="515">
        <v>2601805.4355400694</v>
      </c>
      <c r="G102" s="515">
        <v>2635381.364111498</v>
      </c>
      <c r="H102" s="516">
        <v>463460.24648079689</v>
      </c>
      <c r="I102" s="510">
        <v>463460.24648079689</v>
      </c>
      <c r="J102" s="514">
        <f t="shared" si="26"/>
        <v>0</v>
      </c>
      <c r="K102" s="514"/>
      <c r="L102" s="518">
        <f t="shared" si="30"/>
        <v>463460.24648079689</v>
      </c>
      <c r="M102" s="519">
        <f t="shared" si="27"/>
        <v>0</v>
      </c>
      <c r="N102" s="518">
        <f t="shared" si="31"/>
        <v>463460.24648079689</v>
      </c>
      <c r="O102" s="514">
        <f t="shared" si="28"/>
        <v>0</v>
      </c>
      <c r="P102" s="514">
        <f t="shared" si="29"/>
        <v>0</v>
      </c>
      <c r="Q102" s="269"/>
    </row>
    <row r="103" spans="1:17" ht="12.5">
      <c r="B103" s="195" t="str">
        <f t="shared" si="32"/>
        <v/>
      </c>
      <c r="C103" s="507">
        <f>IF(D93="","-",+C102+1)</f>
        <v>2012</v>
      </c>
      <c r="D103" s="508">
        <v>2601805.4355400694</v>
      </c>
      <c r="E103" s="516">
        <v>67151.857142857145</v>
      </c>
      <c r="F103" s="515">
        <v>2534653.5783972121</v>
      </c>
      <c r="G103" s="515">
        <v>2568229.5069686407</v>
      </c>
      <c r="H103" s="516">
        <v>445076.92684818432</v>
      </c>
      <c r="I103" s="510">
        <v>445076.92684818432</v>
      </c>
      <c r="J103" s="514">
        <f t="shared" si="26"/>
        <v>0</v>
      </c>
      <c r="K103" s="514"/>
      <c r="L103" s="518">
        <f t="shared" si="30"/>
        <v>445076.92684818432</v>
      </c>
      <c r="M103" s="519">
        <f t="shared" si="27"/>
        <v>0</v>
      </c>
      <c r="N103" s="518">
        <f t="shared" si="31"/>
        <v>445076.92684818432</v>
      </c>
      <c r="O103" s="514">
        <f t="shared" si="28"/>
        <v>0</v>
      </c>
      <c r="P103" s="514">
        <f t="shared" si="29"/>
        <v>0</v>
      </c>
      <c r="Q103" s="269"/>
    </row>
    <row r="104" spans="1:17" ht="12.5">
      <c r="B104" s="195" t="str">
        <f t="shared" si="32"/>
        <v/>
      </c>
      <c r="C104" s="507">
        <f>IF(D93="","-",+C103+1)</f>
        <v>2013</v>
      </c>
      <c r="D104" s="508">
        <v>2534653.5783972121</v>
      </c>
      <c r="E104" s="516">
        <v>67151.857142857145</v>
      </c>
      <c r="F104" s="515">
        <v>2467501.7212543548</v>
      </c>
      <c r="G104" s="515">
        <v>2501077.6498257834</v>
      </c>
      <c r="H104" s="516">
        <v>405526.90999589988</v>
      </c>
      <c r="I104" s="510">
        <v>405526.90999589988</v>
      </c>
      <c r="J104" s="514">
        <v>0</v>
      </c>
      <c r="K104" s="514"/>
      <c r="L104" s="518">
        <f t="shared" si="30"/>
        <v>405526.90999589988</v>
      </c>
      <c r="M104" s="519">
        <f t="shared" ref="M104:M109" si="33">IF(L104&lt;&gt;0,+H104-L104,0)</f>
        <v>0</v>
      </c>
      <c r="N104" s="518">
        <f t="shared" si="31"/>
        <v>405526.90999589988</v>
      </c>
      <c r="O104" s="514">
        <f t="shared" ref="O104:O109" si="34">IF(N104&lt;&gt;0,+I104-N104,0)</f>
        <v>0</v>
      </c>
      <c r="P104" s="514">
        <f t="shared" ref="P104:P109" si="35">+O104-M104</f>
        <v>0</v>
      </c>
      <c r="Q104" s="269"/>
    </row>
    <row r="105" spans="1:17" ht="12.5">
      <c r="B105" s="195" t="str">
        <f t="shared" si="32"/>
        <v/>
      </c>
      <c r="C105" s="507">
        <f>IF(D93="","-",+C104+1)</f>
        <v>2014</v>
      </c>
      <c r="D105" s="508">
        <v>2467501.7212543548</v>
      </c>
      <c r="E105" s="516">
        <v>67151.857142857145</v>
      </c>
      <c r="F105" s="515">
        <v>2400349.8641114975</v>
      </c>
      <c r="G105" s="515">
        <v>2433925.7926829262</v>
      </c>
      <c r="H105" s="516">
        <v>397979.47169431718</v>
      </c>
      <c r="I105" s="510">
        <v>397979.47169431718</v>
      </c>
      <c r="J105" s="514">
        <v>0</v>
      </c>
      <c r="K105" s="514"/>
      <c r="L105" s="518">
        <f t="shared" si="30"/>
        <v>397979.47169431718</v>
      </c>
      <c r="M105" s="519">
        <f t="shared" si="33"/>
        <v>0</v>
      </c>
      <c r="N105" s="518">
        <f t="shared" si="31"/>
        <v>397979.47169431718</v>
      </c>
      <c r="O105" s="514">
        <f t="shared" si="34"/>
        <v>0</v>
      </c>
      <c r="P105" s="514">
        <f t="shared" si="35"/>
        <v>0</v>
      </c>
      <c r="Q105" s="269"/>
    </row>
    <row r="106" spans="1:17" ht="12.5">
      <c r="B106" s="195" t="str">
        <f t="shared" si="32"/>
        <v>IU</v>
      </c>
      <c r="C106" s="507">
        <f>IF(D93="","-",+C105+1)</f>
        <v>2015</v>
      </c>
      <c r="D106" s="508">
        <v>2400299.864111498</v>
      </c>
      <c r="E106" s="516">
        <v>67150.666666666672</v>
      </c>
      <c r="F106" s="515">
        <v>2333149.1974448315</v>
      </c>
      <c r="G106" s="515">
        <v>2366724.530778165</v>
      </c>
      <c r="H106" s="516">
        <v>379011.3023265209</v>
      </c>
      <c r="I106" s="510">
        <v>379011.3023265209</v>
      </c>
      <c r="J106" s="514">
        <f t="shared" si="26"/>
        <v>0</v>
      </c>
      <c r="K106" s="514"/>
      <c r="L106" s="518">
        <f t="shared" ref="L106:L111" si="36">H106</f>
        <v>379011.3023265209</v>
      </c>
      <c r="M106" s="519">
        <f t="shared" si="33"/>
        <v>0</v>
      </c>
      <c r="N106" s="518">
        <f t="shared" ref="N106:N111" si="37">I106</f>
        <v>379011.3023265209</v>
      </c>
      <c r="O106" s="514">
        <f t="shared" si="34"/>
        <v>0</v>
      </c>
      <c r="P106" s="514">
        <f t="shared" si="35"/>
        <v>0</v>
      </c>
      <c r="Q106" s="269"/>
    </row>
    <row r="107" spans="1:17" ht="12.5">
      <c r="B107" s="195" t="str">
        <f t="shared" si="32"/>
        <v/>
      </c>
      <c r="C107" s="507">
        <f>IF(D93="","-",+C106+1)</f>
        <v>2016</v>
      </c>
      <c r="D107" s="508">
        <v>2333149.1974448315</v>
      </c>
      <c r="E107" s="516">
        <v>65589.023255813954</v>
      </c>
      <c r="F107" s="515">
        <v>2267560.1741890176</v>
      </c>
      <c r="G107" s="515">
        <v>2300354.6858169246</v>
      </c>
      <c r="H107" s="516">
        <v>357619.02367935097</v>
      </c>
      <c r="I107" s="510">
        <v>357619.02367935097</v>
      </c>
      <c r="J107" s="514">
        <f t="shared" si="26"/>
        <v>0</v>
      </c>
      <c r="K107" s="514"/>
      <c r="L107" s="518">
        <f t="shared" si="36"/>
        <v>357619.02367935097</v>
      </c>
      <c r="M107" s="519">
        <f t="shared" si="33"/>
        <v>0</v>
      </c>
      <c r="N107" s="518">
        <f t="shared" si="37"/>
        <v>357619.02367935097</v>
      </c>
      <c r="O107" s="514">
        <f t="shared" si="34"/>
        <v>0</v>
      </c>
      <c r="P107" s="514">
        <f t="shared" si="35"/>
        <v>0</v>
      </c>
      <c r="Q107" s="269"/>
    </row>
    <row r="108" spans="1:17" ht="12.5">
      <c r="B108" s="195" t="str">
        <f t="shared" si="32"/>
        <v/>
      </c>
      <c r="C108" s="507">
        <f>IF(D93="","-",+C107+1)</f>
        <v>2017</v>
      </c>
      <c r="D108" s="508">
        <v>2267560.1741890176</v>
      </c>
      <c r="E108" s="516">
        <v>67150.666666666672</v>
      </c>
      <c r="F108" s="515">
        <v>2200409.5075223511</v>
      </c>
      <c r="G108" s="515">
        <v>2233984.8408556841</v>
      </c>
      <c r="H108" s="516">
        <v>338516.06172932533</v>
      </c>
      <c r="I108" s="510">
        <v>338516.06172932533</v>
      </c>
      <c r="J108" s="514">
        <f t="shared" si="26"/>
        <v>0</v>
      </c>
      <c r="K108" s="514"/>
      <c r="L108" s="518">
        <f t="shared" si="36"/>
        <v>338516.06172932533</v>
      </c>
      <c r="M108" s="519">
        <f t="shared" si="33"/>
        <v>0</v>
      </c>
      <c r="N108" s="518">
        <f t="shared" si="37"/>
        <v>338516.06172932533</v>
      </c>
      <c r="O108" s="514">
        <f t="shared" si="34"/>
        <v>0</v>
      </c>
      <c r="P108" s="514">
        <f t="shared" si="35"/>
        <v>0</v>
      </c>
      <c r="Q108" s="269"/>
    </row>
    <row r="109" spans="1:17" ht="12.5">
      <c r="B109" s="195" t="str">
        <f t="shared" si="32"/>
        <v/>
      </c>
      <c r="C109" s="507">
        <f>IF(D93="","-",+C108+1)</f>
        <v>2018</v>
      </c>
      <c r="D109" s="508">
        <v>2200409.5075223511</v>
      </c>
      <c r="E109" s="516">
        <v>67150.666666666672</v>
      </c>
      <c r="F109" s="515">
        <v>2133258.8408556846</v>
      </c>
      <c r="G109" s="515">
        <v>2166834.1741890181</v>
      </c>
      <c r="H109" s="516">
        <v>295978.29217206314</v>
      </c>
      <c r="I109" s="510">
        <v>295978.29217206314</v>
      </c>
      <c r="J109" s="514">
        <f t="shared" si="26"/>
        <v>0</v>
      </c>
      <c r="K109" s="514"/>
      <c r="L109" s="518">
        <f t="shared" si="36"/>
        <v>295978.29217206314</v>
      </c>
      <c r="M109" s="519">
        <f t="shared" si="33"/>
        <v>0</v>
      </c>
      <c r="N109" s="518">
        <f t="shared" si="37"/>
        <v>295978.29217206314</v>
      </c>
      <c r="O109" s="514">
        <f t="shared" si="34"/>
        <v>0</v>
      </c>
      <c r="P109" s="514">
        <f t="shared" si="35"/>
        <v>0</v>
      </c>
      <c r="Q109" s="269"/>
    </row>
    <row r="110" spans="1:17" ht="12.5">
      <c r="B110" s="195" t="str">
        <f t="shared" si="32"/>
        <v/>
      </c>
      <c r="C110" s="507">
        <f>IF(D93="","-",+C109+1)</f>
        <v>2019</v>
      </c>
      <c r="D110" s="508">
        <v>2133258.8408556846</v>
      </c>
      <c r="E110" s="516">
        <v>65589.023255813954</v>
      </c>
      <c r="F110" s="515">
        <v>2067669.8175998707</v>
      </c>
      <c r="G110" s="515">
        <v>2100464.3292277777</v>
      </c>
      <c r="H110" s="516">
        <v>290423.87304846023</v>
      </c>
      <c r="I110" s="510">
        <v>290423.87304846023</v>
      </c>
      <c r="J110" s="514">
        <f t="shared" si="26"/>
        <v>0</v>
      </c>
      <c r="K110" s="514"/>
      <c r="L110" s="518">
        <f t="shared" si="36"/>
        <v>290423.87304846023</v>
      </c>
      <c r="M110" s="519">
        <f t="shared" ref="M110:M111" si="38">IF(L110&lt;&gt;0,+H110-L110,0)</f>
        <v>0</v>
      </c>
      <c r="N110" s="518">
        <f t="shared" si="37"/>
        <v>290423.87304846023</v>
      </c>
      <c r="O110" s="514">
        <f t="shared" si="28"/>
        <v>0</v>
      </c>
      <c r="P110" s="514">
        <f t="shared" si="29"/>
        <v>0</v>
      </c>
      <c r="Q110" s="269"/>
    </row>
    <row r="111" spans="1:17" ht="12.5">
      <c r="B111" s="195" t="str">
        <f t="shared" si="32"/>
        <v/>
      </c>
      <c r="C111" s="507">
        <f>IF(D93="","-",+C110+1)</f>
        <v>2020</v>
      </c>
      <c r="D111" s="508">
        <v>2067669.8175998707</v>
      </c>
      <c r="E111" s="516">
        <v>67150.666666666672</v>
      </c>
      <c r="F111" s="515">
        <v>2000519.150933204</v>
      </c>
      <c r="G111" s="515">
        <v>2034094.4842665372</v>
      </c>
      <c r="H111" s="516">
        <v>285966.00600782927</v>
      </c>
      <c r="I111" s="510">
        <v>285966.00600782927</v>
      </c>
      <c r="J111" s="514">
        <f t="shared" si="26"/>
        <v>0</v>
      </c>
      <c r="K111" s="514"/>
      <c r="L111" s="518">
        <f t="shared" si="36"/>
        <v>285966.00600782927</v>
      </c>
      <c r="M111" s="519">
        <f t="shared" si="38"/>
        <v>0</v>
      </c>
      <c r="N111" s="518">
        <f t="shared" si="37"/>
        <v>285966.00600782927</v>
      </c>
      <c r="O111" s="514">
        <f t="shared" si="28"/>
        <v>0</v>
      </c>
      <c r="P111" s="514">
        <f t="shared" si="29"/>
        <v>0</v>
      </c>
      <c r="Q111" s="269"/>
    </row>
    <row r="112" spans="1:17" ht="12.5">
      <c r="B112" s="195" t="str">
        <f t="shared" si="32"/>
        <v/>
      </c>
      <c r="C112" s="507">
        <f>IF(D93="","-",+C111+1)</f>
        <v>2021</v>
      </c>
      <c r="D112" s="374">
        <f>IF(F111+SUM(E$99:E111)=D$92,F111,D$92-SUM(E$99:E111))</f>
        <v>2000519.150933204</v>
      </c>
      <c r="E112" s="522">
        <f>IF(+J96&lt;F111,J96,D112)</f>
        <v>68788.487804878052</v>
      </c>
      <c r="F112" s="523">
        <f t="shared" ref="F112:F130" si="39">+D112-E112</f>
        <v>1931730.6631283259</v>
      </c>
      <c r="G112" s="523">
        <f t="shared" ref="G112:G130" si="40">+(F112+D112)/2</f>
        <v>1966124.907030765</v>
      </c>
      <c r="H112" s="526">
        <f>+J$94*G112+E112</f>
        <v>291971.63557680068</v>
      </c>
      <c r="I112" s="577">
        <f>+J$95*G112+E112</f>
        <v>291971.63557680068</v>
      </c>
      <c r="J112" s="514">
        <f t="shared" si="26"/>
        <v>0</v>
      </c>
      <c r="K112" s="514"/>
      <c r="L112" s="525"/>
      <c r="M112" s="514">
        <f t="shared" si="27"/>
        <v>0</v>
      </c>
      <c r="N112" s="525"/>
      <c r="O112" s="514">
        <f t="shared" si="28"/>
        <v>0</v>
      </c>
      <c r="P112" s="514">
        <f t="shared" si="29"/>
        <v>0</v>
      </c>
      <c r="Q112" s="269"/>
    </row>
    <row r="113" spans="2:17" ht="12.5">
      <c r="B113" s="195" t="str">
        <f t="shared" si="32"/>
        <v/>
      </c>
      <c r="C113" s="507">
        <f>IF(D93="","-",+C112+1)</f>
        <v>2022</v>
      </c>
      <c r="D113" s="374">
        <f>IF(F112+SUM(E$99:E112)=D$92,F112,D$92-SUM(E$99:E112))</f>
        <v>1931730.6631283259</v>
      </c>
      <c r="E113" s="522">
        <f>IF(+J96&lt;F112,J96,D113)</f>
        <v>68788.487804878052</v>
      </c>
      <c r="F113" s="523">
        <f t="shared" si="39"/>
        <v>1862942.1753234479</v>
      </c>
      <c r="G113" s="523">
        <f t="shared" si="40"/>
        <v>1897336.4192258869</v>
      </c>
      <c r="H113" s="526">
        <f t="shared" ref="H113:H154" si="41">+J$94*G113+E113</f>
        <v>284163.16360034404</v>
      </c>
      <c r="I113" s="577">
        <f t="shared" ref="I113:I154" si="42">+J$95*G113+E113</f>
        <v>284163.16360034404</v>
      </c>
      <c r="J113" s="514">
        <f t="shared" si="26"/>
        <v>0</v>
      </c>
      <c r="K113" s="514"/>
      <c r="L113" s="525"/>
      <c r="M113" s="514">
        <f t="shared" si="27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 ht="12.5">
      <c r="B114" s="195" t="str">
        <f t="shared" si="32"/>
        <v/>
      </c>
      <c r="C114" s="507">
        <f>IF(D93="","-",+C113+1)</f>
        <v>2023</v>
      </c>
      <c r="D114" s="374">
        <f>IF(F113+SUM(E$99:E113)=D$92,F113,D$92-SUM(E$99:E113))</f>
        <v>1862942.1753234479</v>
      </c>
      <c r="E114" s="522">
        <f>IF(+J96&lt;F113,J96,D114)</f>
        <v>68788.487804878052</v>
      </c>
      <c r="F114" s="523">
        <f t="shared" si="39"/>
        <v>1794153.6875185699</v>
      </c>
      <c r="G114" s="523">
        <f t="shared" si="40"/>
        <v>1828547.9314210089</v>
      </c>
      <c r="H114" s="526">
        <f t="shared" si="41"/>
        <v>276354.69162388734</v>
      </c>
      <c r="I114" s="577">
        <f t="shared" si="42"/>
        <v>276354.69162388734</v>
      </c>
      <c r="J114" s="514">
        <f t="shared" si="26"/>
        <v>0</v>
      </c>
      <c r="K114" s="514"/>
      <c r="L114" s="525"/>
      <c r="M114" s="514">
        <f t="shared" si="27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 ht="12.5">
      <c r="B115" s="195" t="str">
        <f t="shared" si="32"/>
        <v/>
      </c>
      <c r="C115" s="507">
        <f>IF(D93="","-",+C114+1)</f>
        <v>2024</v>
      </c>
      <c r="D115" s="374">
        <f>IF(F114+SUM(E$99:E114)=D$92,F114,D$92-SUM(E$99:E114))</f>
        <v>1794153.6875185699</v>
      </c>
      <c r="E115" s="522">
        <f>IF(+J96&lt;F114,J96,D115)</f>
        <v>68788.487804878052</v>
      </c>
      <c r="F115" s="523">
        <f t="shared" si="39"/>
        <v>1725365.1997136918</v>
      </c>
      <c r="G115" s="523">
        <f t="shared" si="40"/>
        <v>1759759.4436161309</v>
      </c>
      <c r="H115" s="526">
        <f t="shared" si="41"/>
        <v>268546.2196474307</v>
      </c>
      <c r="I115" s="577">
        <f t="shared" si="42"/>
        <v>268546.2196474307</v>
      </c>
      <c r="J115" s="514">
        <f t="shared" si="26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 ht="12.5">
      <c r="B116" s="195" t="str">
        <f t="shared" si="32"/>
        <v/>
      </c>
      <c r="C116" s="507">
        <f>IF(D93="","-",+C115+1)</f>
        <v>2025</v>
      </c>
      <c r="D116" s="374">
        <f>IF(F115+SUM(E$99:E115)=D$92,F115,D$92-SUM(E$99:E115))</f>
        <v>1725365.1997136918</v>
      </c>
      <c r="E116" s="522">
        <f>IF(+J96&lt;F115,J96,D116)</f>
        <v>68788.487804878052</v>
      </c>
      <c r="F116" s="523">
        <f t="shared" si="39"/>
        <v>1656576.7119088138</v>
      </c>
      <c r="G116" s="523">
        <f t="shared" si="40"/>
        <v>1690970.9558112528</v>
      </c>
      <c r="H116" s="526">
        <f t="shared" si="41"/>
        <v>260737.747670974</v>
      </c>
      <c r="I116" s="577">
        <f t="shared" si="42"/>
        <v>260737.747670974</v>
      </c>
      <c r="J116" s="514">
        <f t="shared" si="26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 ht="12.5">
      <c r="B117" s="195" t="str">
        <f t="shared" si="32"/>
        <v/>
      </c>
      <c r="C117" s="507">
        <f>IF(D93="","-",+C116+1)</f>
        <v>2026</v>
      </c>
      <c r="D117" s="374">
        <f>IF(F116+SUM(E$99:E116)=D$92,F116,D$92-SUM(E$99:E116))</f>
        <v>1656576.7119088138</v>
      </c>
      <c r="E117" s="522">
        <f>IF(+J96&lt;F116,J96,D117)</f>
        <v>68788.487804878052</v>
      </c>
      <c r="F117" s="523">
        <f t="shared" si="39"/>
        <v>1587788.2241039358</v>
      </c>
      <c r="G117" s="523">
        <f t="shared" si="40"/>
        <v>1622182.4680063748</v>
      </c>
      <c r="H117" s="526">
        <f t="shared" si="41"/>
        <v>252929.27569451736</v>
      </c>
      <c r="I117" s="577">
        <f t="shared" si="42"/>
        <v>252929.27569451736</v>
      </c>
      <c r="J117" s="514">
        <f t="shared" si="26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 ht="12.5">
      <c r="B118" s="195" t="str">
        <f t="shared" si="32"/>
        <v/>
      </c>
      <c r="C118" s="507">
        <f>IF(D93="","-",+C117+1)</f>
        <v>2027</v>
      </c>
      <c r="D118" s="374">
        <f>IF(F117+SUM(E$99:E117)=D$92,F117,D$92-SUM(E$99:E117))</f>
        <v>1587788.2241039358</v>
      </c>
      <c r="E118" s="522">
        <f>IF(+J96&lt;F117,J96,D118)</f>
        <v>68788.487804878052</v>
      </c>
      <c r="F118" s="523">
        <f t="shared" si="39"/>
        <v>1518999.7362990577</v>
      </c>
      <c r="G118" s="523">
        <f t="shared" si="40"/>
        <v>1553393.9802014967</v>
      </c>
      <c r="H118" s="526">
        <f t="shared" si="41"/>
        <v>245120.80371806072</v>
      </c>
      <c r="I118" s="577">
        <f t="shared" si="42"/>
        <v>245120.80371806072</v>
      </c>
      <c r="J118" s="514">
        <f t="shared" si="26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 ht="12.5">
      <c r="B119" s="195" t="str">
        <f t="shared" si="32"/>
        <v/>
      </c>
      <c r="C119" s="507">
        <f>IF(D93="","-",+C118+1)</f>
        <v>2028</v>
      </c>
      <c r="D119" s="374">
        <f>IF(F118+SUM(E$99:E118)=D$92,F118,D$92-SUM(E$99:E118))</f>
        <v>1518999.7362990577</v>
      </c>
      <c r="E119" s="522">
        <f>IF(+J96&lt;F118,J96,D119)</f>
        <v>68788.487804878052</v>
      </c>
      <c r="F119" s="523">
        <f t="shared" si="39"/>
        <v>1450211.2484941797</v>
      </c>
      <c r="G119" s="523">
        <f t="shared" si="40"/>
        <v>1484605.4923966187</v>
      </c>
      <c r="H119" s="526">
        <f t="shared" si="41"/>
        <v>237312.33174160402</v>
      </c>
      <c r="I119" s="577">
        <f t="shared" si="42"/>
        <v>237312.33174160402</v>
      </c>
      <c r="J119" s="514">
        <f t="shared" si="26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 ht="12.5">
      <c r="B120" s="195" t="str">
        <f t="shared" si="32"/>
        <v/>
      </c>
      <c r="C120" s="507">
        <f>IF(D93="","-",+C119+1)</f>
        <v>2029</v>
      </c>
      <c r="D120" s="374">
        <f>IF(F119+SUM(E$99:E119)=D$92,F119,D$92-SUM(E$99:E119))</f>
        <v>1450211.2484941797</v>
      </c>
      <c r="E120" s="522">
        <f>IF(+J96&lt;F119,J96,D120)</f>
        <v>68788.487804878052</v>
      </c>
      <c r="F120" s="523">
        <f t="shared" si="39"/>
        <v>1381422.7606893016</v>
      </c>
      <c r="G120" s="523">
        <f t="shared" si="40"/>
        <v>1415817.0045917407</v>
      </c>
      <c r="H120" s="526">
        <f t="shared" si="41"/>
        <v>229503.85976514738</v>
      </c>
      <c r="I120" s="577">
        <f t="shared" si="42"/>
        <v>229503.85976514738</v>
      </c>
      <c r="J120" s="514">
        <f t="shared" si="26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 ht="12.5">
      <c r="B121" s="195" t="str">
        <f t="shared" si="32"/>
        <v/>
      </c>
      <c r="C121" s="507">
        <f>IF(D93="","-",+C120+1)</f>
        <v>2030</v>
      </c>
      <c r="D121" s="374">
        <f>IF(F120+SUM(E$99:E120)=D$92,F120,D$92-SUM(E$99:E120))</f>
        <v>1381422.7606893016</v>
      </c>
      <c r="E121" s="522">
        <f>IF(+J96&lt;F120,J96,D121)</f>
        <v>68788.487804878052</v>
      </c>
      <c r="F121" s="523">
        <f t="shared" si="39"/>
        <v>1312634.2728844236</v>
      </c>
      <c r="G121" s="523">
        <f t="shared" si="40"/>
        <v>1347028.5167868626</v>
      </c>
      <c r="H121" s="526">
        <f t="shared" si="41"/>
        <v>221695.38778869068</v>
      </c>
      <c r="I121" s="577">
        <f t="shared" si="42"/>
        <v>221695.38778869068</v>
      </c>
      <c r="J121" s="514">
        <f t="shared" si="26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 ht="12.5">
      <c r="B122" s="195" t="str">
        <f t="shared" si="32"/>
        <v/>
      </c>
      <c r="C122" s="507">
        <f>IF(D93="","-",+C121+1)</f>
        <v>2031</v>
      </c>
      <c r="D122" s="374">
        <f>IF(F121+SUM(E$99:E121)=D$92,F121,D$92-SUM(E$99:E121))</f>
        <v>1312634.2728844236</v>
      </c>
      <c r="E122" s="522">
        <f>IF(+J96&lt;F121,J96,D122)</f>
        <v>68788.487804878052</v>
      </c>
      <c r="F122" s="523">
        <f t="shared" si="39"/>
        <v>1243845.7850795456</v>
      </c>
      <c r="G122" s="523">
        <f t="shared" si="40"/>
        <v>1278240.0289819846</v>
      </c>
      <c r="H122" s="526">
        <f t="shared" si="41"/>
        <v>213886.91581223405</v>
      </c>
      <c r="I122" s="577">
        <f t="shared" si="42"/>
        <v>213886.91581223405</v>
      </c>
      <c r="J122" s="514">
        <f t="shared" si="26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 ht="12.5">
      <c r="B123" s="195" t="str">
        <f t="shared" si="32"/>
        <v/>
      </c>
      <c r="C123" s="507">
        <f>IF(D93="","-",+C122+1)</f>
        <v>2032</v>
      </c>
      <c r="D123" s="374">
        <f>IF(F122+SUM(E$99:E122)=D$92,F122,D$92-SUM(E$99:E122))</f>
        <v>1243845.7850795456</v>
      </c>
      <c r="E123" s="522">
        <f>IF(+J96&lt;F122,J96,D123)</f>
        <v>68788.487804878052</v>
      </c>
      <c r="F123" s="523">
        <f t="shared" si="39"/>
        <v>1175057.2972746675</v>
      </c>
      <c r="G123" s="523">
        <f t="shared" si="40"/>
        <v>1209451.5411771066</v>
      </c>
      <c r="H123" s="526">
        <f t="shared" si="41"/>
        <v>206078.44383577741</v>
      </c>
      <c r="I123" s="577">
        <f t="shared" si="42"/>
        <v>206078.44383577741</v>
      </c>
      <c r="J123" s="514">
        <f t="shared" si="26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 ht="12.5">
      <c r="B124" s="195" t="str">
        <f t="shared" si="32"/>
        <v/>
      </c>
      <c r="C124" s="507">
        <f>IF(D93="","-",+C123+1)</f>
        <v>2033</v>
      </c>
      <c r="D124" s="374">
        <f>IF(F123+SUM(E$99:E123)=D$92,F123,D$92-SUM(E$99:E123))</f>
        <v>1175057.2972746675</v>
      </c>
      <c r="E124" s="522">
        <f>IF(+J96&lt;F123,J96,D124)</f>
        <v>68788.487804878052</v>
      </c>
      <c r="F124" s="523">
        <f t="shared" si="39"/>
        <v>1106268.8094697895</v>
      </c>
      <c r="G124" s="523">
        <f t="shared" si="40"/>
        <v>1140663.0533722285</v>
      </c>
      <c r="H124" s="526">
        <f t="shared" si="41"/>
        <v>198269.97185932071</v>
      </c>
      <c r="I124" s="577">
        <f t="shared" si="42"/>
        <v>198269.97185932071</v>
      </c>
      <c r="J124" s="514">
        <f t="shared" si="26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 ht="12.5">
      <c r="B125" s="195" t="str">
        <f t="shared" si="32"/>
        <v/>
      </c>
      <c r="C125" s="507">
        <f>IF(D93="","-",+C124+1)</f>
        <v>2034</v>
      </c>
      <c r="D125" s="374">
        <f>IF(F124+SUM(E$99:E124)=D$92,F124,D$92-SUM(E$99:E124))</f>
        <v>1106268.8094697895</v>
      </c>
      <c r="E125" s="522">
        <f>IF(+J96&lt;F124,J96,D125)</f>
        <v>68788.487804878052</v>
      </c>
      <c r="F125" s="523">
        <f t="shared" si="39"/>
        <v>1037480.3216649115</v>
      </c>
      <c r="G125" s="523">
        <f t="shared" si="40"/>
        <v>1071874.5655673505</v>
      </c>
      <c r="H125" s="526">
        <f t="shared" si="41"/>
        <v>190461.49988286407</v>
      </c>
      <c r="I125" s="577">
        <f t="shared" si="42"/>
        <v>190461.49988286407</v>
      </c>
      <c r="J125" s="514">
        <f t="shared" si="26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 ht="12.5">
      <c r="B126" s="195" t="str">
        <f t="shared" si="32"/>
        <v/>
      </c>
      <c r="C126" s="507">
        <f>IF(D93="","-",+C125+1)</f>
        <v>2035</v>
      </c>
      <c r="D126" s="374">
        <f>IF(F125+SUM(E$99:E125)=D$92,F125,D$92-SUM(E$99:E125))</f>
        <v>1037480.3216649115</v>
      </c>
      <c r="E126" s="522">
        <f>IF(+J96&lt;F125,J96,D126)</f>
        <v>68788.487804878052</v>
      </c>
      <c r="F126" s="523">
        <f t="shared" si="39"/>
        <v>968691.83386003342</v>
      </c>
      <c r="G126" s="523">
        <f t="shared" si="40"/>
        <v>1003086.0777624724</v>
      </c>
      <c r="H126" s="526">
        <f t="shared" si="41"/>
        <v>182653.02790640737</v>
      </c>
      <c r="I126" s="577">
        <f t="shared" si="42"/>
        <v>182653.02790640737</v>
      </c>
      <c r="J126" s="514">
        <f t="shared" si="26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 ht="12.5">
      <c r="B127" s="195" t="str">
        <f t="shared" si="32"/>
        <v/>
      </c>
      <c r="C127" s="507">
        <f>IF(D93="","-",+C126+1)</f>
        <v>2036</v>
      </c>
      <c r="D127" s="374">
        <f>IF(F126+SUM(E$99:E126)=D$92,F126,D$92-SUM(E$99:E126))</f>
        <v>968691.83386003342</v>
      </c>
      <c r="E127" s="522">
        <f>IF(+J96&lt;F126,J96,D127)</f>
        <v>68788.487804878052</v>
      </c>
      <c r="F127" s="523">
        <f t="shared" si="39"/>
        <v>899903.34605515539</v>
      </c>
      <c r="G127" s="523">
        <f t="shared" si="40"/>
        <v>934297.58995759441</v>
      </c>
      <c r="H127" s="526">
        <f t="shared" si="41"/>
        <v>174844.55592995073</v>
      </c>
      <c r="I127" s="577">
        <f t="shared" si="42"/>
        <v>174844.55592995073</v>
      </c>
      <c r="J127" s="514">
        <f t="shared" si="26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 ht="12.5">
      <c r="B128" s="195" t="str">
        <f t="shared" si="32"/>
        <v/>
      </c>
      <c r="C128" s="507">
        <f>IF(D93="","-",+C127+1)</f>
        <v>2037</v>
      </c>
      <c r="D128" s="374">
        <f>IF(F127+SUM(E$99:E127)=D$92,F127,D$92-SUM(E$99:E127))</f>
        <v>899903.34605515539</v>
      </c>
      <c r="E128" s="522">
        <f>IF(+J96&lt;F127,J96,D128)</f>
        <v>68788.487804878052</v>
      </c>
      <c r="F128" s="523">
        <f t="shared" si="39"/>
        <v>831114.85825027735</v>
      </c>
      <c r="G128" s="523">
        <f t="shared" si="40"/>
        <v>865509.10215271637</v>
      </c>
      <c r="H128" s="526">
        <f t="shared" si="41"/>
        <v>167036.08395349406</v>
      </c>
      <c r="I128" s="577">
        <f t="shared" si="42"/>
        <v>167036.08395349406</v>
      </c>
      <c r="J128" s="514">
        <f t="shared" si="26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 ht="12.5">
      <c r="B129" s="195" t="str">
        <f t="shared" si="32"/>
        <v/>
      </c>
      <c r="C129" s="507">
        <f>IF(D93="","-",+C128+1)</f>
        <v>2038</v>
      </c>
      <c r="D129" s="374">
        <f>IF(F128+SUM(E$99:E128)=D$92,F128,D$92-SUM(E$99:E128))</f>
        <v>831114.85825027735</v>
      </c>
      <c r="E129" s="522">
        <f>IF(+J96&lt;F128,J96,D129)</f>
        <v>68788.487804878052</v>
      </c>
      <c r="F129" s="523">
        <f t="shared" si="39"/>
        <v>762326.37044539931</v>
      </c>
      <c r="G129" s="523">
        <f t="shared" si="40"/>
        <v>796720.61434783833</v>
      </c>
      <c r="H129" s="526">
        <f t="shared" si="41"/>
        <v>159227.61197703739</v>
      </c>
      <c r="I129" s="577">
        <f t="shared" si="42"/>
        <v>159227.61197703739</v>
      </c>
      <c r="J129" s="514">
        <f t="shared" si="26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 ht="12.5">
      <c r="B130" s="195" t="str">
        <f t="shared" si="32"/>
        <v/>
      </c>
      <c r="C130" s="507">
        <f>IF(D93="","-",+C129+1)</f>
        <v>2039</v>
      </c>
      <c r="D130" s="374">
        <f>IF(F129+SUM(E$99:E129)=D$92,F129,D$92-SUM(E$99:E129))</f>
        <v>762326.37044539931</v>
      </c>
      <c r="E130" s="522">
        <f>IF(+J96&lt;F129,J96,D130)</f>
        <v>68788.487804878052</v>
      </c>
      <c r="F130" s="523">
        <f t="shared" si="39"/>
        <v>693537.88264052127</v>
      </c>
      <c r="G130" s="523">
        <f t="shared" si="40"/>
        <v>727932.12654296029</v>
      </c>
      <c r="H130" s="526">
        <f t="shared" si="41"/>
        <v>151419.14000058072</v>
      </c>
      <c r="I130" s="577">
        <f t="shared" si="42"/>
        <v>151419.14000058072</v>
      </c>
      <c r="J130" s="514">
        <f t="shared" si="26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 ht="12.5">
      <c r="B131" s="195" t="str">
        <f t="shared" si="32"/>
        <v/>
      </c>
      <c r="C131" s="507">
        <f>IF(D93="","-",+C130+1)</f>
        <v>2040</v>
      </c>
      <c r="D131" s="374">
        <f>IF(F130+SUM(E$99:E130)=D$92,F130,D$92-SUM(E$99:E130))</f>
        <v>693537.88264052127</v>
      </c>
      <c r="E131" s="522">
        <f>IF(+J96&lt;F130,J96,D131)</f>
        <v>68788.487804878052</v>
      </c>
      <c r="F131" s="523">
        <f t="shared" ref="F131:F154" si="43">+D131-E131</f>
        <v>624749.39483564324</v>
      </c>
      <c r="G131" s="523">
        <f t="shared" ref="G131:G154" si="44">+(F131+D131)/2</f>
        <v>659143.63873808226</v>
      </c>
      <c r="H131" s="526">
        <f t="shared" si="41"/>
        <v>143610.66802412405</v>
      </c>
      <c r="I131" s="577">
        <f t="shared" si="42"/>
        <v>143610.66802412405</v>
      </c>
      <c r="J131" s="514">
        <f t="shared" ref="J131:J154" si="45">+I131-H131</f>
        <v>0</v>
      </c>
      <c r="K131" s="514"/>
      <c r="L131" s="525"/>
      <c r="M131" s="514">
        <f t="shared" ref="M131:M154" si="46">IF(L131&lt;&gt;0,+H131-L131,0)</f>
        <v>0</v>
      </c>
      <c r="N131" s="525"/>
      <c r="O131" s="514">
        <f t="shared" ref="O131:O154" si="47">IF(N131&lt;&gt;0,+I131-N131,0)</f>
        <v>0</v>
      </c>
      <c r="P131" s="514">
        <f t="shared" ref="P131:P154" si="48">+O131-M131</f>
        <v>0</v>
      </c>
      <c r="Q131" s="269"/>
    </row>
    <row r="132" spans="2:17" ht="12.5">
      <c r="B132" s="195" t="str">
        <f t="shared" si="32"/>
        <v/>
      </c>
      <c r="C132" s="507">
        <f>IF(D93="","-",+C131+1)</f>
        <v>2041</v>
      </c>
      <c r="D132" s="374">
        <f>IF(F131+SUM(E$99:E131)=D$92,F131,D$92-SUM(E$99:E131))</f>
        <v>624749.39483564324</v>
      </c>
      <c r="E132" s="522">
        <f>IF(+J96&lt;F131,J96,D132)</f>
        <v>68788.487804878052</v>
      </c>
      <c r="F132" s="523">
        <f t="shared" si="43"/>
        <v>555960.9070307652</v>
      </c>
      <c r="G132" s="523">
        <f t="shared" si="44"/>
        <v>590355.15093320422</v>
      </c>
      <c r="H132" s="526">
        <f t="shared" si="41"/>
        <v>135802.19604766741</v>
      </c>
      <c r="I132" s="577">
        <f t="shared" si="42"/>
        <v>135802.19604766741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  <c r="Q132" s="269"/>
    </row>
    <row r="133" spans="2:17" ht="12.5">
      <c r="B133" s="195" t="str">
        <f t="shared" si="32"/>
        <v/>
      </c>
      <c r="C133" s="507">
        <f>IF(D93="","-",+C132+1)</f>
        <v>2042</v>
      </c>
      <c r="D133" s="374">
        <f>IF(F132+SUM(E$99:E132)=D$92,F132,D$92-SUM(E$99:E132))</f>
        <v>555960.9070307652</v>
      </c>
      <c r="E133" s="522">
        <f>IF(+J96&lt;F132,J96,D133)</f>
        <v>68788.487804878052</v>
      </c>
      <c r="F133" s="523">
        <f t="shared" si="43"/>
        <v>487172.41922588716</v>
      </c>
      <c r="G133" s="523">
        <f t="shared" si="44"/>
        <v>521566.66312832618</v>
      </c>
      <c r="H133" s="526">
        <f t="shared" si="41"/>
        <v>127993.72407121073</v>
      </c>
      <c r="I133" s="577">
        <f t="shared" si="42"/>
        <v>127993.72407121073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  <c r="Q133" s="269"/>
    </row>
    <row r="134" spans="2:17" ht="12.5">
      <c r="B134" s="195" t="str">
        <f t="shared" si="32"/>
        <v/>
      </c>
      <c r="C134" s="507">
        <f>IF(D93="","-",+C133+1)</f>
        <v>2043</v>
      </c>
      <c r="D134" s="374">
        <f>IF(F133+SUM(E$99:E133)=D$92,F133,D$92-SUM(E$99:E133))</f>
        <v>487172.41922588716</v>
      </c>
      <c r="E134" s="522">
        <f>IF(+J96&lt;F133,J96,D134)</f>
        <v>68788.487804878052</v>
      </c>
      <c r="F134" s="523">
        <f t="shared" si="43"/>
        <v>418383.93142100913</v>
      </c>
      <c r="G134" s="523">
        <f t="shared" si="44"/>
        <v>452778.17532344814</v>
      </c>
      <c r="H134" s="526">
        <f t="shared" si="41"/>
        <v>120185.25209475408</v>
      </c>
      <c r="I134" s="577">
        <f t="shared" si="42"/>
        <v>120185.25209475408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  <c r="Q134" s="269"/>
    </row>
    <row r="135" spans="2:17" ht="12.5">
      <c r="B135" s="195" t="str">
        <f t="shared" si="32"/>
        <v/>
      </c>
      <c r="C135" s="507">
        <f>IF(D93="","-",+C134+1)</f>
        <v>2044</v>
      </c>
      <c r="D135" s="374">
        <f>IF(F134+SUM(E$99:E134)=D$92,F134,D$92-SUM(E$99:E134))</f>
        <v>418383.93142100913</v>
      </c>
      <c r="E135" s="522">
        <f>IF(+J96&lt;F134,J96,D135)</f>
        <v>68788.487804878052</v>
      </c>
      <c r="F135" s="523">
        <f t="shared" si="43"/>
        <v>349595.44361613109</v>
      </c>
      <c r="G135" s="523">
        <f t="shared" si="44"/>
        <v>383989.68751857011</v>
      </c>
      <c r="H135" s="526">
        <f t="shared" si="41"/>
        <v>112376.78011829741</v>
      </c>
      <c r="I135" s="577">
        <f t="shared" si="42"/>
        <v>112376.78011829741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  <c r="Q135" s="269"/>
    </row>
    <row r="136" spans="2:17" ht="12.5">
      <c r="B136" s="195" t="str">
        <f t="shared" si="32"/>
        <v/>
      </c>
      <c r="C136" s="507">
        <f>IF(D93="","-",+C135+1)</f>
        <v>2045</v>
      </c>
      <c r="D136" s="374">
        <f>IF(F135+SUM(E$99:E135)=D$92,F135,D$92-SUM(E$99:E135))</f>
        <v>349595.44361613109</v>
      </c>
      <c r="E136" s="522">
        <f>IF(+J96&lt;F135,J96,D136)</f>
        <v>68788.487804878052</v>
      </c>
      <c r="F136" s="523">
        <f t="shared" si="43"/>
        <v>280806.95581125305</v>
      </c>
      <c r="G136" s="523">
        <f t="shared" si="44"/>
        <v>315201.19971369207</v>
      </c>
      <c r="H136" s="526">
        <f t="shared" si="41"/>
        <v>104568.30814184074</v>
      </c>
      <c r="I136" s="577">
        <f t="shared" si="42"/>
        <v>104568.30814184074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  <c r="Q136" s="269"/>
    </row>
    <row r="137" spans="2:17" ht="12.5">
      <c r="B137" s="195" t="str">
        <f t="shared" si="32"/>
        <v/>
      </c>
      <c r="C137" s="507">
        <f>IF(D93="","-",+C136+1)</f>
        <v>2046</v>
      </c>
      <c r="D137" s="374">
        <f>IF(F136+SUM(E$99:E136)=D$92,F136,D$92-SUM(E$99:E136))</f>
        <v>280806.95581125305</v>
      </c>
      <c r="E137" s="522">
        <f>IF(+J96&lt;F136,J96,D137)</f>
        <v>68788.487804878052</v>
      </c>
      <c r="F137" s="523">
        <f t="shared" si="43"/>
        <v>212018.46800637501</v>
      </c>
      <c r="G137" s="523">
        <f t="shared" si="44"/>
        <v>246412.71190881403</v>
      </c>
      <c r="H137" s="526">
        <f t="shared" si="41"/>
        <v>96759.836165384069</v>
      </c>
      <c r="I137" s="577">
        <f t="shared" si="42"/>
        <v>96759.836165384069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  <c r="Q137" s="269"/>
    </row>
    <row r="138" spans="2:17" ht="12.5">
      <c r="B138" s="195" t="str">
        <f t="shared" si="32"/>
        <v/>
      </c>
      <c r="C138" s="507">
        <f>IF(D93="","-",+C137+1)</f>
        <v>2047</v>
      </c>
      <c r="D138" s="374">
        <f>IF(F137+SUM(E$99:E137)=D$92,F137,D$92-SUM(E$99:E137))</f>
        <v>212018.46800637501</v>
      </c>
      <c r="E138" s="522">
        <f>IF(+J96&lt;F137,J96,D138)</f>
        <v>68788.487804878052</v>
      </c>
      <c r="F138" s="523">
        <f t="shared" si="43"/>
        <v>143229.98020149698</v>
      </c>
      <c r="G138" s="523">
        <f t="shared" si="44"/>
        <v>177624.22410393599</v>
      </c>
      <c r="H138" s="526">
        <f t="shared" si="41"/>
        <v>88951.3641889274</v>
      </c>
      <c r="I138" s="577">
        <f t="shared" si="42"/>
        <v>88951.3641889274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  <c r="Q138" s="269"/>
    </row>
    <row r="139" spans="2:17" ht="12.5">
      <c r="B139" s="195" t="str">
        <f t="shared" si="32"/>
        <v/>
      </c>
      <c r="C139" s="507">
        <f>IF(D93="","-",+C138+1)</f>
        <v>2048</v>
      </c>
      <c r="D139" s="374">
        <f>IF(F138+SUM(E$99:E138)=D$92,F138,D$92-SUM(E$99:E138))</f>
        <v>143229.98020149698</v>
      </c>
      <c r="E139" s="522">
        <f>IF(+J96&lt;F138,J96,D139)</f>
        <v>68788.487804878052</v>
      </c>
      <c r="F139" s="523">
        <f t="shared" si="43"/>
        <v>74441.492396618924</v>
      </c>
      <c r="G139" s="523">
        <f t="shared" si="44"/>
        <v>108835.73629905796</v>
      </c>
      <c r="H139" s="526">
        <f t="shared" si="41"/>
        <v>81142.892212470746</v>
      </c>
      <c r="I139" s="577">
        <f t="shared" si="42"/>
        <v>81142.892212470746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  <c r="Q139" s="269"/>
    </row>
    <row r="140" spans="2:17" ht="12.5">
      <c r="B140" s="195" t="str">
        <f t="shared" si="32"/>
        <v/>
      </c>
      <c r="C140" s="507">
        <f>IF(D93="","-",+C139+1)</f>
        <v>2049</v>
      </c>
      <c r="D140" s="374">
        <f>IF(F139+SUM(E$99:E139)=D$92,F139,D$92-SUM(E$99:E139))</f>
        <v>74441.492396618924</v>
      </c>
      <c r="E140" s="522">
        <f>IF(+J96&lt;F139,J96,D140)</f>
        <v>68788.487804878052</v>
      </c>
      <c r="F140" s="523">
        <f t="shared" si="43"/>
        <v>5653.0045917408715</v>
      </c>
      <c r="G140" s="523">
        <f t="shared" si="44"/>
        <v>40047.248494179898</v>
      </c>
      <c r="H140" s="526">
        <f t="shared" si="41"/>
        <v>73334.420236014077</v>
      </c>
      <c r="I140" s="577">
        <f t="shared" si="42"/>
        <v>73334.420236014077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  <c r="Q140" s="269"/>
    </row>
    <row r="141" spans="2:17" ht="12.5">
      <c r="B141" s="195" t="str">
        <f t="shared" si="32"/>
        <v/>
      </c>
      <c r="C141" s="507">
        <f>IF(D93="","-",+C140+1)</f>
        <v>2050</v>
      </c>
      <c r="D141" s="374">
        <f>IF(F140+SUM(E$99:E140)=D$92,F140,D$92-SUM(E$99:E140))</f>
        <v>5653.0045917408715</v>
      </c>
      <c r="E141" s="522">
        <f>IF(+J96&lt;F140,J96,D141)</f>
        <v>5653.0045917408715</v>
      </c>
      <c r="F141" s="523">
        <f t="shared" si="43"/>
        <v>0</v>
      </c>
      <c r="G141" s="523">
        <f t="shared" si="44"/>
        <v>2826.5022958704358</v>
      </c>
      <c r="H141" s="526">
        <f t="shared" si="41"/>
        <v>5973.8528131947178</v>
      </c>
      <c r="I141" s="577">
        <f t="shared" si="42"/>
        <v>5973.8528131947178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  <c r="Q141" s="269"/>
    </row>
    <row r="142" spans="2:17" ht="12.5">
      <c r="B142" s="195" t="str">
        <f t="shared" si="32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3"/>
        <v>0</v>
      </c>
      <c r="G142" s="523">
        <f t="shared" si="44"/>
        <v>0</v>
      </c>
      <c r="H142" s="526">
        <f t="shared" si="41"/>
        <v>0</v>
      </c>
      <c r="I142" s="577">
        <f t="shared" si="42"/>
        <v>0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  <c r="Q142" s="269"/>
    </row>
    <row r="143" spans="2:17" ht="12.5">
      <c r="B143" s="195" t="str">
        <f t="shared" si="32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3"/>
        <v>0</v>
      </c>
      <c r="G143" s="523">
        <f t="shared" si="44"/>
        <v>0</v>
      </c>
      <c r="H143" s="526">
        <f t="shared" si="41"/>
        <v>0</v>
      </c>
      <c r="I143" s="577">
        <f t="shared" si="42"/>
        <v>0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  <c r="Q143" s="269"/>
    </row>
    <row r="144" spans="2:17" ht="12.5">
      <c r="B144" s="195" t="str">
        <f t="shared" si="32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3"/>
        <v>0</v>
      </c>
      <c r="G144" s="523">
        <f t="shared" si="44"/>
        <v>0</v>
      </c>
      <c r="H144" s="526">
        <f t="shared" si="41"/>
        <v>0</v>
      </c>
      <c r="I144" s="577">
        <f t="shared" si="42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  <c r="Q144" s="269"/>
    </row>
    <row r="145" spans="2:17" ht="12.5">
      <c r="B145" s="195" t="str">
        <f t="shared" si="32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3"/>
        <v>0</v>
      </c>
      <c r="G145" s="523">
        <f t="shared" si="44"/>
        <v>0</v>
      </c>
      <c r="H145" s="526">
        <f t="shared" si="41"/>
        <v>0</v>
      </c>
      <c r="I145" s="577">
        <f t="shared" si="42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  <c r="Q145" s="269"/>
    </row>
    <row r="146" spans="2:17" ht="12.5">
      <c r="B146" s="195" t="str">
        <f t="shared" si="32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3"/>
        <v>0</v>
      </c>
      <c r="G146" s="523">
        <f t="shared" si="44"/>
        <v>0</v>
      </c>
      <c r="H146" s="526">
        <f t="shared" si="41"/>
        <v>0</v>
      </c>
      <c r="I146" s="577">
        <f t="shared" si="42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  <c r="Q146" s="269"/>
    </row>
    <row r="147" spans="2:17" ht="12.5">
      <c r="B147" s="195" t="str">
        <f t="shared" si="32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3"/>
        <v>0</v>
      </c>
      <c r="G147" s="523">
        <f t="shared" si="44"/>
        <v>0</v>
      </c>
      <c r="H147" s="526">
        <f t="shared" si="41"/>
        <v>0</v>
      </c>
      <c r="I147" s="577">
        <f t="shared" si="42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  <c r="Q147" s="269"/>
    </row>
    <row r="148" spans="2:17" ht="12.5">
      <c r="B148" s="195" t="str">
        <f t="shared" si="32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3"/>
        <v>0</v>
      </c>
      <c r="G148" s="523">
        <f t="shared" si="44"/>
        <v>0</v>
      </c>
      <c r="H148" s="526">
        <f t="shared" si="41"/>
        <v>0</v>
      </c>
      <c r="I148" s="577">
        <f t="shared" si="42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  <c r="Q148" s="269"/>
    </row>
    <row r="149" spans="2:17" ht="12.5">
      <c r="B149" s="195" t="str">
        <f t="shared" si="32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3"/>
        <v>0</v>
      </c>
      <c r="G149" s="523">
        <f t="shared" si="44"/>
        <v>0</v>
      </c>
      <c r="H149" s="526">
        <f t="shared" si="41"/>
        <v>0</v>
      </c>
      <c r="I149" s="577">
        <f t="shared" si="42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  <c r="Q149" s="269"/>
    </row>
    <row r="150" spans="2:17" ht="12.5">
      <c r="B150" s="195" t="str">
        <f t="shared" si="32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3"/>
        <v>0</v>
      </c>
      <c r="G150" s="523">
        <f t="shared" si="44"/>
        <v>0</v>
      </c>
      <c r="H150" s="526">
        <f t="shared" si="41"/>
        <v>0</v>
      </c>
      <c r="I150" s="577">
        <f t="shared" si="42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  <c r="Q150" s="269"/>
    </row>
    <row r="151" spans="2:17" ht="12.5">
      <c r="B151" s="195" t="str">
        <f t="shared" si="32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3"/>
        <v>0</v>
      </c>
      <c r="G151" s="523">
        <f t="shared" si="44"/>
        <v>0</v>
      </c>
      <c r="H151" s="526">
        <f t="shared" si="41"/>
        <v>0</v>
      </c>
      <c r="I151" s="577">
        <f t="shared" si="42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  <c r="Q151" s="269"/>
    </row>
    <row r="152" spans="2:17" ht="12.5">
      <c r="B152" s="195" t="str">
        <f t="shared" si="32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3"/>
        <v>0</v>
      </c>
      <c r="G152" s="523">
        <f t="shared" si="44"/>
        <v>0</v>
      </c>
      <c r="H152" s="526">
        <f t="shared" si="41"/>
        <v>0</v>
      </c>
      <c r="I152" s="577">
        <f t="shared" si="42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  <c r="Q152" s="269"/>
    </row>
    <row r="153" spans="2:17" ht="12.5">
      <c r="B153" s="195" t="str">
        <f t="shared" si="32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3"/>
        <v>0</v>
      </c>
      <c r="G153" s="523">
        <f t="shared" si="44"/>
        <v>0</v>
      </c>
      <c r="H153" s="526">
        <f t="shared" si="41"/>
        <v>0</v>
      </c>
      <c r="I153" s="577">
        <f t="shared" si="42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  <c r="Q153" s="269"/>
    </row>
    <row r="154" spans="2:17" ht="13" thickBot="1">
      <c r="B154" s="195" t="str">
        <f t="shared" si="32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3"/>
        <v>0</v>
      </c>
      <c r="G154" s="528">
        <f t="shared" si="44"/>
        <v>0</v>
      </c>
      <c r="H154" s="530">
        <f t="shared" si="41"/>
        <v>0</v>
      </c>
      <c r="I154" s="579">
        <f t="shared" si="42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  <c r="Q154" s="269"/>
    </row>
    <row r="155" spans="2:17" ht="12.5">
      <c r="C155" s="374" t="s">
        <v>78</v>
      </c>
      <c r="D155" s="375"/>
      <c r="E155" s="375">
        <f>SUM(E99:E154)</f>
        <v>2820328.0000000005</v>
      </c>
      <c r="F155" s="375"/>
      <c r="G155" s="375"/>
      <c r="H155" s="375">
        <f>SUM(H99:H154)</f>
        <v>9967384.2978092078</v>
      </c>
      <c r="I155" s="375">
        <f>SUM(I99:I154)</f>
        <v>9967384.2978092078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3" priority="1" stopIfTrue="1" operator="equal">
      <formula>$I$10</formula>
    </cfRule>
  </conditionalFormatting>
  <conditionalFormatting sqref="C99:C154">
    <cfRule type="cellIs" dxfId="1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9">
    <tabColor indexed="8"/>
  </sheetPr>
  <dimension ref="A1:Q162"/>
  <sheetViews>
    <sheetView view="pageBreakPreview" zoomScale="86" zoomScaleNormal="100" zoomScaleSheetLayoutView="86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10 of 74</v>
      </c>
      <c r="Q1" s="453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235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142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524">
        <f>+I$12*((D17+F17)/2)+E17</f>
        <v>0</v>
      </c>
      <c r="H17" s="491">
        <f>+I$13*((D17+F17)/2)+E17</f>
        <v>0</v>
      </c>
      <c r="I17" s="511">
        <f t="shared" ref="I17:I48" si="1">H17-G17</f>
        <v>0</v>
      </c>
      <c r="J17" s="511"/>
      <c r="K17" s="512">
        <v>0</v>
      </c>
      <c r="L17" s="513">
        <f t="shared" ref="L17:L48" si="2">IF(K17&lt;&gt;0,+G17-K17,0)</f>
        <v>0</v>
      </c>
      <c r="M17" s="512">
        <v>0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523">
        <f t="shared" ref="D18:D24" si="5">F17</f>
        <v>0</v>
      </c>
      <c r="E18" s="522">
        <f>IF(+I14&lt;F17,I14,D18)</f>
        <v>0</v>
      </c>
      <c r="F18" s="523">
        <f t="shared" si="0"/>
        <v>0</v>
      </c>
      <c r="G18" s="524">
        <f t="shared" ref="G18:G72" si="6">+I$12*((D18+F18)/2)+E18</f>
        <v>0</v>
      </c>
      <c r="H18" s="491">
        <f t="shared" ref="H18:H72" si="7">+I$13*((D18+F18)/2)+E18</f>
        <v>0</v>
      </c>
      <c r="I18" s="511">
        <f t="shared" si="1"/>
        <v>0</v>
      </c>
      <c r="J18" s="511"/>
      <c r="K18" s="518">
        <v>0</v>
      </c>
      <c r="L18" s="514">
        <f t="shared" si="2"/>
        <v>0</v>
      </c>
      <c r="M18" s="518">
        <v>0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2010</v>
      </c>
      <c r="D19" s="523">
        <f t="shared" si="5"/>
        <v>0</v>
      </c>
      <c r="E19" s="522">
        <f>IF(+I14&lt;F18,I14,D19)</f>
        <v>0</v>
      </c>
      <c r="F19" s="523">
        <f t="shared" si="0"/>
        <v>0</v>
      </c>
      <c r="G19" s="524">
        <f t="shared" si="6"/>
        <v>0</v>
      </c>
      <c r="H19" s="491">
        <f t="shared" si="7"/>
        <v>0</v>
      </c>
      <c r="I19" s="511">
        <f t="shared" si="1"/>
        <v>0</v>
      </c>
      <c r="J19" s="511"/>
      <c r="K19" s="525"/>
      <c r="L19" s="514">
        <f t="shared" si="2"/>
        <v>0</v>
      </c>
      <c r="M19" s="525"/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8">IF(D20=F19,"","IU")</f>
        <v/>
      </c>
      <c r="C20" s="507">
        <f>IF(D11="","-",+C19+1)</f>
        <v>2011</v>
      </c>
      <c r="D20" s="523">
        <f t="shared" si="5"/>
        <v>0</v>
      </c>
      <c r="E20" s="522">
        <f>IF(+I14&lt;F19,I14,D20)</f>
        <v>0</v>
      </c>
      <c r="F20" s="523">
        <f t="shared" si="0"/>
        <v>0</v>
      </c>
      <c r="G20" s="524">
        <f t="shared" si="6"/>
        <v>0</v>
      </c>
      <c r="H20" s="491">
        <f t="shared" si="7"/>
        <v>0</v>
      </c>
      <c r="I20" s="511">
        <f t="shared" si="1"/>
        <v>0</v>
      </c>
      <c r="J20" s="511"/>
      <c r="K20" s="525"/>
      <c r="L20" s="514">
        <f t="shared" si="2"/>
        <v>0</v>
      </c>
      <c r="M20" s="525"/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8"/>
        <v/>
      </c>
      <c r="C21" s="507">
        <f>IF(D12="","-",+C20+1)</f>
        <v>2012</v>
      </c>
      <c r="D21" s="523">
        <f t="shared" si="5"/>
        <v>0</v>
      </c>
      <c r="E21" s="522">
        <f>IF(+I14&lt;F20,I14,D21)</f>
        <v>0</v>
      </c>
      <c r="F21" s="523">
        <f t="shared" si="0"/>
        <v>0</v>
      </c>
      <c r="G21" s="524">
        <f t="shared" si="6"/>
        <v>0</v>
      </c>
      <c r="H21" s="491">
        <f t="shared" si="7"/>
        <v>0</v>
      </c>
      <c r="I21" s="511">
        <f t="shared" si="1"/>
        <v>0</v>
      </c>
      <c r="J21" s="511"/>
      <c r="K21" s="525"/>
      <c r="L21" s="514">
        <f t="shared" si="2"/>
        <v>0</v>
      </c>
      <c r="M21" s="525"/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8"/>
        <v/>
      </c>
      <c r="C22" s="507">
        <f>IF(D11="","-",+C21+1)</f>
        <v>2013</v>
      </c>
      <c r="D22" s="523">
        <f t="shared" si="5"/>
        <v>0</v>
      </c>
      <c r="E22" s="522">
        <f>IF(+I14&lt;F21,I14,D22)</f>
        <v>0</v>
      </c>
      <c r="F22" s="523">
        <f t="shared" si="0"/>
        <v>0</v>
      </c>
      <c r="G22" s="524">
        <f t="shared" si="6"/>
        <v>0</v>
      </c>
      <c r="H22" s="491">
        <f t="shared" si="7"/>
        <v>0</v>
      </c>
      <c r="I22" s="511">
        <f t="shared" si="1"/>
        <v>0</v>
      </c>
      <c r="J22" s="511"/>
      <c r="K22" s="525"/>
      <c r="L22" s="514">
        <f t="shared" si="2"/>
        <v>0</v>
      </c>
      <c r="M22" s="525"/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8"/>
        <v/>
      </c>
      <c r="C23" s="507">
        <f>IF(D11="","-",+C22+1)</f>
        <v>2014</v>
      </c>
      <c r="D23" s="523">
        <f t="shared" si="5"/>
        <v>0</v>
      </c>
      <c r="E23" s="522">
        <f>IF(+I14&lt;F22,I14,D23)</f>
        <v>0</v>
      </c>
      <c r="F23" s="523">
        <f t="shared" si="0"/>
        <v>0</v>
      </c>
      <c r="G23" s="524">
        <f t="shared" si="6"/>
        <v>0</v>
      </c>
      <c r="H23" s="491">
        <f t="shared" si="7"/>
        <v>0</v>
      </c>
      <c r="I23" s="511">
        <f t="shared" si="1"/>
        <v>0</v>
      </c>
      <c r="J23" s="511"/>
      <c r="K23" s="525"/>
      <c r="L23" s="514">
        <f t="shared" si="2"/>
        <v>0</v>
      </c>
      <c r="M23" s="525"/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8"/>
        <v/>
      </c>
      <c r="C24" s="507">
        <f>IF(D11="","-",+C23+1)</f>
        <v>2015</v>
      </c>
      <c r="D24" s="523">
        <f t="shared" si="5"/>
        <v>0</v>
      </c>
      <c r="E24" s="522">
        <f>IF(+I14&lt;F23,I14,D24)</f>
        <v>0</v>
      </c>
      <c r="F24" s="523">
        <f t="shared" si="0"/>
        <v>0</v>
      </c>
      <c r="G24" s="524">
        <f t="shared" si="6"/>
        <v>0</v>
      </c>
      <c r="H24" s="491">
        <f t="shared" si="7"/>
        <v>0</v>
      </c>
      <c r="I24" s="511">
        <f t="shared" si="1"/>
        <v>0</v>
      </c>
      <c r="J24" s="511"/>
      <c r="K24" s="525"/>
      <c r="L24" s="514">
        <f t="shared" si="2"/>
        <v>0</v>
      </c>
      <c r="M24" s="525"/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8"/>
        <v/>
      </c>
      <c r="C25" s="507">
        <f>IF(D11="","-",+C24+1)</f>
        <v>2016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6"/>
        <v>0</v>
      </c>
      <c r="H25" s="491">
        <f t="shared" si="7"/>
        <v>0</v>
      </c>
      <c r="I25" s="511">
        <f t="shared" si="1"/>
        <v>0</v>
      </c>
      <c r="J25" s="511"/>
      <c r="K25" s="525"/>
      <c r="L25" s="514">
        <f t="shared" si="2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8"/>
        <v/>
      </c>
      <c r="C26" s="507">
        <f>IF(D11="","-",+C25+1)</f>
        <v>2017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6"/>
        <v>0</v>
      </c>
      <c r="H26" s="491">
        <f t="shared" si="7"/>
        <v>0</v>
      </c>
      <c r="I26" s="511">
        <f t="shared" si="1"/>
        <v>0</v>
      </c>
      <c r="J26" s="511"/>
      <c r="K26" s="525"/>
      <c r="L26" s="514">
        <f t="shared" si="2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8"/>
        <v/>
      </c>
      <c r="C27" s="507">
        <f>IF(D11="","-",+C26+1)</f>
        <v>2018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6"/>
        <v>0</v>
      </c>
      <c r="H27" s="491">
        <f t="shared" si="7"/>
        <v>0</v>
      </c>
      <c r="I27" s="511">
        <f t="shared" si="1"/>
        <v>0</v>
      </c>
      <c r="J27" s="511"/>
      <c r="K27" s="525"/>
      <c r="L27" s="514">
        <f t="shared" si="2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8"/>
        <v/>
      </c>
      <c r="C28" s="507">
        <f>IF(D11="","-",+C27+1)</f>
        <v>2019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6"/>
        <v>0</v>
      </c>
      <c r="H28" s="491">
        <f t="shared" si="7"/>
        <v>0</v>
      </c>
      <c r="I28" s="511">
        <f t="shared" si="1"/>
        <v>0</v>
      </c>
      <c r="J28" s="511"/>
      <c r="K28" s="525"/>
      <c r="L28" s="514">
        <f t="shared" si="2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8"/>
        <v/>
      </c>
      <c r="C29" s="507">
        <f>IF(D11="","-",+C28+1)</f>
        <v>2020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6"/>
        <v>0</v>
      </c>
      <c r="H29" s="491">
        <f t="shared" si="7"/>
        <v>0</v>
      </c>
      <c r="I29" s="511">
        <f t="shared" si="1"/>
        <v>0</v>
      </c>
      <c r="J29" s="511"/>
      <c r="K29" s="525"/>
      <c r="L29" s="514">
        <f t="shared" si="2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8"/>
        <v/>
      </c>
      <c r="C30" s="507">
        <f>IF(D11="","-",+C29+1)</f>
        <v>2021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6"/>
        <v>0</v>
      </c>
      <c r="H30" s="491">
        <f t="shared" si="7"/>
        <v>0</v>
      </c>
      <c r="I30" s="511">
        <f t="shared" si="1"/>
        <v>0</v>
      </c>
      <c r="J30" s="511"/>
      <c r="K30" s="525"/>
      <c r="L30" s="514">
        <f t="shared" si="2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8"/>
        <v/>
      </c>
      <c r="C31" s="507">
        <f>IF(D11="","-",+C30+1)</f>
        <v>2022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6"/>
        <v>0</v>
      </c>
      <c r="H31" s="491">
        <f t="shared" si="7"/>
        <v>0</v>
      </c>
      <c r="I31" s="511">
        <f t="shared" si="1"/>
        <v>0</v>
      </c>
      <c r="J31" s="511"/>
      <c r="K31" s="525"/>
      <c r="L31" s="514">
        <f t="shared" si="2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8"/>
        <v/>
      </c>
      <c r="C32" s="507">
        <f>IF(D11="","-",+C31+1)</f>
        <v>2023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6"/>
        <v>0</v>
      </c>
      <c r="H32" s="491">
        <f t="shared" si="7"/>
        <v>0</v>
      </c>
      <c r="I32" s="511">
        <f t="shared" si="1"/>
        <v>0</v>
      </c>
      <c r="J32" s="511"/>
      <c r="K32" s="525"/>
      <c r="L32" s="514">
        <f t="shared" si="2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8"/>
        <v/>
      </c>
      <c r="C33" s="507">
        <f>IF(D11="","-",+C32+1)</f>
        <v>2024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6"/>
        <v>0</v>
      </c>
      <c r="H33" s="491">
        <f t="shared" si="7"/>
        <v>0</v>
      </c>
      <c r="I33" s="511">
        <f t="shared" si="1"/>
        <v>0</v>
      </c>
      <c r="J33" s="511"/>
      <c r="K33" s="525"/>
      <c r="L33" s="514">
        <f t="shared" si="2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8"/>
        <v/>
      </c>
      <c r="C34" s="507">
        <f>IF(D11="","-",+C33+1)</f>
        <v>2025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6"/>
        <v>0</v>
      </c>
      <c r="H34" s="491">
        <f t="shared" si="7"/>
        <v>0</v>
      </c>
      <c r="I34" s="511">
        <f t="shared" si="1"/>
        <v>0</v>
      </c>
      <c r="J34" s="511"/>
      <c r="K34" s="525"/>
      <c r="L34" s="514">
        <f t="shared" si="2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8"/>
        <v/>
      </c>
      <c r="C35" s="507">
        <f>IF(D11="","-",+C34+1)</f>
        <v>2026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6"/>
        <v>0</v>
      </c>
      <c r="H35" s="491">
        <f t="shared" si="7"/>
        <v>0</v>
      </c>
      <c r="I35" s="511">
        <f t="shared" si="1"/>
        <v>0</v>
      </c>
      <c r="J35" s="511"/>
      <c r="K35" s="525"/>
      <c r="L35" s="514">
        <f t="shared" si="2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8"/>
        <v/>
      </c>
      <c r="C36" s="507">
        <f>IF(D11="","-",+C35+1)</f>
        <v>2027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6"/>
        <v>0</v>
      </c>
      <c r="H36" s="491">
        <f t="shared" si="7"/>
        <v>0</v>
      </c>
      <c r="I36" s="511">
        <f t="shared" si="1"/>
        <v>0</v>
      </c>
      <c r="J36" s="511"/>
      <c r="K36" s="525"/>
      <c r="L36" s="514">
        <f t="shared" si="2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8"/>
        <v/>
      </c>
      <c r="C37" s="507">
        <f>IF(D11="","-",+C36+1)</f>
        <v>2028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6"/>
        <v>0</v>
      </c>
      <c r="H37" s="491">
        <f t="shared" si="7"/>
        <v>0</v>
      </c>
      <c r="I37" s="511">
        <f t="shared" si="1"/>
        <v>0</v>
      </c>
      <c r="J37" s="511"/>
      <c r="K37" s="525"/>
      <c r="L37" s="514">
        <f t="shared" si="2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8"/>
        <v/>
      </c>
      <c r="C38" s="507">
        <f>IF(D11="","-",+C37+1)</f>
        <v>2029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6"/>
        <v>0</v>
      </c>
      <c r="H38" s="491">
        <f t="shared" si="7"/>
        <v>0</v>
      </c>
      <c r="I38" s="511">
        <f t="shared" si="1"/>
        <v>0</v>
      </c>
      <c r="J38" s="511"/>
      <c r="K38" s="525"/>
      <c r="L38" s="514">
        <f t="shared" si="2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8"/>
        <v/>
      </c>
      <c r="C39" s="507">
        <f>IF(D11="","-",+C38+1)</f>
        <v>2030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6"/>
        <v>0</v>
      </c>
      <c r="H39" s="491">
        <f t="shared" si="7"/>
        <v>0</v>
      </c>
      <c r="I39" s="511">
        <f t="shared" si="1"/>
        <v>0</v>
      </c>
      <c r="J39" s="511"/>
      <c r="K39" s="525"/>
      <c r="L39" s="514">
        <f t="shared" si="2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8"/>
        <v/>
      </c>
      <c r="C40" s="507">
        <f>IF(D11="","-",+C39+1)</f>
        <v>2031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6"/>
        <v>0</v>
      </c>
      <c r="H40" s="491">
        <f t="shared" si="7"/>
        <v>0</v>
      </c>
      <c r="I40" s="511">
        <f t="shared" si="1"/>
        <v>0</v>
      </c>
      <c r="J40" s="511"/>
      <c r="K40" s="525"/>
      <c r="L40" s="514">
        <f t="shared" si="2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8"/>
        <v/>
      </c>
      <c r="C41" s="507">
        <f>IF(D11="","-",+C40+1)</f>
        <v>2032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6"/>
        <v>0</v>
      </c>
      <c r="H41" s="491">
        <f t="shared" si="7"/>
        <v>0</v>
      </c>
      <c r="I41" s="511">
        <f t="shared" si="1"/>
        <v>0</v>
      </c>
      <c r="J41" s="511"/>
      <c r="K41" s="525"/>
      <c r="L41" s="514">
        <f t="shared" si="2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8"/>
        <v/>
      </c>
      <c r="C42" s="507">
        <f>IF(D11="","-",+C41+1)</f>
        <v>2033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6"/>
        <v>0</v>
      </c>
      <c r="H42" s="491">
        <f t="shared" si="7"/>
        <v>0</v>
      </c>
      <c r="I42" s="511">
        <f t="shared" si="1"/>
        <v>0</v>
      </c>
      <c r="J42" s="511"/>
      <c r="K42" s="525"/>
      <c r="L42" s="514">
        <f t="shared" si="2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8"/>
        <v/>
      </c>
      <c r="C43" s="507">
        <f>IF(D11="","-",+C42+1)</f>
        <v>2034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6"/>
        <v>0</v>
      </c>
      <c r="H43" s="491">
        <f t="shared" si="7"/>
        <v>0</v>
      </c>
      <c r="I43" s="511">
        <f t="shared" si="1"/>
        <v>0</v>
      </c>
      <c r="J43" s="511"/>
      <c r="K43" s="525"/>
      <c r="L43" s="514">
        <f t="shared" si="2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8"/>
        <v/>
      </c>
      <c r="C44" s="507">
        <f>IF(D11="","-",+C43+1)</f>
        <v>2035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6"/>
        <v>0</v>
      </c>
      <c r="H44" s="491">
        <f t="shared" si="7"/>
        <v>0</v>
      </c>
      <c r="I44" s="511">
        <f t="shared" si="1"/>
        <v>0</v>
      </c>
      <c r="J44" s="511"/>
      <c r="K44" s="525"/>
      <c r="L44" s="514">
        <f t="shared" si="2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8"/>
        <v/>
      </c>
      <c r="C45" s="507">
        <f>IF(D11="","-",+C44+1)</f>
        <v>2036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6"/>
        <v>0</v>
      </c>
      <c r="H45" s="491">
        <f t="shared" si="7"/>
        <v>0</v>
      </c>
      <c r="I45" s="511">
        <f t="shared" si="1"/>
        <v>0</v>
      </c>
      <c r="J45" s="511"/>
      <c r="K45" s="525"/>
      <c r="L45" s="514">
        <f t="shared" si="2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8"/>
        <v/>
      </c>
      <c r="C46" s="507">
        <f>IF(D11="","-",+C45+1)</f>
        <v>2037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6"/>
        <v>0</v>
      </c>
      <c r="H46" s="491">
        <f t="shared" si="7"/>
        <v>0</v>
      </c>
      <c r="I46" s="511">
        <f t="shared" si="1"/>
        <v>0</v>
      </c>
      <c r="J46" s="511"/>
      <c r="K46" s="525"/>
      <c r="L46" s="514">
        <f t="shared" si="2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8"/>
        <v/>
      </c>
      <c r="C47" s="507">
        <f>IF(D11="","-",+C46+1)</f>
        <v>2038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6"/>
        <v>0</v>
      </c>
      <c r="H47" s="491">
        <f t="shared" si="7"/>
        <v>0</v>
      </c>
      <c r="I47" s="511">
        <f t="shared" si="1"/>
        <v>0</v>
      </c>
      <c r="J47" s="511"/>
      <c r="K47" s="525"/>
      <c r="L47" s="514">
        <f t="shared" si="2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8"/>
        <v/>
      </c>
      <c r="C48" s="507">
        <f>IF(D11="","-",+C47+1)</f>
        <v>2039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6"/>
        <v>0</v>
      </c>
      <c r="H48" s="491">
        <f t="shared" si="7"/>
        <v>0</v>
      </c>
      <c r="I48" s="511">
        <f t="shared" si="1"/>
        <v>0</v>
      </c>
      <c r="J48" s="511"/>
      <c r="K48" s="525"/>
      <c r="L48" s="514">
        <f t="shared" si="2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8"/>
        <v/>
      </c>
      <c r="C49" s="507">
        <f>IF(D11="","-",+C48+1)</f>
        <v>2040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si="6"/>
        <v>0</v>
      </c>
      <c r="H49" s="491">
        <f t="shared" si="7"/>
        <v>0</v>
      </c>
      <c r="I49" s="511">
        <f t="shared" ref="I49:I72" si="10">H49-G49</f>
        <v>0</v>
      </c>
      <c r="J49" s="511"/>
      <c r="K49" s="525"/>
      <c r="L49" s="514">
        <f t="shared" ref="L49:L72" si="11">IF(K49&lt;&gt;0,+G49-K49,0)</f>
        <v>0</v>
      </c>
      <c r="M49" s="525"/>
      <c r="N49" s="514">
        <f t="shared" ref="N49:N72" si="12">IF(M49&lt;&gt;0,+H49-M49,0)</f>
        <v>0</v>
      </c>
      <c r="O49" s="514">
        <f t="shared" ref="O49:O72" si="13">+N49-L49</f>
        <v>0</v>
      </c>
      <c r="P49" s="272"/>
    </row>
    <row r="50" spans="2:17" ht="12.5">
      <c r="B50" s="195" t="str">
        <f t="shared" si="8"/>
        <v/>
      </c>
      <c r="C50" s="507">
        <f>IF(D11="","-",+C49+1)</f>
        <v>2041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6"/>
        <v>0</v>
      </c>
      <c r="H50" s="491">
        <f t="shared" si="7"/>
        <v>0</v>
      </c>
      <c r="I50" s="511">
        <f t="shared" si="10"/>
        <v>0</v>
      </c>
      <c r="J50" s="511"/>
      <c r="K50" s="525"/>
      <c r="L50" s="514">
        <f t="shared" si="11"/>
        <v>0</v>
      </c>
      <c r="M50" s="525"/>
      <c r="N50" s="514">
        <f t="shared" si="12"/>
        <v>0</v>
      </c>
      <c r="O50" s="514">
        <f t="shared" si="13"/>
        <v>0</v>
      </c>
      <c r="P50" s="272"/>
    </row>
    <row r="51" spans="2:17" ht="12.5">
      <c r="B51" s="195" t="str">
        <f t="shared" si="8"/>
        <v/>
      </c>
      <c r="C51" s="507">
        <f>IF(D11="","-",+C50+1)</f>
        <v>2042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6"/>
        <v>0</v>
      </c>
      <c r="H51" s="491">
        <f t="shared" si="7"/>
        <v>0</v>
      </c>
      <c r="I51" s="511">
        <f t="shared" si="10"/>
        <v>0</v>
      </c>
      <c r="J51" s="511"/>
      <c r="K51" s="525"/>
      <c r="L51" s="514">
        <f t="shared" si="11"/>
        <v>0</v>
      </c>
      <c r="M51" s="525"/>
      <c r="N51" s="514">
        <f t="shared" si="12"/>
        <v>0</v>
      </c>
      <c r="O51" s="514">
        <f t="shared" si="13"/>
        <v>0</v>
      </c>
      <c r="P51" s="272"/>
    </row>
    <row r="52" spans="2:17" ht="12.5">
      <c r="B52" s="195" t="str">
        <f t="shared" si="8"/>
        <v/>
      </c>
      <c r="C52" s="507">
        <f>IF(D11="","-",+C51+1)</f>
        <v>2043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6"/>
        <v>0</v>
      </c>
      <c r="H52" s="491">
        <f t="shared" si="7"/>
        <v>0</v>
      </c>
      <c r="I52" s="511">
        <f t="shared" si="10"/>
        <v>0</v>
      </c>
      <c r="J52" s="511"/>
      <c r="K52" s="525"/>
      <c r="L52" s="514">
        <f t="shared" si="11"/>
        <v>0</v>
      </c>
      <c r="M52" s="525"/>
      <c r="N52" s="514">
        <f t="shared" si="12"/>
        <v>0</v>
      </c>
      <c r="O52" s="514">
        <f t="shared" si="13"/>
        <v>0</v>
      </c>
      <c r="P52" s="272"/>
    </row>
    <row r="53" spans="2:17" ht="12.5">
      <c r="B53" s="195" t="str">
        <f t="shared" si="8"/>
        <v/>
      </c>
      <c r="C53" s="507">
        <f>IF(D11="","-",+C52+1)</f>
        <v>2044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6"/>
        <v>0</v>
      </c>
      <c r="H53" s="491">
        <f t="shared" si="7"/>
        <v>0</v>
      </c>
      <c r="I53" s="511">
        <f t="shared" si="10"/>
        <v>0</v>
      </c>
      <c r="J53" s="511"/>
      <c r="K53" s="525"/>
      <c r="L53" s="514">
        <f t="shared" si="11"/>
        <v>0</v>
      </c>
      <c r="M53" s="525"/>
      <c r="N53" s="514">
        <f t="shared" si="12"/>
        <v>0</v>
      </c>
      <c r="O53" s="514">
        <f t="shared" si="13"/>
        <v>0</v>
      </c>
      <c r="P53" s="272"/>
    </row>
    <row r="54" spans="2:17" ht="12.5">
      <c r="B54" s="195" t="str">
        <f t="shared" si="8"/>
        <v/>
      </c>
      <c r="C54" s="507">
        <f>IF(D11="","-",+C53+1)</f>
        <v>2045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6"/>
        <v>0</v>
      </c>
      <c r="H54" s="491">
        <f t="shared" si="7"/>
        <v>0</v>
      </c>
      <c r="I54" s="511">
        <f t="shared" si="10"/>
        <v>0</v>
      </c>
      <c r="J54" s="511"/>
      <c r="K54" s="525"/>
      <c r="L54" s="514">
        <f t="shared" si="11"/>
        <v>0</v>
      </c>
      <c r="M54" s="525"/>
      <c r="N54" s="514">
        <f t="shared" si="12"/>
        <v>0</v>
      </c>
      <c r="O54" s="514">
        <f t="shared" si="13"/>
        <v>0</v>
      </c>
      <c r="P54" s="272"/>
    </row>
    <row r="55" spans="2:17" ht="12.5">
      <c r="B55" s="195" t="str">
        <f t="shared" si="8"/>
        <v/>
      </c>
      <c r="C55" s="507">
        <f>IF(D11="","-",+C54+1)</f>
        <v>2046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6"/>
        <v>0</v>
      </c>
      <c r="H55" s="491">
        <f t="shared" si="7"/>
        <v>0</v>
      </c>
      <c r="I55" s="511">
        <f t="shared" si="10"/>
        <v>0</v>
      </c>
      <c r="J55" s="511"/>
      <c r="K55" s="525"/>
      <c r="L55" s="514">
        <f t="shared" si="11"/>
        <v>0</v>
      </c>
      <c r="M55" s="525"/>
      <c r="N55" s="514">
        <f t="shared" si="12"/>
        <v>0</v>
      </c>
      <c r="O55" s="514">
        <f t="shared" si="13"/>
        <v>0</v>
      </c>
      <c r="P55" s="272"/>
    </row>
    <row r="56" spans="2:17" ht="12.5">
      <c r="B56" s="195" t="str">
        <f t="shared" si="8"/>
        <v/>
      </c>
      <c r="C56" s="507">
        <f>IF(D11="","-",+C55+1)</f>
        <v>2047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6"/>
        <v>0</v>
      </c>
      <c r="H56" s="491">
        <f t="shared" si="7"/>
        <v>0</v>
      </c>
      <c r="I56" s="511">
        <f t="shared" si="10"/>
        <v>0</v>
      </c>
      <c r="J56" s="511"/>
      <c r="K56" s="525"/>
      <c r="L56" s="514">
        <f t="shared" si="11"/>
        <v>0</v>
      </c>
      <c r="M56" s="525"/>
      <c r="N56" s="514">
        <f t="shared" si="12"/>
        <v>0</v>
      </c>
      <c r="O56" s="514">
        <f t="shared" si="13"/>
        <v>0</v>
      </c>
      <c r="P56" s="272"/>
    </row>
    <row r="57" spans="2:17" ht="12.5">
      <c r="B57" s="195" t="str">
        <f t="shared" si="8"/>
        <v/>
      </c>
      <c r="C57" s="507">
        <f>IF(D11="","-",+C56+1)</f>
        <v>2048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6"/>
        <v>0</v>
      </c>
      <c r="H57" s="491">
        <f t="shared" si="7"/>
        <v>0</v>
      </c>
      <c r="I57" s="511">
        <f t="shared" si="10"/>
        <v>0</v>
      </c>
      <c r="J57" s="511"/>
      <c r="K57" s="525"/>
      <c r="L57" s="514">
        <f t="shared" si="11"/>
        <v>0</v>
      </c>
      <c r="M57" s="525"/>
      <c r="N57" s="514">
        <f t="shared" si="12"/>
        <v>0</v>
      </c>
      <c r="O57" s="514">
        <f t="shared" si="13"/>
        <v>0</v>
      </c>
      <c r="P57" s="272"/>
    </row>
    <row r="58" spans="2:17" ht="12.5">
      <c r="B58" s="195" t="str">
        <f t="shared" si="8"/>
        <v/>
      </c>
      <c r="C58" s="507">
        <f>IF(D11="","-",+C57+1)</f>
        <v>2049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6"/>
        <v>0</v>
      </c>
      <c r="H58" s="491">
        <f t="shared" si="7"/>
        <v>0</v>
      </c>
      <c r="I58" s="511">
        <f t="shared" si="10"/>
        <v>0</v>
      </c>
      <c r="J58" s="511"/>
      <c r="K58" s="525"/>
      <c r="L58" s="514">
        <f t="shared" si="11"/>
        <v>0</v>
      </c>
      <c r="M58" s="525"/>
      <c r="N58" s="514">
        <f t="shared" si="12"/>
        <v>0</v>
      </c>
      <c r="O58" s="514">
        <f t="shared" si="13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8"/>
        <v/>
      </c>
      <c r="C59" s="507">
        <f>IF(D11="","-",+C58+1)</f>
        <v>2050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6"/>
        <v>0</v>
      </c>
      <c r="H59" s="491">
        <f t="shared" si="7"/>
        <v>0</v>
      </c>
      <c r="I59" s="511">
        <f t="shared" si="10"/>
        <v>0</v>
      </c>
      <c r="J59" s="511"/>
      <c r="K59" s="525"/>
      <c r="L59" s="514">
        <f t="shared" si="11"/>
        <v>0</v>
      </c>
      <c r="M59" s="525"/>
      <c r="N59" s="514">
        <f t="shared" si="12"/>
        <v>0</v>
      </c>
      <c r="O59" s="514">
        <f t="shared" si="13"/>
        <v>0</v>
      </c>
      <c r="P59" s="272"/>
    </row>
    <row r="60" spans="2:17" ht="12.5">
      <c r="B60" s="195" t="str">
        <f t="shared" si="8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6"/>
        <v>0</v>
      </c>
      <c r="H60" s="491">
        <f t="shared" si="7"/>
        <v>0</v>
      </c>
      <c r="I60" s="511">
        <f t="shared" si="10"/>
        <v>0</v>
      </c>
      <c r="J60" s="511"/>
      <c r="K60" s="525"/>
      <c r="L60" s="514">
        <f t="shared" si="11"/>
        <v>0</v>
      </c>
      <c r="M60" s="525"/>
      <c r="N60" s="514">
        <f t="shared" si="12"/>
        <v>0</v>
      </c>
      <c r="O60" s="514">
        <f t="shared" si="13"/>
        <v>0</v>
      </c>
      <c r="P60" s="272"/>
    </row>
    <row r="61" spans="2:17" ht="12.5">
      <c r="B61" s="195" t="str">
        <f t="shared" si="8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6"/>
        <v>0</v>
      </c>
      <c r="H61" s="491">
        <f t="shared" si="7"/>
        <v>0</v>
      </c>
      <c r="I61" s="511">
        <f t="shared" si="10"/>
        <v>0</v>
      </c>
      <c r="J61" s="511"/>
      <c r="K61" s="525"/>
      <c r="L61" s="514">
        <f t="shared" si="11"/>
        <v>0</v>
      </c>
      <c r="M61" s="525"/>
      <c r="N61" s="514">
        <f t="shared" si="12"/>
        <v>0</v>
      </c>
      <c r="O61" s="514">
        <f t="shared" si="13"/>
        <v>0</v>
      </c>
      <c r="P61" s="272"/>
    </row>
    <row r="62" spans="2:17" ht="12.5">
      <c r="B62" s="195" t="str">
        <f t="shared" si="8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6"/>
        <v>0</v>
      </c>
      <c r="H62" s="491">
        <f t="shared" si="7"/>
        <v>0</v>
      </c>
      <c r="I62" s="511">
        <f t="shared" si="10"/>
        <v>0</v>
      </c>
      <c r="J62" s="511"/>
      <c r="K62" s="525"/>
      <c r="L62" s="514">
        <f t="shared" si="11"/>
        <v>0</v>
      </c>
      <c r="M62" s="525"/>
      <c r="N62" s="514">
        <f t="shared" si="12"/>
        <v>0</v>
      </c>
      <c r="O62" s="514">
        <f t="shared" si="13"/>
        <v>0</v>
      </c>
      <c r="P62" s="272"/>
    </row>
    <row r="63" spans="2:17" ht="12.5">
      <c r="B63" s="195" t="str">
        <f t="shared" si="8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6"/>
        <v>0</v>
      </c>
      <c r="H63" s="491">
        <f t="shared" si="7"/>
        <v>0</v>
      </c>
      <c r="I63" s="511">
        <f t="shared" si="10"/>
        <v>0</v>
      </c>
      <c r="J63" s="511"/>
      <c r="K63" s="525"/>
      <c r="L63" s="514">
        <f t="shared" si="11"/>
        <v>0</v>
      </c>
      <c r="M63" s="525"/>
      <c r="N63" s="514">
        <f t="shared" si="12"/>
        <v>0</v>
      </c>
      <c r="O63" s="514">
        <f t="shared" si="13"/>
        <v>0</v>
      </c>
      <c r="P63" s="272"/>
    </row>
    <row r="64" spans="2:17" ht="12.5">
      <c r="B64" s="195" t="str">
        <f t="shared" si="8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6"/>
        <v>0</v>
      </c>
      <c r="H64" s="491">
        <f t="shared" si="7"/>
        <v>0</v>
      </c>
      <c r="I64" s="511">
        <f t="shared" si="10"/>
        <v>0</v>
      </c>
      <c r="J64" s="511"/>
      <c r="K64" s="525"/>
      <c r="L64" s="514">
        <f t="shared" si="11"/>
        <v>0</v>
      </c>
      <c r="M64" s="525"/>
      <c r="N64" s="514">
        <f t="shared" si="12"/>
        <v>0</v>
      </c>
      <c r="O64" s="514">
        <f t="shared" si="13"/>
        <v>0</v>
      </c>
      <c r="P64" s="272"/>
    </row>
    <row r="65" spans="1:16" ht="12.5">
      <c r="B65" s="195" t="str">
        <f t="shared" si="8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6"/>
        <v>0</v>
      </c>
      <c r="H65" s="491">
        <f t="shared" si="7"/>
        <v>0</v>
      </c>
      <c r="I65" s="511">
        <f t="shared" si="10"/>
        <v>0</v>
      </c>
      <c r="J65" s="511"/>
      <c r="K65" s="525"/>
      <c r="L65" s="514">
        <f t="shared" si="11"/>
        <v>0</v>
      </c>
      <c r="M65" s="525"/>
      <c r="N65" s="514">
        <f t="shared" si="12"/>
        <v>0</v>
      </c>
      <c r="O65" s="514">
        <f t="shared" si="13"/>
        <v>0</v>
      </c>
      <c r="P65" s="272"/>
    </row>
    <row r="66" spans="1:16" ht="12.5">
      <c r="B66" s="195" t="str">
        <f t="shared" si="8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6"/>
        <v>0</v>
      </c>
      <c r="H66" s="491">
        <f t="shared" si="7"/>
        <v>0</v>
      </c>
      <c r="I66" s="511">
        <f t="shared" si="10"/>
        <v>0</v>
      </c>
      <c r="J66" s="511"/>
      <c r="K66" s="525"/>
      <c r="L66" s="514">
        <f t="shared" si="11"/>
        <v>0</v>
      </c>
      <c r="M66" s="525"/>
      <c r="N66" s="514">
        <f t="shared" si="12"/>
        <v>0</v>
      </c>
      <c r="O66" s="514">
        <f t="shared" si="13"/>
        <v>0</v>
      </c>
      <c r="P66" s="272"/>
    </row>
    <row r="67" spans="1:16" ht="12.5">
      <c r="B67" s="195" t="str">
        <f t="shared" si="8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6"/>
        <v>0</v>
      </c>
      <c r="H67" s="491">
        <f t="shared" si="7"/>
        <v>0</v>
      </c>
      <c r="I67" s="511">
        <f t="shared" si="10"/>
        <v>0</v>
      </c>
      <c r="J67" s="511"/>
      <c r="K67" s="525"/>
      <c r="L67" s="514">
        <f t="shared" si="11"/>
        <v>0</v>
      </c>
      <c r="M67" s="525"/>
      <c r="N67" s="514">
        <f t="shared" si="12"/>
        <v>0</v>
      </c>
      <c r="O67" s="514">
        <f t="shared" si="13"/>
        <v>0</v>
      </c>
      <c r="P67" s="272"/>
    </row>
    <row r="68" spans="1:16" ht="12.5">
      <c r="B68" s="195" t="str">
        <f t="shared" si="8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6"/>
        <v>0</v>
      </c>
      <c r="H68" s="491">
        <f t="shared" si="7"/>
        <v>0</v>
      </c>
      <c r="I68" s="511">
        <f t="shared" si="10"/>
        <v>0</v>
      </c>
      <c r="J68" s="511"/>
      <c r="K68" s="525"/>
      <c r="L68" s="514">
        <f t="shared" si="11"/>
        <v>0</v>
      </c>
      <c r="M68" s="525"/>
      <c r="N68" s="514">
        <f t="shared" si="12"/>
        <v>0</v>
      </c>
      <c r="O68" s="514">
        <f t="shared" si="13"/>
        <v>0</v>
      </c>
      <c r="P68" s="272"/>
    </row>
    <row r="69" spans="1:16" ht="12.5">
      <c r="B69" s="195" t="str">
        <f t="shared" si="8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6"/>
        <v>0</v>
      </c>
      <c r="H69" s="491">
        <f t="shared" si="7"/>
        <v>0</v>
      </c>
      <c r="I69" s="511">
        <f t="shared" si="10"/>
        <v>0</v>
      </c>
      <c r="J69" s="511"/>
      <c r="K69" s="525"/>
      <c r="L69" s="514">
        <f t="shared" si="11"/>
        <v>0</v>
      </c>
      <c r="M69" s="525"/>
      <c r="N69" s="514">
        <f t="shared" si="12"/>
        <v>0</v>
      </c>
      <c r="O69" s="514">
        <f t="shared" si="13"/>
        <v>0</v>
      </c>
      <c r="P69" s="272"/>
    </row>
    <row r="70" spans="1:16" ht="12.5">
      <c r="B70" s="195" t="str">
        <f t="shared" si="8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6"/>
        <v>0</v>
      </c>
      <c r="H70" s="491">
        <f t="shared" si="7"/>
        <v>0</v>
      </c>
      <c r="I70" s="511">
        <f t="shared" si="10"/>
        <v>0</v>
      </c>
      <c r="J70" s="511"/>
      <c r="K70" s="525"/>
      <c r="L70" s="514">
        <f t="shared" si="11"/>
        <v>0</v>
      </c>
      <c r="M70" s="525"/>
      <c r="N70" s="514">
        <f t="shared" si="12"/>
        <v>0</v>
      </c>
      <c r="O70" s="514">
        <f t="shared" si="13"/>
        <v>0</v>
      </c>
      <c r="P70" s="272"/>
    </row>
    <row r="71" spans="1:16" ht="12.5">
      <c r="B71" s="195" t="str">
        <f t="shared" si="8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6"/>
        <v>0</v>
      </c>
      <c r="H71" s="491">
        <f t="shared" si="7"/>
        <v>0</v>
      </c>
      <c r="I71" s="511">
        <f t="shared" si="10"/>
        <v>0</v>
      </c>
      <c r="J71" s="511"/>
      <c r="K71" s="525"/>
      <c r="L71" s="514">
        <f t="shared" si="11"/>
        <v>0</v>
      </c>
      <c r="M71" s="525"/>
      <c r="N71" s="514">
        <f t="shared" si="12"/>
        <v>0</v>
      </c>
      <c r="O71" s="514">
        <f t="shared" si="13"/>
        <v>0</v>
      </c>
      <c r="P71" s="272"/>
    </row>
    <row r="72" spans="1:16" ht="13" thickBot="1">
      <c r="B72" s="195" t="str">
        <f t="shared" si="8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6"/>
        <v>0</v>
      </c>
      <c r="H72" s="471">
        <f t="shared" si="7"/>
        <v>0</v>
      </c>
      <c r="I72" s="531">
        <f t="shared" si="10"/>
        <v>0</v>
      </c>
      <c r="J72" s="511"/>
      <c r="K72" s="532"/>
      <c r="L72" s="533">
        <f t="shared" si="11"/>
        <v>0</v>
      </c>
      <c r="M72" s="532"/>
      <c r="N72" s="533">
        <f t="shared" si="12"/>
        <v>0</v>
      </c>
      <c r="O72" s="533">
        <f t="shared" si="13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10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Tontitown - Elm Springs REC 161 kV line***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TP2007103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4">+(F99+D99)/2</f>
        <v>0</v>
      </c>
      <c r="H99" s="604">
        <f t="shared" ref="H99:H112" si="15">+J$94*G99+E99</f>
        <v>0</v>
      </c>
      <c r="I99" s="605">
        <f t="shared" ref="I99:I112" si="16">+J$95*G99+E99</f>
        <v>0</v>
      </c>
      <c r="J99" s="514">
        <f t="shared" ref="J99:J130" si="17">+I99-H99</f>
        <v>0</v>
      </c>
      <c r="K99" s="514"/>
      <c r="L99" s="512">
        <v>0</v>
      </c>
      <c r="M99" s="513">
        <f t="shared" ref="M99:M130" si="18">IF(L99&lt;&gt;0,+H99-L99,0)</f>
        <v>0</v>
      </c>
      <c r="N99" s="512">
        <v>0</v>
      </c>
      <c r="O99" s="513">
        <f t="shared" ref="O99:O130" si="19">IF(N99&lt;&gt;0,+I99-N99,0)</f>
        <v>0</v>
      </c>
      <c r="P99" s="513">
        <f t="shared" ref="P99:P130" si="20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2009</v>
      </c>
      <c r="D100" s="374">
        <f t="shared" ref="D100:D109" si="21">F99</f>
        <v>0</v>
      </c>
      <c r="E100" s="522">
        <f>IF(+J96&lt;F99,J96,D100)</f>
        <v>0</v>
      </c>
      <c r="F100" s="523">
        <f t="shared" ref="F100:F130" si="22">+D100-E100</f>
        <v>0</v>
      </c>
      <c r="G100" s="523">
        <f t="shared" si="14"/>
        <v>0</v>
      </c>
      <c r="H100" s="526">
        <f t="shared" si="15"/>
        <v>0</v>
      </c>
      <c r="I100" s="577">
        <f t="shared" si="16"/>
        <v>0</v>
      </c>
      <c r="J100" s="514">
        <f t="shared" si="17"/>
        <v>0</v>
      </c>
      <c r="K100" s="514"/>
      <c r="L100" s="518">
        <v>0</v>
      </c>
      <c r="M100" s="514">
        <f t="shared" si="18"/>
        <v>0</v>
      </c>
      <c r="N100" s="518">
        <v>0</v>
      </c>
      <c r="O100" s="514">
        <f t="shared" si="19"/>
        <v>0</v>
      </c>
      <c r="P100" s="514">
        <f t="shared" si="20"/>
        <v>0</v>
      </c>
      <c r="Q100" s="269"/>
    </row>
    <row r="101" spans="1:17" ht="12.5">
      <c r="B101" s="195" t="str">
        <f t="shared" ref="B101:B154" si="23">IF(D101=F100,"","IU")</f>
        <v/>
      </c>
      <c r="C101" s="507">
        <f>IF(D93="","-",+C100+1)</f>
        <v>2010</v>
      </c>
      <c r="D101" s="374">
        <f t="shared" si="21"/>
        <v>0</v>
      </c>
      <c r="E101" s="522">
        <f>IF(+J96&lt;F100,J96,D101)</f>
        <v>0</v>
      </c>
      <c r="F101" s="523">
        <f t="shared" si="22"/>
        <v>0</v>
      </c>
      <c r="G101" s="523">
        <f t="shared" si="14"/>
        <v>0</v>
      </c>
      <c r="H101" s="526">
        <f t="shared" si="15"/>
        <v>0</v>
      </c>
      <c r="I101" s="577">
        <f t="shared" si="16"/>
        <v>0</v>
      </c>
      <c r="J101" s="514">
        <f t="shared" si="17"/>
        <v>0</v>
      </c>
      <c r="K101" s="514"/>
      <c r="L101" s="525"/>
      <c r="M101" s="514">
        <f t="shared" si="18"/>
        <v>0</v>
      </c>
      <c r="N101" s="525"/>
      <c r="O101" s="514">
        <f t="shared" si="19"/>
        <v>0</v>
      </c>
      <c r="P101" s="514">
        <f t="shared" si="20"/>
        <v>0</v>
      </c>
      <c r="Q101" s="269"/>
    </row>
    <row r="102" spans="1:17" ht="12.5">
      <c r="B102" s="195" t="str">
        <f t="shared" si="23"/>
        <v/>
      </c>
      <c r="C102" s="507">
        <f>IF(D93="","-",+C101+1)</f>
        <v>2011</v>
      </c>
      <c r="D102" s="374">
        <f t="shared" si="21"/>
        <v>0</v>
      </c>
      <c r="E102" s="522">
        <f>IF(+J96&lt;F101,J96,D102)</f>
        <v>0</v>
      </c>
      <c r="F102" s="523">
        <f t="shared" si="22"/>
        <v>0</v>
      </c>
      <c r="G102" s="523">
        <f t="shared" si="14"/>
        <v>0</v>
      </c>
      <c r="H102" s="526">
        <f t="shared" si="15"/>
        <v>0</v>
      </c>
      <c r="I102" s="577">
        <f t="shared" si="16"/>
        <v>0</v>
      </c>
      <c r="J102" s="514">
        <f t="shared" si="17"/>
        <v>0</v>
      </c>
      <c r="K102" s="514"/>
      <c r="L102" s="525"/>
      <c r="M102" s="514">
        <f t="shared" si="18"/>
        <v>0</v>
      </c>
      <c r="N102" s="525"/>
      <c r="O102" s="514">
        <f t="shared" si="19"/>
        <v>0</v>
      </c>
      <c r="P102" s="514">
        <f t="shared" si="20"/>
        <v>0</v>
      </c>
      <c r="Q102" s="269"/>
    </row>
    <row r="103" spans="1:17" ht="12.5">
      <c r="B103" s="195" t="str">
        <f t="shared" si="23"/>
        <v/>
      </c>
      <c r="C103" s="507">
        <f>IF(D93="","-",+C102+1)</f>
        <v>2012</v>
      </c>
      <c r="D103" s="374">
        <f t="shared" si="21"/>
        <v>0</v>
      </c>
      <c r="E103" s="522">
        <f>IF(+J96&lt;F102,J96,D103)</f>
        <v>0</v>
      </c>
      <c r="F103" s="523">
        <f t="shared" si="22"/>
        <v>0</v>
      </c>
      <c r="G103" s="523">
        <f t="shared" si="14"/>
        <v>0</v>
      </c>
      <c r="H103" s="526">
        <f t="shared" si="15"/>
        <v>0</v>
      </c>
      <c r="I103" s="577">
        <f t="shared" si="16"/>
        <v>0</v>
      </c>
      <c r="J103" s="514">
        <f t="shared" si="17"/>
        <v>0</v>
      </c>
      <c r="K103" s="514"/>
      <c r="L103" s="525"/>
      <c r="M103" s="514">
        <f t="shared" si="18"/>
        <v>0</v>
      </c>
      <c r="N103" s="525"/>
      <c r="O103" s="514">
        <f t="shared" si="19"/>
        <v>0</v>
      </c>
      <c r="P103" s="514">
        <f t="shared" si="20"/>
        <v>0</v>
      </c>
      <c r="Q103" s="269"/>
    </row>
    <row r="104" spans="1:17" ht="12.5">
      <c r="B104" s="195" t="str">
        <f t="shared" si="23"/>
        <v/>
      </c>
      <c r="C104" s="507">
        <f>IF(D93="","-",+C103+1)</f>
        <v>2013</v>
      </c>
      <c r="D104" s="374">
        <f t="shared" si="21"/>
        <v>0</v>
      </c>
      <c r="E104" s="522">
        <f>IF(+J96&lt;F103,J96,D104)</f>
        <v>0</v>
      </c>
      <c r="F104" s="523">
        <f t="shared" si="22"/>
        <v>0</v>
      </c>
      <c r="G104" s="523">
        <f t="shared" si="14"/>
        <v>0</v>
      </c>
      <c r="H104" s="526">
        <f t="shared" si="15"/>
        <v>0</v>
      </c>
      <c r="I104" s="577">
        <f t="shared" si="16"/>
        <v>0</v>
      </c>
      <c r="J104" s="514">
        <f t="shared" si="17"/>
        <v>0</v>
      </c>
      <c r="K104" s="514"/>
      <c r="L104" s="525"/>
      <c r="M104" s="514">
        <f t="shared" si="18"/>
        <v>0</v>
      </c>
      <c r="N104" s="525"/>
      <c r="O104" s="514">
        <f t="shared" si="19"/>
        <v>0</v>
      </c>
      <c r="P104" s="514">
        <f t="shared" si="20"/>
        <v>0</v>
      </c>
      <c r="Q104" s="269"/>
    </row>
    <row r="105" spans="1:17" ht="12.5">
      <c r="B105" s="195" t="str">
        <f t="shared" si="23"/>
        <v/>
      </c>
      <c r="C105" s="507">
        <f>IF(D93="","-",+C104+1)</f>
        <v>2014</v>
      </c>
      <c r="D105" s="374">
        <f t="shared" si="21"/>
        <v>0</v>
      </c>
      <c r="E105" s="522">
        <f>IF(+J96&lt;F104,J96,D105)</f>
        <v>0</v>
      </c>
      <c r="F105" s="523">
        <f t="shared" si="22"/>
        <v>0</v>
      </c>
      <c r="G105" s="523">
        <f t="shared" si="14"/>
        <v>0</v>
      </c>
      <c r="H105" s="526">
        <f t="shared" si="15"/>
        <v>0</v>
      </c>
      <c r="I105" s="577">
        <f t="shared" si="16"/>
        <v>0</v>
      </c>
      <c r="J105" s="514">
        <f t="shared" si="17"/>
        <v>0</v>
      </c>
      <c r="K105" s="514"/>
      <c r="L105" s="525"/>
      <c r="M105" s="514">
        <f t="shared" si="18"/>
        <v>0</v>
      </c>
      <c r="N105" s="525"/>
      <c r="O105" s="514">
        <f t="shared" si="19"/>
        <v>0</v>
      </c>
      <c r="P105" s="514">
        <f t="shared" si="20"/>
        <v>0</v>
      </c>
      <c r="Q105" s="269"/>
    </row>
    <row r="106" spans="1:17" ht="12.5">
      <c r="B106" s="195" t="str">
        <f t="shared" si="23"/>
        <v/>
      </c>
      <c r="C106" s="507">
        <f>IF(D93="","-",+C105+1)</f>
        <v>2015</v>
      </c>
      <c r="D106" s="374">
        <f t="shared" si="21"/>
        <v>0</v>
      </c>
      <c r="E106" s="522">
        <f>IF(+J96&lt;F105,J96,D106)</f>
        <v>0</v>
      </c>
      <c r="F106" s="523">
        <f t="shared" si="22"/>
        <v>0</v>
      </c>
      <c r="G106" s="523">
        <f t="shared" si="14"/>
        <v>0</v>
      </c>
      <c r="H106" s="526">
        <f t="shared" si="15"/>
        <v>0</v>
      </c>
      <c r="I106" s="577">
        <f t="shared" si="16"/>
        <v>0</v>
      </c>
      <c r="J106" s="514">
        <f t="shared" si="17"/>
        <v>0</v>
      </c>
      <c r="K106" s="514"/>
      <c r="L106" s="525"/>
      <c r="M106" s="514">
        <f t="shared" si="18"/>
        <v>0</v>
      </c>
      <c r="N106" s="525"/>
      <c r="O106" s="514">
        <f t="shared" si="19"/>
        <v>0</v>
      </c>
      <c r="P106" s="514">
        <f t="shared" si="20"/>
        <v>0</v>
      </c>
      <c r="Q106" s="269"/>
    </row>
    <row r="107" spans="1:17" ht="12.5">
      <c r="B107" s="195" t="str">
        <f t="shared" si="23"/>
        <v/>
      </c>
      <c r="C107" s="507">
        <f>IF(D93="","-",+C106+1)</f>
        <v>2016</v>
      </c>
      <c r="D107" s="374">
        <f t="shared" si="21"/>
        <v>0</v>
      </c>
      <c r="E107" s="522">
        <f>IF(+J96&lt;F106,J96,D107)</f>
        <v>0</v>
      </c>
      <c r="F107" s="523">
        <f t="shared" si="22"/>
        <v>0</v>
      </c>
      <c r="G107" s="523">
        <f t="shared" si="14"/>
        <v>0</v>
      </c>
      <c r="H107" s="526">
        <f t="shared" si="15"/>
        <v>0</v>
      </c>
      <c r="I107" s="577">
        <f t="shared" si="16"/>
        <v>0</v>
      </c>
      <c r="J107" s="514">
        <f t="shared" si="17"/>
        <v>0</v>
      </c>
      <c r="K107" s="514"/>
      <c r="L107" s="525"/>
      <c r="M107" s="514">
        <f t="shared" si="18"/>
        <v>0</v>
      </c>
      <c r="N107" s="525"/>
      <c r="O107" s="514">
        <f t="shared" si="19"/>
        <v>0</v>
      </c>
      <c r="P107" s="514">
        <f t="shared" si="20"/>
        <v>0</v>
      </c>
      <c r="Q107" s="269"/>
    </row>
    <row r="108" spans="1:17" ht="12.5">
      <c r="B108" s="195" t="str">
        <f t="shared" si="23"/>
        <v/>
      </c>
      <c r="C108" s="507">
        <f>IF(D93="","-",+C107+1)</f>
        <v>2017</v>
      </c>
      <c r="D108" s="374">
        <f t="shared" si="21"/>
        <v>0</v>
      </c>
      <c r="E108" s="522">
        <f>IF(+J96&lt;F107,J96,D108)</f>
        <v>0</v>
      </c>
      <c r="F108" s="523">
        <f t="shared" si="22"/>
        <v>0</v>
      </c>
      <c r="G108" s="523">
        <f t="shared" si="14"/>
        <v>0</v>
      </c>
      <c r="H108" s="526">
        <f t="shared" si="15"/>
        <v>0</v>
      </c>
      <c r="I108" s="577">
        <f t="shared" si="16"/>
        <v>0</v>
      </c>
      <c r="J108" s="514">
        <f t="shared" si="17"/>
        <v>0</v>
      </c>
      <c r="K108" s="514"/>
      <c r="L108" s="525"/>
      <c r="M108" s="514">
        <f t="shared" si="18"/>
        <v>0</v>
      </c>
      <c r="N108" s="525"/>
      <c r="O108" s="514">
        <f t="shared" si="19"/>
        <v>0</v>
      </c>
      <c r="P108" s="514">
        <f t="shared" si="20"/>
        <v>0</v>
      </c>
      <c r="Q108" s="269"/>
    </row>
    <row r="109" spans="1:17" ht="12.5">
      <c r="B109" s="195" t="str">
        <f t="shared" si="23"/>
        <v/>
      </c>
      <c r="C109" s="507">
        <f>IF(D93="","-",+C108+1)</f>
        <v>2018</v>
      </c>
      <c r="D109" s="374">
        <f t="shared" si="21"/>
        <v>0</v>
      </c>
      <c r="E109" s="522">
        <f>IF(+J96&lt;F108,J96,D109)</f>
        <v>0</v>
      </c>
      <c r="F109" s="523">
        <f t="shared" si="22"/>
        <v>0</v>
      </c>
      <c r="G109" s="523">
        <f t="shared" si="14"/>
        <v>0</v>
      </c>
      <c r="H109" s="526">
        <f t="shared" si="15"/>
        <v>0</v>
      </c>
      <c r="I109" s="577">
        <f t="shared" si="16"/>
        <v>0</v>
      </c>
      <c r="J109" s="514">
        <f t="shared" si="17"/>
        <v>0</v>
      </c>
      <c r="K109" s="514"/>
      <c r="L109" s="525"/>
      <c r="M109" s="514">
        <f t="shared" si="18"/>
        <v>0</v>
      </c>
      <c r="N109" s="525"/>
      <c r="O109" s="514">
        <f t="shared" si="19"/>
        <v>0</v>
      </c>
      <c r="P109" s="514">
        <f t="shared" si="20"/>
        <v>0</v>
      </c>
      <c r="Q109" s="269"/>
    </row>
    <row r="110" spans="1:17" ht="12.5">
      <c r="B110" s="195" t="str">
        <f t="shared" si="23"/>
        <v/>
      </c>
      <c r="C110" s="507">
        <f>IF(D93="","-",+C109+1)</f>
        <v>2019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2"/>
        <v>0</v>
      </c>
      <c r="G110" s="523">
        <f t="shared" si="14"/>
        <v>0</v>
      </c>
      <c r="H110" s="526">
        <f t="shared" si="15"/>
        <v>0</v>
      </c>
      <c r="I110" s="577">
        <f t="shared" si="16"/>
        <v>0</v>
      </c>
      <c r="J110" s="514">
        <f t="shared" si="17"/>
        <v>0</v>
      </c>
      <c r="K110" s="514"/>
      <c r="L110" s="525"/>
      <c r="M110" s="514">
        <f t="shared" si="18"/>
        <v>0</v>
      </c>
      <c r="N110" s="525"/>
      <c r="O110" s="514">
        <f t="shared" si="19"/>
        <v>0</v>
      </c>
      <c r="P110" s="514">
        <f t="shared" si="20"/>
        <v>0</v>
      </c>
      <c r="Q110" s="269"/>
    </row>
    <row r="111" spans="1:17" ht="12.5">
      <c r="B111" s="195" t="str">
        <f t="shared" si="23"/>
        <v/>
      </c>
      <c r="C111" s="507">
        <f>IF(D93="","-",+C110+1)</f>
        <v>2020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2"/>
        <v>0</v>
      </c>
      <c r="G111" s="523">
        <f t="shared" si="14"/>
        <v>0</v>
      </c>
      <c r="H111" s="526">
        <f t="shared" si="15"/>
        <v>0</v>
      </c>
      <c r="I111" s="577">
        <f t="shared" si="16"/>
        <v>0</v>
      </c>
      <c r="J111" s="514">
        <f t="shared" si="17"/>
        <v>0</v>
      </c>
      <c r="K111" s="514"/>
      <c r="L111" s="525"/>
      <c r="M111" s="514">
        <f t="shared" si="18"/>
        <v>0</v>
      </c>
      <c r="N111" s="525"/>
      <c r="O111" s="514">
        <f t="shared" si="19"/>
        <v>0</v>
      </c>
      <c r="P111" s="514">
        <f t="shared" si="20"/>
        <v>0</v>
      </c>
      <c r="Q111" s="269"/>
    </row>
    <row r="112" spans="1:17" ht="12.5">
      <c r="B112" s="195" t="str">
        <f t="shared" si="23"/>
        <v/>
      </c>
      <c r="C112" s="507">
        <f>IF(D93="","-",+C111+1)</f>
        <v>2021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2"/>
        <v>0</v>
      </c>
      <c r="G112" s="523">
        <f t="shared" si="14"/>
        <v>0</v>
      </c>
      <c r="H112" s="526">
        <f t="shared" si="15"/>
        <v>0</v>
      </c>
      <c r="I112" s="577">
        <f t="shared" si="16"/>
        <v>0</v>
      </c>
      <c r="J112" s="514">
        <f t="shared" si="17"/>
        <v>0</v>
      </c>
      <c r="K112" s="514"/>
      <c r="L112" s="525"/>
      <c r="M112" s="514">
        <f t="shared" si="18"/>
        <v>0</v>
      </c>
      <c r="N112" s="525"/>
      <c r="O112" s="514">
        <f t="shared" si="19"/>
        <v>0</v>
      </c>
      <c r="P112" s="514">
        <f t="shared" si="20"/>
        <v>0</v>
      </c>
      <c r="Q112" s="269"/>
    </row>
    <row r="113" spans="2:17" ht="12.5">
      <c r="B113" s="195" t="str">
        <f t="shared" si="23"/>
        <v/>
      </c>
      <c r="C113" s="507">
        <f>IF(D93="","-",+C112+1)</f>
        <v>2022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2"/>
        <v>0</v>
      </c>
      <c r="G113" s="523">
        <f t="shared" si="14"/>
        <v>0</v>
      </c>
      <c r="H113" s="526">
        <f t="shared" ref="H113:H154" si="24">+J$94*G113+E113</f>
        <v>0</v>
      </c>
      <c r="I113" s="577">
        <f t="shared" ref="I113:I154" si="25">+J$95*G113+E113</f>
        <v>0</v>
      </c>
      <c r="J113" s="514">
        <f t="shared" si="17"/>
        <v>0</v>
      </c>
      <c r="K113" s="514"/>
      <c r="L113" s="525"/>
      <c r="M113" s="514">
        <f t="shared" si="18"/>
        <v>0</v>
      </c>
      <c r="N113" s="525"/>
      <c r="O113" s="514">
        <f t="shared" si="19"/>
        <v>0</v>
      </c>
      <c r="P113" s="514">
        <f t="shared" si="20"/>
        <v>0</v>
      </c>
      <c r="Q113" s="269"/>
    </row>
    <row r="114" spans="2:17" ht="12.5">
      <c r="B114" s="195" t="str">
        <f t="shared" si="23"/>
        <v/>
      </c>
      <c r="C114" s="507">
        <f>IF(D93="","-",+C113+1)</f>
        <v>2023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2"/>
        <v>0</v>
      </c>
      <c r="G114" s="523">
        <f t="shared" si="14"/>
        <v>0</v>
      </c>
      <c r="H114" s="526">
        <f t="shared" si="24"/>
        <v>0</v>
      </c>
      <c r="I114" s="577">
        <f t="shared" si="25"/>
        <v>0</v>
      </c>
      <c r="J114" s="514">
        <f t="shared" si="17"/>
        <v>0</v>
      </c>
      <c r="K114" s="514"/>
      <c r="L114" s="525"/>
      <c r="M114" s="514">
        <f t="shared" si="18"/>
        <v>0</v>
      </c>
      <c r="N114" s="525"/>
      <c r="O114" s="514">
        <f t="shared" si="19"/>
        <v>0</v>
      </c>
      <c r="P114" s="514">
        <f t="shared" si="20"/>
        <v>0</v>
      </c>
      <c r="Q114" s="269"/>
    </row>
    <row r="115" spans="2:17" ht="12.5">
      <c r="B115" s="195" t="str">
        <f t="shared" si="23"/>
        <v/>
      </c>
      <c r="C115" s="507">
        <f>IF(D93="","-",+C114+1)</f>
        <v>2024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2"/>
        <v>0</v>
      </c>
      <c r="G115" s="523">
        <f t="shared" si="14"/>
        <v>0</v>
      </c>
      <c r="H115" s="526">
        <f t="shared" si="24"/>
        <v>0</v>
      </c>
      <c r="I115" s="577">
        <f t="shared" si="25"/>
        <v>0</v>
      </c>
      <c r="J115" s="514">
        <f t="shared" si="17"/>
        <v>0</v>
      </c>
      <c r="K115" s="514"/>
      <c r="L115" s="525"/>
      <c r="M115" s="514">
        <f t="shared" si="18"/>
        <v>0</v>
      </c>
      <c r="N115" s="525"/>
      <c r="O115" s="514">
        <f t="shared" si="19"/>
        <v>0</v>
      </c>
      <c r="P115" s="514">
        <f t="shared" si="20"/>
        <v>0</v>
      </c>
      <c r="Q115" s="269"/>
    </row>
    <row r="116" spans="2:17" ht="12.5">
      <c r="B116" s="195" t="str">
        <f t="shared" si="23"/>
        <v/>
      </c>
      <c r="C116" s="507">
        <f>IF(D93="","-",+C115+1)</f>
        <v>2025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2"/>
        <v>0</v>
      </c>
      <c r="G116" s="523">
        <f t="shared" si="14"/>
        <v>0</v>
      </c>
      <c r="H116" s="526">
        <f t="shared" si="24"/>
        <v>0</v>
      </c>
      <c r="I116" s="577">
        <f t="shared" si="25"/>
        <v>0</v>
      </c>
      <c r="J116" s="514">
        <f t="shared" si="17"/>
        <v>0</v>
      </c>
      <c r="K116" s="514"/>
      <c r="L116" s="525"/>
      <c r="M116" s="514">
        <f t="shared" si="18"/>
        <v>0</v>
      </c>
      <c r="N116" s="525"/>
      <c r="O116" s="514">
        <f t="shared" si="19"/>
        <v>0</v>
      </c>
      <c r="P116" s="514">
        <f t="shared" si="20"/>
        <v>0</v>
      </c>
      <c r="Q116" s="269"/>
    </row>
    <row r="117" spans="2:17" ht="12.5">
      <c r="B117" s="195" t="str">
        <f t="shared" si="23"/>
        <v/>
      </c>
      <c r="C117" s="507">
        <f>IF(D93="","-",+C116+1)</f>
        <v>2026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2"/>
        <v>0</v>
      </c>
      <c r="G117" s="523">
        <f t="shared" si="14"/>
        <v>0</v>
      </c>
      <c r="H117" s="526">
        <f t="shared" si="24"/>
        <v>0</v>
      </c>
      <c r="I117" s="577">
        <f t="shared" si="25"/>
        <v>0</v>
      </c>
      <c r="J117" s="514">
        <f t="shared" si="17"/>
        <v>0</v>
      </c>
      <c r="K117" s="514"/>
      <c r="L117" s="525"/>
      <c r="M117" s="514">
        <f t="shared" si="18"/>
        <v>0</v>
      </c>
      <c r="N117" s="525"/>
      <c r="O117" s="514">
        <f t="shared" si="19"/>
        <v>0</v>
      </c>
      <c r="P117" s="514">
        <f t="shared" si="20"/>
        <v>0</v>
      </c>
      <c r="Q117" s="269"/>
    </row>
    <row r="118" spans="2:17" ht="12.5">
      <c r="B118" s="195" t="str">
        <f t="shared" si="23"/>
        <v/>
      </c>
      <c r="C118" s="507">
        <f>IF(D93="","-",+C117+1)</f>
        <v>2027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2"/>
        <v>0</v>
      </c>
      <c r="G118" s="523">
        <f t="shared" si="14"/>
        <v>0</v>
      </c>
      <c r="H118" s="526">
        <f t="shared" si="24"/>
        <v>0</v>
      </c>
      <c r="I118" s="577">
        <f t="shared" si="25"/>
        <v>0</v>
      </c>
      <c r="J118" s="514">
        <f t="shared" si="17"/>
        <v>0</v>
      </c>
      <c r="K118" s="514"/>
      <c r="L118" s="525"/>
      <c r="M118" s="514">
        <f t="shared" si="18"/>
        <v>0</v>
      </c>
      <c r="N118" s="525"/>
      <c r="O118" s="514">
        <f t="shared" si="19"/>
        <v>0</v>
      </c>
      <c r="P118" s="514">
        <f t="shared" si="20"/>
        <v>0</v>
      </c>
      <c r="Q118" s="269"/>
    </row>
    <row r="119" spans="2:17" ht="12.5">
      <c r="B119" s="195" t="str">
        <f t="shared" si="23"/>
        <v/>
      </c>
      <c r="C119" s="507">
        <f>IF(D93="","-",+C118+1)</f>
        <v>2028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2"/>
        <v>0</v>
      </c>
      <c r="G119" s="523">
        <f t="shared" si="14"/>
        <v>0</v>
      </c>
      <c r="H119" s="526">
        <f t="shared" si="24"/>
        <v>0</v>
      </c>
      <c r="I119" s="577">
        <f t="shared" si="25"/>
        <v>0</v>
      </c>
      <c r="J119" s="514">
        <f t="shared" si="17"/>
        <v>0</v>
      </c>
      <c r="K119" s="514"/>
      <c r="L119" s="525"/>
      <c r="M119" s="514">
        <f t="shared" si="18"/>
        <v>0</v>
      </c>
      <c r="N119" s="525"/>
      <c r="O119" s="514">
        <f t="shared" si="19"/>
        <v>0</v>
      </c>
      <c r="P119" s="514">
        <f t="shared" si="20"/>
        <v>0</v>
      </c>
      <c r="Q119" s="269"/>
    </row>
    <row r="120" spans="2:17" ht="12.5">
      <c r="B120" s="195" t="str">
        <f t="shared" si="23"/>
        <v/>
      </c>
      <c r="C120" s="507">
        <f>IF(D93="","-",+C119+1)</f>
        <v>2029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2"/>
        <v>0</v>
      </c>
      <c r="G120" s="523">
        <f t="shared" si="14"/>
        <v>0</v>
      </c>
      <c r="H120" s="526">
        <f t="shared" si="24"/>
        <v>0</v>
      </c>
      <c r="I120" s="577">
        <f t="shared" si="25"/>
        <v>0</v>
      </c>
      <c r="J120" s="514">
        <f t="shared" si="17"/>
        <v>0</v>
      </c>
      <c r="K120" s="514"/>
      <c r="L120" s="525"/>
      <c r="M120" s="514">
        <f t="shared" si="18"/>
        <v>0</v>
      </c>
      <c r="N120" s="525"/>
      <c r="O120" s="514">
        <f t="shared" si="19"/>
        <v>0</v>
      </c>
      <c r="P120" s="514">
        <f t="shared" si="20"/>
        <v>0</v>
      </c>
      <c r="Q120" s="269"/>
    </row>
    <row r="121" spans="2:17" ht="12.5">
      <c r="B121" s="195" t="str">
        <f t="shared" si="23"/>
        <v/>
      </c>
      <c r="C121" s="507">
        <f>IF(D93="","-",+C120+1)</f>
        <v>2030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2"/>
        <v>0</v>
      </c>
      <c r="G121" s="523">
        <f t="shared" si="14"/>
        <v>0</v>
      </c>
      <c r="H121" s="526">
        <f t="shared" si="24"/>
        <v>0</v>
      </c>
      <c r="I121" s="577">
        <f t="shared" si="25"/>
        <v>0</v>
      </c>
      <c r="J121" s="514">
        <f t="shared" si="17"/>
        <v>0</v>
      </c>
      <c r="K121" s="514"/>
      <c r="L121" s="525"/>
      <c r="M121" s="514">
        <f t="shared" si="18"/>
        <v>0</v>
      </c>
      <c r="N121" s="525"/>
      <c r="O121" s="514">
        <f t="shared" si="19"/>
        <v>0</v>
      </c>
      <c r="P121" s="514">
        <f t="shared" si="20"/>
        <v>0</v>
      </c>
      <c r="Q121" s="269"/>
    </row>
    <row r="122" spans="2:17" ht="12.5">
      <c r="B122" s="195" t="str">
        <f t="shared" si="23"/>
        <v/>
      </c>
      <c r="C122" s="507">
        <f>IF(D93="","-",+C121+1)</f>
        <v>2031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2"/>
        <v>0</v>
      </c>
      <c r="G122" s="523">
        <f t="shared" si="14"/>
        <v>0</v>
      </c>
      <c r="H122" s="526">
        <f t="shared" si="24"/>
        <v>0</v>
      </c>
      <c r="I122" s="577">
        <f t="shared" si="25"/>
        <v>0</v>
      </c>
      <c r="J122" s="514">
        <f t="shared" si="17"/>
        <v>0</v>
      </c>
      <c r="K122" s="514"/>
      <c r="L122" s="525"/>
      <c r="M122" s="514">
        <f t="shared" si="18"/>
        <v>0</v>
      </c>
      <c r="N122" s="525"/>
      <c r="O122" s="514">
        <f t="shared" si="19"/>
        <v>0</v>
      </c>
      <c r="P122" s="514">
        <f t="shared" si="20"/>
        <v>0</v>
      </c>
      <c r="Q122" s="269"/>
    </row>
    <row r="123" spans="2:17" ht="12.5">
      <c r="B123" s="195" t="str">
        <f t="shared" si="23"/>
        <v/>
      </c>
      <c r="C123" s="507">
        <f>IF(D93="","-",+C122+1)</f>
        <v>2032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2"/>
        <v>0</v>
      </c>
      <c r="G123" s="523">
        <f t="shared" si="14"/>
        <v>0</v>
      </c>
      <c r="H123" s="526">
        <f t="shared" si="24"/>
        <v>0</v>
      </c>
      <c r="I123" s="577">
        <f t="shared" si="25"/>
        <v>0</v>
      </c>
      <c r="J123" s="514">
        <f t="shared" si="17"/>
        <v>0</v>
      </c>
      <c r="K123" s="514"/>
      <c r="L123" s="525"/>
      <c r="M123" s="514">
        <f t="shared" si="18"/>
        <v>0</v>
      </c>
      <c r="N123" s="525"/>
      <c r="O123" s="514">
        <f t="shared" si="19"/>
        <v>0</v>
      </c>
      <c r="P123" s="514">
        <f t="shared" si="20"/>
        <v>0</v>
      </c>
      <c r="Q123" s="269"/>
    </row>
    <row r="124" spans="2:17" ht="12.5">
      <c r="B124" s="195" t="str">
        <f t="shared" si="23"/>
        <v/>
      </c>
      <c r="C124" s="507">
        <f>IF(D93="","-",+C123+1)</f>
        <v>2033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2"/>
        <v>0</v>
      </c>
      <c r="G124" s="523">
        <f t="shared" si="14"/>
        <v>0</v>
      </c>
      <c r="H124" s="526">
        <f t="shared" si="24"/>
        <v>0</v>
      </c>
      <c r="I124" s="577">
        <f t="shared" si="25"/>
        <v>0</v>
      </c>
      <c r="J124" s="514">
        <f t="shared" si="17"/>
        <v>0</v>
      </c>
      <c r="K124" s="514"/>
      <c r="L124" s="525"/>
      <c r="M124" s="514">
        <f t="shared" si="18"/>
        <v>0</v>
      </c>
      <c r="N124" s="525"/>
      <c r="O124" s="514">
        <f t="shared" si="19"/>
        <v>0</v>
      </c>
      <c r="P124" s="514">
        <f t="shared" si="20"/>
        <v>0</v>
      </c>
      <c r="Q124" s="269"/>
    </row>
    <row r="125" spans="2:17" ht="12.5">
      <c r="B125" s="195" t="str">
        <f t="shared" si="23"/>
        <v/>
      </c>
      <c r="C125" s="507">
        <f>IF(D93="","-",+C124+1)</f>
        <v>2034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2"/>
        <v>0</v>
      </c>
      <c r="G125" s="523">
        <f t="shared" si="14"/>
        <v>0</v>
      </c>
      <c r="H125" s="526">
        <f t="shared" si="24"/>
        <v>0</v>
      </c>
      <c r="I125" s="577">
        <f t="shared" si="25"/>
        <v>0</v>
      </c>
      <c r="J125" s="514">
        <f t="shared" si="17"/>
        <v>0</v>
      </c>
      <c r="K125" s="514"/>
      <c r="L125" s="525"/>
      <c r="M125" s="514">
        <f t="shared" si="18"/>
        <v>0</v>
      </c>
      <c r="N125" s="525"/>
      <c r="O125" s="514">
        <f t="shared" si="19"/>
        <v>0</v>
      </c>
      <c r="P125" s="514">
        <f t="shared" si="20"/>
        <v>0</v>
      </c>
      <c r="Q125" s="269"/>
    </row>
    <row r="126" spans="2:17" ht="12.5">
      <c r="B126" s="195" t="str">
        <f t="shared" si="23"/>
        <v/>
      </c>
      <c r="C126" s="507">
        <f>IF(D93="","-",+C125+1)</f>
        <v>2035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2"/>
        <v>0</v>
      </c>
      <c r="G126" s="523">
        <f t="shared" si="14"/>
        <v>0</v>
      </c>
      <c r="H126" s="526">
        <f t="shared" si="24"/>
        <v>0</v>
      </c>
      <c r="I126" s="577">
        <f t="shared" si="25"/>
        <v>0</v>
      </c>
      <c r="J126" s="514">
        <f t="shared" si="17"/>
        <v>0</v>
      </c>
      <c r="K126" s="514"/>
      <c r="L126" s="525"/>
      <c r="M126" s="514">
        <f t="shared" si="18"/>
        <v>0</v>
      </c>
      <c r="N126" s="525"/>
      <c r="O126" s="514">
        <f t="shared" si="19"/>
        <v>0</v>
      </c>
      <c r="P126" s="514">
        <f t="shared" si="20"/>
        <v>0</v>
      </c>
      <c r="Q126" s="269"/>
    </row>
    <row r="127" spans="2:17" ht="12.5">
      <c r="B127" s="195" t="str">
        <f t="shared" si="23"/>
        <v/>
      </c>
      <c r="C127" s="507">
        <f>IF(D93="","-",+C126+1)</f>
        <v>2036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2"/>
        <v>0</v>
      </c>
      <c r="G127" s="523">
        <f t="shared" si="14"/>
        <v>0</v>
      </c>
      <c r="H127" s="526">
        <f t="shared" si="24"/>
        <v>0</v>
      </c>
      <c r="I127" s="577">
        <f t="shared" si="25"/>
        <v>0</v>
      </c>
      <c r="J127" s="514">
        <f t="shared" si="17"/>
        <v>0</v>
      </c>
      <c r="K127" s="514"/>
      <c r="L127" s="525"/>
      <c r="M127" s="514">
        <f t="shared" si="18"/>
        <v>0</v>
      </c>
      <c r="N127" s="525"/>
      <c r="O127" s="514">
        <f t="shared" si="19"/>
        <v>0</v>
      </c>
      <c r="P127" s="514">
        <f t="shared" si="20"/>
        <v>0</v>
      </c>
      <c r="Q127" s="269"/>
    </row>
    <row r="128" spans="2:17" ht="12.5">
      <c r="B128" s="195" t="str">
        <f t="shared" si="23"/>
        <v/>
      </c>
      <c r="C128" s="507">
        <f>IF(D93="","-",+C127+1)</f>
        <v>2037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2"/>
        <v>0</v>
      </c>
      <c r="G128" s="523">
        <f t="shared" si="14"/>
        <v>0</v>
      </c>
      <c r="H128" s="526">
        <f t="shared" si="24"/>
        <v>0</v>
      </c>
      <c r="I128" s="577">
        <f t="shared" si="25"/>
        <v>0</v>
      </c>
      <c r="J128" s="514">
        <f t="shared" si="17"/>
        <v>0</v>
      </c>
      <c r="K128" s="514"/>
      <c r="L128" s="525"/>
      <c r="M128" s="514">
        <f t="shared" si="18"/>
        <v>0</v>
      </c>
      <c r="N128" s="525"/>
      <c r="O128" s="514">
        <f t="shared" si="19"/>
        <v>0</v>
      </c>
      <c r="P128" s="514">
        <f t="shared" si="20"/>
        <v>0</v>
      </c>
      <c r="Q128" s="269"/>
    </row>
    <row r="129" spans="2:17" ht="12.5">
      <c r="B129" s="195" t="str">
        <f t="shared" si="23"/>
        <v/>
      </c>
      <c r="C129" s="507">
        <f>IF(D93="","-",+C128+1)</f>
        <v>2038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2"/>
        <v>0</v>
      </c>
      <c r="G129" s="523">
        <f t="shared" si="14"/>
        <v>0</v>
      </c>
      <c r="H129" s="526">
        <f t="shared" si="24"/>
        <v>0</v>
      </c>
      <c r="I129" s="577">
        <f t="shared" si="25"/>
        <v>0</v>
      </c>
      <c r="J129" s="514">
        <f t="shared" si="17"/>
        <v>0</v>
      </c>
      <c r="K129" s="514"/>
      <c r="L129" s="525"/>
      <c r="M129" s="514">
        <f t="shared" si="18"/>
        <v>0</v>
      </c>
      <c r="N129" s="525"/>
      <c r="O129" s="514">
        <f t="shared" si="19"/>
        <v>0</v>
      </c>
      <c r="P129" s="514">
        <f t="shared" si="20"/>
        <v>0</v>
      </c>
      <c r="Q129" s="269"/>
    </row>
    <row r="130" spans="2:17" ht="12.5">
      <c r="B130" s="195" t="str">
        <f t="shared" si="23"/>
        <v/>
      </c>
      <c r="C130" s="507">
        <f>IF(D93="","-",+C129+1)</f>
        <v>2039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2"/>
        <v>0</v>
      </c>
      <c r="G130" s="523">
        <f t="shared" si="14"/>
        <v>0</v>
      </c>
      <c r="H130" s="526">
        <f t="shared" si="24"/>
        <v>0</v>
      </c>
      <c r="I130" s="577">
        <f t="shared" si="25"/>
        <v>0</v>
      </c>
      <c r="J130" s="514">
        <f t="shared" si="17"/>
        <v>0</v>
      </c>
      <c r="K130" s="514"/>
      <c r="L130" s="525"/>
      <c r="M130" s="514">
        <f t="shared" si="18"/>
        <v>0</v>
      </c>
      <c r="N130" s="525"/>
      <c r="O130" s="514">
        <f t="shared" si="19"/>
        <v>0</v>
      </c>
      <c r="P130" s="514">
        <f t="shared" si="20"/>
        <v>0</v>
      </c>
      <c r="Q130" s="269"/>
    </row>
    <row r="131" spans="2:17" ht="12.5">
      <c r="B131" s="195" t="str">
        <f t="shared" si="23"/>
        <v/>
      </c>
      <c r="C131" s="507">
        <f>IF(D93="","-",+C130+1)</f>
        <v>2040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6">+D131-E131</f>
        <v>0</v>
      </c>
      <c r="G131" s="523">
        <f t="shared" ref="G131:G154" si="27">+(F131+D131)/2</f>
        <v>0</v>
      </c>
      <c r="H131" s="526">
        <f t="shared" si="24"/>
        <v>0</v>
      </c>
      <c r="I131" s="577">
        <f t="shared" si="25"/>
        <v>0</v>
      </c>
      <c r="J131" s="514">
        <f t="shared" ref="J131:J154" si="28">+I131-H131</f>
        <v>0</v>
      </c>
      <c r="K131" s="514"/>
      <c r="L131" s="525"/>
      <c r="M131" s="514">
        <f t="shared" ref="M131:M154" si="29">IF(L131&lt;&gt;0,+H131-L131,0)</f>
        <v>0</v>
      </c>
      <c r="N131" s="525"/>
      <c r="O131" s="514">
        <f t="shared" ref="O131:O154" si="30">IF(N131&lt;&gt;0,+I131-N131,0)</f>
        <v>0</v>
      </c>
      <c r="P131" s="514">
        <f t="shared" ref="P131:P154" si="31">+O131-M131</f>
        <v>0</v>
      </c>
      <c r="Q131" s="269"/>
    </row>
    <row r="132" spans="2:17" ht="12.5">
      <c r="B132" s="195" t="str">
        <f t="shared" si="23"/>
        <v/>
      </c>
      <c r="C132" s="507">
        <f>IF(D93="","-",+C131+1)</f>
        <v>2041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6"/>
        <v>0</v>
      </c>
      <c r="G132" s="523">
        <f t="shared" si="27"/>
        <v>0</v>
      </c>
      <c r="H132" s="526">
        <f t="shared" si="24"/>
        <v>0</v>
      </c>
      <c r="I132" s="577">
        <f t="shared" si="25"/>
        <v>0</v>
      </c>
      <c r="J132" s="514">
        <f t="shared" si="28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  <c r="Q132" s="269"/>
    </row>
    <row r="133" spans="2:17" ht="12.5">
      <c r="B133" s="195" t="str">
        <f t="shared" si="23"/>
        <v/>
      </c>
      <c r="C133" s="507">
        <f>IF(D93="","-",+C132+1)</f>
        <v>2042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6"/>
        <v>0</v>
      </c>
      <c r="G133" s="523">
        <f t="shared" si="27"/>
        <v>0</v>
      </c>
      <c r="H133" s="526">
        <f t="shared" si="24"/>
        <v>0</v>
      </c>
      <c r="I133" s="577">
        <f t="shared" si="25"/>
        <v>0</v>
      </c>
      <c r="J133" s="514">
        <f t="shared" si="28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  <c r="Q133" s="269"/>
    </row>
    <row r="134" spans="2:17" ht="12.5">
      <c r="B134" s="195" t="str">
        <f t="shared" si="23"/>
        <v/>
      </c>
      <c r="C134" s="507">
        <f>IF(D93="","-",+C133+1)</f>
        <v>2043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6"/>
        <v>0</v>
      </c>
      <c r="G134" s="523">
        <f t="shared" si="27"/>
        <v>0</v>
      </c>
      <c r="H134" s="526">
        <f t="shared" si="24"/>
        <v>0</v>
      </c>
      <c r="I134" s="577">
        <f t="shared" si="25"/>
        <v>0</v>
      </c>
      <c r="J134" s="514">
        <f t="shared" si="28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  <c r="Q134" s="269"/>
    </row>
    <row r="135" spans="2:17" ht="12.5">
      <c r="B135" s="195" t="str">
        <f t="shared" si="23"/>
        <v/>
      </c>
      <c r="C135" s="507">
        <f>IF(D93="","-",+C134+1)</f>
        <v>2044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6"/>
        <v>0</v>
      </c>
      <c r="G135" s="523">
        <f t="shared" si="27"/>
        <v>0</v>
      </c>
      <c r="H135" s="526">
        <f t="shared" si="24"/>
        <v>0</v>
      </c>
      <c r="I135" s="577">
        <f t="shared" si="25"/>
        <v>0</v>
      </c>
      <c r="J135" s="514">
        <f t="shared" si="28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  <c r="Q135" s="269"/>
    </row>
    <row r="136" spans="2:17" ht="12.5">
      <c r="B136" s="195" t="str">
        <f t="shared" si="23"/>
        <v/>
      </c>
      <c r="C136" s="507">
        <f>IF(D93="","-",+C135+1)</f>
        <v>2045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6"/>
        <v>0</v>
      </c>
      <c r="G136" s="523">
        <f t="shared" si="27"/>
        <v>0</v>
      </c>
      <c r="H136" s="526">
        <f t="shared" si="24"/>
        <v>0</v>
      </c>
      <c r="I136" s="577">
        <f t="shared" si="25"/>
        <v>0</v>
      </c>
      <c r="J136" s="514">
        <f t="shared" si="28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  <c r="Q136" s="269"/>
    </row>
    <row r="137" spans="2:17" ht="12.5">
      <c r="B137" s="195" t="str">
        <f t="shared" si="23"/>
        <v/>
      </c>
      <c r="C137" s="507">
        <f>IF(D93="","-",+C136+1)</f>
        <v>2046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6"/>
        <v>0</v>
      </c>
      <c r="G137" s="523">
        <f t="shared" si="27"/>
        <v>0</v>
      </c>
      <c r="H137" s="526">
        <f t="shared" si="24"/>
        <v>0</v>
      </c>
      <c r="I137" s="577">
        <f t="shared" si="25"/>
        <v>0</v>
      </c>
      <c r="J137" s="514">
        <f t="shared" si="28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  <c r="Q137" s="269"/>
    </row>
    <row r="138" spans="2:17" ht="12.5">
      <c r="B138" s="195" t="str">
        <f t="shared" si="23"/>
        <v/>
      </c>
      <c r="C138" s="507">
        <f>IF(D93="","-",+C137+1)</f>
        <v>2047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6"/>
        <v>0</v>
      </c>
      <c r="G138" s="523">
        <f t="shared" si="27"/>
        <v>0</v>
      </c>
      <c r="H138" s="526">
        <f t="shared" si="24"/>
        <v>0</v>
      </c>
      <c r="I138" s="577">
        <f t="shared" si="25"/>
        <v>0</v>
      </c>
      <c r="J138" s="514">
        <f t="shared" si="28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  <c r="Q138" s="269"/>
    </row>
    <row r="139" spans="2:17" ht="12.5">
      <c r="B139" s="195" t="str">
        <f t="shared" si="23"/>
        <v/>
      </c>
      <c r="C139" s="507">
        <f>IF(D93="","-",+C138+1)</f>
        <v>2048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6"/>
        <v>0</v>
      </c>
      <c r="G139" s="523">
        <f t="shared" si="27"/>
        <v>0</v>
      </c>
      <c r="H139" s="526">
        <f t="shared" si="24"/>
        <v>0</v>
      </c>
      <c r="I139" s="577">
        <f t="shared" si="25"/>
        <v>0</v>
      </c>
      <c r="J139" s="514">
        <f t="shared" si="28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  <c r="Q139" s="269"/>
    </row>
    <row r="140" spans="2:17" ht="12.5">
      <c r="B140" s="195" t="str">
        <f t="shared" si="23"/>
        <v/>
      </c>
      <c r="C140" s="507">
        <f>IF(D93="","-",+C139+1)</f>
        <v>2049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6"/>
        <v>0</v>
      </c>
      <c r="G140" s="523">
        <f t="shared" si="27"/>
        <v>0</v>
      </c>
      <c r="H140" s="526">
        <f t="shared" si="24"/>
        <v>0</v>
      </c>
      <c r="I140" s="577">
        <f t="shared" si="25"/>
        <v>0</v>
      </c>
      <c r="J140" s="514">
        <f t="shared" si="28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  <c r="Q140" s="269"/>
    </row>
    <row r="141" spans="2:17" ht="12.5">
      <c r="B141" s="195" t="str">
        <f t="shared" si="23"/>
        <v/>
      </c>
      <c r="C141" s="507">
        <f>IF(D93="","-",+C140+1)</f>
        <v>2050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6"/>
        <v>0</v>
      </c>
      <c r="G141" s="523">
        <f t="shared" si="27"/>
        <v>0</v>
      </c>
      <c r="H141" s="526">
        <f t="shared" si="24"/>
        <v>0</v>
      </c>
      <c r="I141" s="577">
        <f t="shared" si="25"/>
        <v>0</v>
      </c>
      <c r="J141" s="514">
        <f t="shared" si="28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  <c r="Q141" s="269"/>
    </row>
    <row r="142" spans="2:17" ht="12.5">
      <c r="B142" s="195" t="str">
        <f t="shared" si="23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6"/>
        <v>0</v>
      </c>
      <c r="G142" s="523">
        <f t="shared" si="27"/>
        <v>0</v>
      </c>
      <c r="H142" s="526">
        <f t="shared" si="24"/>
        <v>0</v>
      </c>
      <c r="I142" s="577">
        <f t="shared" si="25"/>
        <v>0</v>
      </c>
      <c r="J142" s="514">
        <f t="shared" si="28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  <c r="Q142" s="269"/>
    </row>
    <row r="143" spans="2:17" ht="12.5">
      <c r="B143" s="195" t="str">
        <f t="shared" si="23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6"/>
        <v>0</v>
      </c>
      <c r="G143" s="523">
        <f t="shared" si="27"/>
        <v>0</v>
      </c>
      <c r="H143" s="526">
        <f t="shared" si="24"/>
        <v>0</v>
      </c>
      <c r="I143" s="577">
        <f t="shared" si="25"/>
        <v>0</v>
      </c>
      <c r="J143" s="514">
        <f t="shared" si="28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  <c r="Q143" s="269"/>
    </row>
    <row r="144" spans="2:17" ht="12.5">
      <c r="B144" s="195" t="str">
        <f t="shared" si="23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6"/>
        <v>0</v>
      </c>
      <c r="G144" s="523">
        <f t="shared" si="27"/>
        <v>0</v>
      </c>
      <c r="H144" s="526">
        <f t="shared" si="24"/>
        <v>0</v>
      </c>
      <c r="I144" s="577">
        <f t="shared" si="25"/>
        <v>0</v>
      </c>
      <c r="J144" s="514">
        <f t="shared" si="28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  <c r="Q144" s="269"/>
    </row>
    <row r="145" spans="2:17" ht="12.5">
      <c r="B145" s="195" t="str">
        <f t="shared" si="23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6"/>
        <v>0</v>
      </c>
      <c r="G145" s="523">
        <f t="shared" si="27"/>
        <v>0</v>
      </c>
      <c r="H145" s="526">
        <f t="shared" si="24"/>
        <v>0</v>
      </c>
      <c r="I145" s="577">
        <f t="shared" si="25"/>
        <v>0</v>
      </c>
      <c r="J145" s="514">
        <f t="shared" si="28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  <c r="Q145" s="269"/>
    </row>
    <row r="146" spans="2:17" ht="12.5">
      <c r="B146" s="195" t="str">
        <f t="shared" si="23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6"/>
        <v>0</v>
      </c>
      <c r="G146" s="523">
        <f t="shared" si="27"/>
        <v>0</v>
      </c>
      <c r="H146" s="526">
        <f t="shared" si="24"/>
        <v>0</v>
      </c>
      <c r="I146" s="577">
        <f t="shared" si="25"/>
        <v>0</v>
      </c>
      <c r="J146" s="514">
        <f t="shared" si="28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  <c r="Q146" s="269"/>
    </row>
    <row r="147" spans="2:17" ht="12.5">
      <c r="B147" s="195" t="str">
        <f t="shared" si="23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6"/>
        <v>0</v>
      </c>
      <c r="G147" s="523">
        <f t="shared" si="27"/>
        <v>0</v>
      </c>
      <c r="H147" s="526">
        <f t="shared" si="24"/>
        <v>0</v>
      </c>
      <c r="I147" s="577">
        <f t="shared" si="25"/>
        <v>0</v>
      </c>
      <c r="J147" s="514">
        <f t="shared" si="28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  <c r="Q147" s="269"/>
    </row>
    <row r="148" spans="2:17" ht="12.5">
      <c r="B148" s="195" t="str">
        <f t="shared" si="23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6"/>
        <v>0</v>
      </c>
      <c r="G148" s="523">
        <f t="shared" si="27"/>
        <v>0</v>
      </c>
      <c r="H148" s="526">
        <f t="shared" si="24"/>
        <v>0</v>
      </c>
      <c r="I148" s="577">
        <f t="shared" si="25"/>
        <v>0</v>
      </c>
      <c r="J148" s="514">
        <f t="shared" si="28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  <c r="Q148" s="269"/>
    </row>
    <row r="149" spans="2:17" ht="12.5">
      <c r="B149" s="195" t="str">
        <f t="shared" si="23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6"/>
        <v>0</v>
      </c>
      <c r="G149" s="523">
        <f t="shared" si="27"/>
        <v>0</v>
      </c>
      <c r="H149" s="526">
        <f t="shared" si="24"/>
        <v>0</v>
      </c>
      <c r="I149" s="577">
        <f t="shared" si="25"/>
        <v>0</v>
      </c>
      <c r="J149" s="514">
        <f t="shared" si="28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  <c r="Q149" s="269"/>
    </row>
    <row r="150" spans="2:17" ht="12.5">
      <c r="B150" s="195" t="str">
        <f t="shared" si="23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6"/>
        <v>0</v>
      </c>
      <c r="G150" s="523">
        <f t="shared" si="27"/>
        <v>0</v>
      </c>
      <c r="H150" s="526">
        <f t="shared" si="24"/>
        <v>0</v>
      </c>
      <c r="I150" s="577">
        <f t="shared" si="25"/>
        <v>0</v>
      </c>
      <c r="J150" s="514">
        <f t="shared" si="28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  <c r="Q150" s="269"/>
    </row>
    <row r="151" spans="2:17" ht="12.5">
      <c r="B151" s="195" t="str">
        <f t="shared" si="23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6"/>
        <v>0</v>
      </c>
      <c r="G151" s="523">
        <f t="shared" si="27"/>
        <v>0</v>
      </c>
      <c r="H151" s="526">
        <f t="shared" si="24"/>
        <v>0</v>
      </c>
      <c r="I151" s="577">
        <f t="shared" si="25"/>
        <v>0</v>
      </c>
      <c r="J151" s="514">
        <f t="shared" si="28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  <c r="Q151" s="269"/>
    </row>
    <row r="152" spans="2:17" ht="12.5">
      <c r="B152" s="195" t="str">
        <f t="shared" si="23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6"/>
        <v>0</v>
      </c>
      <c r="G152" s="523">
        <f t="shared" si="27"/>
        <v>0</v>
      </c>
      <c r="H152" s="526">
        <f t="shared" si="24"/>
        <v>0</v>
      </c>
      <c r="I152" s="577">
        <f t="shared" si="25"/>
        <v>0</v>
      </c>
      <c r="J152" s="514">
        <f t="shared" si="28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  <c r="Q152" s="269"/>
    </row>
    <row r="153" spans="2:17" ht="12.5">
      <c r="B153" s="195" t="str">
        <f t="shared" si="23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6"/>
        <v>0</v>
      </c>
      <c r="G153" s="523">
        <f t="shared" si="27"/>
        <v>0</v>
      </c>
      <c r="H153" s="526">
        <f t="shared" si="24"/>
        <v>0</v>
      </c>
      <c r="I153" s="577">
        <f t="shared" si="25"/>
        <v>0</v>
      </c>
      <c r="J153" s="514">
        <f t="shared" si="28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  <c r="Q153" s="269"/>
    </row>
    <row r="154" spans="2:17" ht="13" thickBot="1">
      <c r="B154" s="195" t="str">
        <f t="shared" si="23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6"/>
        <v>0</v>
      </c>
      <c r="G154" s="528">
        <f t="shared" si="27"/>
        <v>0</v>
      </c>
      <c r="H154" s="530">
        <f t="shared" si="24"/>
        <v>0</v>
      </c>
      <c r="I154" s="579">
        <f t="shared" si="25"/>
        <v>0</v>
      </c>
      <c r="J154" s="533">
        <f t="shared" si="28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1" priority="1" stopIfTrue="1" operator="equal">
      <formula>$I$10</formula>
    </cfRule>
  </conditionalFormatting>
  <conditionalFormatting sqref="C99:C154">
    <cfRule type="cellIs" dxfId="1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0">
    <tabColor indexed="8"/>
  </sheetPr>
  <dimension ref="A1:Q162"/>
  <sheetViews>
    <sheetView view="pageBreakPreview" zoomScale="84" zoomScaleNormal="100" zoomScaleSheetLayoutView="84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11 of 74</v>
      </c>
      <c r="Q1" s="453" t="s">
        <v>165</v>
      </c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236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/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601">
        <f t="shared" ref="G17:G48" si="1">+I$12*((D17+F17)/2)+E17</f>
        <v>0</v>
      </c>
      <c r="H17" s="491">
        <f t="shared" ref="H17:H48" si="2">+I$13*((D17+F17)/2)+E17</f>
        <v>0</v>
      </c>
      <c r="I17" s="511">
        <f t="shared" ref="I17:I48" si="3">H17-G17</f>
        <v>0</v>
      </c>
      <c r="J17" s="511"/>
      <c r="K17" s="512">
        <v>741629</v>
      </c>
      <c r="L17" s="513">
        <f t="shared" ref="L17:L48" si="4">IF(K17&lt;&gt;0,+G17-K17,0)</f>
        <v>-741629</v>
      </c>
      <c r="M17" s="512">
        <f>K17</f>
        <v>741629</v>
      </c>
      <c r="N17" s="513">
        <f t="shared" ref="N17:N48" si="5">IF(M17&lt;&gt;0,+H17-M17,0)</f>
        <v>-741629</v>
      </c>
      <c r="O17" s="514">
        <f t="shared" ref="O17:O48" si="6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523">
        <f t="shared" ref="D18:D24" si="7">F17</f>
        <v>0</v>
      </c>
      <c r="E18" s="522">
        <f>IF(+I14&lt;F17,I14,D18)</f>
        <v>0</v>
      </c>
      <c r="F18" s="523">
        <f t="shared" si="0"/>
        <v>0</v>
      </c>
      <c r="G18" s="524">
        <f t="shared" si="1"/>
        <v>0</v>
      </c>
      <c r="H18" s="491">
        <f t="shared" si="2"/>
        <v>0</v>
      </c>
      <c r="I18" s="511">
        <f t="shared" si="3"/>
        <v>0</v>
      </c>
      <c r="J18" s="511"/>
      <c r="K18" s="518">
        <v>0</v>
      </c>
      <c r="L18" s="514">
        <f t="shared" si="4"/>
        <v>0</v>
      </c>
      <c r="M18" s="518">
        <v>0</v>
      </c>
      <c r="N18" s="514">
        <f t="shared" si="5"/>
        <v>0</v>
      </c>
      <c r="O18" s="514">
        <f t="shared" si="6"/>
        <v>0</v>
      </c>
      <c r="P18" s="272"/>
    </row>
    <row r="19" spans="2:16" ht="12.5">
      <c r="B19" s="195" t="str">
        <f>IF(D19=F18,"","IU")</f>
        <v/>
      </c>
      <c r="C19" s="507">
        <f>IF(D11="","-",+C18+1)</f>
        <v>2009</v>
      </c>
      <c r="D19" s="523">
        <f t="shared" si="7"/>
        <v>0</v>
      </c>
      <c r="E19" s="522">
        <f>IF(+I14&lt;F18,I14,D19)</f>
        <v>0</v>
      </c>
      <c r="F19" s="523">
        <f t="shared" si="0"/>
        <v>0</v>
      </c>
      <c r="G19" s="524">
        <f t="shared" si="1"/>
        <v>0</v>
      </c>
      <c r="H19" s="491">
        <f t="shared" si="2"/>
        <v>0</v>
      </c>
      <c r="I19" s="511">
        <f t="shared" si="3"/>
        <v>0</v>
      </c>
      <c r="J19" s="511"/>
      <c r="K19" s="518">
        <v>0</v>
      </c>
      <c r="L19" s="514">
        <f t="shared" si="4"/>
        <v>0</v>
      </c>
      <c r="M19" s="518">
        <v>0</v>
      </c>
      <c r="N19" s="514">
        <f t="shared" si="5"/>
        <v>0</v>
      </c>
      <c r="O19" s="514">
        <f t="shared" si="6"/>
        <v>0</v>
      </c>
      <c r="P19" s="272"/>
    </row>
    <row r="20" spans="2:16" ht="12.5">
      <c r="B20" s="195" t="str">
        <f t="shared" ref="B20:B72" si="8">IF(D20=F19,"","IU")</f>
        <v/>
      </c>
      <c r="C20" s="507">
        <f>IF(D11="","-",+C19+1)</f>
        <v>2010</v>
      </c>
      <c r="D20" s="523">
        <f t="shared" si="7"/>
        <v>0</v>
      </c>
      <c r="E20" s="522">
        <f>IF(+I14&lt;F19,I14,D20)</f>
        <v>0</v>
      </c>
      <c r="F20" s="523">
        <f t="shared" si="0"/>
        <v>0</v>
      </c>
      <c r="G20" s="524">
        <f t="shared" si="1"/>
        <v>0</v>
      </c>
      <c r="H20" s="491">
        <f t="shared" si="2"/>
        <v>0</v>
      </c>
      <c r="I20" s="511">
        <f t="shared" si="3"/>
        <v>0</v>
      </c>
      <c r="J20" s="511"/>
      <c r="K20" s="525"/>
      <c r="L20" s="514">
        <f t="shared" si="4"/>
        <v>0</v>
      </c>
      <c r="M20" s="525"/>
      <c r="N20" s="514">
        <f t="shared" si="5"/>
        <v>0</v>
      </c>
      <c r="O20" s="514">
        <f t="shared" si="6"/>
        <v>0</v>
      </c>
      <c r="P20" s="272"/>
    </row>
    <row r="21" spans="2:16" ht="12.5">
      <c r="B21" s="195" t="str">
        <f t="shared" si="8"/>
        <v/>
      </c>
      <c r="C21" s="507">
        <f>IF(D12="","-",+C20+1)</f>
        <v>2011</v>
      </c>
      <c r="D21" s="523">
        <f t="shared" si="7"/>
        <v>0</v>
      </c>
      <c r="E21" s="522">
        <f>IF(+I14&lt;F20,I14,D21)</f>
        <v>0</v>
      </c>
      <c r="F21" s="523">
        <f t="shared" si="0"/>
        <v>0</v>
      </c>
      <c r="G21" s="524">
        <f t="shared" si="1"/>
        <v>0</v>
      </c>
      <c r="H21" s="491">
        <f t="shared" si="2"/>
        <v>0</v>
      </c>
      <c r="I21" s="511">
        <f t="shared" si="3"/>
        <v>0</v>
      </c>
      <c r="J21" s="511"/>
      <c r="K21" s="525"/>
      <c r="L21" s="514">
        <f t="shared" si="4"/>
        <v>0</v>
      </c>
      <c r="M21" s="525"/>
      <c r="N21" s="514">
        <f t="shared" si="5"/>
        <v>0</v>
      </c>
      <c r="O21" s="514">
        <f t="shared" si="6"/>
        <v>0</v>
      </c>
      <c r="P21" s="272"/>
    </row>
    <row r="22" spans="2:16" ht="12.5">
      <c r="B22" s="195" t="str">
        <f t="shared" si="8"/>
        <v/>
      </c>
      <c r="C22" s="507">
        <f>IF(D11="","-",+C21+1)</f>
        <v>2012</v>
      </c>
      <c r="D22" s="523">
        <f t="shared" si="7"/>
        <v>0</v>
      </c>
      <c r="E22" s="522">
        <f>IF(+I14&lt;F21,I14,D22)</f>
        <v>0</v>
      </c>
      <c r="F22" s="523">
        <f t="shared" si="0"/>
        <v>0</v>
      </c>
      <c r="G22" s="524">
        <f t="shared" si="1"/>
        <v>0</v>
      </c>
      <c r="H22" s="491">
        <f t="shared" si="2"/>
        <v>0</v>
      </c>
      <c r="I22" s="511">
        <f t="shared" si="3"/>
        <v>0</v>
      </c>
      <c r="J22" s="511"/>
      <c r="K22" s="525"/>
      <c r="L22" s="514">
        <f t="shared" si="4"/>
        <v>0</v>
      </c>
      <c r="M22" s="525"/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8"/>
        <v/>
      </c>
      <c r="C23" s="507">
        <f>IF(D11="","-",+C22+1)</f>
        <v>2013</v>
      </c>
      <c r="D23" s="523">
        <f t="shared" si="7"/>
        <v>0</v>
      </c>
      <c r="E23" s="522">
        <f>IF(+I14&lt;F22,I14,D23)</f>
        <v>0</v>
      </c>
      <c r="F23" s="523">
        <f t="shared" si="0"/>
        <v>0</v>
      </c>
      <c r="G23" s="524">
        <f t="shared" si="1"/>
        <v>0</v>
      </c>
      <c r="H23" s="491">
        <f t="shared" si="2"/>
        <v>0</v>
      </c>
      <c r="I23" s="511">
        <f t="shared" si="3"/>
        <v>0</v>
      </c>
      <c r="J23" s="511"/>
      <c r="K23" s="525"/>
      <c r="L23" s="514">
        <f t="shared" si="4"/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8"/>
        <v/>
      </c>
      <c r="C24" s="507">
        <f>IF(D11="","-",+C23+1)</f>
        <v>2014</v>
      </c>
      <c r="D24" s="523">
        <f t="shared" si="7"/>
        <v>0</v>
      </c>
      <c r="E24" s="522">
        <f>IF(+I14&lt;F23,I14,D24)</f>
        <v>0</v>
      </c>
      <c r="F24" s="523">
        <f t="shared" si="0"/>
        <v>0</v>
      </c>
      <c r="G24" s="524">
        <f t="shared" si="1"/>
        <v>0</v>
      </c>
      <c r="H24" s="491">
        <f t="shared" si="2"/>
        <v>0</v>
      </c>
      <c r="I24" s="511">
        <f t="shared" si="3"/>
        <v>0</v>
      </c>
      <c r="J24" s="511"/>
      <c r="K24" s="525"/>
      <c r="L24" s="514">
        <f t="shared" si="4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8"/>
        <v/>
      </c>
      <c r="C25" s="507">
        <f>IF(D11="","-",+C24+1)</f>
        <v>2015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1"/>
        <v>0</v>
      </c>
      <c r="H25" s="491">
        <f t="shared" si="2"/>
        <v>0</v>
      </c>
      <c r="I25" s="511">
        <f t="shared" si="3"/>
        <v>0</v>
      </c>
      <c r="J25" s="511"/>
      <c r="K25" s="525"/>
      <c r="L25" s="514">
        <f t="shared" si="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8"/>
        <v/>
      </c>
      <c r="C26" s="507">
        <f>IF(D11="","-",+C25+1)</f>
        <v>2016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1"/>
        <v>0</v>
      </c>
      <c r="H26" s="491">
        <f t="shared" si="2"/>
        <v>0</v>
      </c>
      <c r="I26" s="511">
        <f t="shared" si="3"/>
        <v>0</v>
      </c>
      <c r="J26" s="511"/>
      <c r="K26" s="525"/>
      <c r="L26" s="514">
        <f t="shared" si="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8"/>
        <v/>
      </c>
      <c r="C27" s="507">
        <f>IF(D11="","-",+C26+1)</f>
        <v>2017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1"/>
        <v>0</v>
      </c>
      <c r="H27" s="491">
        <f t="shared" si="2"/>
        <v>0</v>
      </c>
      <c r="I27" s="511">
        <f t="shared" si="3"/>
        <v>0</v>
      </c>
      <c r="J27" s="511"/>
      <c r="K27" s="525"/>
      <c r="L27" s="514">
        <f t="shared" si="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8"/>
        <v/>
      </c>
      <c r="C28" s="507">
        <f>IF(D11="","-",+C27+1)</f>
        <v>2018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1"/>
        <v>0</v>
      </c>
      <c r="H28" s="491">
        <f t="shared" si="2"/>
        <v>0</v>
      </c>
      <c r="I28" s="511">
        <f t="shared" si="3"/>
        <v>0</v>
      </c>
      <c r="J28" s="511"/>
      <c r="K28" s="525"/>
      <c r="L28" s="514">
        <f t="shared" si="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8"/>
        <v/>
      </c>
      <c r="C29" s="507">
        <f>IF(D11="","-",+C28+1)</f>
        <v>2019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1"/>
        <v>0</v>
      </c>
      <c r="H29" s="491">
        <f t="shared" si="2"/>
        <v>0</v>
      </c>
      <c r="I29" s="511">
        <f t="shared" si="3"/>
        <v>0</v>
      </c>
      <c r="J29" s="511"/>
      <c r="K29" s="525"/>
      <c r="L29" s="514">
        <f t="shared" si="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8"/>
        <v/>
      </c>
      <c r="C30" s="507">
        <f>IF(D11="","-",+C29+1)</f>
        <v>2020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1"/>
        <v>0</v>
      </c>
      <c r="H30" s="491">
        <f t="shared" si="2"/>
        <v>0</v>
      </c>
      <c r="I30" s="511">
        <f t="shared" si="3"/>
        <v>0</v>
      </c>
      <c r="J30" s="511"/>
      <c r="K30" s="525"/>
      <c r="L30" s="514">
        <f t="shared" si="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8"/>
        <v/>
      </c>
      <c r="C31" s="507">
        <f>IF(D11="","-",+C30+1)</f>
        <v>2021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1"/>
        <v>0</v>
      </c>
      <c r="H31" s="491">
        <f t="shared" si="2"/>
        <v>0</v>
      </c>
      <c r="I31" s="511">
        <f t="shared" si="3"/>
        <v>0</v>
      </c>
      <c r="J31" s="511"/>
      <c r="K31" s="525"/>
      <c r="L31" s="514">
        <f t="shared" si="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8"/>
        <v/>
      </c>
      <c r="C32" s="507">
        <f>IF(D11="","-",+C31+1)</f>
        <v>2022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1"/>
        <v>0</v>
      </c>
      <c r="H32" s="491">
        <f t="shared" si="2"/>
        <v>0</v>
      </c>
      <c r="I32" s="511">
        <f t="shared" si="3"/>
        <v>0</v>
      </c>
      <c r="J32" s="511"/>
      <c r="K32" s="525"/>
      <c r="L32" s="514">
        <f t="shared" si="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8"/>
        <v/>
      </c>
      <c r="C33" s="507">
        <f>IF(D11="","-",+C32+1)</f>
        <v>2023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1"/>
        <v>0</v>
      </c>
      <c r="H33" s="491">
        <f t="shared" si="2"/>
        <v>0</v>
      </c>
      <c r="I33" s="511">
        <f t="shared" si="3"/>
        <v>0</v>
      </c>
      <c r="J33" s="511"/>
      <c r="K33" s="525"/>
      <c r="L33" s="514">
        <f t="shared" si="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8"/>
        <v/>
      </c>
      <c r="C34" s="507">
        <f>IF(D11="","-",+C33+1)</f>
        <v>2024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1"/>
        <v>0</v>
      </c>
      <c r="H34" s="491">
        <f t="shared" si="2"/>
        <v>0</v>
      </c>
      <c r="I34" s="511">
        <f t="shared" si="3"/>
        <v>0</v>
      </c>
      <c r="J34" s="511"/>
      <c r="K34" s="525"/>
      <c r="L34" s="514">
        <f t="shared" si="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8"/>
        <v/>
      </c>
      <c r="C35" s="507">
        <f>IF(D11="","-",+C34+1)</f>
        <v>2025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1"/>
        <v>0</v>
      </c>
      <c r="H35" s="491">
        <f t="shared" si="2"/>
        <v>0</v>
      </c>
      <c r="I35" s="511">
        <f t="shared" si="3"/>
        <v>0</v>
      </c>
      <c r="J35" s="511"/>
      <c r="K35" s="525"/>
      <c r="L35" s="514">
        <f t="shared" si="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8"/>
        <v/>
      </c>
      <c r="C36" s="507">
        <f>IF(D11="","-",+C35+1)</f>
        <v>2026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1"/>
        <v>0</v>
      </c>
      <c r="H36" s="491">
        <f t="shared" si="2"/>
        <v>0</v>
      </c>
      <c r="I36" s="511">
        <f t="shared" si="3"/>
        <v>0</v>
      </c>
      <c r="J36" s="511"/>
      <c r="K36" s="525"/>
      <c r="L36" s="514">
        <f t="shared" si="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8"/>
        <v/>
      </c>
      <c r="C37" s="507">
        <f>IF(D11="","-",+C36+1)</f>
        <v>2027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1"/>
        <v>0</v>
      </c>
      <c r="H37" s="491">
        <f t="shared" si="2"/>
        <v>0</v>
      </c>
      <c r="I37" s="511">
        <f t="shared" si="3"/>
        <v>0</v>
      </c>
      <c r="J37" s="511"/>
      <c r="K37" s="525"/>
      <c r="L37" s="514">
        <f t="shared" si="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8"/>
        <v/>
      </c>
      <c r="C38" s="507">
        <f>IF(D11="","-",+C37+1)</f>
        <v>2028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1"/>
        <v>0</v>
      </c>
      <c r="H38" s="491">
        <f t="shared" si="2"/>
        <v>0</v>
      </c>
      <c r="I38" s="511">
        <f t="shared" si="3"/>
        <v>0</v>
      </c>
      <c r="J38" s="511"/>
      <c r="K38" s="525"/>
      <c r="L38" s="514">
        <f t="shared" si="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8"/>
        <v/>
      </c>
      <c r="C39" s="507">
        <f>IF(D11="","-",+C38+1)</f>
        <v>2029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1"/>
        <v>0</v>
      </c>
      <c r="H39" s="491">
        <f t="shared" si="2"/>
        <v>0</v>
      </c>
      <c r="I39" s="511">
        <f t="shared" si="3"/>
        <v>0</v>
      </c>
      <c r="J39" s="511"/>
      <c r="K39" s="525"/>
      <c r="L39" s="514">
        <f t="shared" si="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8"/>
        <v/>
      </c>
      <c r="C40" s="507">
        <f>IF(D11="","-",+C39+1)</f>
        <v>2030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1"/>
        <v>0</v>
      </c>
      <c r="H40" s="491">
        <f t="shared" si="2"/>
        <v>0</v>
      </c>
      <c r="I40" s="511">
        <f t="shared" si="3"/>
        <v>0</v>
      </c>
      <c r="J40" s="511"/>
      <c r="K40" s="525"/>
      <c r="L40" s="514">
        <f t="shared" si="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8"/>
        <v/>
      </c>
      <c r="C41" s="507">
        <f>IF(D11="","-",+C40+1)</f>
        <v>2031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1"/>
        <v>0</v>
      </c>
      <c r="H41" s="491">
        <f t="shared" si="2"/>
        <v>0</v>
      </c>
      <c r="I41" s="511">
        <f t="shared" si="3"/>
        <v>0</v>
      </c>
      <c r="J41" s="511"/>
      <c r="K41" s="525"/>
      <c r="L41" s="514">
        <f t="shared" si="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8"/>
        <v/>
      </c>
      <c r="C42" s="507">
        <f>IF(D11="","-",+C41+1)</f>
        <v>2032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1"/>
        <v>0</v>
      </c>
      <c r="H42" s="491">
        <f t="shared" si="2"/>
        <v>0</v>
      </c>
      <c r="I42" s="511">
        <f t="shared" si="3"/>
        <v>0</v>
      </c>
      <c r="J42" s="511"/>
      <c r="K42" s="525"/>
      <c r="L42" s="514">
        <f t="shared" si="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8"/>
        <v/>
      </c>
      <c r="C43" s="507">
        <f>IF(D11="","-",+C42+1)</f>
        <v>2033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1"/>
        <v>0</v>
      </c>
      <c r="H43" s="491">
        <f t="shared" si="2"/>
        <v>0</v>
      </c>
      <c r="I43" s="511">
        <f t="shared" si="3"/>
        <v>0</v>
      </c>
      <c r="J43" s="511"/>
      <c r="K43" s="525"/>
      <c r="L43" s="514">
        <f t="shared" si="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8"/>
        <v/>
      </c>
      <c r="C44" s="507">
        <f>IF(D11="","-",+C43+1)</f>
        <v>2034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1"/>
        <v>0</v>
      </c>
      <c r="H44" s="491">
        <f t="shared" si="2"/>
        <v>0</v>
      </c>
      <c r="I44" s="511">
        <f t="shared" si="3"/>
        <v>0</v>
      </c>
      <c r="J44" s="511"/>
      <c r="K44" s="525"/>
      <c r="L44" s="514">
        <f t="shared" si="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8"/>
        <v/>
      </c>
      <c r="C45" s="507">
        <f>IF(D11="","-",+C44+1)</f>
        <v>2035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1"/>
        <v>0</v>
      </c>
      <c r="H45" s="491">
        <f t="shared" si="2"/>
        <v>0</v>
      </c>
      <c r="I45" s="511">
        <f t="shared" si="3"/>
        <v>0</v>
      </c>
      <c r="J45" s="511"/>
      <c r="K45" s="525"/>
      <c r="L45" s="514">
        <f t="shared" si="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8"/>
        <v/>
      </c>
      <c r="C46" s="507">
        <f>IF(D11="","-",+C45+1)</f>
        <v>2036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1"/>
        <v>0</v>
      </c>
      <c r="H46" s="491">
        <f t="shared" si="2"/>
        <v>0</v>
      </c>
      <c r="I46" s="511">
        <f t="shared" si="3"/>
        <v>0</v>
      </c>
      <c r="J46" s="511"/>
      <c r="K46" s="525"/>
      <c r="L46" s="514">
        <f t="shared" si="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8"/>
        <v/>
      </c>
      <c r="C47" s="507">
        <f>IF(D11="","-",+C46+1)</f>
        <v>2037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1"/>
        <v>0</v>
      </c>
      <c r="H47" s="491">
        <f t="shared" si="2"/>
        <v>0</v>
      </c>
      <c r="I47" s="511">
        <f t="shared" si="3"/>
        <v>0</v>
      </c>
      <c r="J47" s="511"/>
      <c r="K47" s="525"/>
      <c r="L47" s="514">
        <f t="shared" si="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8"/>
        <v/>
      </c>
      <c r="C48" s="507">
        <f>IF(D11="","-",+C47+1)</f>
        <v>2038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1"/>
        <v>0</v>
      </c>
      <c r="H48" s="491">
        <f t="shared" si="2"/>
        <v>0</v>
      </c>
      <c r="I48" s="511">
        <f t="shared" si="3"/>
        <v>0</v>
      </c>
      <c r="J48" s="511"/>
      <c r="K48" s="525"/>
      <c r="L48" s="514">
        <f t="shared" si="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7" ht="12.5">
      <c r="B49" s="195" t="str">
        <f t="shared" si="8"/>
        <v/>
      </c>
      <c r="C49" s="507">
        <f>IF(D11="","-",+C48+1)</f>
        <v>2039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ref="G49:G72" si="10">+I$12*((D49+F49)/2)+E49</f>
        <v>0</v>
      </c>
      <c r="H49" s="491">
        <f t="shared" ref="H49:H72" si="11">+I$13*((D49+F49)/2)+E49</f>
        <v>0</v>
      </c>
      <c r="I49" s="511">
        <f t="shared" ref="I49:I72" si="12">H49-G49</f>
        <v>0</v>
      </c>
      <c r="J49" s="511"/>
      <c r="K49" s="525"/>
      <c r="L49" s="514">
        <f t="shared" ref="L49:L72" si="13">IF(K49&lt;&gt;0,+G49-K49,0)</f>
        <v>0</v>
      </c>
      <c r="M49" s="525"/>
      <c r="N49" s="514">
        <f t="shared" ref="N49:N72" si="14">IF(M49&lt;&gt;0,+H49-M49,0)</f>
        <v>0</v>
      </c>
      <c r="O49" s="514">
        <f t="shared" ref="O49:O72" si="15">+N49-L49</f>
        <v>0</v>
      </c>
      <c r="P49" s="272"/>
    </row>
    <row r="50" spans="2:17" ht="12.5">
      <c r="B50" s="195" t="str">
        <f t="shared" si="8"/>
        <v/>
      </c>
      <c r="C50" s="507">
        <f>IF(D11="","-",+C49+1)</f>
        <v>2040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10"/>
        <v>0</v>
      </c>
      <c r="H50" s="491">
        <f t="shared" si="11"/>
        <v>0</v>
      </c>
      <c r="I50" s="511">
        <f t="shared" si="12"/>
        <v>0</v>
      </c>
      <c r="J50" s="511"/>
      <c r="K50" s="525"/>
      <c r="L50" s="514">
        <f t="shared" si="13"/>
        <v>0</v>
      </c>
      <c r="M50" s="525"/>
      <c r="N50" s="514">
        <f t="shared" si="14"/>
        <v>0</v>
      </c>
      <c r="O50" s="514">
        <f t="shared" si="15"/>
        <v>0</v>
      </c>
      <c r="P50" s="272"/>
    </row>
    <row r="51" spans="2:17" ht="12.5">
      <c r="B51" s="195" t="str">
        <f t="shared" si="8"/>
        <v/>
      </c>
      <c r="C51" s="507">
        <f>IF(D11="","-",+C50+1)</f>
        <v>2041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10"/>
        <v>0</v>
      </c>
      <c r="H51" s="491">
        <f t="shared" si="11"/>
        <v>0</v>
      </c>
      <c r="I51" s="511">
        <f t="shared" si="12"/>
        <v>0</v>
      </c>
      <c r="J51" s="511"/>
      <c r="K51" s="525"/>
      <c r="L51" s="514">
        <f t="shared" si="13"/>
        <v>0</v>
      </c>
      <c r="M51" s="525"/>
      <c r="N51" s="514">
        <f t="shared" si="14"/>
        <v>0</v>
      </c>
      <c r="O51" s="514">
        <f t="shared" si="15"/>
        <v>0</v>
      </c>
      <c r="P51" s="272"/>
    </row>
    <row r="52" spans="2:17" ht="12.5">
      <c r="B52" s="195" t="str">
        <f t="shared" si="8"/>
        <v/>
      </c>
      <c r="C52" s="507">
        <f>IF(D11="","-",+C51+1)</f>
        <v>2042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10"/>
        <v>0</v>
      </c>
      <c r="H52" s="491">
        <f t="shared" si="11"/>
        <v>0</v>
      </c>
      <c r="I52" s="511">
        <f t="shared" si="12"/>
        <v>0</v>
      </c>
      <c r="J52" s="511"/>
      <c r="K52" s="525"/>
      <c r="L52" s="514">
        <f t="shared" si="13"/>
        <v>0</v>
      </c>
      <c r="M52" s="525"/>
      <c r="N52" s="514">
        <f t="shared" si="14"/>
        <v>0</v>
      </c>
      <c r="O52" s="514">
        <f t="shared" si="15"/>
        <v>0</v>
      </c>
      <c r="P52" s="272"/>
    </row>
    <row r="53" spans="2:17" ht="12.5">
      <c r="B53" s="195" t="str">
        <f t="shared" si="8"/>
        <v/>
      </c>
      <c r="C53" s="507">
        <f>IF(D11="","-",+C52+1)</f>
        <v>2043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10"/>
        <v>0</v>
      </c>
      <c r="H53" s="491">
        <f t="shared" si="11"/>
        <v>0</v>
      </c>
      <c r="I53" s="511">
        <f t="shared" si="12"/>
        <v>0</v>
      </c>
      <c r="J53" s="511"/>
      <c r="K53" s="525"/>
      <c r="L53" s="514">
        <f t="shared" si="13"/>
        <v>0</v>
      </c>
      <c r="M53" s="525"/>
      <c r="N53" s="514">
        <f t="shared" si="14"/>
        <v>0</v>
      </c>
      <c r="O53" s="514">
        <f t="shared" si="15"/>
        <v>0</v>
      </c>
      <c r="P53" s="272"/>
    </row>
    <row r="54" spans="2:17" ht="12.5">
      <c r="B54" s="195" t="str">
        <f t="shared" si="8"/>
        <v/>
      </c>
      <c r="C54" s="507">
        <f>IF(D11="","-",+C53+1)</f>
        <v>2044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10"/>
        <v>0</v>
      </c>
      <c r="H54" s="491">
        <f t="shared" si="11"/>
        <v>0</v>
      </c>
      <c r="I54" s="511">
        <f t="shared" si="12"/>
        <v>0</v>
      </c>
      <c r="J54" s="511"/>
      <c r="K54" s="525"/>
      <c r="L54" s="514">
        <f t="shared" si="13"/>
        <v>0</v>
      </c>
      <c r="M54" s="525"/>
      <c r="N54" s="514">
        <f t="shared" si="14"/>
        <v>0</v>
      </c>
      <c r="O54" s="514">
        <f t="shared" si="15"/>
        <v>0</v>
      </c>
      <c r="P54" s="272"/>
    </row>
    <row r="55" spans="2:17" ht="12.5">
      <c r="B55" s="195" t="str">
        <f t="shared" si="8"/>
        <v/>
      </c>
      <c r="C55" s="507">
        <f>IF(D11="","-",+C54+1)</f>
        <v>2045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10"/>
        <v>0</v>
      </c>
      <c r="H55" s="491">
        <f t="shared" si="11"/>
        <v>0</v>
      </c>
      <c r="I55" s="511">
        <f t="shared" si="12"/>
        <v>0</v>
      </c>
      <c r="J55" s="511"/>
      <c r="K55" s="525"/>
      <c r="L55" s="514">
        <f t="shared" si="13"/>
        <v>0</v>
      </c>
      <c r="M55" s="525"/>
      <c r="N55" s="514">
        <f t="shared" si="14"/>
        <v>0</v>
      </c>
      <c r="O55" s="514">
        <f t="shared" si="15"/>
        <v>0</v>
      </c>
      <c r="P55" s="272"/>
    </row>
    <row r="56" spans="2:17" ht="12.5">
      <c r="B56" s="195" t="str">
        <f t="shared" si="8"/>
        <v/>
      </c>
      <c r="C56" s="507">
        <f>IF(D11="","-",+C55+1)</f>
        <v>2046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10"/>
        <v>0</v>
      </c>
      <c r="H56" s="491">
        <f t="shared" si="11"/>
        <v>0</v>
      </c>
      <c r="I56" s="511">
        <f t="shared" si="12"/>
        <v>0</v>
      </c>
      <c r="J56" s="511"/>
      <c r="K56" s="525"/>
      <c r="L56" s="514">
        <f t="shared" si="13"/>
        <v>0</v>
      </c>
      <c r="M56" s="525"/>
      <c r="N56" s="514">
        <f t="shared" si="14"/>
        <v>0</v>
      </c>
      <c r="O56" s="514">
        <f t="shared" si="15"/>
        <v>0</v>
      </c>
      <c r="P56" s="272"/>
    </row>
    <row r="57" spans="2:17" ht="12.5">
      <c r="B57" s="195" t="str">
        <f t="shared" si="8"/>
        <v/>
      </c>
      <c r="C57" s="507">
        <f>IF(D11="","-",+C56+1)</f>
        <v>2047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10"/>
        <v>0</v>
      </c>
      <c r="H57" s="491">
        <f t="shared" si="11"/>
        <v>0</v>
      </c>
      <c r="I57" s="511">
        <f t="shared" si="12"/>
        <v>0</v>
      </c>
      <c r="J57" s="511"/>
      <c r="K57" s="525"/>
      <c r="L57" s="514">
        <f t="shared" si="13"/>
        <v>0</v>
      </c>
      <c r="M57" s="525"/>
      <c r="N57" s="514">
        <f t="shared" si="14"/>
        <v>0</v>
      </c>
      <c r="O57" s="514">
        <f t="shared" si="15"/>
        <v>0</v>
      </c>
      <c r="P57" s="272"/>
    </row>
    <row r="58" spans="2:17" ht="12.5">
      <c r="B58" s="195" t="str">
        <f t="shared" si="8"/>
        <v/>
      </c>
      <c r="C58" s="507">
        <f>IF(D11="","-",+C57+1)</f>
        <v>2048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10"/>
        <v>0</v>
      </c>
      <c r="H58" s="491">
        <f t="shared" si="11"/>
        <v>0</v>
      </c>
      <c r="I58" s="511">
        <f t="shared" si="12"/>
        <v>0</v>
      </c>
      <c r="J58" s="511"/>
      <c r="K58" s="525"/>
      <c r="L58" s="514">
        <f t="shared" si="13"/>
        <v>0</v>
      </c>
      <c r="M58" s="525"/>
      <c r="N58" s="514">
        <f t="shared" si="14"/>
        <v>0</v>
      </c>
      <c r="O58" s="514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8"/>
        <v/>
      </c>
      <c r="C59" s="507">
        <f>IF(D11="","-",+C58+1)</f>
        <v>2049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10"/>
        <v>0</v>
      </c>
      <c r="H59" s="491">
        <f t="shared" si="11"/>
        <v>0</v>
      </c>
      <c r="I59" s="511">
        <f t="shared" si="12"/>
        <v>0</v>
      </c>
      <c r="J59" s="511"/>
      <c r="K59" s="525"/>
      <c r="L59" s="514">
        <f t="shared" si="13"/>
        <v>0</v>
      </c>
      <c r="M59" s="525"/>
      <c r="N59" s="514">
        <f t="shared" si="14"/>
        <v>0</v>
      </c>
      <c r="O59" s="514">
        <f t="shared" si="15"/>
        <v>0</v>
      </c>
      <c r="P59" s="272"/>
    </row>
    <row r="60" spans="2:17" ht="12.5">
      <c r="B60" s="195" t="str">
        <f t="shared" si="8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10"/>
        <v>0</v>
      </c>
      <c r="H60" s="491">
        <f t="shared" si="11"/>
        <v>0</v>
      </c>
      <c r="I60" s="511">
        <f t="shared" si="12"/>
        <v>0</v>
      </c>
      <c r="J60" s="511"/>
      <c r="K60" s="525"/>
      <c r="L60" s="514">
        <f t="shared" si="13"/>
        <v>0</v>
      </c>
      <c r="M60" s="525"/>
      <c r="N60" s="514">
        <f t="shared" si="14"/>
        <v>0</v>
      </c>
      <c r="O60" s="514">
        <f t="shared" si="15"/>
        <v>0</v>
      </c>
      <c r="P60" s="272"/>
    </row>
    <row r="61" spans="2:17" ht="12.5">
      <c r="B61" s="195" t="str">
        <f t="shared" si="8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10"/>
        <v>0</v>
      </c>
      <c r="H61" s="491">
        <f t="shared" si="11"/>
        <v>0</v>
      </c>
      <c r="I61" s="511">
        <f t="shared" si="12"/>
        <v>0</v>
      </c>
      <c r="J61" s="511"/>
      <c r="K61" s="525"/>
      <c r="L61" s="514">
        <f t="shared" si="13"/>
        <v>0</v>
      </c>
      <c r="M61" s="525"/>
      <c r="N61" s="514">
        <f t="shared" si="14"/>
        <v>0</v>
      </c>
      <c r="O61" s="514">
        <f t="shared" si="15"/>
        <v>0</v>
      </c>
      <c r="P61" s="272"/>
    </row>
    <row r="62" spans="2:17" ht="12.5">
      <c r="B62" s="195" t="str">
        <f t="shared" si="8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10"/>
        <v>0</v>
      </c>
      <c r="H62" s="491">
        <f t="shared" si="11"/>
        <v>0</v>
      </c>
      <c r="I62" s="511">
        <f t="shared" si="12"/>
        <v>0</v>
      </c>
      <c r="J62" s="511"/>
      <c r="K62" s="525"/>
      <c r="L62" s="514">
        <f t="shared" si="13"/>
        <v>0</v>
      </c>
      <c r="M62" s="525"/>
      <c r="N62" s="514">
        <f t="shared" si="14"/>
        <v>0</v>
      </c>
      <c r="O62" s="514">
        <f t="shared" si="15"/>
        <v>0</v>
      </c>
      <c r="P62" s="272"/>
    </row>
    <row r="63" spans="2:17" ht="12.5">
      <c r="B63" s="195" t="str">
        <f t="shared" si="8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10"/>
        <v>0</v>
      </c>
      <c r="H63" s="491">
        <f t="shared" si="11"/>
        <v>0</v>
      </c>
      <c r="I63" s="511">
        <f t="shared" si="12"/>
        <v>0</v>
      </c>
      <c r="J63" s="511"/>
      <c r="K63" s="525"/>
      <c r="L63" s="514">
        <f t="shared" si="13"/>
        <v>0</v>
      </c>
      <c r="M63" s="525"/>
      <c r="N63" s="514">
        <f t="shared" si="14"/>
        <v>0</v>
      </c>
      <c r="O63" s="514">
        <f t="shared" si="15"/>
        <v>0</v>
      </c>
      <c r="P63" s="272"/>
    </row>
    <row r="64" spans="2:17" ht="12.5">
      <c r="B64" s="195" t="str">
        <f t="shared" si="8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10"/>
        <v>0</v>
      </c>
      <c r="H64" s="491">
        <f t="shared" si="11"/>
        <v>0</v>
      </c>
      <c r="I64" s="511">
        <f t="shared" si="12"/>
        <v>0</v>
      </c>
      <c r="J64" s="511"/>
      <c r="K64" s="525"/>
      <c r="L64" s="514">
        <f t="shared" si="13"/>
        <v>0</v>
      </c>
      <c r="M64" s="525"/>
      <c r="N64" s="514">
        <f t="shared" si="14"/>
        <v>0</v>
      </c>
      <c r="O64" s="514">
        <f t="shared" si="15"/>
        <v>0</v>
      </c>
      <c r="P64" s="272"/>
    </row>
    <row r="65" spans="1:16" ht="12.5">
      <c r="B65" s="195" t="str">
        <f t="shared" si="8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10"/>
        <v>0</v>
      </c>
      <c r="H65" s="491">
        <f t="shared" si="11"/>
        <v>0</v>
      </c>
      <c r="I65" s="511">
        <f t="shared" si="12"/>
        <v>0</v>
      </c>
      <c r="J65" s="511"/>
      <c r="K65" s="525"/>
      <c r="L65" s="514">
        <f t="shared" si="13"/>
        <v>0</v>
      </c>
      <c r="M65" s="525"/>
      <c r="N65" s="514">
        <f t="shared" si="14"/>
        <v>0</v>
      </c>
      <c r="O65" s="514">
        <f t="shared" si="15"/>
        <v>0</v>
      </c>
      <c r="P65" s="272"/>
    </row>
    <row r="66" spans="1:16" ht="12.5">
      <c r="B66" s="195" t="str">
        <f t="shared" si="8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10"/>
        <v>0</v>
      </c>
      <c r="H66" s="491">
        <f t="shared" si="11"/>
        <v>0</v>
      </c>
      <c r="I66" s="511">
        <f t="shared" si="12"/>
        <v>0</v>
      </c>
      <c r="J66" s="511"/>
      <c r="K66" s="525"/>
      <c r="L66" s="514">
        <f t="shared" si="13"/>
        <v>0</v>
      </c>
      <c r="M66" s="525"/>
      <c r="N66" s="514">
        <f t="shared" si="14"/>
        <v>0</v>
      </c>
      <c r="O66" s="514">
        <f t="shared" si="15"/>
        <v>0</v>
      </c>
      <c r="P66" s="272"/>
    </row>
    <row r="67" spans="1:16" ht="12.5">
      <c r="B67" s="195" t="str">
        <f t="shared" si="8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10"/>
        <v>0</v>
      </c>
      <c r="H67" s="491">
        <f t="shared" si="11"/>
        <v>0</v>
      </c>
      <c r="I67" s="511">
        <f t="shared" si="12"/>
        <v>0</v>
      </c>
      <c r="J67" s="511"/>
      <c r="K67" s="525"/>
      <c r="L67" s="514">
        <f t="shared" si="13"/>
        <v>0</v>
      </c>
      <c r="M67" s="525"/>
      <c r="N67" s="514">
        <f t="shared" si="14"/>
        <v>0</v>
      </c>
      <c r="O67" s="514">
        <f t="shared" si="15"/>
        <v>0</v>
      </c>
      <c r="P67" s="272"/>
    </row>
    <row r="68" spans="1:16" ht="12.5">
      <c r="B68" s="195" t="str">
        <f t="shared" si="8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10"/>
        <v>0</v>
      </c>
      <c r="H68" s="491">
        <f t="shared" si="11"/>
        <v>0</v>
      </c>
      <c r="I68" s="511">
        <f t="shared" si="12"/>
        <v>0</v>
      </c>
      <c r="J68" s="511"/>
      <c r="K68" s="525"/>
      <c r="L68" s="514">
        <f t="shared" si="13"/>
        <v>0</v>
      </c>
      <c r="M68" s="525"/>
      <c r="N68" s="514">
        <f t="shared" si="14"/>
        <v>0</v>
      </c>
      <c r="O68" s="514">
        <f t="shared" si="15"/>
        <v>0</v>
      </c>
      <c r="P68" s="272"/>
    </row>
    <row r="69" spans="1:16" ht="12.5">
      <c r="B69" s="195" t="str">
        <f t="shared" si="8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10"/>
        <v>0</v>
      </c>
      <c r="H69" s="491">
        <f t="shared" si="11"/>
        <v>0</v>
      </c>
      <c r="I69" s="511">
        <f t="shared" si="12"/>
        <v>0</v>
      </c>
      <c r="J69" s="511"/>
      <c r="K69" s="525"/>
      <c r="L69" s="514">
        <f t="shared" si="13"/>
        <v>0</v>
      </c>
      <c r="M69" s="525"/>
      <c r="N69" s="514">
        <f t="shared" si="14"/>
        <v>0</v>
      </c>
      <c r="O69" s="514">
        <f t="shared" si="15"/>
        <v>0</v>
      </c>
      <c r="P69" s="272"/>
    </row>
    <row r="70" spans="1:16" ht="12.5">
      <c r="B70" s="195" t="str">
        <f t="shared" si="8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10"/>
        <v>0</v>
      </c>
      <c r="H70" s="491">
        <f t="shared" si="11"/>
        <v>0</v>
      </c>
      <c r="I70" s="511">
        <f t="shared" si="12"/>
        <v>0</v>
      </c>
      <c r="J70" s="511"/>
      <c r="K70" s="525"/>
      <c r="L70" s="514">
        <f t="shared" si="13"/>
        <v>0</v>
      </c>
      <c r="M70" s="525"/>
      <c r="N70" s="514">
        <f t="shared" si="14"/>
        <v>0</v>
      </c>
      <c r="O70" s="514">
        <f t="shared" si="15"/>
        <v>0</v>
      </c>
      <c r="P70" s="272"/>
    </row>
    <row r="71" spans="1:16" ht="12.5">
      <c r="B71" s="195" t="str">
        <f t="shared" si="8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10"/>
        <v>0</v>
      </c>
      <c r="H71" s="491">
        <f t="shared" si="11"/>
        <v>0</v>
      </c>
      <c r="I71" s="511">
        <f t="shared" si="12"/>
        <v>0</v>
      </c>
      <c r="J71" s="511"/>
      <c r="K71" s="525"/>
      <c r="L71" s="514">
        <f t="shared" si="13"/>
        <v>0</v>
      </c>
      <c r="M71" s="525"/>
      <c r="N71" s="514">
        <f t="shared" si="14"/>
        <v>0</v>
      </c>
      <c r="O71" s="514">
        <f t="shared" si="15"/>
        <v>0</v>
      </c>
      <c r="P71" s="272"/>
    </row>
    <row r="72" spans="1:16" ht="13" thickBot="1">
      <c r="B72" s="195" t="str">
        <f t="shared" si="8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10"/>
        <v>0</v>
      </c>
      <c r="H72" s="471">
        <f t="shared" si="11"/>
        <v>0</v>
      </c>
      <c r="I72" s="531">
        <f t="shared" si="12"/>
        <v>0</v>
      </c>
      <c r="J72" s="511"/>
      <c r="K72" s="532"/>
      <c r="L72" s="533">
        <f t="shared" si="13"/>
        <v>0</v>
      </c>
      <c r="M72" s="532"/>
      <c r="N72" s="533">
        <f t="shared" si="14"/>
        <v>0</v>
      </c>
      <c r="O72" s="533">
        <f t="shared" si="15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11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Siloam Springs - Chamber Springs 161 kV line***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2007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6">+(F99+D99)/2</f>
        <v>0</v>
      </c>
      <c r="H99" s="604">
        <f t="shared" ref="H99:H112" si="17">+J$94*G99+E99</f>
        <v>0</v>
      </c>
      <c r="I99" s="605">
        <f t="shared" ref="I99:I112" si="18">+J$95*G99+E99</f>
        <v>0</v>
      </c>
      <c r="J99" s="514">
        <f t="shared" ref="J99:J130" si="19">+I99-H99</f>
        <v>0</v>
      </c>
      <c r="K99" s="514"/>
      <c r="L99" s="512">
        <f>K17</f>
        <v>741629</v>
      </c>
      <c r="M99" s="513">
        <f t="shared" ref="M99:M130" si="20">IF(L99&lt;&gt;0,+H99-L99,0)</f>
        <v>-741629</v>
      </c>
      <c r="N99" s="512">
        <f>M17</f>
        <v>741629</v>
      </c>
      <c r="O99" s="513">
        <f t="shared" ref="O99:O130" si="21">IF(N99&lt;&gt;0,+I99-N99,0)</f>
        <v>-741629</v>
      </c>
      <c r="P99" s="513">
        <f t="shared" ref="P99:P130" si="22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2008</v>
      </c>
      <c r="D100" s="374">
        <f t="shared" ref="D100:D109" si="23">F99</f>
        <v>0</v>
      </c>
      <c r="E100" s="522">
        <f>IF(+J96&lt;F99,J96,D100)</f>
        <v>0</v>
      </c>
      <c r="F100" s="523">
        <f t="shared" ref="F100:F130" si="24">+D100-E100</f>
        <v>0</v>
      </c>
      <c r="G100" s="523">
        <f t="shared" si="16"/>
        <v>0</v>
      </c>
      <c r="H100" s="526">
        <f t="shared" si="17"/>
        <v>0</v>
      </c>
      <c r="I100" s="577">
        <f t="shared" si="18"/>
        <v>0</v>
      </c>
      <c r="J100" s="514">
        <f t="shared" si="19"/>
        <v>0</v>
      </c>
      <c r="K100" s="514"/>
      <c r="L100" s="518">
        <v>0</v>
      </c>
      <c r="M100" s="514">
        <f t="shared" si="20"/>
        <v>0</v>
      </c>
      <c r="N100" s="518">
        <v>0</v>
      </c>
      <c r="O100" s="514">
        <f t="shared" si="21"/>
        <v>0</v>
      </c>
      <c r="P100" s="514">
        <f t="shared" si="22"/>
        <v>0</v>
      </c>
      <c r="Q100" s="269"/>
    </row>
    <row r="101" spans="1:17" ht="12.5">
      <c r="B101" s="195" t="str">
        <f t="shared" ref="B101:B154" si="25">IF(D101=F100,"","IU")</f>
        <v/>
      </c>
      <c r="C101" s="507">
        <f>IF(D93="","-",+C100+1)</f>
        <v>2009</v>
      </c>
      <c r="D101" s="374">
        <f t="shared" si="23"/>
        <v>0</v>
      </c>
      <c r="E101" s="522">
        <f>IF(+J96&lt;F100,J96,D101)</f>
        <v>0</v>
      </c>
      <c r="F101" s="523">
        <f t="shared" si="24"/>
        <v>0</v>
      </c>
      <c r="G101" s="523">
        <f t="shared" si="16"/>
        <v>0</v>
      </c>
      <c r="H101" s="526">
        <f t="shared" si="17"/>
        <v>0</v>
      </c>
      <c r="I101" s="577">
        <f t="shared" si="18"/>
        <v>0</v>
      </c>
      <c r="J101" s="514">
        <f t="shared" si="19"/>
        <v>0</v>
      </c>
      <c r="K101" s="514"/>
      <c r="L101" s="518">
        <v>0</v>
      </c>
      <c r="M101" s="514">
        <f t="shared" si="20"/>
        <v>0</v>
      </c>
      <c r="N101" s="518">
        <v>0</v>
      </c>
      <c r="O101" s="514">
        <f t="shared" si="21"/>
        <v>0</v>
      </c>
      <c r="P101" s="514">
        <f t="shared" si="22"/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2010</v>
      </c>
      <c r="D102" s="374">
        <f t="shared" si="23"/>
        <v>0</v>
      </c>
      <c r="E102" s="522">
        <f>IF(+J96&lt;F101,J96,D102)</f>
        <v>0</v>
      </c>
      <c r="F102" s="523">
        <f t="shared" si="24"/>
        <v>0</v>
      </c>
      <c r="G102" s="523">
        <f t="shared" si="16"/>
        <v>0</v>
      </c>
      <c r="H102" s="526">
        <f t="shared" si="17"/>
        <v>0</v>
      </c>
      <c r="I102" s="577">
        <f t="shared" si="18"/>
        <v>0</v>
      </c>
      <c r="J102" s="514">
        <f t="shared" si="19"/>
        <v>0</v>
      </c>
      <c r="K102" s="514"/>
      <c r="L102" s="525"/>
      <c r="M102" s="514">
        <f t="shared" si="20"/>
        <v>0</v>
      </c>
      <c r="N102" s="525"/>
      <c r="O102" s="514">
        <f t="shared" si="21"/>
        <v>0</v>
      </c>
      <c r="P102" s="514">
        <f t="shared" si="22"/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2011</v>
      </c>
      <c r="D103" s="374">
        <f t="shared" si="23"/>
        <v>0</v>
      </c>
      <c r="E103" s="522">
        <f>IF(+J96&lt;F102,J96,D103)</f>
        <v>0</v>
      </c>
      <c r="F103" s="523">
        <f t="shared" si="24"/>
        <v>0</v>
      </c>
      <c r="G103" s="523">
        <f t="shared" si="16"/>
        <v>0</v>
      </c>
      <c r="H103" s="526">
        <f t="shared" si="17"/>
        <v>0</v>
      </c>
      <c r="I103" s="577">
        <f t="shared" si="18"/>
        <v>0</v>
      </c>
      <c r="J103" s="514">
        <f t="shared" si="19"/>
        <v>0</v>
      </c>
      <c r="K103" s="514"/>
      <c r="L103" s="525"/>
      <c r="M103" s="514">
        <f t="shared" si="20"/>
        <v>0</v>
      </c>
      <c r="N103" s="525"/>
      <c r="O103" s="514">
        <f t="shared" si="21"/>
        <v>0</v>
      </c>
      <c r="P103" s="514">
        <f t="shared" si="22"/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2012</v>
      </c>
      <c r="D104" s="374">
        <f t="shared" si="23"/>
        <v>0</v>
      </c>
      <c r="E104" s="522">
        <f>IF(+J96&lt;F103,J96,D104)</f>
        <v>0</v>
      </c>
      <c r="F104" s="523">
        <f t="shared" si="24"/>
        <v>0</v>
      </c>
      <c r="G104" s="523">
        <f t="shared" si="16"/>
        <v>0</v>
      </c>
      <c r="H104" s="526">
        <f t="shared" si="17"/>
        <v>0</v>
      </c>
      <c r="I104" s="577">
        <f t="shared" si="18"/>
        <v>0</v>
      </c>
      <c r="J104" s="514">
        <f t="shared" si="19"/>
        <v>0</v>
      </c>
      <c r="K104" s="514"/>
      <c r="L104" s="525"/>
      <c r="M104" s="514">
        <f t="shared" si="20"/>
        <v>0</v>
      </c>
      <c r="N104" s="525"/>
      <c r="O104" s="514">
        <f t="shared" si="21"/>
        <v>0</v>
      </c>
      <c r="P104" s="514">
        <f t="shared" si="22"/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2013</v>
      </c>
      <c r="D105" s="374">
        <f t="shared" si="23"/>
        <v>0</v>
      </c>
      <c r="E105" s="522">
        <f>IF(+J96&lt;F104,J96,D105)</f>
        <v>0</v>
      </c>
      <c r="F105" s="523">
        <f t="shared" si="24"/>
        <v>0</v>
      </c>
      <c r="G105" s="523">
        <f t="shared" si="16"/>
        <v>0</v>
      </c>
      <c r="H105" s="526">
        <f t="shared" si="17"/>
        <v>0</v>
      </c>
      <c r="I105" s="577">
        <f t="shared" si="18"/>
        <v>0</v>
      </c>
      <c r="J105" s="514">
        <f t="shared" si="19"/>
        <v>0</v>
      </c>
      <c r="K105" s="514"/>
      <c r="L105" s="525"/>
      <c r="M105" s="514">
        <f t="shared" si="20"/>
        <v>0</v>
      </c>
      <c r="N105" s="525"/>
      <c r="O105" s="514">
        <f t="shared" si="21"/>
        <v>0</v>
      </c>
      <c r="P105" s="514">
        <f t="shared" si="22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2014</v>
      </c>
      <c r="D106" s="374">
        <f t="shared" si="23"/>
        <v>0</v>
      </c>
      <c r="E106" s="522">
        <f>IF(+J96&lt;F105,J96,D106)</f>
        <v>0</v>
      </c>
      <c r="F106" s="523">
        <f t="shared" si="24"/>
        <v>0</v>
      </c>
      <c r="G106" s="523">
        <f t="shared" si="16"/>
        <v>0</v>
      </c>
      <c r="H106" s="526">
        <f t="shared" si="17"/>
        <v>0</v>
      </c>
      <c r="I106" s="577">
        <f t="shared" si="18"/>
        <v>0</v>
      </c>
      <c r="J106" s="514">
        <f t="shared" si="19"/>
        <v>0</v>
      </c>
      <c r="K106" s="514"/>
      <c r="L106" s="525"/>
      <c r="M106" s="514">
        <f t="shared" si="20"/>
        <v>0</v>
      </c>
      <c r="N106" s="525"/>
      <c r="O106" s="514">
        <f t="shared" si="21"/>
        <v>0</v>
      </c>
      <c r="P106" s="514">
        <f t="shared" si="22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2015</v>
      </c>
      <c r="D107" s="374">
        <f t="shared" si="23"/>
        <v>0</v>
      </c>
      <c r="E107" s="522">
        <f>IF(+J96&lt;F106,J96,D107)</f>
        <v>0</v>
      </c>
      <c r="F107" s="523">
        <f t="shared" si="24"/>
        <v>0</v>
      </c>
      <c r="G107" s="523">
        <f t="shared" si="16"/>
        <v>0</v>
      </c>
      <c r="H107" s="526">
        <f t="shared" si="17"/>
        <v>0</v>
      </c>
      <c r="I107" s="577">
        <f t="shared" si="18"/>
        <v>0</v>
      </c>
      <c r="J107" s="514">
        <f t="shared" si="19"/>
        <v>0</v>
      </c>
      <c r="K107" s="514"/>
      <c r="L107" s="525"/>
      <c r="M107" s="514">
        <f t="shared" si="20"/>
        <v>0</v>
      </c>
      <c r="N107" s="525"/>
      <c r="O107" s="514">
        <f t="shared" si="21"/>
        <v>0</v>
      </c>
      <c r="P107" s="514">
        <f t="shared" si="22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2016</v>
      </c>
      <c r="D108" s="374">
        <f t="shared" si="23"/>
        <v>0</v>
      </c>
      <c r="E108" s="522">
        <f>IF(+J96&lt;F107,J96,D108)</f>
        <v>0</v>
      </c>
      <c r="F108" s="523">
        <f t="shared" si="24"/>
        <v>0</v>
      </c>
      <c r="G108" s="523">
        <f t="shared" si="16"/>
        <v>0</v>
      </c>
      <c r="H108" s="526">
        <f t="shared" si="17"/>
        <v>0</v>
      </c>
      <c r="I108" s="577">
        <f t="shared" si="18"/>
        <v>0</v>
      </c>
      <c r="J108" s="514">
        <f t="shared" si="19"/>
        <v>0</v>
      </c>
      <c r="K108" s="514"/>
      <c r="L108" s="525"/>
      <c r="M108" s="514">
        <f t="shared" si="20"/>
        <v>0</v>
      </c>
      <c r="N108" s="525"/>
      <c r="O108" s="514">
        <f t="shared" si="21"/>
        <v>0</v>
      </c>
      <c r="P108" s="514">
        <f t="shared" si="22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2017</v>
      </c>
      <c r="D109" s="374">
        <f t="shared" si="23"/>
        <v>0</v>
      </c>
      <c r="E109" s="522">
        <f>IF(+J96&lt;F108,J96,D109)</f>
        <v>0</v>
      </c>
      <c r="F109" s="523">
        <f t="shared" si="24"/>
        <v>0</v>
      </c>
      <c r="G109" s="523">
        <f t="shared" si="16"/>
        <v>0</v>
      </c>
      <c r="H109" s="526">
        <f t="shared" si="17"/>
        <v>0</v>
      </c>
      <c r="I109" s="577">
        <f t="shared" si="18"/>
        <v>0</v>
      </c>
      <c r="J109" s="514">
        <f t="shared" si="19"/>
        <v>0</v>
      </c>
      <c r="K109" s="514"/>
      <c r="L109" s="525"/>
      <c r="M109" s="514">
        <f t="shared" si="20"/>
        <v>0</v>
      </c>
      <c r="N109" s="525"/>
      <c r="O109" s="514">
        <f t="shared" si="21"/>
        <v>0</v>
      </c>
      <c r="P109" s="514">
        <f t="shared" si="22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2018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4"/>
        <v>0</v>
      </c>
      <c r="G110" s="523">
        <f t="shared" si="16"/>
        <v>0</v>
      </c>
      <c r="H110" s="526">
        <f t="shared" si="17"/>
        <v>0</v>
      </c>
      <c r="I110" s="577">
        <f t="shared" si="18"/>
        <v>0</v>
      </c>
      <c r="J110" s="514">
        <f t="shared" si="19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2019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4"/>
        <v>0</v>
      </c>
      <c r="G111" s="523">
        <f t="shared" si="16"/>
        <v>0</v>
      </c>
      <c r="H111" s="526">
        <f t="shared" si="17"/>
        <v>0</v>
      </c>
      <c r="I111" s="577">
        <f t="shared" si="18"/>
        <v>0</v>
      </c>
      <c r="J111" s="514">
        <f t="shared" si="19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2020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4"/>
        <v>0</v>
      </c>
      <c r="G112" s="523">
        <f t="shared" si="16"/>
        <v>0</v>
      </c>
      <c r="H112" s="526">
        <f t="shared" si="17"/>
        <v>0</v>
      </c>
      <c r="I112" s="577">
        <f t="shared" si="18"/>
        <v>0</v>
      </c>
      <c r="J112" s="514">
        <f t="shared" si="19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2021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4"/>
        <v>0</v>
      </c>
      <c r="G113" s="523">
        <f t="shared" si="16"/>
        <v>0</v>
      </c>
      <c r="H113" s="526">
        <f t="shared" ref="H113:H154" si="26">+J$94*G113+E113</f>
        <v>0</v>
      </c>
      <c r="I113" s="577">
        <f t="shared" ref="I113:I154" si="27">+J$95*G113+E113</f>
        <v>0</v>
      </c>
      <c r="J113" s="514">
        <f t="shared" si="19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2022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4"/>
        <v>0</v>
      </c>
      <c r="G114" s="523">
        <f t="shared" si="16"/>
        <v>0</v>
      </c>
      <c r="H114" s="526">
        <f t="shared" si="26"/>
        <v>0</v>
      </c>
      <c r="I114" s="577">
        <f t="shared" si="27"/>
        <v>0</v>
      </c>
      <c r="J114" s="514">
        <f t="shared" si="19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2023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4"/>
        <v>0</v>
      </c>
      <c r="G115" s="523">
        <f t="shared" si="16"/>
        <v>0</v>
      </c>
      <c r="H115" s="526">
        <f t="shared" si="26"/>
        <v>0</v>
      </c>
      <c r="I115" s="577">
        <f t="shared" si="27"/>
        <v>0</v>
      </c>
      <c r="J115" s="514">
        <f t="shared" si="19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2024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4"/>
        <v>0</v>
      </c>
      <c r="G116" s="523">
        <f t="shared" si="16"/>
        <v>0</v>
      </c>
      <c r="H116" s="526">
        <f t="shared" si="26"/>
        <v>0</v>
      </c>
      <c r="I116" s="577">
        <f t="shared" si="27"/>
        <v>0</v>
      </c>
      <c r="J116" s="514">
        <f t="shared" si="19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2025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4"/>
        <v>0</v>
      </c>
      <c r="G117" s="523">
        <f t="shared" si="16"/>
        <v>0</v>
      </c>
      <c r="H117" s="526">
        <f t="shared" si="26"/>
        <v>0</v>
      </c>
      <c r="I117" s="577">
        <f t="shared" si="27"/>
        <v>0</v>
      </c>
      <c r="J117" s="514">
        <f t="shared" si="19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2026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4"/>
        <v>0</v>
      </c>
      <c r="G118" s="523">
        <f t="shared" si="16"/>
        <v>0</v>
      </c>
      <c r="H118" s="526">
        <f t="shared" si="26"/>
        <v>0</v>
      </c>
      <c r="I118" s="577">
        <f t="shared" si="27"/>
        <v>0</v>
      </c>
      <c r="J118" s="514">
        <f t="shared" si="19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2027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4"/>
        <v>0</v>
      </c>
      <c r="G119" s="523">
        <f t="shared" si="16"/>
        <v>0</v>
      </c>
      <c r="H119" s="526">
        <f t="shared" si="26"/>
        <v>0</v>
      </c>
      <c r="I119" s="577">
        <f t="shared" si="27"/>
        <v>0</v>
      </c>
      <c r="J119" s="514">
        <f t="shared" si="19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2028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4"/>
        <v>0</v>
      </c>
      <c r="G120" s="523">
        <f t="shared" si="16"/>
        <v>0</v>
      </c>
      <c r="H120" s="526">
        <f t="shared" si="26"/>
        <v>0</v>
      </c>
      <c r="I120" s="577">
        <f t="shared" si="27"/>
        <v>0</v>
      </c>
      <c r="J120" s="514">
        <f t="shared" si="19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2029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4"/>
        <v>0</v>
      </c>
      <c r="G121" s="523">
        <f t="shared" si="16"/>
        <v>0</v>
      </c>
      <c r="H121" s="526">
        <f t="shared" si="26"/>
        <v>0</v>
      </c>
      <c r="I121" s="577">
        <f t="shared" si="27"/>
        <v>0</v>
      </c>
      <c r="J121" s="514">
        <f t="shared" si="19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2030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4"/>
        <v>0</v>
      </c>
      <c r="G122" s="523">
        <f t="shared" si="16"/>
        <v>0</v>
      </c>
      <c r="H122" s="526">
        <f t="shared" si="26"/>
        <v>0</v>
      </c>
      <c r="I122" s="577">
        <f t="shared" si="27"/>
        <v>0</v>
      </c>
      <c r="J122" s="514">
        <f t="shared" si="19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2031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4"/>
        <v>0</v>
      </c>
      <c r="G123" s="523">
        <f t="shared" si="16"/>
        <v>0</v>
      </c>
      <c r="H123" s="526">
        <f t="shared" si="26"/>
        <v>0</v>
      </c>
      <c r="I123" s="577">
        <f t="shared" si="27"/>
        <v>0</v>
      </c>
      <c r="J123" s="514">
        <f t="shared" si="19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2032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4"/>
        <v>0</v>
      </c>
      <c r="G124" s="523">
        <f t="shared" si="16"/>
        <v>0</v>
      </c>
      <c r="H124" s="526">
        <f t="shared" si="26"/>
        <v>0</v>
      </c>
      <c r="I124" s="577">
        <f t="shared" si="27"/>
        <v>0</v>
      </c>
      <c r="J124" s="514">
        <f t="shared" si="19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2033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4"/>
        <v>0</v>
      </c>
      <c r="G125" s="523">
        <f t="shared" si="16"/>
        <v>0</v>
      </c>
      <c r="H125" s="526">
        <f t="shared" si="26"/>
        <v>0</v>
      </c>
      <c r="I125" s="577">
        <f t="shared" si="27"/>
        <v>0</v>
      </c>
      <c r="J125" s="514">
        <f t="shared" si="19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2034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4"/>
        <v>0</v>
      </c>
      <c r="G126" s="523">
        <f t="shared" si="16"/>
        <v>0</v>
      </c>
      <c r="H126" s="526">
        <f t="shared" si="26"/>
        <v>0</v>
      </c>
      <c r="I126" s="577">
        <f t="shared" si="27"/>
        <v>0</v>
      </c>
      <c r="J126" s="514">
        <f t="shared" si="19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2035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4"/>
        <v>0</v>
      </c>
      <c r="G127" s="523">
        <f t="shared" si="16"/>
        <v>0</v>
      </c>
      <c r="H127" s="526">
        <f t="shared" si="26"/>
        <v>0</v>
      </c>
      <c r="I127" s="577">
        <f t="shared" si="27"/>
        <v>0</v>
      </c>
      <c r="J127" s="514">
        <f t="shared" si="19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2036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4"/>
        <v>0</v>
      </c>
      <c r="G128" s="523">
        <f t="shared" si="16"/>
        <v>0</v>
      </c>
      <c r="H128" s="526">
        <f t="shared" si="26"/>
        <v>0</v>
      </c>
      <c r="I128" s="577">
        <f t="shared" si="27"/>
        <v>0</v>
      </c>
      <c r="J128" s="514">
        <f t="shared" si="19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2037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4"/>
        <v>0</v>
      </c>
      <c r="G129" s="523">
        <f t="shared" si="16"/>
        <v>0</v>
      </c>
      <c r="H129" s="526">
        <f t="shared" si="26"/>
        <v>0</v>
      </c>
      <c r="I129" s="577">
        <f t="shared" si="27"/>
        <v>0</v>
      </c>
      <c r="J129" s="514">
        <f t="shared" si="19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2038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4"/>
        <v>0</v>
      </c>
      <c r="G130" s="523">
        <f t="shared" si="16"/>
        <v>0</v>
      </c>
      <c r="H130" s="526">
        <f t="shared" si="26"/>
        <v>0</v>
      </c>
      <c r="I130" s="577">
        <f t="shared" si="27"/>
        <v>0</v>
      </c>
      <c r="J130" s="514">
        <f t="shared" si="19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2039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8">+D131-E131</f>
        <v>0</v>
      </c>
      <c r="G131" s="523">
        <f t="shared" ref="G131:G154" si="29">+(F131+D131)/2</f>
        <v>0</v>
      </c>
      <c r="H131" s="526">
        <f t="shared" si="26"/>
        <v>0</v>
      </c>
      <c r="I131" s="577">
        <f t="shared" si="27"/>
        <v>0</v>
      </c>
      <c r="J131" s="514">
        <f t="shared" ref="J131:J154" si="30">+I131-H131</f>
        <v>0</v>
      </c>
      <c r="K131" s="514"/>
      <c r="L131" s="525"/>
      <c r="M131" s="514">
        <f t="shared" ref="M131:M154" si="31">IF(L131&lt;&gt;0,+H131-L131,0)</f>
        <v>0</v>
      </c>
      <c r="N131" s="525"/>
      <c r="O131" s="514">
        <f t="shared" ref="O131:O154" si="32">IF(N131&lt;&gt;0,+I131-N131,0)</f>
        <v>0</v>
      </c>
      <c r="P131" s="514">
        <f t="shared" ref="P131:P154" si="33">+O131-M131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2040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8"/>
        <v>0</v>
      </c>
      <c r="G132" s="523">
        <f t="shared" si="29"/>
        <v>0</v>
      </c>
      <c r="H132" s="526">
        <f t="shared" si="26"/>
        <v>0</v>
      </c>
      <c r="I132" s="577">
        <f t="shared" si="27"/>
        <v>0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2041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8"/>
        <v>0</v>
      </c>
      <c r="G133" s="523">
        <f t="shared" si="29"/>
        <v>0</v>
      </c>
      <c r="H133" s="526">
        <f t="shared" si="26"/>
        <v>0</v>
      </c>
      <c r="I133" s="577">
        <f t="shared" si="27"/>
        <v>0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2042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8"/>
        <v>0</v>
      </c>
      <c r="G134" s="523">
        <f t="shared" si="29"/>
        <v>0</v>
      </c>
      <c r="H134" s="526">
        <f t="shared" si="26"/>
        <v>0</v>
      </c>
      <c r="I134" s="577">
        <f t="shared" si="27"/>
        <v>0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2043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8"/>
        <v>0</v>
      </c>
      <c r="G135" s="523">
        <f t="shared" si="29"/>
        <v>0</v>
      </c>
      <c r="H135" s="526">
        <f t="shared" si="26"/>
        <v>0</v>
      </c>
      <c r="I135" s="577">
        <f t="shared" si="27"/>
        <v>0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2044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8"/>
        <v>0</v>
      </c>
      <c r="G136" s="523">
        <f t="shared" si="29"/>
        <v>0</v>
      </c>
      <c r="H136" s="526">
        <f t="shared" si="26"/>
        <v>0</v>
      </c>
      <c r="I136" s="577">
        <f t="shared" si="27"/>
        <v>0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2045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8"/>
        <v>0</v>
      </c>
      <c r="G137" s="523">
        <f t="shared" si="29"/>
        <v>0</v>
      </c>
      <c r="H137" s="526">
        <f t="shared" si="26"/>
        <v>0</v>
      </c>
      <c r="I137" s="577">
        <f t="shared" si="27"/>
        <v>0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2046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8"/>
        <v>0</v>
      </c>
      <c r="G138" s="523">
        <f t="shared" si="29"/>
        <v>0</v>
      </c>
      <c r="H138" s="526">
        <f t="shared" si="26"/>
        <v>0</v>
      </c>
      <c r="I138" s="577">
        <f t="shared" si="27"/>
        <v>0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2047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8"/>
        <v>0</v>
      </c>
      <c r="G139" s="523">
        <f t="shared" si="29"/>
        <v>0</v>
      </c>
      <c r="H139" s="526">
        <f t="shared" si="26"/>
        <v>0</v>
      </c>
      <c r="I139" s="577">
        <f t="shared" si="27"/>
        <v>0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2048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8"/>
        <v>0</v>
      </c>
      <c r="G140" s="523">
        <f t="shared" si="29"/>
        <v>0</v>
      </c>
      <c r="H140" s="526">
        <f t="shared" si="26"/>
        <v>0</v>
      </c>
      <c r="I140" s="577">
        <f t="shared" si="27"/>
        <v>0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2049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9" priority="1" stopIfTrue="1" operator="equal">
      <formula>$I$10</formula>
    </cfRule>
  </conditionalFormatting>
  <conditionalFormatting sqref="C99:C154">
    <cfRule type="cellIs" dxfId="13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1"/>
  <dimension ref="A1:Q162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7.542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12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19606.64766056418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19606.64766056418</v>
      </c>
      <c r="O6" s="269"/>
      <c r="P6" s="269"/>
    </row>
    <row r="7" spans="1:17" ht="13.5" thickBot="1">
      <c r="C7" s="467" t="s">
        <v>48</v>
      </c>
      <c r="D7" s="468" t="s">
        <v>164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149</v>
      </c>
      <c r="E9" s="666" t="s">
        <v>480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185247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4410.6428571428569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508">
        <v>77090</v>
      </c>
      <c r="E17" s="509">
        <v>868</v>
      </c>
      <c r="F17" s="508">
        <v>75730</v>
      </c>
      <c r="G17" s="509">
        <v>0</v>
      </c>
      <c r="H17" s="510">
        <v>0</v>
      </c>
      <c r="I17" s="596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97">
        <f t="shared" ref="N17:N48" si="2">IF(M17&lt;&gt;0,+H17-M17,0)</f>
        <v>0</v>
      </c>
      <c r="O17" s="519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515">
        <v>75730</v>
      </c>
      <c r="E18" s="606">
        <v>2010</v>
      </c>
      <c r="F18" s="607">
        <v>73720</v>
      </c>
      <c r="G18" s="516">
        <v>0</v>
      </c>
      <c r="H18" s="510">
        <v>0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2009</v>
      </c>
      <c r="D19" s="515">
        <v>119297</v>
      </c>
      <c r="E19" s="516">
        <v>3353</v>
      </c>
      <c r="F19" s="515">
        <v>115944</v>
      </c>
      <c r="G19" s="516">
        <v>21123</v>
      </c>
      <c r="H19" s="510">
        <v>21123</v>
      </c>
      <c r="I19" s="596">
        <f t="shared" si="0"/>
        <v>0</v>
      </c>
      <c r="J19" s="511"/>
      <c r="K19" s="518">
        <v>21123</v>
      </c>
      <c r="L19" s="514">
        <f t="shared" si="1"/>
        <v>0</v>
      </c>
      <c r="M19" s="518">
        <v>21123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/>
      <c r="C20" s="507">
        <f>IF(D11="","-",+C19+1)</f>
        <v>2010</v>
      </c>
      <c r="D20" s="515">
        <v>117816</v>
      </c>
      <c r="E20" s="516">
        <v>3264</v>
      </c>
      <c r="F20" s="515">
        <v>114552</v>
      </c>
      <c r="G20" s="516">
        <v>19733</v>
      </c>
      <c r="H20" s="510">
        <v>19733</v>
      </c>
      <c r="I20" s="517">
        <v>0</v>
      </c>
      <c r="J20" s="511"/>
      <c r="K20" s="518">
        <f t="shared" ref="K20:K25" si="4">G20</f>
        <v>19733</v>
      </c>
      <c r="L20" s="519">
        <f t="shared" si="1"/>
        <v>0</v>
      </c>
      <c r="M20" s="518">
        <f t="shared" ref="M20:M25" si="5">H20</f>
        <v>19733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ref="B21:B72" si="6">IF(D21=F20,"","IU")</f>
        <v>IU</v>
      </c>
      <c r="C21" s="507">
        <f>IF(D12="","-",+C20+1)</f>
        <v>2011</v>
      </c>
      <c r="D21" s="515">
        <v>175752</v>
      </c>
      <c r="E21" s="516">
        <v>4518.2195121951218</v>
      </c>
      <c r="F21" s="515">
        <v>171233.78048780488</v>
      </c>
      <c r="G21" s="516">
        <v>31263.597728424509</v>
      </c>
      <c r="H21" s="510">
        <v>31263.597728424509</v>
      </c>
      <c r="I21" s="517">
        <v>0</v>
      </c>
      <c r="J21" s="511"/>
      <c r="K21" s="518">
        <f t="shared" si="4"/>
        <v>31263.597728424509</v>
      </c>
      <c r="L21" s="519">
        <f t="shared" si="1"/>
        <v>0</v>
      </c>
      <c r="M21" s="518">
        <f t="shared" si="5"/>
        <v>31263.597728424509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2012</v>
      </c>
      <c r="D22" s="515">
        <v>171233.78048780488</v>
      </c>
      <c r="E22" s="520">
        <v>4410.6428571428569</v>
      </c>
      <c r="F22" s="515">
        <v>166823.13763066201</v>
      </c>
      <c r="G22" s="516">
        <v>29220.603252055036</v>
      </c>
      <c r="H22" s="510">
        <v>29220.603252055036</v>
      </c>
      <c r="I22" s="517">
        <v>0</v>
      </c>
      <c r="J22" s="511"/>
      <c r="K22" s="518">
        <f t="shared" si="4"/>
        <v>29220.603252055036</v>
      </c>
      <c r="L22" s="519">
        <f t="shared" si="1"/>
        <v>0</v>
      </c>
      <c r="M22" s="518">
        <f t="shared" si="5"/>
        <v>29220.603252055036</v>
      </c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6"/>
        <v/>
      </c>
      <c r="C23" s="507">
        <f>IF(D11="","-",+C22+1)</f>
        <v>2013</v>
      </c>
      <c r="D23" s="608">
        <v>166823.13763066201</v>
      </c>
      <c r="E23" s="609">
        <v>4410.6428571428569</v>
      </c>
      <c r="F23" s="608">
        <v>162412.49477351914</v>
      </c>
      <c r="G23" s="609">
        <v>27146.294093139273</v>
      </c>
      <c r="H23" s="610">
        <v>27146.294093139273</v>
      </c>
      <c r="I23" s="596">
        <v>0</v>
      </c>
      <c r="J23" s="511"/>
      <c r="K23" s="518">
        <f t="shared" si="4"/>
        <v>27146.294093139273</v>
      </c>
      <c r="L23" s="519">
        <f t="shared" ref="L23:L28" si="7">IF(K23&lt;&gt;0,+G23-K23,0)</f>
        <v>0</v>
      </c>
      <c r="M23" s="518">
        <f t="shared" si="5"/>
        <v>27146.294093139273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</row>
    <row r="24" spans="2:16" ht="12.5">
      <c r="B24" s="195" t="str">
        <f t="shared" si="6"/>
        <v/>
      </c>
      <c r="C24" s="507">
        <f>IF(D11="","-",+C23+1)</f>
        <v>2014</v>
      </c>
      <c r="D24" s="608">
        <v>162412.49477351914</v>
      </c>
      <c r="E24" s="609">
        <v>4410.6428571428569</v>
      </c>
      <c r="F24" s="608">
        <v>158001.85191637627</v>
      </c>
      <c r="G24" s="609">
        <v>25726.753003621568</v>
      </c>
      <c r="H24" s="610">
        <v>25726.753003621568</v>
      </c>
      <c r="I24" s="596">
        <v>0</v>
      </c>
      <c r="J24" s="511"/>
      <c r="K24" s="518">
        <f t="shared" si="4"/>
        <v>25726.753003621568</v>
      </c>
      <c r="L24" s="519">
        <f t="shared" si="7"/>
        <v>0</v>
      </c>
      <c r="M24" s="518">
        <f t="shared" si="5"/>
        <v>25726.753003621568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2015</v>
      </c>
      <c r="D25" s="608">
        <v>158001.85191637627</v>
      </c>
      <c r="E25" s="609">
        <v>4410.6428571428569</v>
      </c>
      <c r="F25" s="608">
        <v>153591.2090592334</v>
      </c>
      <c r="G25" s="609">
        <v>24639.342477815902</v>
      </c>
      <c r="H25" s="610">
        <v>24639.342477815902</v>
      </c>
      <c r="I25" s="511">
        <v>0</v>
      </c>
      <c r="J25" s="511"/>
      <c r="K25" s="518">
        <f t="shared" si="4"/>
        <v>24639.342477815902</v>
      </c>
      <c r="L25" s="519">
        <f t="shared" si="7"/>
        <v>0</v>
      </c>
      <c r="M25" s="518">
        <f t="shared" si="5"/>
        <v>24639.342477815902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2016</v>
      </c>
      <c r="D26" s="608">
        <v>153591.2090592334</v>
      </c>
      <c r="E26" s="609">
        <v>4410.6428571428569</v>
      </c>
      <c r="F26" s="608">
        <v>149180.56620209053</v>
      </c>
      <c r="G26" s="609">
        <v>23816.047182018898</v>
      </c>
      <c r="H26" s="610">
        <v>23816.047182018898</v>
      </c>
      <c r="I26" s="511">
        <f t="shared" si="0"/>
        <v>0</v>
      </c>
      <c r="J26" s="511"/>
      <c r="K26" s="518">
        <f t="shared" ref="K26:K31" si="10">G26</f>
        <v>23816.047182018898</v>
      </c>
      <c r="L26" s="519">
        <f t="shared" si="7"/>
        <v>0</v>
      </c>
      <c r="M26" s="518">
        <f t="shared" ref="M26:M31" si="11">H26</f>
        <v>23816.047182018898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2017</v>
      </c>
      <c r="D27" s="608">
        <v>149180.56620209053</v>
      </c>
      <c r="E27" s="609">
        <v>4308.0697674418607</v>
      </c>
      <c r="F27" s="608">
        <v>144872.49643464867</v>
      </c>
      <c r="G27" s="609">
        <v>22523.559241307841</v>
      </c>
      <c r="H27" s="610">
        <v>22523.559241307841</v>
      </c>
      <c r="I27" s="511">
        <f t="shared" si="0"/>
        <v>0</v>
      </c>
      <c r="J27" s="511"/>
      <c r="K27" s="518">
        <f t="shared" si="10"/>
        <v>22523.559241307841</v>
      </c>
      <c r="L27" s="519">
        <f t="shared" si="7"/>
        <v>0</v>
      </c>
      <c r="M27" s="518">
        <f t="shared" si="11"/>
        <v>22523.559241307841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2018</v>
      </c>
      <c r="D28" s="608">
        <v>144872.49643464867</v>
      </c>
      <c r="E28" s="609">
        <v>4518.2195121951218</v>
      </c>
      <c r="F28" s="608">
        <v>140354.27692245354</v>
      </c>
      <c r="G28" s="609">
        <v>22643.539387213004</v>
      </c>
      <c r="H28" s="610">
        <v>22643.539387213004</v>
      </c>
      <c r="I28" s="511">
        <f t="shared" si="0"/>
        <v>0</v>
      </c>
      <c r="J28" s="511"/>
      <c r="K28" s="518">
        <f t="shared" si="10"/>
        <v>22643.539387213004</v>
      </c>
      <c r="L28" s="519">
        <f t="shared" si="7"/>
        <v>0</v>
      </c>
      <c r="M28" s="518">
        <f t="shared" si="11"/>
        <v>22643.539387213004</v>
      </c>
      <c r="N28" s="514">
        <f t="shared" si="8"/>
        <v>0</v>
      </c>
      <c r="O28" s="514">
        <f t="shared" si="9"/>
        <v>0</v>
      </c>
      <c r="P28" s="272"/>
    </row>
    <row r="29" spans="2:16" ht="12.5">
      <c r="B29" s="195" t="str">
        <f t="shared" si="6"/>
        <v/>
      </c>
      <c r="C29" s="507">
        <f>IF(D11="","-",+C28+1)</f>
        <v>2019</v>
      </c>
      <c r="D29" s="608">
        <v>140354.27692245354</v>
      </c>
      <c r="E29" s="609">
        <v>4518.2195121951218</v>
      </c>
      <c r="F29" s="608">
        <v>135836.05741025842</v>
      </c>
      <c r="G29" s="609">
        <v>22069.300349550489</v>
      </c>
      <c r="H29" s="610">
        <v>22069.300349550489</v>
      </c>
      <c r="I29" s="511">
        <f t="shared" si="0"/>
        <v>0</v>
      </c>
      <c r="J29" s="511"/>
      <c r="K29" s="518">
        <f t="shared" si="10"/>
        <v>22069.300349550489</v>
      </c>
      <c r="L29" s="519">
        <f t="shared" ref="L29" si="12">IF(K29&lt;&gt;0,+G29-K29,0)</f>
        <v>0</v>
      </c>
      <c r="M29" s="518">
        <f t="shared" si="11"/>
        <v>22069.300349550489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/>
      </c>
      <c r="C30" s="507">
        <f>IF(D11="","-",+C29+1)</f>
        <v>2020</v>
      </c>
      <c r="D30" s="608">
        <v>135836.05741025842</v>
      </c>
      <c r="E30" s="609">
        <v>4518.2195121951218</v>
      </c>
      <c r="F30" s="608">
        <v>131317.8378980633</v>
      </c>
      <c r="G30" s="609">
        <v>18187.877266204941</v>
      </c>
      <c r="H30" s="610">
        <v>18187.877266204941</v>
      </c>
      <c r="I30" s="511">
        <f t="shared" si="0"/>
        <v>0</v>
      </c>
      <c r="J30" s="511"/>
      <c r="K30" s="518">
        <f t="shared" si="10"/>
        <v>18187.877266204941</v>
      </c>
      <c r="L30" s="519">
        <f t="shared" ref="L30" si="13">IF(K30&lt;&gt;0,+G30-K30,0)</f>
        <v>0</v>
      </c>
      <c r="M30" s="518">
        <f t="shared" si="11"/>
        <v>18187.877266204941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2021</v>
      </c>
      <c r="D31" s="608">
        <v>131527.98764281662</v>
      </c>
      <c r="E31" s="609">
        <v>4410.6428571428569</v>
      </c>
      <c r="F31" s="608">
        <v>127117.34478567376</v>
      </c>
      <c r="G31" s="609">
        <v>18119.433252882794</v>
      </c>
      <c r="H31" s="610">
        <v>18119.433252882794</v>
      </c>
      <c r="I31" s="511">
        <f t="shared" si="0"/>
        <v>0</v>
      </c>
      <c r="J31" s="511"/>
      <c r="K31" s="518">
        <f t="shared" si="10"/>
        <v>18119.433252882794</v>
      </c>
      <c r="L31" s="519">
        <f t="shared" ref="L31" si="14">IF(K31&lt;&gt;0,+G31-K31,0)</f>
        <v>0</v>
      </c>
      <c r="M31" s="518">
        <f t="shared" si="11"/>
        <v>18119.433252882794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>IU</v>
      </c>
      <c r="C32" s="507">
        <f>IF(D11="","-",+C31+1)</f>
        <v>2022</v>
      </c>
      <c r="D32" s="608">
        <v>126907.19504092052</v>
      </c>
      <c r="E32" s="609">
        <v>4410.6428571428569</v>
      </c>
      <c r="F32" s="608">
        <v>122496.55218377766</v>
      </c>
      <c r="G32" s="609">
        <v>18432.632415110242</v>
      </c>
      <c r="H32" s="610">
        <v>18432.632415110242</v>
      </c>
      <c r="I32" s="511">
        <f t="shared" si="0"/>
        <v>0</v>
      </c>
      <c r="J32" s="511"/>
      <c r="K32" s="518">
        <f t="shared" ref="K32" si="15">G32</f>
        <v>18432.632415110242</v>
      </c>
      <c r="L32" s="519">
        <f t="shared" ref="L32" si="16">IF(K32&lt;&gt;0,+G32-K32,0)</f>
        <v>0</v>
      </c>
      <c r="M32" s="518">
        <f t="shared" ref="M32" si="17">H32</f>
        <v>18432.632415110242</v>
      </c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2023</v>
      </c>
      <c r="D33" s="523">
        <f>IF(F32+SUM(E$17:E32)=D$10,F32,D$10-SUM(E$17:E32))</f>
        <v>122496.55218377766</v>
      </c>
      <c r="E33" s="522">
        <f>IF(+I14&lt;F32,I14,D33)</f>
        <v>4410.6428571428569</v>
      </c>
      <c r="F33" s="523">
        <f t="shared" ref="F33:F48" si="18">+D33-E33</f>
        <v>118085.90932663481</v>
      </c>
      <c r="G33" s="524">
        <f t="shared" ref="G33:G72" si="19">+I$12*((D33+F33)/2)+E33</f>
        <v>19606.64766056418</v>
      </c>
      <c r="H33" s="491">
        <f t="shared" ref="H33:H72" si="20">+I$13*((D33+F33)/2)+E33</f>
        <v>19606.64766056418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2024</v>
      </c>
      <c r="D34" s="523">
        <f>IF(F33+SUM(E$17:E33)=D$10,F33,D$10-SUM(E$17:E33))</f>
        <v>118085.90932663481</v>
      </c>
      <c r="E34" s="522">
        <f>IF(+I14&lt;F33,I14,D34)</f>
        <v>4410.6428571428569</v>
      </c>
      <c r="F34" s="523">
        <f t="shared" si="18"/>
        <v>113675.26646949195</v>
      </c>
      <c r="G34" s="524">
        <f t="shared" si="19"/>
        <v>19049.46531549604</v>
      </c>
      <c r="H34" s="491">
        <f t="shared" si="20"/>
        <v>19049.46531549604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2025</v>
      </c>
      <c r="D35" s="523">
        <f>IF(F34+SUM(E$17:E34)=D$10,F34,D$10-SUM(E$17:E34))</f>
        <v>113675.26646949195</v>
      </c>
      <c r="E35" s="522">
        <f>IF(+I14&lt;F34,I14,D35)</f>
        <v>4410.6428571428569</v>
      </c>
      <c r="F35" s="523">
        <f t="shared" si="18"/>
        <v>109264.6236123491</v>
      </c>
      <c r="G35" s="524">
        <f t="shared" si="19"/>
        <v>18492.282970427899</v>
      </c>
      <c r="H35" s="491">
        <f t="shared" si="20"/>
        <v>18492.282970427899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2026</v>
      </c>
      <c r="D36" s="523">
        <f>IF(F35+SUM(E$17:E35)=D$10,F35,D$10-SUM(E$17:E35))</f>
        <v>109264.6236123491</v>
      </c>
      <c r="E36" s="522">
        <f>IF(+I14&lt;F35,I14,D36)</f>
        <v>4410.6428571428569</v>
      </c>
      <c r="F36" s="523">
        <f t="shared" si="18"/>
        <v>104853.98075520624</v>
      </c>
      <c r="G36" s="524">
        <f t="shared" si="19"/>
        <v>17935.100625359759</v>
      </c>
      <c r="H36" s="491">
        <f t="shared" si="20"/>
        <v>17935.100625359759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2027</v>
      </c>
      <c r="D37" s="523">
        <f>IF(F36+SUM(E$17:E36)=D$10,F36,D$10-SUM(E$17:E36))</f>
        <v>104853.98075520624</v>
      </c>
      <c r="E37" s="522">
        <f>IF(+I14&lt;F36,I14,D37)</f>
        <v>4410.6428571428569</v>
      </c>
      <c r="F37" s="523">
        <f t="shared" si="18"/>
        <v>100443.33789806339</v>
      </c>
      <c r="G37" s="524">
        <f t="shared" si="19"/>
        <v>17377.918280291615</v>
      </c>
      <c r="H37" s="491">
        <f t="shared" si="20"/>
        <v>17377.918280291615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2028</v>
      </c>
      <c r="D38" s="523">
        <f>IF(F37+SUM(E$17:E37)=D$10,F37,D$10-SUM(E$17:E37))</f>
        <v>100443.33789806339</v>
      </c>
      <c r="E38" s="522">
        <f>IF(+I14&lt;F37,I14,D38)</f>
        <v>4410.6428571428569</v>
      </c>
      <c r="F38" s="523">
        <f t="shared" si="18"/>
        <v>96032.695040920531</v>
      </c>
      <c r="G38" s="524">
        <f t="shared" si="19"/>
        <v>16820.735935223474</v>
      </c>
      <c r="H38" s="491">
        <f t="shared" si="20"/>
        <v>16820.735935223474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2029</v>
      </c>
      <c r="D39" s="523">
        <f>IF(F38+SUM(E$17:E38)=D$10,F38,D$10-SUM(E$17:E38))</f>
        <v>96032.695040920531</v>
      </c>
      <c r="E39" s="522">
        <f>IF(+I14&lt;F38,I14,D39)</f>
        <v>4410.6428571428569</v>
      </c>
      <c r="F39" s="523">
        <f t="shared" si="18"/>
        <v>91622.052183777676</v>
      </c>
      <c r="G39" s="524">
        <f t="shared" si="19"/>
        <v>16263.553590155332</v>
      </c>
      <c r="H39" s="491">
        <f t="shared" si="20"/>
        <v>16263.553590155332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2030</v>
      </c>
      <c r="D40" s="523">
        <f>IF(F39+SUM(E$17:E39)=D$10,F39,D$10-SUM(E$17:E39))</f>
        <v>91622.052183777676</v>
      </c>
      <c r="E40" s="522">
        <f>IF(+I14&lt;F39,I14,D40)</f>
        <v>4410.6428571428569</v>
      </c>
      <c r="F40" s="523">
        <f t="shared" si="18"/>
        <v>87211.409326634821</v>
      </c>
      <c r="G40" s="524">
        <f t="shared" si="19"/>
        <v>15706.371245087192</v>
      </c>
      <c r="H40" s="491">
        <f t="shared" si="20"/>
        <v>15706.371245087192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2031</v>
      </c>
      <c r="D41" s="523">
        <f>IF(F40+SUM(E$17:E40)=D$10,F40,D$10-SUM(E$17:E40))</f>
        <v>87211.409326634821</v>
      </c>
      <c r="E41" s="522">
        <f>IF(+I14&lt;F40,I14,D41)</f>
        <v>4410.6428571428569</v>
      </c>
      <c r="F41" s="523">
        <f t="shared" si="18"/>
        <v>82800.766469491966</v>
      </c>
      <c r="G41" s="524">
        <f t="shared" si="19"/>
        <v>15149.188900019048</v>
      </c>
      <c r="H41" s="491">
        <f t="shared" si="20"/>
        <v>15149.188900019048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2032</v>
      </c>
      <c r="D42" s="523">
        <f>IF(F41+SUM(E$17:E41)=D$10,F41,D$10-SUM(E$17:E41))</f>
        <v>82800.766469491966</v>
      </c>
      <c r="E42" s="522">
        <f>IF(+I14&lt;F41,I14,D42)</f>
        <v>4410.6428571428569</v>
      </c>
      <c r="F42" s="523">
        <f t="shared" si="18"/>
        <v>78390.123612349111</v>
      </c>
      <c r="G42" s="524">
        <f t="shared" si="19"/>
        <v>14592.006554950907</v>
      </c>
      <c r="H42" s="491">
        <f t="shared" si="20"/>
        <v>14592.006554950907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2033</v>
      </c>
      <c r="D43" s="523">
        <f>IF(F42+SUM(E$17:E42)=D$10,F42,D$10-SUM(E$17:E42))</f>
        <v>78390.123612349111</v>
      </c>
      <c r="E43" s="522">
        <f>IF(+I14&lt;F42,I14,D43)</f>
        <v>4410.6428571428569</v>
      </c>
      <c r="F43" s="523">
        <f t="shared" si="18"/>
        <v>73979.480755206256</v>
      </c>
      <c r="G43" s="524">
        <f t="shared" si="19"/>
        <v>14034.824209882765</v>
      </c>
      <c r="H43" s="491">
        <f t="shared" si="20"/>
        <v>14034.824209882765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2034</v>
      </c>
      <c r="D44" s="523">
        <f>IF(F43+SUM(E$17:E43)=D$10,F43,D$10-SUM(E$17:E43))</f>
        <v>73979.480755206256</v>
      </c>
      <c r="E44" s="522">
        <f>IF(+I14&lt;F43,I14,D44)</f>
        <v>4410.6428571428569</v>
      </c>
      <c r="F44" s="523">
        <f t="shared" si="18"/>
        <v>69568.837898063401</v>
      </c>
      <c r="G44" s="524">
        <f t="shared" si="19"/>
        <v>13477.641864814625</v>
      </c>
      <c r="H44" s="491">
        <f t="shared" si="20"/>
        <v>13477.641864814625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2035</v>
      </c>
      <c r="D45" s="523">
        <f>IF(F44+SUM(E$17:E44)=D$10,F44,D$10-SUM(E$17:E44))</f>
        <v>69568.837898063401</v>
      </c>
      <c r="E45" s="522">
        <f>IF(+I14&lt;F44,I14,D45)</f>
        <v>4410.6428571428569</v>
      </c>
      <c r="F45" s="523">
        <f t="shared" si="18"/>
        <v>65158.195040920546</v>
      </c>
      <c r="G45" s="524">
        <f t="shared" si="19"/>
        <v>12920.459519746481</v>
      </c>
      <c r="H45" s="491">
        <f t="shared" si="20"/>
        <v>12920.459519746481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2036</v>
      </c>
      <c r="D46" s="523">
        <f>IF(F45+SUM(E$17:E45)=D$10,F45,D$10-SUM(E$17:E45))</f>
        <v>65158.195040920546</v>
      </c>
      <c r="E46" s="522">
        <f>IF(+I14&lt;F45,I14,D46)</f>
        <v>4410.6428571428569</v>
      </c>
      <c r="F46" s="523">
        <f t="shared" si="18"/>
        <v>60747.552183777691</v>
      </c>
      <c r="G46" s="524">
        <f t="shared" si="19"/>
        <v>12363.27717467834</v>
      </c>
      <c r="H46" s="491">
        <f t="shared" si="20"/>
        <v>12363.27717467834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2037</v>
      </c>
      <c r="D47" s="523">
        <f>IF(F46+SUM(E$17:E46)=D$10,F46,D$10-SUM(E$17:E46))</f>
        <v>60747.552183777691</v>
      </c>
      <c r="E47" s="522">
        <f>IF(+I14&lt;F46,I14,D47)</f>
        <v>4410.6428571428569</v>
      </c>
      <c r="F47" s="523">
        <f t="shared" si="18"/>
        <v>56336.909326634835</v>
      </c>
      <c r="G47" s="524">
        <f t="shared" si="19"/>
        <v>11806.0948296102</v>
      </c>
      <c r="H47" s="491">
        <f t="shared" si="20"/>
        <v>11806.0948296102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2038</v>
      </c>
      <c r="D48" s="523">
        <f>IF(F47+SUM(E$17:E47)=D$10,F47,D$10-SUM(E$17:E47))</f>
        <v>56336.909326634835</v>
      </c>
      <c r="E48" s="522">
        <f>IF(+I14&lt;F47,I14,D48)</f>
        <v>4410.6428571428569</v>
      </c>
      <c r="F48" s="523">
        <f t="shared" si="18"/>
        <v>51926.26646949198</v>
      </c>
      <c r="G48" s="524">
        <f t="shared" si="19"/>
        <v>11248.912484542056</v>
      </c>
      <c r="H48" s="491">
        <f t="shared" si="20"/>
        <v>11248.912484542056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2039</v>
      </c>
      <c r="D49" s="523">
        <f>IF(F48+SUM(E$17:E48)=D$10,F48,D$10-SUM(E$17:E48))</f>
        <v>51926.26646949198</v>
      </c>
      <c r="E49" s="522">
        <f>IF(+I14&lt;F48,I14,D49)</f>
        <v>4410.6428571428569</v>
      </c>
      <c r="F49" s="523">
        <f t="shared" ref="F49:F72" si="21">+D49-E49</f>
        <v>47515.623612349125</v>
      </c>
      <c r="G49" s="524">
        <f t="shared" si="19"/>
        <v>10691.730139473915</v>
      </c>
      <c r="H49" s="491">
        <f t="shared" si="20"/>
        <v>10691.730139473915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2040</v>
      </c>
      <c r="D50" s="523">
        <f>IF(F49+SUM(E$17:E49)=D$10,F49,D$10-SUM(E$17:E49))</f>
        <v>47515.623612349125</v>
      </c>
      <c r="E50" s="522">
        <f>IF(+I14&lt;F49,I14,D50)</f>
        <v>4410.6428571428569</v>
      </c>
      <c r="F50" s="523">
        <f t="shared" si="21"/>
        <v>43104.98075520627</v>
      </c>
      <c r="G50" s="524">
        <f t="shared" si="19"/>
        <v>10134.547794405773</v>
      </c>
      <c r="H50" s="491">
        <f t="shared" si="20"/>
        <v>10134.547794405773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 ht="12.5">
      <c r="B51" s="195" t="str">
        <f t="shared" si="6"/>
        <v/>
      </c>
      <c r="C51" s="507">
        <f>IF(D11="","-",+C50+1)</f>
        <v>2041</v>
      </c>
      <c r="D51" s="523">
        <f>IF(F50+SUM(E$17:E50)=D$10,F50,D$10-SUM(E$17:E50))</f>
        <v>43104.98075520627</v>
      </c>
      <c r="E51" s="522">
        <f>IF(+I14&lt;F50,I14,D51)</f>
        <v>4410.6428571428569</v>
      </c>
      <c r="F51" s="523">
        <f t="shared" si="21"/>
        <v>38694.337898063415</v>
      </c>
      <c r="G51" s="524">
        <f t="shared" si="19"/>
        <v>9577.3654493376307</v>
      </c>
      <c r="H51" s="491">
        <f t="shared" si="20"/>
        <v>9577.3654493376307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 ht="12.5">
      <c r="B52" s="195" t="str">
        <f t="shared" si="6"/>
        <v/>
      </c>
      <c r="C52" s="507">
        <f>IF(D11="","-",+C51+1)</f>
        <v>2042</v>
      </c>
      <c r="D52" s="523">
        <f>IF(F51+SUM(E$17:E51)=D$10,F51,D$10-SUM(E$17:E51))</f>
        <v>38694.337898063415</v>
      </c>
      <c r="E52" s="522">
        <f>IF(+I14&lt;F51,I14,D52)</f>
        <v>4410.6428571428569</v>
      </c>
      <c r="F52" s="523">
        <f t="shared" si="21"/>
        <v>34283.69504092056</v>
      </c>
      <c r="G52" s="524">
        <f t="shared" si="19"/>
        <v>9020.1831042694903</v>
      </c>
      <c r="H52" s="491">
        <f t="shared" si="20"/>
        <v>9020.1831042694903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 ht="12.5">
      <c r="B53" s="195" t="str">
        <f t="shared" si="6"/>
        <v/>
      </c>
      <c r="C53" s="507">
        <f>IF(D11="","-",+C52+1)</f>
        <v>2043</v>
      </c>
      <c r="D53" s="523">
        <f>IF(F52+SUM(E$17:E52)=D$10,F52,D$10-SUM(E$17:E52))</f>
        <v>34283.69504092056</v>
      </c>
      <c r="E53" s="522">
        <f>IF(+I14&lt;F52,I14,D53)</f>
        <v>4410.6428571428569</v>
      </c>
      <c r="F53" s="523">
        <f t="shared" si="21"/>
        <v>29873.052183777705</v>
      </c>
      <c r="G53" s="524">
        <f t="shared" si="19"/>
        <v>8463.000759201348</v>
      </c>
      <c r="H53" s="491">
        <f t="shared" si="20"/>
        <v>8463.000759201348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 ht="12.5">
      <c r="B54" s="195" t="str">
        <f t="shared" si="6"/>
        <v/>
      </c>
      <c r="C54" s="507">
        <f>IF(D11="","-",+C53+1)</f>
        <v>2044</v>
      </c>
      <c r="D54" s="523">
        <f>IF(F53+SUM(E$17:E53)=D$10,F53,D$10-SUM(E$17:E53))</f>
        <v>29873.052183777705</v>
      </c>
      <c r="E54" s="522">
        <f>IF(+I14&lt;F53,I14,D54)</f>
        <v>4410.6428571428569</v>
      </c>
      <c r="F54" s="523">
        <f t="shared" si="21"/>
        <v>25462.40932663485</v>
      </c>
      <c r="G54" s="524">
        <f t="shared" si="19"/>
        <v>7905.8184141332058</v>
      </c>
      <c r="H54" s="491">
        <f t="shared" si="20"/>
        <v>7905.8184141332058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 ht="12.5">
      <c r="B55" s="195" t="str">
        <f t="shared" si="6"/>
        <v/>
      </c>
      <c r="C55" s="507">
        <f>IF(D11="","-",+C54+1)</f>
        <v>2045</v>
      </c>
      <c r="D55" s="523">
        <f>IF(F54+SUM(E$17:E54)=D$10,F54,D$10-SUM(E$17:E54))</f>
        <v>25462.40932663485</v>
      </c>
      <c r="E55" s="522">
        <f>IF(+I14&lt;F54,I14,D55)</f>
        <v>4410.6428571428569</v>
      </c>
      <c r="F55" s="523">
        <f t="shared" si="21"/>
        <v>21051.766469491995</v>
      </c>
      <c r="G55" s="524">
        <f t="shared" si="19"/>
        <v>7348.6360690650636</v>
      </c>
      <c r="H55" s="491">
        <f t="shared" si="20"/>
        <v>7348.6360690650636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 ht="12.5">
      <c r="B56" s="195" t="str">
        <f t="shared" si="6"/>
        <v/>
      </c>
      <c r="C56" s="507">
        <f>IF(D11="","-",+C55+1)</f>
        <v>2046</v>
      </c>
      <c r="D56" s="523">
        <f>IF(F55+SUM(E$17:E55)=D$10,F55,D$10-SUM(E$17:E55))</f>
        <v>21051.766469491995</v>
      </c>
      <c r="E56" s="522">
        <f>IF(+I14&lt;F55,I14,D56)</f>
        <v>4410.6428571428569</v>
      </c>
      <c r="F56" s="523">
        <f t="shared" si="21"/>
        <v>16641.12361234914</v>
      </c>
      <c r="G56" s="524">
        <f t="shared" si="19"/>
        <v>6791.4537239969222</v>
      </c>
      <c r="H56" s="491">
        <f t="shared" si="20"/>
        <v>6791.4537239969222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 ht="12.5">
      <c r="B57" s="195" t="str">
        <f t="shared" si="6"/>
        <v/>
      </c>
      <c r="C57" s="507">
        <f>IF(D11="","-",+C56+1)</f>
        <v>2047</v>
      </c>
      <c r="D57" s="523">
        <f>IF(F56+SUM(E$17:E56)=D$10,F56,D$10-SUM(E$17:E56))</f>
        <v>16641.12361234914</v>
      </c>
      <c r="E57" s="522">
        <f>IF(+I14&lt;F56,I14,D57)</f>
        <v>4410.6428571428569</v>
      </c>
      <c r="F57" s="523">
        <f t="shared" si="21"/>
        <v>12230.480755206283</v>
      </c>
      <c r="G57" s="524">
        <f t="shared" si="19"/>
        <v>6234.2713789287809</v>
      </c>
      <c r="H57" s="491">
        <f t="shared" si="20"/>
        <v>6234.2713789287809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 ht="12.5">
      <c r="B58" s="195" t="str">
        <f t="shared" si="6"/>
        <v/>
      </c>
      <c r="C58" s="507">
        <f>IF(D11="","-",+C57+1)</f>
        <v>2048</v>
      </c>
      <c r="D58" s="523">
        <f>IF(F57+SUM(E$17:E57)=D$10,F57,D$10-SUM(E$17:E57))</f>
        <v>12230.480755206283</v>
      </c>
      <c r="E58" s="522">
        <f>IF(+I14&lt;F57,I14,D58)</f>
        <v>4410.6428571428569</v>
      </c>
      <c r="F58" s="523">
        <f t="shared" si="21"/>
        <v>7819.8378980634261</v>
      </c>
      <c r="G58" s="524">
        <f t="shared" si="19"/>
        <v>5677.0890338606387</v>
      </c>
      <c r="H58" s="491">
        <f t="shared" si="20"/>
        <v>5677.0890338606387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2049</v>
      </c>
      <c r="D59" s="523">
        <f>IF(F58+SUM(E$17:E58)=D$10,F58,D$10-SUM(E$17:E58))</f>
        <v>7819.8378980634261</v>
      </c>
      <c r="E59" s="522">
        <f>IF(+I14&lt;F58,I14,D59)</f>
        <v>4410.6428571428569</v>
      </c>
      <c r="F59" s="523">
        <f t="shared" si="21"/>
        <v>3409.1950409205692</v>
      </c>
      <c r="G59" s="524">
        <f t="shared" si="19"/>
        <v>5119.9066887924964</v>
      </c>
      <c r="H59" s="491">
        <f t="shared" si="20"/>
        <v>5119.9066887924964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 ht="12.5">
      <c r="B60" s="195" t="str">
        <f t="shared" si="6"/>
        <v/>
      </c>
      <c r="C60" s="507">
        <f>IF(D11="","-",+C59+1)</f>
        <v>2050</v>
      </c>
      <c r="D60" s="523">
        <f>IF(F59+SUM(E$17:E59)=D$10,F59,D$10-SUM(E$17:E59))</f>
        <v>3409.1950409205692</v>
      </c>
      <c r="E60" s="522">
        <f>IF(+I14&lt;F59,I14,D60)</f>
        <v>3409.1950409205692</v>
      </c>
      <c r="F60" s="523">
        <f t="shared" si="21"/>
        <v>0</v>
      </c>
      <c r="G60" s="524">
        <f t="shared" si="19"/>
        <v>3624.5313704783534</v>
      </c>
      <c r="H60" s="491">
        <f t="shared" si="20"/>
        <v>3624.5313704783534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 ht="12.5">
      <c r="B61" s="195" t="str">
        <f t="shared" si="6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19"/>
        <v>0</v>
      </c>
      <c r="H61" s="491">
        <f t="shared" si="20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 ht="12.5">
      <c r="B62" s="195" t="str">
        <f t="shared" si="6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 ht="12.5">
      <c r="B63" s="195" t="str">
        <f t="shared" si="6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 ht="12.5">
      <c r="B64" s="195" t="str">
        <f t="shared" si="6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 ht="12.5">
      <c r="B65" s="195" t="str">
        <f t="shared" si="6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 ht="12.5">
      <c r="B66" s="195" t="str">
        <f t="shared" si="6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 ht="12.5">
      <c r="B67" s="195" t="str">
        <f t="shared" si="6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 ht="12.5">
      <c r="B68" s="195" t="str">
        <f t="shared" si="6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 ht="12.5">
      <c r="B69" s="195" t="str">
        <f t="shared" si="6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 ht="12.5">
      <c r="B70" s="195" t="str">
        <f t="shared" si="6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 ht="12.5">
      <c r="B71" s="195" t="str">
        <f t="shared" si="6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19"/>
        <v>0</v>
      </c>
      <c r="H72" s="47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 ht="12.5">
      <c r="C73" s="374" t="s">
        <v>78</v>
      </c>
      <c r="D73" s="375"/>
      <c r="E73" s="375">
        <f>SUM(E17:E72)</f>
        <v>185247.00000000017</v>
      </c>
      <c r="F73" s="375"/>
      <c r="G73" s="375">
        <f>SUM(G17:G72)</f>
        <v>662077.99473613757</v>
      </c>
      <c r="H73" s="375">
        <f>SUM(H17:H72)</f>
        <v>662077.99473613757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12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18119.433252882794</v>
      </c>
      <c r="N87" s="546">
        <f>IF(J92&lt;D11,0,VLOOKUP(J92,C17:O72,11))</f>
        <v>18119.433252882794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18943.99202428088</v>
      </c>
      <c r="N88" s="550">
        <f>IF(J92&lt;D11,0,VLOOKUP(J92,C99:P154,7))</f>
        <v>18943.99202428088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Knox Lee - Oak Hill #2 138 kV line, S. Shreveport  (SWE Minor Proj II)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824.55877139808581</v>
      </c>
      <c r="N89" s="555">
        <f>+N88-N87</f>
        <v>824.55877139808581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TP2004036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185247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4518.2195121951218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2007</v>
      </c>
      <c r="D99" s="508">
        <f>IF(D93=C99,0,D92)</f>
        <v>0</v>
      </c>
      <c r="E99" s="516">
        <v>868</v>
      </c>
      <c r="F99" s="515">
        <f>77090-E99</f>
        <v>76222</v>
      </c>
      <c r="G99" s="574">
        <v>38111</v>
      </c>
      <c r="H99" s="575">
        <v>0</v>
      </c>
      <c r="I99" s="576">
        <v>0</v>
      </c>
      <c r="J99" s="514">
        <f t="shared" ref="J99:J130" si="26">+I99-H99</f>
        <v>0</v>
      </c>
      <c r="K99" s="514"/>
      <c r="L99" s="512">
        <v>0</v>
      </c>
      <c r="M99" s="597">
        <f t="shared" ref="M99:M130" si="27">IF(L99&lt;&gt;0,+H99-L99,0)</f>
        <v>0</v>
      </c>
      <c r="N99" s="512">
        <v>0</v>
      </c>
      <c r="O99" s="597">
        <f t="shared" ref="O99:O130" si="28">IF(N99&lt;&gt;0,+I99-N99,0)</f>
        <v>0</v>
      </c>
      <c r="P99" s="597">
        <f t="shared" ref="P99:P130" si="29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2008</v>
      </c>
      <c r="D100" s="508">
        <v>122650</v>
      </c>
      <c r="E100" s="516">
        <v>3353</v>
      </c>
      <c r="F100" s="515">
        <v>119297</v>
      </c>
      <c r="G100" s="515">
        <v>120973.5</v>
      </c>
      <c r="H100" s="516">
        <v>22636</v>
      </c>
      <c r="I100" s="510">
        <v>22636</v>
      </c>
      <c r="J100" s="514">
        <f t="shared" si="26"/>
        <v>0</v>
      </c>
      <c r="K100" s="514"/>
      <c r="L100" s="518">
        <v>22636</v>
      </c>
      <c r="M100" s="514">
        <f t="shared" si="27"/>
        <v>0</v>
      </c>
      <c r="N100" s="518">
        <v>22636</v>
      </c>
      <c r="O100" s="514">
        <f t="shared" si="28"/>
        <v>0</v>
      </c>
      <c r="P100" s="514">
        <f t="shared" si="29"/>
        <v>0</v>
      </c>
      <c r="Q100" s="269"/>
    </row>
    <row r="101" spans="1:17" ht="12.5">
      <c r="B101" s="195"/>
      <c r="C101" s="507">
        <f>IF(D93="","-",+C100+1)</f>
        <v>2009</v>
      </c>
      <c r="D101" s="508">
        <v>119826</v>
      </c>
      <c r="E101" s="516">
        <v>3264</v>
      </c>
      <c r="F101" s="515">
        <v>116561</v>
      </c>
      <c r="G101" s="515">
        <v>118193</v>
      </c>
      <c r="H101" s="516">
        <v>20371</v>
      </c>
      <c r="I101" s="510">
        <v>20371</v>
      </c>
      <c r="J101" s="514">
        <f t="shared" si="26"/>
        <v>0</v>
      </c>
      <c r="K101" s="514"/>
      <c r="L101" s="518">
        <f t="shared" ref="L101:L106" si="30">H101</f>
        <v>20371</v>
      </c>
      <c r="M101" s="519">
        <f t="shared" si="27"/>
        <v>0</v>
      </c>
      <c r="N101" s="518">
        <f t="shared" ref="N101:N106" si="31">I101</f>
        <v>20371</v>
      </c>
      <c r="O101" s="514">
        <f t="shared" si="28"/>
        <v>0</v>
      </c>
      <c r="P101" s="514">
        <f t="shared" si="29"/>
        <v>0</v>
      </c>
      <c r="Q101" s="269"/>
    </row>
    <row r="102" spans="1:17" ht="12.5">
      <c r="B102" s="195" t="str">
        <f t="shared" ref="B102:B154" si="32">IF(D102=F101,"","IU")</f>
        <v>IU</v>
      </c>
      <c r="C102" s="507">
        <f>IF(D93="","-",+C101+1)</f>
        <v>2010</v>
      </c>
      <c r="D102" s="508">
        <v>177762</v>
      </c>
      <c r="E102" s="516">
        <v>4518.2195121951218</v>
      </c>
      <c r="F102" s="515">
        <v>173243.78048780488</v>
      </c>
      <c r="G102" s="515">
        <v>175502.89024390245</v>
      </c>
      <c r="H102" s="516">
        <v>33491.304062009942</v>
      </c>
      <c r="I102" s="510">
        <v>33491.304062009942</v>
      </c>
      <c r="J102" s="514">
        <f t="shared" si="26"/>
        <v>0</v>
      </c>
      <c r="K102" s="514"/>
      <c r="L102" s="518">
        <f t="shared" si="30"/>
        <v>33491.304062009942</v>
      </c>
      <c r="M102" s="519">
        <f t="shared" si="27"/>
        <v>0</v>
      </c>
      <c r="N102" s="518">
        <f t="shared" si="31"/>
        <v>33491.304062009942</v>
      </c>
      <c r="O102" s="514">
        <f t="shared" si="28"/>
        <v>0</v>
      </c>
      <c r="P102" s="514">
        <f t="shared" si="29"/>
        <v>0</v>
      </c>
      <c r="Q102" s="269"/>
    </row>
    <row r="103" spans="1:17" ht="12.5">
      <c r="B103" s="195" t="str">
        <f t="shared" si="32"/>
        <v/>
      </c>
      <c r="C103" s="507">
        <f>IF(D93="","-",+C102+1)</f>
        <v>2011</v>
      </c>
      <c r="D103" s="508">
        <v>173243.78048780488</v>
      </c>
      <c r="E103" s="520">
        <v>4410.6428571428569</v>
      </c>
      <c r="F103" s="515">
        <v>168833.13763066201</v>
      </c>
      <c r="G103" s="515">
        <v>171038.45905923343</v>
      </c>
      <c r="H103" s="516">
        <v>30131.389443457461</v>
      </c>
      <c r="I103" s="510">
        <v>30131.389443457461</v>
      </c>
      <c r="J103" s="514">
        <f t="shared" si="26"/>
        <v>0</v>
      </c>
      <c r="K103" s="514"/>
      <c r="L103" s="518">
        <f t="shared" si="30"/>
        <v>30131.389443457461</v>
      </c>
      <c r="M103" s="519">
        <f t="shared" si="27"/>
        <v>0</v>
      </c>
      <c r="N103" s="518">
        <f t="shared" si="31"/>
        <v>30131.389443457461</v>
      </c>
      <c r="O103" s="514">
        <f t="shared" si="28"/>
        <v>0</v>
      </c>
      <c r="P103" s="514">
        <f t="shared" si="29"/>
        <v>0</v>
      </c>
      <c r="Q103" s="269"/>
    </row>
    <row r="104" spans="1:17" ht="12.5">
      <c r="B104" s="195" t="str">
        <f t="shared" si="32"/>
        <v/>
      </c>
      <c r="C104" s="507">
        <f>IF(D93="","-",+C103+1)</f>
        <v>2012</v>
      </c>
      <c r="D104" s="508">
        <v>168833.13763066201</v>
      </c>
      <c r="E104" s="516">
        <v>4410.6428571428569</v>
      </c>
      <c r="F104" s="515">
        <v>164422.49477351914</v>
      </c>
      <c r="G104" s="515">
        <v>166627.81620209059</v>
      </c>
      <c r="H104" s="516">
        <v>28930.581157886962</v>
      </c>
      <c r="I104" s="510">
        <v>28930.581157886962</v>
      </c>
      <c r="J104" s="514">
        <f t="shared" si="26"/>
        <v>0</v>
      </c>
      <c r="K104" s="514"/>
      <c r="L104" s="518">
        <f t="shared" si="30"/>
        <v>28930.581157886962</v>
      </c>
      <c r="M104" s="519">
        <f t="shared" si="27"/>
        <v>0</v>
      </c>
      <c r="N104" s="518">
        <f t="shared" si="31"/>
        <v>28930.581157886962</v>
      </c>
      <c r="O104" s="514">
        <f t="shared" si="28"/>
        <v>0</v>
      </c>
      <c r="P104" s="514">
        <f t="shared" si="29"/>
        <v>0</v>
      </c>
      <c r="Q104" s="269"/>
    </row>
    <row r="105" spans="1:17" ht="12.5">
      <c r="B105" s="195" t="str">
        <f t="shared" si="32"/>
        <v/>
      </c>
      <c r="C105" s="507">
        <f>IF(D93="","-",+C104+1)</f>
        <v>2013</v>
      </c>
      <c r="D105" s="508">
        <v>164422.49477351914</v>
      </c>
      <c r="E105" s="516">
        <v>4410.6428571428569</v>
      </c>
      <c r="F105" s="515">
        <v>160011.85191637627</v>
      </c>
      <c r="G105" s="515">
        <v>162217.17334494769</v>
      </c>
      <c r="H105" s="516">
        <v>26357.280382807578</v>
      </c>
      <c r="I105" s="510">
        <v>26357.280382807578</v>
      </c>
      <c r="J105" s="514">
        <v>0</v>
      </c>
      <c r="K105" s="514"/>
      <c r="L105" s="518">
        <f t="shared" si="30"/>
        <v>26357.280382807578</v>
      </c>
      <c r="M105" s="519">
        <f t="shared" ref="M105:M110" si="33">IF(L105&lt;&gt;0,+H105-L105,0)</f>
        <v>0</v>
      </c>
      <c r="N105" s="518">
        <f t="shared" si="31"/>
        <v>26357.280382807578</v>
      </c>
      <c r="O105" s="514">
        <f t="shared" ref="O105:O110" si="34">IF(N105&lt;&gt;0,+I105-N105,0)</f>
        <v>0</v>
      </c>
      <c r="P105" s="514">
        <f t="shared" ref="P105:P110" si="35">+O105-M105</f>
        <v>0</v>
      </c>
      <c r="Q105" s="269"/>
    </row>
    <row r="106" spans="1:17" ht="12.5">
      <c r="B106" s="195" t="str">
        <f t="shared" si="32"/>
        <v/>
      </c>
      <c r="C106" s="507">
        <f>IF(D93="","-",+C105+1)</f>
        <v>2014</v>
      </c>
      <c r="D106" s="508">
        <v>160011.85191637627</v>
      </c>
      <c r="E106" s="516">
        <v>4410.6428571428569</v>
      </c>
      <c r="F106" s="515">
        <v>155601.2090592334</v>
      </c>
      <c r="G106" s="515">
        <v>157806.53048780485</v>
      </c>
      <c r="H106" s="516">
        <v>25860.252454473681</v>
      </c>
      <c r="I106" s="510">
        <v>25860.252454473681</v>
      </c>
      <c r="J106" s="514">
        <v>0</v>
      </c>
      <c r="K106" s="514"/>
      <c r="L106" s="518">
        <f t="shared" si="30"/>
        <v>25860.252454473681</v>
      </c>
      <c r="M106" s="519">
        <f t="shared" si="33"/>
        <v>0</v>
      </c>
      <c r="N106" s="518">
        <f t="shared" si="31"/>
        <v>25860.252454473681</v>
      </c>
      <c r="O106" s="514">
        <f t="shared" si="34"/>
        <v>0</v>
      </c>
      <c r="P106" s="514">
        <f t="shared" si="35"/>
        <v>0</v>
      </c>
      <c r="Q106" s="269"/>
    </row>
    <row r="107" spans="1:17" ht="12.5">
      <c r="B107" s="195" t="str">
        <f t="shared" si="32"/>
        <v/>
      </c>
      <c r="C107" s="507">
        <f>IF(D93="","-",+C106+1)</f>
        <v>2015</v>
      </c>
      <c r="D107" s="508">
        <v>155601.2090592334</v>
      </c>
      <c r="E107" s="516">
        <v>4410.6428571428569</v>
      </c>
      <c r="F107" s="515">
        <v>151190.56620209053</v>
      </c>
      <c r="G107" s="515">
        <v>153395.88763066195</v>
      </c>
      <c r="H107" s="516">
        <v>24623.446840873446</v>
      </c>
      <c r="I107" s="510">
        <v>24623.446840873446</v>
      </c>
      <c r="J107" s="514">
        <f t="shared" si="26"/>
        <v>0</v>
      </c>
      <c r="K107" s="514"/>
      <c r="L107" s="518">
        <f t="shared" ref="L107:L112" si="36">H107</f>
        <v>24623.446840873446</v>
      </c>
      <c r="M107" s="519">
        <f t="shared" si="33"/>
        <v>0</v>
      </c>
      <c r="N107" s="518">
        <f t="shared" ref="N107:N112" si="37">I107</f>
        <v>24623.446840873446</v>
      </c>
      <c r="O107" s="514">
        <f t="shared" si="34"/>
        <v>0</v>
      </c>
      <c r="P107" s="514">
        <f t="shared" si="35"/>
        <v>0</v>
      </c>
      <c r="Q107" s="269"/>
    </row>
    <row r="108" spans="1:17" ht="12.5">
      <c r="B108" s="195" t="str">
        <f t="shared" si="32"/>
        <v/>
      </c>
      <c r="C108" s="507">
        <f>IF(D93="","-",+C107+1)</f>
        <v>2016</v>
      </c>
      <c r="D108" s="508">
        <v>151190.56620209053</v>
      </c>
      <c r="E108" s="516">
        <v>4308.0697674418607</v>
      </c>
      <c r="F108" s="515">
        <v>146882.49643464867</v>
      </c>
      <c r="G108" s="515">
        <v>149036.53131836961</v>
      </c>
      <c r="H108" s="516">
        <v>23228.255672846972</v>
      </c>
      <c r="I108" s="510">
        <v>23228.255672846972</v>
      </c>
      <c r="J108" s="514">
        <f t="shared" si="26"/>
        <v>0</v>
      </c>
      <c r="K108" s="514"/>
      <c r="L108" s="518">
        <f t="shared" si="36"/>
        <v>23228.255672846972</v>
      </c>
      <c r="M108" s="519">
        <f t="shared" si="33"/>
        <v>0</v>
      </c>
      <c r="N108" s="518">
        <f t="shared" si="37"/>
        <v>23228.255672846972</v>
      </c>
      <c r="O108" s="514">
        <f t="shared" si="34"/>
        <v>0</v>
      </c>
      <c r="P108" s="514">
        <f t="shared" si="35"/>
        <v>0</v>
      </c>
      <c r="Q108" s="269"/>
    </row>
    <row r="109" spans="1:17" ht="12.5">
      <c r="B109" s="195" t="str">
        <f t="shared" si="32"/>
        <v/>
      </c>
      <c r="C109" s="507">
        <f>IF(D93="","-",+C108+1)</f>
        <v>2017</v>
      </c>
      <c r="D109" s="508">
        <v>146882.49643464867</v>
      </c>
      <c r="E109" s="516">
        <v>4410.6428571428569</v>
      </c>
      <c r="F109" s="515">
        <v>142471.8535775058</v>
      </c>
      <c r="G109" s="515">
        <v>144677.17500607722</v>
      </c>
      <c r="H109" s="516">
        <v>21984.790198731629</v>
      </c>
      <c r="I109" s="510">
        <v>21984.790198731629</v>
      </c>
      <c r="J109" s="514">
        <f t="shared" si="26"/>
        <v>0</v>
      </c>
      <c r="K109" s="514"/>
      <c r="L109" s="518">
        <f t="shared" si="36"/>
        <v>21984.790198731629</v>
      </c>
      <c r="M109" s="519">
        <f t="shared" si="33"/>
        <v>0</v>
      </c>
      <c r="N109" s="518">
        <f t="shared" si="37"/>
        <v>21984.790198731629</v>
      </c>
      <c r="O109" s="514">
        <f t="shared" si="34"/>
        <v>0</v>
      </c>
      <c r="P109" s="514">
        <f t="shared" si="35"/>
        <v>0</v>
      </c>
      <c r="Q109" s="269"/>
    </row>
    <row r="110" spans="1:17" ht="12.5">
      <c r="B110" s="195" t="str">
        <f t="shared" si="32"/>
        <v/>
      </c>
      <c r="C110" s="507">
        <f>IF(D93="","-",+C109+1)</f>
        <v>2018</v>
      </c>
      <c r="D110" s="508">
        <v>142471.8535775058</v>
      </c>
      <c r="E110" s="516">
        <v>4410.6428571428569</v>
      </c>
      <c r="F110" s="515">
        <v>138061.21072036293</v>
      </c>
      <c r="G110" s="515">
        <v>140266.53214893438</v>
      </c>
      <c r="H110" s="516">
        <v>19223.431889109233</v>
      </c>
      <c r="I110" s="510">
        <v>19223.431889109233</v>
      </c>
      <c r="J110" s="514">
        <f t="shared" si="26"/>
        <v>0</v>
      </c>
      <c r="K110" s="514"/>
      <c r="L110" s="518">
        <f t="shared" si="36"/>
        <v>19223.431889109233</v>
      </c>
      <c r="M110" s="519">
        <f t="shared" si="33"/>
        <v>0</v>
      </c>
      <c r="N110" s="518">
        <f t="shared" si="37"/>
        <v>19223.431889109233</v>
      </c>
      <c r="O110" s="514">
        <f t="shared" si="34"/>
        <v>0</v>
      </c>
      <c r="P110" s="514">
        <f t="shared" si="35"/>
        <v>0</v>
      </c>
      <c r="Q110" s="269"/>
    </row>
    <row r="111" spans="1:17" ht="12.5">
      <c r="B111" s="195" t="str">
        <f t="shared" si="32"/>
        <v/>
      </c>
      <c r="C111" s="507">
        <f>IF(D93="","-",+C110+1)</f>
        <v>2019</v>
      </c>
      <c r="D111" s="508">
        <v>138061.21072036293</v>
      </c>
      <c r="E111" s="516">
        <v>4308.0697674418607</v>
      </c>
      <c r="F111" s="515">
        <v>133753.14095292107</v>
      </c>
      <c r="G111" s="515">
        <v>135907.17583664198</v>
      </c>
      <c r="H111" s="516">
        <v>18855.648147984095</v>
      </c>
      <c r="I111" s="510">
        <v>18855.648147984095</v>
      </c>
      <c r="J111" s="514">
        <f t="shared" si="26"/>
        <v>0</v>
      </c>
      <c r="K111" s="514"/>
      <c r="L111" s="518">
        <f t="shared" si="36"/>
        <v>18855.648147984095</v>
      </c>
      <c r="M111" s="519">
        <f t="shared" ref="M111:M112" si="38">IF(L111&lt;&gt;0,+H111-L111,0)</f>
        <v>0</v>
      </c>
      <c r="N111" s="518">
        <f t="shared" si="37"/>
        <v>18855.648147984095</v>
      </c>
      <c r="O111" s="514">
        <f t="shared" si="28"/>
        <v>0</v>
      </c>
      <c r="P111" s="514">
        <f t="shared" si="29"/>
        <v>0</v>
      </c>
      <c r="Q111" s="269"/>
    </row>
    <row r="112" spans="1:17" ht="12.5">
      <c r="B112" s="195" t="str">
        <f t="shared" si="32"/>
        <v/>
      </c>
      <c r="C112" s="507">
        <f>IF(D93="","-",+C111+1)</f>
        <v>2020</v>
      </c>
      <c r="D112" s="508">
        <v>133753.14095292107</v>
      </c>
      <c r="E112" s="516">
        <v>4410.6428571428569</v>
      </c>
      <c r="F112" s="515">
        <v>129342.49809577821</v>
      </c>
      <c r="G112" s="515">
        <v>131547.81952434964</v>
      </c>
      <c r="H112" s="516">
        <v>18561.745960492495</v>
      </c>
      <c r="I112" s="510">
        <v>18561.745960492495</v>
      </c>
      <c r="J112" s="514">
        <f t="shared" si="26"/>
        <v>0</v>
      </c>
      <c r="K112" s="514"/>
      <c r="L112" s="518">
        <f t="shared" si="36"/>
        <v>18561.745960492495</v>
      </c>
      <c r="M112" s="519">
        <f t="shared" si="38"/>
        <v>0</v>
      </c>
      <c r="N112" s="518">
        <f t="shared" si="37"/>
        <v>18561.745960492495</v>
      </c>
      <c r="O112" s="514">
        <f t="shared" si="28"/>
        <v>0</v>
      </c>
      <c r="P112" s="514">
        <f t="shared" si="29"/>
        <v>0</v>
      </c>
      <c r="Q112" s="269"/>
    </row>
    <row r="113" spans="2:17" ht="12.5">
      <c r="B113" s="195" t="str">
        <f t="shared" si="32"/>
        <v/>
      </c>
      <c r="C113" s="507">
        <f>IF(D93="","-",+C112+1)</f>
        <v>2021</v>
      </c>
      <c r="D113" s="374">
        <f>IF(F112+SUM(E$99:E112)=D$92,F112,D$92-SUM(E$99:E112))</f>
        <v>129342.49809577821</v>
      </c>
      <c r="E113" s="522">
        <f>IF(+J96&lt;F112,J96,D113)</f>
        <v>4518.2195121951218</v>
      </c>
      <c r="F113" s="523">
        <f t="shared" ref="F113:F130" si="39">+D113-E113</f>
        <v>124824.27858358309</v>
      </c>
      <c r="G113" s="523">
        <f t="shared" ref="G113:G130" si="40">+(F113+D113)/2</f>
        <v>127083.38833968065</v>
      </c>
      <c r="H113" s="526">
        <f t="shared" ref="H113:H154" si="41">+J$94*G113+E113</f>
        <v>18943.99202428088</v>
      </c>
      <c r="I113" s="577">
        <f t="shared" ref="I113:I154" si="42">+J$95*G113+E113</f>
        <v>18943.99202428088</v>
      </c>
      <c r="J113" s="514">
        <f t="shared" si="26"/>
        <v>0</v>
      </c>
      <c r="K113" s="514"/>
      <c r="L113" s="525"/>
      <c r="M113" s="514">
        <f t="shared" si="27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 ht="12.5">
      <c r="B114" s="195" t="str">
        <f t="shared" si="32"/>
        <v/>
      </c>
      <c r="C114" s="507">
        <f>IF(D93="","-",+C113+1)</f>
        <v>2022</v>
      </c>
      <c r="D114" s="374">
        <f>IF(F113+SUM(E$99:E113)=D$92,F113,D$92-SUM(E$99:E113))</f>
        <v>124824.27858358309</v>
      </c>
      <c r="E114" s="522">
        <f>IF(+J96&lt;F113,J96,D114)</f>
        <v>4518.2195121951218</v>
      </c>
      <c r="F114" s="523">
        <f t="shared" si="39"/>
        <v>120306.05907138796</v>
      </c>
      <c r="G114" s="523">
        <f t="shared" si="40"/>
        <v>122565.16882748553</v>
      </c>
      <c r="H114" s="526">
        <f t="shared" si="41"/>
        <v>18431.109831776084</v>
      </c>
      <c r="I114" s="577">
        <f t="shared" si="42"/>
        <v>18431.109831776084</v>
      </c>
      <c r="J114" s="514">
        <f t="shared" si="26"/>
        <v>0</v>
      </c>
      <c r="K114" s="514"/>
      <c r="L114" s="525"/>
      <c r="M114" s="514">
        <f t="shared" si="27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 ht="12.5">
      <c r="B115" s="195" t="str">
        <f t="shared" si="32"/>
        <v/>
      </c>
      <c r="C115" s="507">
        <f>IF(D93="","-",+C114+1)</f>
        <v>2023</v>
      </c>
      <c r="D115" s="374">
        <f>IF(F114+SUM(E$99:E114)=D$92,F114,D$92-SUM(E$99:E114))</f>
        <v>120306.05907138796</v>
      </c>
      <c r="E115" s="522">
        <f>IF(+J96&lt;F114,J96,D115)</f>
        <v>4518.2195121951218</v>
      </c>
      <c r="F115" s="523">
        <f t="shared" si="39"/>
        <v>115787.83955919284</v>
      </c>
      <c r="G115" s="523">
        <f t="shared" si="40"/>
        <v>118046.9493152904</v>
      </c>
      <c r="H115" s="526">
        <f t="shared" si="41"/>
        <v>17918.227639271288</v>
      </c>
      <c r="I115" s="577">
        <f t="shared" si="42"/>
        <v>17918.227639271288</v>
      </c>
      <c r="J115" s="514">
        <f t="shared" si="26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 ht="12.5">
      <c r="B116" s="195" t="str">
        <f t="shared" si="32"/>
        <v/>
      </c>
      <c r="C116" s="507">
        <f>IF(D93="","-",+C115+1)</f>
        <v>2024</v>
      </c>
      <c r="D116" s="374">
        <f>IF(F115+SUM(E$99:E115)=D$92,F115,D$92-SUM(E$99:E115))</f>
        <v>115787.83955919284</v>
      </c>
      <c r="E116" s="522">
        <f>IF(+J96&lt;F115,J96,D116)</f>
        <v>4518.2195121951218</v>
      </c>
      <c r="F116" s="523">
        <f t="shared" si="39"/>
        <v>111269.62004699772</v>
      </c>
      <c r="G116" s="523">
        <f t="shared" si="40"/>
        <v>113528.72980309528</v>
      </c>
      <c r="H116" s="526">
        <f t="shared" si="41"/>
        <v>17405.345446766489</v>
      </c>
      <c r="I116" s="577">
        <f t="shared" si="42"/>
        <v>17405.345446766489</v>
      </c>
      <c r="J116" s="514">
        <f t="shared" si="26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 ht="12.5">
      <c r="B117" s="195" t="str">
        <f t="shared" si="32"/>
        <v/>
      </c>
      <c r="C117" s="507">
        <f>IF(D93="","-",+C116+1)</f>
        <v>2025</v>
      </c>
      <c r="D117" s="374">
        <f>IF(F116+SUM(E$99:E116)=D$92,F116,D$92-SUM(E$99:E116))</f>
        <v>111269.62004699772</v>
      </c>
      <c r="E117" s="522">
        <f>IF(+J96&lt;F116,J96,D117)</f>
        <v>4518.2195121951218</v>
      </c>
      <c r="F117" s="523">
        <f t="shared" si="39"/>
        <v>106751.4005348026</v>
      </c>
      <c r="G117" s="523">
        <f t="shared" si="40"/>
        <v>109010.51029090016</v>
      </c>
      <c r="H117" s="526">
        <f t="shared" si="41"/>
        <v>16892.463254261693</v>
      </c>
      <c r="I117" s="577">
        <f t="shared" si="42"/>
        <v>16892.463254261693</v>
      </c>
      <c r="J117" s="514">
        <f t="shared" si="26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 ht="12.5">
      <c r="B118" s="195" t="str">
        <f t="shared" si="32"/>
        <v/>
      </c>
      <c r="C118" s="507">
        <f>IF(D93="","-",+C117+1)</f>
        <v>2026</v>
      </c>
      <c r="D118" s="374">
        <f>IF(F117+SUM(E$99:E117)=D$92,F117,D$92-SUM(E$99:E117))</f>
        <v>106751.4005348026</v>
      </c>
      <c r="E118" s="522">
        <f>IF(+J96&lt;F117,J96,D118)</f>
        <v>4518.2195121951218</v>
      </c>
      <c r="F118" s="523">
        <f t="shared" si="39"/>
        <v>102233.18102260747</v>
      </c>
      <c r="G118" s="523">
        <f t="shared" si="40"/>
        <v>104492.29077870504</v>
      </c>
      <c r="H118" s="526">
        <f t="shared" si="41"/>
        <v>16379.581061756897</v>
      </c>
      <c r="I118" s="577">
        <f t="shared" si="42"/>
        <v>16379.581061756897</v>
      </c>
      <c r="J118" s="514">
        <f t="shared" si="26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 ht="12.5">
      <c r="B119" s="195" t="str">
        <f t="shared" si="32"/>
        <v/>
      </c>
      <c r="C119" s="507">
        <f>IF(D93="","-",+C118+1)</f>
        <v>2027</v>
      </c>
      <c r="D119" s="374">
        <f>IF(F118+SUM(E$99:E118)=D$92,F118,D$92-SUM(E$99:E118))</f>
        <v>102233.18102260747</v>
      </c>
      <c r="E119" s="522">
        <f>IF(+J96&lt;F118,J96,D119)</f>
        <v>4518.2195121951218</v>
      </c>
      <c r="F119" s="523">
        <f t="shared" si="39"/>
        <v>97714.961510412351</v>
      </c>
      <c r="G119" s="523">
        <f t="shared" si="40"/>
        <v>99974.071266509913</v>
      </c>
      <c r="H119" s="526">
        <f t="shared" si="41"/>
        <v>15866.698869252101</v>
      </c>
      <c r="I119" s="577">
        <f t="shared" si="42"/>
        <v>15866.698869252101</v>
      </c>
      <c r="J119" s="514">
        <f t="shared" si="26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 ht="12.5">
      <c r="B120" s="195" t="str">
        <f t="shared" si="32"/>
        <v/>
      </c>
      <c r="C120" s="507">
        <f>IF(D93="","-",+C119+1)</f>
        <v>2028</v>
      </c>
      <c r="D120" s="374">
        <f>IF(F119+SUM(E$99:E119)=D$92,F119,D$92-SUM(E$99:E119))</f>
        <v>97714.961510412351</v>
      </c>
      <c r="E120" s="522">
        <f>IF(+J96&lt;F119,J96,D120)</f>
        <v>4518.2195121951218</v>
      </c>
      <c r="F120" s="523">
        <f t="shared" si="39"/>
        <v>93196.741998217229</v>
      </c>
      <c r="G120" s="523">
        <f t="shared" si="40"/>
        <v>95455.85175431479</v>
      </c>
      <c r="H120" s="526">
        <f t="shared" si="41"/>
        <v>15353.816676747305</v>
      </c>
      <c r="I120" s="577">
        <f t="shared" si="42"/>
        <v>15353.816676747305</v>
      </c>
      <c r="J120" s="514">
        <f t="shared" si="26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 ht="12.5">
      <c r="B121" s="195" t="str">
        <f t="shared" si="32"/>
        <v/>
      </c>
      <c r="C121" s="507">
        <f>IF(D93="","-",+C120+1)</f>
        <v>2029</v>
      </c>
      <c r="D121" s="374">
        <f>IF(F120+SUM(E$99:E120)=D$92,F120,D$92-SUM(E$99:E120))</f>
        <v>93196.741998217229</v>
      </c>
      <c r="E121" s="522">
        <f>IF(+J96&lt;F120,J96,D121)</f>
        <v>4518.2195121951218</v>
      </c>
      <c r="F121" s="523">
        <f t="shared" si="39"/>
        <v>88678.522486022106</v>
      </c>
      <c r="G121" s="523">
        <f t="shared" si="40"/>
        <v>90937.632242119667</v>
      </c>
      <c r="H121" s="526">
        <f t="shared" si="41"/>
        <v>14840.934484242505</v>
      </c>
      <c r="I121" s="577">
        <f t="shared" si="42"/>
        <v>14840.934484242505</v>
      </c>
      <c r="J121" s="514">
        <f t="shared" si="26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 ht="12.5">
      <c r="B122" s="195" t="str">
        <f t="shared" si="32"/>
        <v/>
      </c>
      <c r="C122" s="507">
        <f>IF(D93="","-",+C121+1)</f>
        <v>2030</v>
      </c>
      <c r="D122" s="374">
        <f>IF(F121+SUM(E$99:E121)=D$92,F121,D$92-SUM(E$99:E121))</f>
        <v>88678.522486022106</v>
      </c>
      <c r="E122" s="522">
        <f>IF(+J96&lt;F121,J96,D122)</f>
        <v>4518.2195121951218</v>
      </c>
      <c r="F122" s="523">
        <f t="shared" si="39"/>
        <v>84160.302973826983</v>
      </c>
      <c r="G122" s="523">
        <f t="shared" si="40"/>
        <v>86419.412729924545</v>
      </c>
      <c r="H122" s="526">
        <f t="shared" si="41"/>
        <v>14328.052291737709</v>
      </c>
      <c r="I122" s="577">
        <f t="shared" si="42"/>
        <v>14328.052291737709</v>
      </c>
      <c r="J122" s="514">
        <f t="shared" si="26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 ht="12.5">
      <c r="B123" s="195" t="str">
        <f t="shared" si="32"/>
        <v/>
      </c>
      <c r="C123" s="507">
        <f>IF(D93="","-",+C122+1)</f>
        <v>2031</v>
      </c>
      <c r="D123" s="374">
        <f>IF(F122+SUM(E$99:E122)=D$92,F122,D$92-SUM(E$99:E122))</f>
        <v>84160.302973826983</v>
      </c>
      <c r="E123" s="522">
        <f>IF(+J96&lt;F122,J96,D123)</f>
        <v>4518.2195121951218</v>
      </c>
      <c r="F123" s="523">
        <f t="shared" si="39"/>
        <v>79642.083461631861</v>
      </c>
      <c r="G123" s="523">
        <f t="shared" si="40"/>
        <v>81901.193217729422</v>
      </c>
      <c r="H123" s="526">
        <f t="shared" si="41"/>
        <v>13815.170099232913</v>
      </c>
      <c r="I123" s="577">
        <f t="shared" si="42"/>
        <v>13815.170099232913</v>
      </c>
      <c r="J123" s="514">
        <f t="shared" si="26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 ht="12.5">
      <c r="B124" s="195" t="str">
        <f t="shared" si="32"/>
        <v/>
      </c>
      <c r="C124" s="507">
        <f>IF(D93="","-",+C123+1)</f>
        <v>2032</v>
      </c>
      <c r="D124" s="374">
        <f>IF(F123+SUM(E$99:E123)=D$92,F123,D$92-SUM(E$99:E123))</f>
        <v>79642.083461631861</v>
      </c>
      <c r="E124" s="522">
        <f>IF(+J96&lt;F123,J96,D124)</f>
        <v>4518.2195121951218</v>
      </c>
      <c r="F124" s="523">
        <f t="shared" si="39"/>
        <v>75123.863949436738</v>
      </c>
      <c r="G124" s="523">
        <f t="shared" si="40"/>
        <v>77382.973705534299</v>
      </c>
      <c r="H124" s="526">
        <f t="shared" si="41"/>
        <v>13302.287906728117</v>
      </c>
      <c r="I124" s="577">
        <f t="shared" si="42"/>
        <v>13302.287906728117</v>
      </c>
      <c r="J124" s="514">
        <f t="shared" si="26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 ht="12.5">
      <c r="B125" s="195" t="str">
        <f t="shared" si="32"/>
        <v/>
      </c>
      <c r="C125" s="507">
        <f>IF(D93="","-",+C124+1)</f>
        <v>2033</v>
      </c>
      <c r="D125" s="374">
        <f>IF(F124+SUM(E$99:E124)=D$92,F124,D$92-SUM(E$99:E124))</f>
        <v>75123.863949436738</v>
      </c>
      <c r="E125" s="522">
        <f>IF(+J96&lt;F124,J96,D125)</f>
        <v>4518.2195121951218</v>
      </c>
      <c r="F125" s="523">
        <f t="shared" si="39"/>
        <v>70605.644437241615</v>
      </c>
      <c r="G125" s="523">
        <f t="shared" si="40"/>
        <v>72864.754193339177</v>
      </c>
      <c r="H125" s="526">
        <f t="shared" si="41"/>
        <v>12789.405714223321</v>
      </c>
      <c r="I125" s="577">
        <f t="shared" si="42"/>
        <v>12789.405714223321</v>
      </c>
      <c r="J125" s="514">
        <f t="shared" si="26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 ht="12.5">
      <c r="B126" s="195" t="str">
        <f t="shared" si="32"/>
        <v/>
      </c>
      <c r="C126" s="507">
        <f>IF(D93="","-",+C125+1)</f>
        <v>2034</v>
      </c>
      <c r="D126" s="374">
        <f>IF(F125+SUM(E$99:E125)=D$92,F125,D$92-SUM(E$99:E125))</f>
        <v>70605.644437241615</v>
      </c>
      <c r="E126" s="522">
        <f>IF(+J96&lt;F125,J96,D126)</f>
        <v>4518.2195121951218</v>
      </c>
      <c r="F126" s="523">
        <f t="shared" si="39"/>
        <v>66087.424925046493</v>
      </c>
      <c r="G126" s="523">
        <f t="shared" si="40"/>
        <v>68346.534681144054</v>
      </c>
      <c r="H126" s="526">
        <f t="shared" si="41"/>
        <v>12276.523521718522</v>
      </c>
      <c r="I126" s="577">
        <f t="shared" si="42"/>
        <v>12276.523521718522</v>
      </c>
      <c r="J126" s="514">
        <f t="shared" si="26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 ht="12.5">
      <c r="B127" s="195" t="str">
        <f t="shared" si="32"/>
        <v/>
      </c>
      <c r="C127" s="507">
        <f>IF(D93="","-",+C126+1)</f>
        <v>2035</v>
      </c>
      <c r="D127" s="374">
        <f>IF(F126+SUM(E$99:E126)=D$92,F126,D$92-SUM(E$99:E126))</f>
        <v>66087.424925046493</v>
      </c>
      <c r="E127" s="522">
        <f>IF(+J96&lt;F126,J96,D127)</f>
        <v>4518.2195121951218</v>
      </c>
      <c r="F127" s="523">
        <f t="shared" si="39"/>
        <v>61569.20541285137</v>
      </c>
      <c r="G127" s="523">
        <f t="shared" si="40"/>
        <v>63828.315168948931</v>
      </c>
      <c r="H127" s="526">
        <f t="shared" si="41"/>
        <v>11763.641329213726</v>
      </c>
      <c r="I127" s="577">
        <f t="shared" si="42"/>
        <v>11763.641329213726</v>
      </c>
      <c r="J127" s="514">
        <f t="shared" si="26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 ht="12.5">
      <c r="B128" s="195" t="str">
        <f t="shared" si="32"/>
        <v/>
      </c>
      <c r="C128" s="507">
        <f>IF(D93="","-",+C127+1)</f>
        <v>2036</v>
      </c>
      <c r="D128" s="374">
        <f>IF(F127+SUM(E$99:E127)=D$92,F127,D$92-SUM(E$99:E127))</f>
        <v>61569.20541285137</v>
      </c>
      <c r="E128" s="522">
        <f>IF(+J96&lt;F127,J96,D128)</f>
        <v>4518.2195121951218</v>
      </c>
      <c r="F128" s="523">
        <f t="shared" si="39"/>
        <v>57050.985900656247</v>
      </c>
      <c r="G128" s="523">
        <f t="shared" si="40"/>
        <v>59310.095656753809</v>
      </c>
      <c r="H128" s="526">
        <f t="shared" si="41"/>
        <v>11250.75913670893</v>
      </c>
      <c r="I128" s="577">
        <f t="shared" si="42"/>
        <v>11250.75913670893</v>
      </c>
      <c r="J128" s="514">
        <f t="shared" si="26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 ht="12.5">
      <c r="B129" s="195" t="str">
        <f t="shared" si="32"/>
        <v/>
      </c>
      <c r="C129" s="507">
        <f>IF(D93="","-",+C128+1)</f>
        <v>2037</v>
      </c>
      <c r="D129" s="374">
        <f>IF(F128+SUM(E$99:E128)=D$92,F128,D$92-SUM(E$99:E128))</f>
        <v>57050.985900656247</v>
      </c>
      <c r="E129" s="522">
        <f>IF(+J96&lt;F128,J96,D129)</f>
        <v>4518.2195121951218</v>
      </c>
      <c r="F129" s="523">
        <f t="shared" si="39"/>
        <v>52532.766388461125</v>
      </c>
      <c r="G129" s="523">
        <f t="shared" si="40"/>
        <v>54791.876144558686</v>
      </c>
      <c r="H129" s="526">
        <f t="shared" si="41"/>
        <v>10737.876944204134</v>
      </c>
      <c r="I129" s="577">
        <f t="shared" si="42"/>
        <v>10737.876944204134</v>
      </c>
      <c r="J129" s="514">
        <f t="shared" si="26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 ht="12.5">
      <c r="B130" s="195" t="str">
        <f t="shared" si="32"/>
        <v/>
      </c>
      <c r="C130" s="507">
        <f>IF(D93="","-",+C129+1)</f>
        <v>2038</v>
      </c>
      <c r="D130" s="374">
        <f>IF(F129+SUM(E$99:E129)=D$92,F129,D$92-SUM(E$99:E129))</f>
        <v>52532.766388461125</v>
      </c>
      <c r="E130" s="522">
        <f>IF(+J96&lt;F129,J96,D130)</f>
        <v>4518.2195121951218</v>
      </c>
      <c r="F130" s="523">
        <f t="shared" si="39"/>
        <v>48014.546876266002</v>
      </c>
      <c r="G130" s="523">
        <f t="shared" si="40"/>
        <v>50273.656632363563</v>
      </c>
      <c r="H130" s="526">
        <f t="shared" si="41"/>
        <v>10224.994751699336</v>
      </c>
      <c r="I130" s="577">
        <f t="shared" si="42"/>
        <v>10224.994751699336</v>
      </c>
      <c r="J130" s="514">
        <f t="shared" si="26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 ht="12.5">
      <c r="B131" s="195" t="str">
        <f t="shared" si="32"/>
        <v/>
      </c>
      <c r="C131" s="507">
        <f>IF(D93="","-",+C130+1)</f>
        <v>2039</v>
      </c>
      <c r="D131" s="374">
        <f>IF(F130+SUM(E$99:E130)=D$92,F130,D$92-SUM(E$99:E130))</f>
        <v>48014.546876266002</v>
      </c>
      <c r="E131" s="522">
        <f>IF(+J96&lt;F130,J96,D131)</f>
        <v>4518.2195121951218</v>
      </c>
      <c r="F131" s="523">
        <f t="shared" ref="F131:F154" si="43">+D131-E131</f>
        <v>43496.327364070879</v>
      </c>
      <c r="G131" s="523">
        <f t="shared" ref="G131:G154" si="44">+(F131+D131)/2</f>
        <v>45755.437120168441</v>
      </c>
      <c r="H131" s="526">
        <f t="shared" si="41"/>
        <v>9712.1125591945402</v>
      </c>
      <c r="I131" s="577">
        <f t="shared" si="42"/>
        <v>9712.1125591945402</v>
      </c>
      <c r="J131" s="514">
        <f t="shared" ref="J131:J154" si="45">+I131-H131</f>
        <v>0</v>
      </c>
      <c r="K131" s="514"/>
      <c r="L131" s="525"/>
      <c r="M131" s="514">
        <f t="shared" ref="M131:M154" si="46">IF(L131&lt;&gt;0,+H131-L131,0)</f>
        <v>0</v>
      </c>
      <c r="N131" s="525"/>
      <c r="O131" s="514">
        <f t="shared" ref="O131:O154" si="47">IF(N131&lt;&gt;0,+I131-N131,0)</f>
        <v>0</v>
      </c>
      <c r="P131" s="514">
        <f t="shared" ref="P131:P154" si="48">+O131-M131</f>
        <v>0</v>
      </c>
      <c r="Q131" s="269"/>
    </row>
    <row r="132" spans="2:17" ht="12.5">
      <c r="B132" s="195" t="str">
        <f t="shared" si="32"/>
        <v/>
      </c>
      <c r="C132" s="507">
        <f>IF(D93="","-",+C131+1)</f>
        <v>2040</v>
      </c>
      <c r="D132" s="374">
        <f>IF(F131+SUM(E$99:E131)=D$92,F131,D$92-SUM(E$99:E131))</f>
        <v>43496.327364070879</v>
      </c>
      <c r="E132" s="522">
        <f>IF(+J96&lt;F131,J96,D132)</f>
        <v>4518.2195121951218</v>
      </c>
      <c r="F132" s="523">
        <f t="shared" si="43"/>
        <v>38978.107851875757</v>
      </c>
      <c r="G132" s="523">
        <f t="shared" si="44"/>
        <v>41237.217607973318</v>
      </c>
      <c r="H132" s="526">
        <f t="shared" si="41"/>
        <v>9199.2303666897424</v>
      </c>
      <c r="I132" s="577">
        <f t="shared" si="42"/>
        <v>9199.2303666897424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  <c r="Q132" s="269"/>
    </row>
    <row r="133" spans="2:17" ht="12.5">
      <c r="B133" s="195" t="str">
        <f t="shared" si="32"/>
        <v/>
      </c>
      <c r="C133" s="507">
        <f>IF(D93="","-",+C132+1)</f>
        <v>2041</v>
      </c>
      <c r="D133" s="374">
        <f>IF(F132+SUM(E$99:E132)=D$92,F132,D$92-SUM(E$99:E132))</f>
        <v>38978.107851875757</v>
      </c>
      <c r="E133" s="522">
        <f>IF(+J96&lt;F132,J96,D133)</f>
        <v>4518.2195121951218</v>
      </c>
      <c r="F133" s="523">
        <f t="shared" si="43"/>
        <v>34459.888339680634</v>
      </c>
      <c r="G133" s="523">
        <f t="shared" si="44"/>
        <v>36718.998095778195</v>
      </c>
      <c r="H133" s="526">
        <f t="shared" si="41"/>
        <v>8686.3481741849464</v>
      </c>
      <c r="I133" s="577">
        <f t="shared" si="42"/>
        <v>8686.3481741849464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  <c r="Q133" s="269"/>
    </row>
    <row r="134" spans="2:17" ht="12.5">
      <c r="B134" s="195" t="str">
        <f t="shared" si="32"/>
        <v/>
      </c>
      <c r="C134" s="507">
        <f>IF(D93="","-",+C133+1)</f>
        <v>2042</v>
      </c>
      <c r="D134" s="374">
        <f>IF(F133+SUM(E$99:E133)=D$92,F133,D$92-SUM(E$99:E133))</f>
        <v>34459.888339680634</v>
      </c>
      <c r="E134" s="522">
        <f>IF(+J96&lt;F133,J96,D134)</f>
        <v>4518.2195121951218</v>
      </c>
      <c r="F134" s="523">
        <f t="shared" si="43"/>
        <v>29941.668827485511</v>
      </c>
      <c r="G134" s="523">
        <f t="shared" si="44"/>
        <v>32200.778583583073</v>
      </c>
      <c r="H134" s="526">
        <f t="shared" si="41"/>
        <v>8173.4659816801504</v>
      </c>
      <c r="I134" s="577">
        <f t="shared" si="42"/>
        <v>8173.4659816801504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  <c r="Q134" s="269"/>
    </row>
    <row r="135" spans="2:17" ht="12.5">
      <c r="B135" s="195" t="str">
        <f t="shared" si="32"/>
        <v/>
      </c>
      <c r="C135" s="507">
        <f>IF(D93="","-",+C134+1)</f>
        <v>2043</v>
      </c>
      <c r="D135" s="374">
        <f>IF(F134+SUM(E$99:E134)=D$92,F134,D$92-SUM(E$99:E134))</f>
        <v>29941.668827485511</v>
      </c>
      <c r="E135" s="522">
        <f>IF(+J96&lt;F134,J96,D135)</f>
        <v>4518.2195121951218</v>
      </c>
      <c r="F135" s="523">
        <f t="shared" si="43"/>
        <v>25423.449315290389</v>
      </c>
      <c r="G135" s="523">
        <f t="shared" si="44"/>
        <v>27682.55907138795</v>
      </c>
      <c r="H135" s="526">
        <f t="shared" si="41"/>
        <v>7660.5837891753526</v>
      </c>
      <c r="I135" s="577">
        <f t="shared" si="42"/>
        <v>7660.5837891753526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  <c r="Q135" s="269"/>
    </row>
    <row r="136" spans="2:17" ht="12.5">
      <c r="B136" s="195" t="str">
        <f t="shared" si="32"/>
        <v/>
      </c>
      <c r="C136" s="507">
        <f>IF(D93="","-",+C135+1)</f>
        <v>2044</v>
      </c>
      <c r="D136" s="374">
        <f>IF(F135+SUM(E$99:E135)=D$92,F135,D$92-SUM(E$99:E135))</f>
        <v>25423.449315290389</v>
      </c>
      <c r="E136" s="522">
        <f>IF(+J96&lt;F135,J96,D136)</f>
        <v>4518.2195121951218</v>
      </c>
      <c r="F136" s="523">
        <f t="shared" si="43"/>
        <v>20905.229803095266</v>
      </c>
      <c r="G136" s="523">
        <f t="shared" si="44"/>
        <v>23164.339559192827</v>
      </c>
      <c r="H136" s="526">
        <f t="shared" si="41"/>
        <v>7147.7015966705567</v>
      </c>
      <c r="I136" s="577">
        <f t="shared" si="42"/>
        <v>7147.7015966705567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  <c r="Q136" s="269"/>
    </row>
    <row r="137" spans="2:17" ht="12.5">
      <c r="B137" s="195" t="str">
        <f t="shared" si="32"/>
        <v/>
      </c>
      <c r="C137" s="507">
        <f>IF(D93="","-",+C136+1)</f>
        <v>2045</v>
      </c>
      <c r="D137" s="374">
        <f>IF(F136+SUM(E$99:E136)=D$92,F136,D$92-SUM(E$99:E136))</f>
        <v>20905.229803095266</v>
      </c>
      <c r="E137" s="522">
        <f>IF(+J96&lt;F136,J96,D137)</f>
        <v>4518.2195121951218</v>
      </c>
      <c r="F137" s="523">
        <f t="shared" si="43"/>
        <v>16387.010290900143</v>
      </c>
      <c r="G137" s="523">
        <f t="shared" si="44"/>
        <v>18646.120046997705</v>
      </c>
      <c r="H137" s="526">
        <f t="shared" si="41"/>
        <v>6634.8194041657598</v>
      </c>
      <c r="I137" s="577">
        <f t="shared" si="42"/>
        <v>6634.8194041657598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  <c r="Q137" s="269"/>
    </row>
    <row r="138" spans="2:17" ht="12.5">
      <c r="B138" s="195" t="str">
        <f t="shared" si="32"/>
        <v/>
      </c>
      <c r="C138" s="507">
        <f>IF(D93="","-",+C137+1)</f>
        <v>2046</v>
      </c>
      <c r="D138" s="374">
        <f>IF(F137+SUM(E$99:E137)=D$92,F137,D$92-SUM(E$99:E137))</f>
        <v>16387.010290900143</v>
      </c>
      <c r="E138" s="522">
        <f>IF(+J96&lt;F137,J96,D138)</f>
        <v>4518.2195121951218</v>
      </c>
      <c r="F138" s="523">
        <f t="shared" si="43"/>
        <v>11868.790778705021</v>
      </c>
      <c r="G138" s="523">
        <f t="shared" si="44"/>
        <v>14127.900534802582</v>
      </c>
      <c r="H138" s="526">
        <f t="shared" si="41"/>
        <v>6121.9372116609629</v>
      </c>
      <c r="I138" s="577">
        <f t="shared" si="42"/>
        <v>6121.9372116609629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  <c r="Q138" s="269"/>
    </row>
    <row r="139" spans="2:17" ht="12.5">
      <c r="B139" s="195" t="str">
        <f t="shared" si="32"/>
        <v/>
      </c>
      <c r="C139" s="507">
        <f>IF(D93="","-",+C138+1)</f>
        <v>2047</v>
      </c>
      <c r="D139" s="374">
        <f>IF(F138+SUM(E$99:E138)=D$92,F138,D$92-SUM(E$99:E138))</f>
        <v>11868.790778705021</v>
      </c>
      <c r="E139" s="522">
        <f>IF(+J96&lt;F138,J96,D139)</f>
        <v>4518.2195121951218</v>
      </c>
      <c r="F139" s="523">
        <f t="shared" si="43"/>
        <v>7350.571266509899</v>
      </c>
      <c r="G139" s="523">
        <f t="shared" si="44"/>
        <v>9609.6810226074595</v>
      </c>
      <c r="H139" s="526">
        <f t="shared" si="41"/>
        <v>5609.0550191561661</v>
      </c>
      <c r="I139" s="577">
        <f t="shared" si="42"/>
        <v>5609.0550191561661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  <c r="Q139" s="269"/>
    </row>
    <row r="140" spans="2:17" ht="12.5">
      <c r="B140" s="195" t="str">
        <f t="shared" si="32"/>
        <v/>
      </c>
      <c r="C140" s="507">
        <f>IF(D93="","-",+C139+1)</f>
        <v>2048</v>
      </c>
      <c r="D140" s="374">
        <f>IF(F139+SUM(E$99:E139)=D$92,F139,D$92-SUM(E$99:E139))</f>
        <v>7350.571266509899</v>
      </c>
      <c r="E140" s="522">
        <f>IF(+J96&lt;F139,J96,D140)</f>
        <v>4518.2195121951218</v>
      </c>
      <c r="F140" s="523">
        <f t="shared" si="43"/>
        <v>2832.3517543147773</v>
      </c>
      <c r="G140" s="523">
        <f t="shared" si="44"/>
        <v>5091.4615104123386</v>
      </c>
      <c r="H140" s="526">
        <f t="shared" si="41"/>
        <v>5096.1728266513701</v>
      </c>
      <c r="I140" s="577">
        <f t="shared" si="42"/>
        <v>5096.1728266513701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  <c r="Q140" s="269"/>
    </row>
    <row r="141" spans="2:17" ht="12.5">
      <c r="B141" s="195" t="str">
        <f t="shared" si="32"/>
        <v/>
      </c>
      <c r="C141" s="507">
        <f>IF(D93="","-",+C140+1)</f>
        <v>2049</v>
      </c>
      <c r="D141" s="374">
        <f>IF(F140+SUM(E$99:E140)=D$92,F140,D$92-SUM(E$99:E140))</f>
        <v>2832.3517543147773</v>
      </c>
      <c r="E141" s="522">
        <f>IF(+J96&lt;F140,J96,D141)</f>
        <v>2832.3517543147773</v>
      </c>
      <c r="F141" s="523">
        <f t="shared" si="43"/>
        <v>0</v>
      </c>
      <c r="G141" s="523">
        <f t="shared" si="44"/>
        <v>1416.1758771573886</v>
      </c>
      <c r="H141" s="526">
        <f t="shared" si="41"/>
        <v>2993.107863416702</v>
      </c>
      <c r="I141" s="577">
        <f t="shared" si="42"/>
        <v>2993.107863416702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  <c r="Q141" s="269"/>
    </row>
    <row r="142" spans="2:17" ht="12.5">
      <c r="B142" s="195" t="str">
        <f t="shared" si="32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3"/>
        <v>0</v>
      </c>
      <c r="G142" s="523">
        <f t="shared" si="44"/>
        <v>0</v>
      </c>
      <c r="H142" s="526">
        <f t="shared" si="41"/>
        <v>0</v>
      </c>
      <c r="I142" s="577">
        <f t="shared" si="42"/>
        <v>0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  <c r="Q142" s="269"/>
    </row>
    <row r="143" spans="2:17" ht="12.5">
      <c r="B143" s="195" t="str">
        <f t="shared" si="32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3"/>
        <v>0</v>
      </c>
      <c r="G143" s="523">
        <f t="shared" si="44"/>
        <v>0</v>
      </c>
      <c r="H143" s="526">
        <f t="shared" si="41"/>
        <v>0</v>
      </c>
      <c r="I143" s="577">
        <f t="shared" si="42"/>
        <v>0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  <c r="Q143" s="269"/>
    </row>
    <row r="144" spans="2:17" ht="12.5">
      <c r="B144" s="195" t="str">
        <f t="shared" si="32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3"/>
        <v>0</v>
      </c>
      <c r="G144" s="523">
        <f t="shared" si="44"/>
        <v>0</v>
      </c>
      <c r="H144" s="526">
        <f t="shared" si="41"/>
        <v>0</v>
      </c>
      <c r="I144" s="577">
        <f t="shared" si="42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  <c r="Q144" s="269"/>
    </row>
    <row r="145" spans="2:17" ht="12.5">
      <c r="B145" s="195" t="str">
        <f t="shared" si="32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3"/>
        <v>0</v>
      </c>
      <c r="G145" s="523">
        <f t="shared" si="44"/>
        <v>0</v>
      </c>
      <c r="H145" s="526">
        <f t="shared" si="41"/>
        <v>0</v>
      </c>
      <c r="I145" s="577">
        <f t="shared" si="42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  <c r="Q145" s="269"/>
    </row>
    <row r="146" spans="2:17" ht="12.5">
      <c r="B146" s="195" t="str">
        <f t="shared" si="32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3"/>
        <v>0</v>
      </c>
      <c r="G146" s="523">
        <f t="shared" si="44"/>
        <v>0</v>
      </c>
      <c r="H146" s="526">
        <f t="shared" si="41"/>
        <v>0</v>
      </c>
      <c r="I146" s="577">
        <f t="shared" si="42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  <c r="Q146" s="269"/>
    </row>
    <row r="147" spans="2:17" ht="12.5">
      <c r="B147" s="195" t="str">
        <f t="shared" si="32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3"/>
        <v>0</v>
      </c>
      <c r="G147" s="523">
        <f t="shared" si="44"/>
        <v>0</v>
      </c>
      <c r="H147" s="526">
        <f t="shared" si="41"/>
        <v>0</v>
      </c>
      <c r="I147" s="577">
        <f t="shared" si="42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  <c r="Q147" s="269"/>
    </row>
    <row r="148" spans="2:17" ht="12.5">
      <c r="B148" s="195" t="str">
        <f t="shared" si="32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3"/>
        <v>0</v>
      </c>
      <c r="G148" s="523">
        <f t="shared" si="44"/>
        <v>0</v>
      </c>
      <c r="H148" s="526">
        <f t="shared" si="41"/>
        <v>0</v>
      </c>
      <c r="I148" s="577">
        <f t="shared" si="42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  <c r="Q148" s="269"/>
    </row>
    <row r="149" spans="2:17" ht="12.5">
      <c r="B149" s="195" t="str">
        <f t="shared" si="32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3"/>
        <v>0</v>
      </c>
      <c r="G149" s="523">
        <f t="shared" si="44"/>
        <v>0</v>
      </c>
      <c r="H149" s="526">
        <f t="shared" si="41"/>
        <v>0</v>
      </c>
      <c r="I149" s="577">
        <f t="shared" si="42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  <c r="Q149" s="269"/>
    </row>
    <row r="150" spans="2:17" ht="12.5">
      <c r="B150" s="195" t="str">
        <f t="shared" si="32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3"/>
        <v>0</v>
      </c>
      <c r="G150" s="523">
        <f t="shared" si="44"/>
        <v>0</v>
      </c>
      <c r="H150" s="526">
        <f t="shared" si="41"/>
        <v>0</v>
      </c>
      <c r="I150" s="577">
        <f t="shared" si="42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  <c r="Q150" s="269"/>
    </row>
    <row r="151" spans="2:17" ht="12.5">
      <c r="B151" s="195" t="str">
        <f t="shared" si="32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3"/>
        <v>0</v>
      </c>
      <c r="G151" s="523">
        <f t="shared" si="44"/>
        <v>0</v>
      </c>
      <c r="H151" s="526">
        <f t="shared" si="41"/>
        <v>0</v>
      </c>
      <c r="I151" s="577">
        <f t="shared" si="42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  <c r="Q151" s="269"/>
    </row>
    <row r="152" spans="2:17" ht="12.5">
      <c r="B152" s="195" t="str">
        <f t="shared" si="32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3"/>
        <v>0</v>
      </c>
      <c r="G152" s="523">
        <f t="shared" si="44"/>
        <v>0</v>
      </c>
      <c r="H152" s="526">
        <f t="shared" si="41"/>
        <v>0</v>
      </c>
      <c r="I152" s="577">
        <f t="shared" si="42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  <c r="Q152" s="269"/>
    </row>
    <row r="153" spans="2:17" ht="12.5">
      <c r="B153" s="195" t="str">
        <f t="shared" si="32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3"/>
        <v>0</v>
      </c>
      <c r="G153" s="523">
        <f t="shared" si="44"/>
        <v>0</v>
      </c>
      <c r="H153" s="526">
        <f t="shared" si="41"/>
        <v>0</v>
      </c>
      <c r="I153" s="577">
        <f t="shared" si="42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  <c r="Q153" s="269"/>
    </row>
    <row r="154" spans="2:17" ht="13" thickBot="1">
      <c r="B154" s="195" t="str">
        <f t="shared" si="32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3"/>
        <v>0</v>
      </c>
      <c r="G154" s="528">
        <f t="shared" si="44"/>
        <v>0</v>
      </c>
      <c r="H154" s="530">
        <f t="shared" si="41"/>
        <v>0</v>
      </c>
      <c r="I154" s="579">
        <f t="shared" si="42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  <c r="Q154" s="269"/>
    </row>
    <row r="155" spans="2:17" ht="12.5">
      <c r="C155" s="374" t="s">
        <v>78</v>
      </c>
      <c r="D155" s="375"/>
      <c r="E155" s="375">
        <f>SUM(E99:E154)</f>
        <v>185246.99999999991</v>
      </c>
      <c r="F155" s="375"/>
      <c r="G155" s="375"/>
      <c r="H155" s="375">
        <f>SUM(H99:H154)</f>
        <v>653810.54198714183</v>
      </c>
      <c r="I155" s="375">
        <f>SUM(I99:I154)</f>
        <v>653810.54198714183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7" priority="1" stopIfTrue="1" operator="equal">
      <formula>$I$10</formula>
    </cfRule>
  </conditionalFormatting>
  <conditionalFormatting sqref="C99:C154">
    <cfRule type="cellIs" dxfId="13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2"/>
  <dimension ref="A1:Q162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13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599077.58884428418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599077.58884428418</v>
      </c>
      <c r="O6" s="269"/>
      <c r="P6" s="269"/>
    </row>
    <row r="7" spans="1:17" ht="13.5" thickBot="1">
      <c r="C7" s="467" t="s">
        <v>48</v>
      </c>
      <c r="D7" s="611" t="s">
        <v>150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151</v>
      </c>
      <c r="E9" s="666" t="s">
        <v>481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5731607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2006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136466.83333333334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2006</v>
      </c>
      <c r="D17" s="508">
        <v>3884542</v>
      </c>
      <c r="E17" s="509">
        <v>69992</v>
      </c>
      <c r="F17" s="508">
        <v>3814550</v>
      </c>
      <c r="G17" s="509">
        <v>508462</v>
      </c>
      <c r="H17" s="510">
        <v>508462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2007</v>
      </c>
      <c r="D18" s="515">
        <v>3814550</v>
      </c>
      <c r="E18" s="516">
        <v>104988</v>
      </c>
      <c r="F18" s="515">
        <v>3709563</v>
      </c>
      <c r="G18" s="516">
        <v>673524</v>
      </c>
      <c r="H18" s="510">
        <v>673524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612">
        <f>IF(D11="","-",+C18+1)</f>
        <v>2008</v>
      </c>
      <c r="D19" s="515">
        <v>5654153</v>
      </c>
      <c r="E19" s="516">
        <v>154908</v>
      </c>
      <c r="F19" s="515">
        <v>5499245</v>
      </c>
      <c r="G19" s="516">
        <v>999621</v>
      </c>
      <c r="H19" s="510">
        <v>999621</v>
      </c>
      <c r="I19" s="596">
        <f t="shared" si="0"/>
        <v>0</v>
      </c>
      <c r="J19" s="511"/>
      <c r="K19" s="518">
        <v>999621</v>
      </c>
      <c r="L19" s="514">
        <f t="shared" si="1"/>
        <v>0</v>
      </c>
      <c r="M19" s="518">
        <f>K19</f>
        <v>999621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4">IF(D20=F19,"","IU")</f>
        <v>IU</v>
      </c>
      <c r="C20" s="507">
        <f>IF(D11="","-",+C19+1)</f>
        <v>2009</v>
      </c>
      <c r="D20" s="515">
        <v>3604575</v>
      </c>
      <c r="E20" s="516">
        <v>104988</v>
      </c>
      <c r="F20" s="515">
        <v>3499587</v>
      </c>
      <c r="G20" s="516">
        <v>641343</v>
      </c>
      <c r="H20" s="510">
        <v>641343</v>
      </c>
      <c r="I20" s="596">
        <f t="shared" si="0"/>
        <v>0</v>
      </c>
      <c r="J20" s="511"/>
      <c r="K20" s="518">
        <v>641343</v>
      </c>
      <c r="L20" s="514">
        <f t="shared" si="1"/>
        <v>0</v>
      </c>
      <c r="M20" s="518">
        <v>641343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>IU</v>
      </c>
      <c r="C21" s="507">
        <f>IF(D12="","-",+C20+1)</f>
        <v>2010</v>
      </c>
      <c r="D21" s="515">
        <v>3449666</v>
      </c>
      <c r="E21" s="516">
        <v>102224.78947368421</v>
      </c>
      <c r="F21" s="515">
        <v>3347441.210526316</v>
      </c>
      <c r="G21" s="516">
        <v>583469.67252567795</v>
      </c>
      <c r="H21" s="510">
        <v>583469.67252567795</v>
      </c>
      <c r="I21" s="598">
        <v>0</v>
      </c>
      <c r="J21" s="511"/>
      <c r="K21" s="518">
        <f t="shared" ref="K21:K26" si="5">G21</f>
        <v>583469.67252567795</v>
      </c>
      <c r="L21" s="519">
        <f t="shared" si="1"/>
        <v>0</v>
      </c>
      <c r="M21" s="518">
        <f t="shared" ref="M21:M26" si="6">H21</f>
        <v>583469.67252567795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/>
      </c>
      <c r="C22" s="507">
        <f>IF(D11="","-",+C21+1)</f>
        <v>2011</v>
      </c>
      <c r="D22" s="515">
        <v>3347441.210526316</v>
      </c>
      <c r="E22" s="516">
        <v>94744.926829268297</v>
      </c>
      <c r="F22" s="515">
        <v>3252696.2836970477</v>
      </c>
      <c r="G22" s="516">
        <v>602790.6645462896</v>
      </c>
      <c r="H22" s="510">
        <v>602790.6645462896</v>
      </c>
      <c r="I22" s="517">
        <v>0</v>
      </c>
      <c r="J22" s="511"/>
      <c r="K22" s="518">
        <f t="shared" si="5"/>
        <v>602790.6645462896</v>
      </c>
      <c r="L22" s="519">
        <f t="shared" si="1"/>
        <v>0</v>
      </c>
      <c r="M22" s="518">
        <f t="shared" si="6"/>
        <v>602790.6645462896</v>
      </c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2012</v>
      </c>
      <c r="D23" s="515">
        <v>3252696.2836970477</v>
      </c>
      <c r="E23" s="520">
        <v>92489.095238095237</v>
      </c>
      <c r="F23" s="515">
        <v>3160207.1884589526</v>
      </c>
      <c r="G23" s="516">
        <v>562475.55094765779</v>
      </c>
      <c r="H23" s="510">
        <v>562475.55094765779</v>
      </c>
      <c r="I23" s="517">
        <v>0</v>
      </c>
      <c r="J23" s="511"/>
      <c r="K23" s="518">
        <f t="shared" si="5"/>
        <v>562475.55094765779</v>
      </c>
      <c r="L23" s="519">
        <f t="shared" si="1"/>
        <v>0</v>
      </c>
      <c r="M23" s="518">
        <f t="shared" si="6"/>
        <v>562475.55094765779</v>
      </c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4"/>
        <v/>
      </c>
      <c r="C24" s="507">
        <f>IF(D11="","-",+C23+1)</f>
        <v>2013</v>
      </c>
      <c r="D24" s="608">
        <v>3160207.1884589526</v>
      </c>
      <c r="E24" s="609">
        <v>92489.095238095237</v>
      </c>
      <c r="F24" s="608">
        <v>3067718.0932208574</v>
      </c>
      <c r="G24" s="609">
        <v>521929.99973922677</v>
      </c>
      <c r="H24" s="610">
        <v>521929.99973922677</v>
      </c>
      <c r="I24" s="596">
        <v>0</v>
      </c>
      <c r="J24" s="511"/>
      <c r="K24" s="518">
        <f t="shared" si="5"/>
        <v>521929.99973922677</v>
      </c>
      <c r="L24" s="519">
        <f t="shared" ref="L24:L29" si="7">IF(K24&lt;&gt;0,+G24-K24,0)</f>
        <v>0</v>
      </c>
      <c r="M24" s="518">
        <f t="shared" si="6"/>
        <v>521929.99973922677</v>
      </c>
      <c r="N24" s="514">
        <f t="shared" ref="N24:N29" si="8">IF(M24&lt;&gt;0,+H24-M24,0)</f>
        <v>0</v>
      </c>
      <c r="O24" s="514">
        <f t="shared" ref="O24:O29" si="9">+N24-L24</f>
        <v>0</v>
      </c>
      <c r="P24" s="272"/>
    </row>
    <row r="25" spans="2:16" ht="12.5">
      <c r="B25" s="195" t="str">
        <f t="shared" si="4"/>
        <v/>
      </c>
      <c r="C25" s="507">
        <f>IF(D11="","-",+C24+1)</f>
        <v>2014</v>
      </c>
      <c r="D25" s="608">
        <v>3067718.0932208574</v>
      </c>
      <c r="E25" s="609">
        <v>92489.095238095237</v>
      </c>
      <c r="F25" s="608">
        <v>2975228.9979827623</v>
      </c>
      <c r="G25" s="609">
        <v>493878.75151607196</v>
      </c>
      <c r="H25" s="610">
        <v>493878.75151607196</v>
      </c>
      <c r="I25" s="596">
        <v>0</v>
      </c>
      <c r="J25" s="511"/>
      <c r="K25" s="518">
        <f t="shared" si="5"/>
        <v>493878.75151607196</v>
      </c>
      <c r="L25" s="519">
        <f t="shared" si="7"/>
        <v>0</v>
      </c>
      <c r="M25" s="518">
        <f t="shared" si="6"/>
        <v>493878.75151607196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4"/>
        <v>IU</v>
      </c>
      <c r="C26" s="507">
        <f>IF(D11="","-",+C25+1)</f>
        <v>2015</v>
      </c>
      <c r="D26" s="608">
        <v>4822293.9979827618</v>
      </c>
      <c r="E26" s="609">
        <v>136466.83333333334</v>
      </c>
      <c r="F26" s="608">
        <v>4685827.1646494288</v>
      </c>
      <c r="G26" s="609">
        <v>753612.76745725656</v>
      </c>
      <c r="H26" s="610">
        <v>753612.76745725656</v>
      </c>
      <c r="I26" s="511">
        <v>0</v>
      </c>
      <c r="J26" s="511"/>
      <c r="K26" s="518">
        <f t="shared" si="5"/>
        <v>753612.76745725656</v>
      </c>
      <c r="L26" s="519">
        <f t="shared" si="7"/>
        <v>0</v>
      </c>
      <c r="M26" s="518">
        <f t="shared" si="6"/>
        <v>753612.76745725656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4"/>
        <v/>
      </c>
      <c r="C27" s="507">
        <f>IF(D11="","-",+C26+1)</f>
        <v>2016</v>
      </c>
      <c r="D27" s="608">
        <v>4685827.1646494288</v>
      </c>
      <c r="E27" s="609">
        <v>136466.83333333334</v>
      </c>
      <c r="F27" s="608">
        <v>4549360.3313160958</v>
      </c>
      <c r="G27" s="609">
        <v>728247.51158298948</v>
      </c>
      <c r="H27" s="610">
        <v>728247.51158298948</v>
      </c>
      <c r="I27" s="511">
        <f t="shared" si="0"/>
        <v>0</v>
      </c>
      <c r="J27" s="511"/>
      <c r="K27" s="518">
        <f t="shared" ref="K27:K32" si="10">G27</f>
        <v>728247.51158298948</v>
      </c>
      <c r="L27" s="519">
        <f t="shared" si="7"/>
        <v>0</v>
      </c>
      <c r="M27" s="518">
        <f t="shared" ref="M27:M32" si="11">H27</f>
        <v>728247.51158298948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4"/>
        <v/>
      </c>
      <c r="C28" s="507">
        <f>IF(D11="","-",+C27+1)</f>
        <v>2017</v>
      </c>
      <c r="D28" s="608">
        <v>4549360.3313160958</v>
      </c>
      <c r="E28" s="609">
        <v>133293.18604651163</v>
      </c>
      <c r="F28" s="608">
        <v>4416067.1452695839</v>
      </c>
      <c r="G28" s="609">
        <v>688667.94856072206</v>
      </c>
      <c r="H28" s="610">
        <v>688667.94856072206</v>
      </c>
      <c r="I28" s="511">
        <f t="shared" si="0"/>
        <v>0</v>
      </c>
      <c r="J28" s="511"/>
      <c r="K28" s="518">
        <f t="shared" si="10"/>
        <v>688667.94856072206</v>
      </c>
      <c r="L28" s="519">
        <f t="shared" si="7"/>
        <v>0</v>
      </c>
      <c r="M28" s="518">
        <f t="shared" si="11"/>
        <v>688667.94856072206</v>
      </c>
      <c r="N28" s="514">
        <f t="shared" si="8"/>
        <v>0</v>
      </c>
      <c r="O28" s="514">
        <f t="shared" si="9"/>
        <v>0</v>
      </c>
      <c r="P28" s="272"/>
    </row>
    <row r="29" spans="2:16" ht="12.5">
      <c r="B29" s="195" t="str">
        <f t="shared" si="4"/>
        <v>IU</v>
      </c>
      <c r="C29" s="507">
        <f>IF(D11="","-",+C28+1)</f>
        <v>2018</v>
      </c>
      <c r="D29" s="608">
        <v>4549360.3313160958</v>
      </c>
      <c r="E29" s="609">
        <v>133293.18604651163</v>
      </c>
      <c r="F29" s="608">
        <v>4416067.1452695839</v>
      </c>
      <c r="G29" s="609">
        <v>688667.94856072206</v>
      </c>
      <c r="H29" s="610">
        <v>688667.94856072206</v>
      </c>
      <c r="I29" s="511">
        <f t="shared" si="0"/>
        <v>0</v>
      </c>
      <c r="J29" s="511"/>
      <c r="K29" s="518">
        <f t="shared" si="10"/>
        <v>688667.94856072206</v>
      </c>
      <c r="L29" s="519">
        <f t="shared" si="7"/>
        <v>0</v>
      </c>
      <c r="M29" s="518">
        <f t="shared" si="11"/>
        <v>688667.94856072206</v>
      </c>
      <c r="N29" s="514">
        <f t="shared" si="8"/>
        <v>0</v>
      </c>
      <c r="O29" s="514">
        <f t="shared" si="9"/>
        <v>0</v>
      </c>
      <c r="P29" s="272"/>
    </row>
    <row r="30" spans="2:16" ht="12.5">
      <c r="B30" s="195" t="str">
        <f t="shared" si="4"/>
        <v>IU</v>
      </c>
      <c r="C30" s="507">
        <f>IF(D11="","-",+C29+1)</f>
        <v>2019</v>
      </c>
      <c r="D30" s="608">
        <v>4282773.9592230711</v>
      </c>
      <c r="E30" s="609">
        <v>139795.29268292684</v>
      </c>
      <c r="F30" s="608">
        <v>4142978.6665401445</v>
      </c>
      <c r="G30" s="609">
        <v>675227.01156482252</v>
      </c>
      <c r="H30" s="610">
        <v>675227.01156482252</v>
      </c>
      <c r="I30" s="511">
        <f t="shared" si="0"/>
        <v>0</v>
      </c>
      <c r="J30" s="511"/>
      <c r="K30" s="518">
        <f t="shared" si="10"/>
        <v>675227.01156482252</v>
      </c>
      <c r="L30" s="519">
        <f t="shared" ref="L30" si="12">IF(K30&lt;&gt;0,+G30-K30,0)</f>
        <v>0</v>
      </c>
      <c r="M30" s="518">
        <f t="shared" si="11"/>
        <v>675227.01156482252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/>
      </c>
      <c r="C31" s="507">
        <f>IF(D11="","-",+C30+1)</f>
        <v>2020</v>
      </c>
      <c r="D31" s="608">
        <v>4142978.6665401445</v>
      </c>
      <c r="E31" s="609">
        <v>139795.29268292684</v>
      </c>
      <c r="F31" s="608">
        <v>4003183.3738572178</v>
      </c>
      <c r="G31" s="609">
        <v>556615.89330498932</v>
      </c>
      <c r="H31" s="610">
        <v>556615.89330498932</v>
      </c>
      <c r="I31" s="511">
        <f t="shared" si="0"/>
        <v>0</v>
      </c>
      <c r="J31" s="511"/>
      <c r="K31" s="518">
        <f t="shared" si="10"/>
        <v>556615.89330498932</v>
      </c>
      <c r="L31" s="519">
        <f t="shared" ref="L31" si="13">IF(K31&lt;&gt;0,+G31-K31,0)</f>
        <v>0</v>
      </c>
      <c r="M31" s="518">
        <f t="shared" si="11"/>
        <v>556615.89330498932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/>
      </c>
      <c r="C32" s="507">
        <f>IF(D11="","-",+C31+1)</f>
        <v>2021</v>
      </c>
      <c r="D32" s="608">
        <v>4003183.3738572178</v>
      </c>
      <c r="E32" s="609">
        <v>136466.83333333334</v>
      </c>
      <c r="F32" s="608">
        <v>3866716.5405238844</v>
      </c>
      <c r="G32" s="609">
        <v>553589.41331080301</v>
      </c>
      <c r="H32" s="610">
        <v>553589.41331080301</v>
      </c>
      <c r="I32" s="511">
        <f t="shared" si="0"/>
        <v>0</v>
      </c>
      <c r="J32" s="511"/>
      <c r="K32" s="518">
        <f t="shared" si="10"/>
        <v>553589.41331080301</v>
      </c>
      <c r="L32" s="519">
        <f t="shared" ref="L32" si="14">IF(K32&lt;&gt;0,+G32-K32,0)</f>
        <v>0</v>
      </c>
      <c r="M32" s="518">
        <f t="shared" si="11"/>
        <v>553589.41331080301</v>
      </c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2022</v>
      </c>
      <c r="D33" s="608">
        <v>3866716.5405238844</v>
      </c>
      <c r="E33" s="609">
        <v>136466.83333333334</v>
      </c>
      <c r="F33" s="608">
        <v>3730249.7071905509</v>
      </c>
      <c r="G33" s="609">
        <v>563583.83772104234</v>
      </c>
      <c r="H33" s="610">
        <v>563583.83772104234</v>
      </c>
      <c r="I33" s="511">
        <f t="shared" si="0"/>
        <v>0</v>
      </c>
      <c r="J33" s="511"/>
      <c r="K33" s="518">
        <f t="shared" ref="K33" si="15">G33</f>
        <v>563583.83772104234</v>
      </c>
      <c r="L33" s="519">
        <f t="shared" ref="L33" si="16">IF(K33&lt;&gt;0,+G33-K33,0)</f>
        <v>0</v>
      </c>
      <c r="M33" s="518">
        <f t="shared" ref="M33" si="17">H33</f>
        <v>563583.83772104234</v>
      </c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2023</v>
      </c>
      <c r="D34" s="523">
        <f>IF(F33+SUM(E$17:E33)=D$10,F33,D$10-SUM(E$17:E33))</f>
        <v>3730249.7071905509</v>
      </c>
      <c r="E34" s="522">
        <f>IF(+I14&lt;F33,I14,D34)</f>
        <v>136466.83333333334</v>
      </c>
      <c r="F34" s="523">
        <f t="shared" ref="F34:F48" si="18">+D34-E34</f>
        <v>3593782.8738572174</v>
      </c>
      <c r="G34" s="524">
        <f t="shared" ref="G34:G72" si="19">+I$12*((D34+F34)/2)+E34</f>
        <v>599077.58884428418</v>
      </c>
      <c r="H34" s="491">
        <f t="shared" ref="H34:H72" si="20">+I$13*((D34+F34)/2)+E34</f>
        <v>599077.58884428418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4"/>
        <v/>
      </c>
      <c r="C35" s="507">
        <f>IF(D11="","-",+C34+1)</f>
        <v>2024</v>
      </c>
      <c r="D35" s="523">
        <f>IF(F34+SUM(E$17:E34)=D$10,F34,D$10-SUM(E$17:E34))</f>
        <v>3593782.8738572174</v>
      </c>
      <c r="E35" s="522">
        <f>IF(+I14&lt;F34,I14,D35)</f>
        <v>136466.83333333334</v>
      </c>
      <c r="F35" s="523">
        <f t="shared" si="18"/>
        <v>3457316.0405238839</v>
      </c>
      <c r="G35" s="524">
        <f t="shared" si="19"/>
        <v>581838.17212353321</v>
      </c>
      <c r="H35" s="491">
        <f t="shared" si="20"/>
        <v>581838.17212353321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4"/>
        <v/>
      </c>
      <c r="C36" s="507">
        <f>IF(D11="","-",+C35+1)</f>
        <v>2025</v>
      </c>
      <c r="D36" s="523">
        <f>IF(F35+SUM(E$17:E35)=D$10,F35,D$10-SUM(E$17:E35))</f>
        <v>3457316.0405238839</v>
      </c>
      <c r="E36" s="522">
        <f>IF(+I14&lt;F35,I14,D36)</f>
        <v>136466.83333333334</v>
      </c>
      <c r="F36" s="523">
        <f t="shared" si="18"/>
        <v>3320849.2071905504</v>
      </c>
      <c r="G36" s="524">
        <f t="shared" si="19"/>
        <v>564598.755402782</v>
      </c>
      <c r="H36" s="491">
        <f t="shared" si="20"/>
        <v>564598.755402782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2026</v>
      </c>
      <c r="D37" s="523">
        <f>IF(F36+SUM(E$17:E36)=D$10,F36,D$10-SUM(E$17:E36))</f>
        <v>3320849.2071905504</v>
      </c>
      <c r="E37" s="522">
        <f>IF(+I14&lt;F36,I14,D37)</f>
        <v>136466.83333333334</v>
      </c>
      <c r="F37" s="523">
        <f t="shared" si="18"/>
        <v>3184382.3738572169</v>
      </c>
      <c r="G37" s="524">
        <f t="shared" si="19"/>
        <v>547359.33868203091</v>
      </c>
      <c r="H37" s="491">
        <f t="shared" si="20"/>
        <v>547359.33868203091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2027</v>
      </c>
      <c r="D38" s="523">
        <f>IF(F37+SUM(E$17:E37)=D$10,F37,D$10-SUM(E$17:E37))</f>
        <v>3184382.3738572169</v>
      </c>
      <c r="E38" s="522">
        <f>IF(+I14&lt;F37,I14,D38)</f>
        <v>136466.83333333334</v>
      </c>
      <c r="F38" s="523">
        <f t="shared" si="18"/>
        <v>3047915.5405238834</v>
      </c>
      <c r="G38" s="524">
        <f t="shared" si="19"/>
        <v>530119.92196127982</v>
      </c>
      <c r="H38" s="491">
        <f t="shared" si="20"/>
        <v>530119.92196127982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2028</v>
      </c>
      <c r="D39" s="523">
        <f>IF(F38+SUM(E$17:E38)=D$10,F38,D$10-SUM(E$17:E38))</f>
        <v>3047915.5405238834</v>
      </c>
      <c r="E39" s="522">
        <f>IF(+I14&lt;F38,I14,D39)</f>
        <v>136466.83333333334</v>
      </c>
      <c r="F39" s="523">
        <f t="shared" si="18"/>
        <v>2911448.7071905499</v>
      </c>
      <c r="G39" s="524">
        <f t="shared" si="19"/>
        <v>512880.50524052873</v>
      </c>
      <c r="H39" s="491">
        <f t="shared" si="20"/>
        <v>512880.50524052873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2029</v>
      </c>
      <c r="D40" s="523">
        <f>IF(F39+SUM(E$17:E39)=D$10,F39,D$10-SUM(E$17:E39))</f>
        <v>2911448.7071905499</v>
      </c>
      <c r="E40" s="522">
        <f>IF(+I14&lt;F39,I14,D40)</f>
        <v>136466.83333333334</v>
      </c>
      <c r="F40" s="523">
        <f t="shared" si="18"/>
        <v>2774981.8738572164</v>
      </c>
      <c r="G40" s="524">
        <f t="shared" si="19"/>
        <v>495641.08851977752</v>
      </c>
      <c r="H40" s="491">
        <f t="shared" si="20"/>
        <v>495641.08851977752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2030</v>
      </c>
      <c r="D41" s="523">
        <f>IF(F40+SUM(E$17:E40)=D$10,F40,D$10-SUM(E$17:E40))</f>
        <v>2774981.8738572164</v>
      </c>
      <c r="E41" s="522">
        <f>IF(+I14&lt;F40,I14,D41)</f>
        <v>136466.83333333334</v>
      </c>
      <c r="F41" s="523">
        <f t="shared" si="18"/>
        <v>2638515.040523883</v>
      </c>
      <c r="G41" s="524">
        <f t="shared" si="19"/>
        <v>478401.67179902643</v>
      </c>
      <c r="H41" s="491">
        <f t="shared" si="20"/>
        <v>478401.67179902643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2031</v>
      </c>
      <c r="D42" s="523">
        <f>IF(F41+SUM(E$17:E41)=D$10,F41,D$10-SUM(E$17:E41))</f>
        <v>2638515.040523883</v>
      </c>
      <c r="E42" s="522">
        <f>IF(+I14&lt;F41,I14,D42)</f>
        <v>136466.83333333334</v>
      </c>
      <c r="F42" s="523">
        <f t="shared" si="18"/>
        <v>2502048.2071905495</v>
      </c>
      <c r="G42" s="524">
        <f t="shared" si="19"/>
        <v>461162.25507827534</v>
      </c>
      <c r="H42" s="491">
        <f t="shared" si="20"/>
        <v>461162.25507827534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2032</v>
      </c>
      <c r="D43" s="523">
        <f>IF(F42+SUM(E$17:E42)=D$10,F42,D$10-SUM(E$17:E42))</f>
        <v>2502048.2071905495</v>
      </c>
      <c r="E43" s="522">
        <f>IF(+I14&lt;F42,I14,D43)</f>
        <v>136466.83333333334</v>
      </c>
      <c r="F43" s="523">
        <f t="shared" si="18"/>
        <v>2365581.373857216</v>
      </c>
      <c r="G43" s="524">
        <f t="shared" si="19"/>
        <v>443922.83835752425</v>
      </c>
      <c r="H43" s="491">
        <f t="shared" si="20"/>
        <v>443922.83835752425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2033</v>
      </c>
      <c r="D44" s="523">
        <f>IF(F43+SUM(E$17:E43)=D$10,F43,D$10-SUM(E$17:E43))</f>
        <v>2365581.373857216</v>
      </c>
      <c r="E44" s="522">
        <f>IF(+I14&lt;F43,I14,D44)</f>
        <v>136466.83333333334</v>
      </c>
      <c r="F44" s="523">
        <f t="shared" si="18"/>
        <v>2229114.5405238825</v>
      </c>
      <c r="G44" s="524">
        <f t="shared" si="19"/>
        <v>426683.42163677304</v>
      </c>
      <c r="H44" s="491">
        <f t="shared" si="20"/>
        <v>426683.42163677304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2034</v>
      </c>
      <c r="D45" s="523">
        <f>IF(F44+SUM(E$17:E44)=D$10,F44,D$10-SUM(E$17:E44))</f>
        <v>2229114.5405238825</v>
      </c>
      <c r="E45" s="522">
        <f>IF(+I14&lt;F44,I14,D45)</f>
        <v>136466.83333333334</v>
      </c>
      <c r="F45" s="523">
        <f t="shared" si="18"/>
        <v>2092647.7071905492</v>
      </c>
      <c r="G45" s="524">
        <f t="shared" si="19"/>
        <v>409444.00491602207</v>
      </c>
      <c r="H45" s="491">
        <f t="shared" si="20"/>
        <v>409444.00491602207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2035</v>
      </c>
      <c r="D46" s="523">
        <f>IF(F45+SUM(E$17:E45)=D$10,F45,D$10-SUM(E$17:E45))</f>
        <v>2092647.7071905492</v>
      </c>
      <c r="E46" s="522">
        <f>IF(+I14&lt;F45,I14,D46)</f>
        <v>136466.83333333334</v>
      </c>
      <c r="F46" s="523">
        <f t="shared" si="18"/>
        <v>1956180.873857216</v>
      </c>
      <c r="G46" s="524">
        <f t="shared" si="19"/>
        <v>392204.58819527086</v>
      </c>
      <c r="H46" s="491">
        <f t="shared" si="20"/>
        <v>392204.58819527086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2036</v>
      </c>
      <c r="D47" s="523">
        <f>IF(F46+SUM(E$17:E46)=D$10,F46,D$10-SUM(E$17:E46))</f>
        <v>1956180.873857216</v>
      </c>
      <c r="E47" s="522">
        <f>IF(+I14&lt;F46,I14,D47)</f>
        <v>136466.83333333334</v>
      </c>
      <c r="F47" s="523">
        <f t="shared" si="18"/>
        <v>1819714.0405238827</v>
      </c>
      <c r="G47" s="524">
        <f t="shared" si="19"/>
        <v>374965.17147451983</v>
      </c>
      <c r="H47" s="491">
        <f t="shared" si="20"/>
        <v>374965.17147451983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2037</v>
      </c>
      <c r="D48" s="523">
        <f>IF(F47+SUM(E$17:E47)=D$10,F47,D$10-SUM(E$17:E47))</f>
        <v>1819714.0405238827</v>
      </c>
      <c r="E48" s="522">
        <f>IF(+I14&lt;F47,I14,D48)</f>
        <v>136466.83333333334</v>
      </c>
      <c r="F48" s="523">
        <f t="shared" si="18"/>
        <v>1683247.2071905495</v>
      </c>
      <c r="G48" s="524">
        <f t="shared" si="19"/>
        <v>357725.75475376868</v>
      </c>
      <c r="H48" s="491">
        <f t="shared" si="20"/>
        <v>357725.75475376868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4"/>
        <v/>
      </c>
      <c r="C49" s="507">
        <f>IF(D11="","-",+C48+1)</f>
        <v>2038</v>
      </c>
      <c r="D49" s="523">
        <f>IF(F48+SUM(E$17:E48)=D$10,F48,D$10-SUM(E$17:E48))</f>
        <v>1683247.2071905495</v>
      </c>
      <c r="E49" s="522">
        <f>IF(+I14&lt;F48,I14,D49)</f>
        <v>136466.83333333334</v>
      </c>
      <c r="F49" s="523">
        <f t="shared" ref="F49:F72" si="21">+D49-E49</f>
        <v>1546780.3738572162</v>
      </c>
      <c r="G49" s="524">
        <f t="shared" si="19"/>
        <v>340486.3380330177</v>
      </c>
      <c r="H49" s="491">
        <f t="shared" si="20"/>
        <v>340486.3380330177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 ht="12.5">
      <c r="B50" s="195" t="str">
        <f t="shared" si="4"/>
        <v/>
      </c>
      <c r="C50" s="507">
        <f>IF(D11="","-",+C49+1)</f>
        <v>2039</v>
      </c>
      <c r="D50" s="523">
        <f>IF(F49+SUM(E$17:E49)=D$10,F49,D$10-SUM(E$17:E49))</f>
        <v>1546780.3738572162</v>
      </c>
      <c r="E50" s="522">
        <f>IF(+I14&lt;F49,I14,D50)</f>
        <v>136466.83333333334</v>
      </c>
      <c r="F50" s="523">
        <f t="shared" si="21"/>
        <v>1410313.540523883</v>
      </c>
      <c r="G50" s="524">
        <f t="shared" si="19"/>
        <v>323246.92131226655</v>
      </c>
      <c r="H50" s="491">
        <f t="shared" si="20"/>
        <v>323246.92131226655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 ht="12.5">
      <c r="B51" s="195" t="str">
        <f t="shared" si="4"/>
        <v/>
      </c>
      <c r="C51" s="507">
        <f>IF(D11="","-",+C50+1)</f>
        <v>2040</v>
      </c>
      <c r="D51" s="523">
        <f>IF(F50+SUM(E$17:E50)=D$10,F50,D$10-SUM(E$17:E50))</f>
        <v>1410313.540523883</v>
      </c>
      <c r="E51" s="522">
        <f>IF(+I14&lt;F50,I14,D51)</f>
        <v>136466.83333333334</v>
      </c>
      <c r="F51" s="523">
        <f t="shared" si="21"/>
        <v>1273846.7071905497</v>
      </c>
      <c r="G51" s="524">
        <f t="shared" si="19"/>
        <v>306007.50459151552</v>
      </c>
      <c r="H51" s="491">
        <f t="shared" si="20"/>
        <v>306007.50459151552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 ht="12.5">
      <c r="B52" s="195" t="str">
        <f t="shared" si="4"/>
        <v/>
      </c>
      <c r="C52" s="507">
        <f>IF(D11="","-",+C51+1)</f>
        <v>2041</v>
      </c>
      <c r="D52" s="523">
        <f>IF(F51+SUM(E$17:E51)=D$10,F51,D$10-SUM(E$17:E51))</f>
        <v>1273846.7071905497</v>
      </c>
      <c r="E52" s="522">
        <f>IF(+I14&lt;F51,I14,D52)</f>
        <v>136466.83333333334</v>
      </c>
      <c r="F52" s="523">
        <f t="shared" si="21"/>
        <v>1137379.8738572164</v>
      </c>
      <c r="G52" s="524">
        <f t="shared" si="19"/>
        <v>288768.08787076437</v>
      </c>
      <c r="H52" s="491">
        <f t="shared" si="20"/>
        <v>288768.08787076437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 ht="12.5">
      <c r="B53" s="195" t="str">
        <f t="shared" si="4"/>
        <v/>
      </c>
      <c r="C53" s="507">
        <f>IF(D11="","-",+C52+1)</f>
        <v>2042</v>
      </c>
      <c r="D53" s="523">
        <f>IF(F52+SUM(E$17:E52)=D$10,F52,D$10-SUM(E$17:E52))</f>
        <v>1137379.8738572164</v>
      </c>
      <c r="E53" s="522">
        <f>IF(+I14&lt;F52,I14,D53)</f>
        <v>136466.83333333334</v>
      </c>
      <c r="F53" s="523">
        <f t="shared" si="21"/>
        <v>1000913.0405238831</v>
      </c>
      <c r="G53" s="524">
        <f t="shared" si="19"/>
        <v>271528.67115001328</v>
      </c>
      <c r="H53" s="491">
        <f t="shared" si="20"/>
        <v>271528.67115001328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 ht="12.5">
      <c r="B54" s="195" t="str">
        <f t="shared" si="4"/>
        <v/>
      </c>
      <c r="C54" s="507">
        <f>IF(D11="","-",+C53+1)</f>
        <v>2043</v>
      </c>
      <c r="D54" s="523">
        <f>IF(F53+SUM(E$17:E53)=D$10,F53,D$10-SUM(E$17:E53))</f>
        <v>1000913.0405238831</v>
      </c>
      <c r="E54" s="522">
        <f>IF(+I14&lt;F53,I14,D54)</f>
        <v>136466.83333333334</v>
      </c>
      <c r="F54" s="523">
        <f t="shared" si="21"/>
        <v>864446.2071905497</v>
      </c>
      <c r="G54" s="524">
        <f t="shared" si="19"/>
        <v>254289.25442926219</v>
      </c>
      <c r="H54" s="491">
        <f t="shared" si="20"/>
        <v>254289.25442926219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 ht="12.5">
      <c r="B55" s="195" t="str">
        <f t="shared" si="4"/>
        <v/>
      </c>
      <c r="C55" s="507">
        <f>IF(D11="","-",+C54+1)</f>
        <v>2044</v>
      </c>
      <c r="D55" s="523">
        <f>IF(F54+SUM(E$17:E54)=D$10,F54,D$10-SUM(E$17:E54))</f>
        <v>864446.2071905497</v>
      </c>
      <c r="E55" s="522">
        <f>IF(+I14&lt;F54,I14,D55)</f>
        <v>136466.83333333334</v>
      </c>
      <c r="F55" s="523">
        <f t="shared" si="21"/>
        <v>727979.37385721633</v>
      </c>
      <c r="G55" s="524">
        <f t="shared" si="19"/>
        <v>237049.8377085111</v>
      </c>
      <c r="H55" s="491">
        <f t="shared" si="20"/>
        <v>237049.8377085111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 ht="12.5">
      <c r="B56" s="195" t="str">
        <f t="shared" si="4"/>
        <v/>
      </c>
      <c r="C56" s="507">
        <f>IF(D11="","-",+C55+1)</f>
        <v>2045</v>
      </c>
      <c r="D56" s="523">
        <f>IF(F55+SUM(E$17:E55)=D$10,F55,D$10-SUM(E$17:E55))</f>
        <v>727979.37385721633</v>
      </c>
      <c r="E56" s="522">
        <f>IF(+I14&lt;F55,I14,D56)</f>
        <v>136466.83333333334</v>
      </c>
      <c r="F56" s="523">
        <f t="shared" si="21"/>
        <v>591512.54052388296</v>
      </c>
      <c r="G56" s="524">
        <f t="shared" si="19"/>
        <v>219810.42098776001</v>
      </c>
      <c r="H56" s="491">
        <f t="shared" si="20"/>
        <v>219810.42098776001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 ht="12.5">
      <c r="B57" s="195" t="str">
        <f t="shared" si="4"/>
        <v/>
      </c>
      <c r="C57" s="507">
        <f>IF(D11="","-",+C56+1)</f>
        <v>2046</v>
      </c>
      <c r="D57" s="523">
        <f>IF(F56+SUM(E$17:E56)=D$10,F56,D$10-SUM(E$17:E56))</f>
        <v>591512.54052388296</v>
      </c>
      <c r="E57" s="522">
        <f>IF(+I14&lt;F56,I14,D57)</f>
        <v>136466.83333333334</v>
      </c>
      <c r="F57" s="523">
        <f t="shared" si="21"/>
        <v>455045.70719054958</v>
      </c>
      <c r="G57" s="524">
        <f t="shared" si="19"/>
        <v>202571.00426700889</v>
      </c>
      <c r="H57" s="491">
        <f t="shared" si="20"/>
        <v>202571.00426700889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 ht="12.5">
      <c r="B58" s="195" t="str">
        <f t="shared" si="4"/>
        <v/>
      </c>
      <c r="C58" s="507">
        <f>IF(D11="","-",+C57+1)</f>
        <v>2047</v>
      </c>
      <c r="D58" s="523">
        <f>IF(F57+SUM(E$17:E57)=D$10,F57,D$10-SUM(E$17:E57))</f>
        <v>455045.70719054958</v>
      </c>
      <c r="E58" s="522">
        <f>IF(+I14&lt;F57,I14,D58)</f>
        <v>136466.83333333334</v>
      </c>
      <c r="F58" s="523">
        <f t="shared" si="21"/>
        <v>318578.87385721621</v>
      </c>
      <c r="G58" s="524">
        <f t="shared" si="19"/>
        <v>185331.58754625777</v>
      </c>
      <c r="H58" s="491">
        <f t="shared" si="20"/>
        <v>185331.58754625777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4"/>
        <v/>
      </c>
      <c r="C59" s="507">
        <f>IF(D11="","-",+C58+1)</f>
        <v>2048</v>
      </c>
      <c r="D59" s="523">
        <f>IF(F58+SUM(E$17:E58)=D$10,F58,D$10-SUM(E$17:E58))</f>
        <v>318578.87385721621</v>
      </c>
      <c r="E59" s="522">
        <f>IF(+I14&lt;F58,I14,D59)</f>
        <v>136466.83333333334</v>
      </c>
      <c r="F59" s="523">
        <f t="shared" si="21"/>
        <v>182112.04052388287</v>
      </c>
      <c r="G59" s="524">
        <f t="shared" si="19"/>
        <v>168092.17082550668</v>
      </c>
      <c r="H59" s="491">
        <f t="shared" si="20"/>
        <v>168092.17082550668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 ht="12.5">
      <c r="B60" s="195" t="str">
        <f t="shared" si="4"/>
        <v/>
      </c>
      <c r="C60" s="507">
        <f>IF(D11="","-",+C59+1)</f>
        <v>2049</v>
      </c>
      <c r="D60" s="523">
        <f>IF(F59+SUM(E$17:E59)=D$10,F59,D$10-SUM(E$17:E59))</f>
        <v>182112.04052388287</v>
      </c>
      <c r="E60" s="522">
        <f>IF(+I14&lt;F59,I14,D60)</f>
        <v>136466.83333333334</v>
      </c>
      <c r="F60" s="523">
        <f t="shared" si="21"/>
        <v>45645.207190549525</v>
      </c>
      <c r="G60" s="524">
        <f t="shared" si="19"/>
        <v>150852.75410475559</v>
      </c>
      <c r="H60" s="491">
        <f t="shared" si="20"/>
        <v>150852.75410475559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 ht="12.5">
      <c r="B61" s="195" t="str">
        <f t="shared" si="4"/>
        <v/>
      </c>
      <c r="C61" s="507">
        <f>IF(D11="","-",+C60+1)</f>
        <v>2050</v>
      </c>
      <c r="D61" s="523">
        <f>IF(F60+SUM(E$17:E60)=D$10,F60,D$10-SUM(E$17:E60))</f>
        <v>45645.207190549525</v>
      </c>
      <c r="E61" s="522">
        <f>IF(+I14&lt;F60,I14,D61)</f>
        <v>45645.207190549525</v>
      </c>
      <c r="F61" s="523">
        <f t="shared" si="21"/>
        <v>0</v>
      </c>
      <c r="G61" s="526">
        <f t="shared" si="19"/>
        <v>48528.313396072874</v>
      </c>
      <c r="H61" s="491">
        <f t="shared" si="20"/>
        <v>48528.313396072874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 ht="12.5">
      <c r="B62" s="195" t="str">
        <f t="shared" si="4"/>
        <v/>
      </c>
      <c r="C62" s="507">
        <f>IF(D11="","-",+C61+1)</f>
        <v>2051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 ht="12.5">
      <c r="B63" s="195" t="str">
        <f t="shared" si="4"/>
        <v/>
      </c>
      <c r="C63" s="507">
        <f>IF(D11="","-",+C62+1)</f>
        <v>2052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 ht="12.5">
      <c r="B64" s="195" t="str">
        <f t="shared" si="4"/>
        <v/>
      </c>
      <c r="C64" s="507">
        <f>IF(D11="","-",+C63+1)</f>
        <v>2053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 ht="12.5">
      <c r="B65" s="195" t="str">
        <f t="shared" si="4"/>
        <v/>
      </c>
      <c r="C65" s="507">
        <f>IF(D11="","-",+C64+1)</f>
        <v>2054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 ht="12.5">
      <c r="B66" s="195" t="str">
        <f t="shared" si="4"/>
        <v/>
      </c>
      <c r="C66" s="507">
        <f>IF(D11="","-",+C65+1)</f>
        <v>2055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 ht="12.5">
      <c r="B67" s="195" t="str">
        <f t="shared" si="4"/>
        <v/>
      </c>
      <c r="C67" s="507">
        <f>IF(D11="","-",+C66+1)</f>
        <v>2056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 ht="12.5">
      <c r="B68" s="195" t="str">
        <f t="shared" si="4"/>
        <v/>
      </c>
      <c r="C68" s="507">
        <f>IF(D11="","-",+C67+1)</f>
        <v>2057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 ht="12.5">
      <c r="B69" s="195" t="str">
        <f t="shared" si="4"/>
        <v/>
      </c>
      <c r="C69" s="507">
        <f>IF(D11="","-",+C68+1)</f>
        <v>2058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 ht="12.5">
      <c r="B70" s="195" t="str">
        <f t="shared" si="4"/>
        <v/>
      </c>
      <c r="C70" s="507">
        <f>IF(D11="","-",+C69+1)</f>
        <v>2059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 ht="12.5">
      <c r="B71" s="195" t="str">
        <f t="shared" si="4"/>
        <v/>
      </c>
      <c r="C71" s="507">
        <f>IF(D11="","-",+C70+1)</f>
        <v>2060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" thickBot="1">
      <c r="B72" s="195" t="str">
        <f t="shared" si="4"/>
        <v/>
      </c>
      <c r="C72" s="527">
        <f>IF(D11="","-",+C71+1)</f>
        <v>2061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19"/>
        <v>0</v>
      </c>
      <c r="H72" s="47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 ht="12.5">
      <c r="C73" s="374" t="s">
        <v>78</v>
      </c>
      <c r="D73" s="375"/>
      <c r="E73" s="375">
        <f>SUM(E17:E72)</f>
        <v>5731606.9999999981</v>
      </c>
      <c r="F73" s="375"/>
      <c r="G73" s="375">
        <f>SUM(G17:G72)</f>
        <v>20968294.914546382</v>
      </c>
      <c r="H73" s="375">
        <f>SUM(H17:H72)</f>
        <v>20968294.914546382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13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553589.41331080301</v>
      </c>
      <c r="N87" s="546">
        <f>IF(J92&lt;D11,0,VLOOKUP(J92,C17:O72,11))</f>
        <v>553589.41331080301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592253.66959375609</v>
      </c>
      <c r="N88" s="550">
        <f>IF(J92&lt;D11,0,VLOOKUP(J92,C99:P154,7))</f>
        <v>592253.66959375609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 xml:space="preserve">Carthage REC - Carthage T 138 kV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38664.25628295308</v>
      </c>
      <c r="N89" s="555">
        <f>+N88-N87</f>
        <v>38664.25628295308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TP2004139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5731607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139795.29268292684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161</v>
      </c>
      <c r="N97" s="498" t="s">
        <v>228</v>
      </c>
      <c r="O97" s="499" t="s">
        <v>161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2006</v>
      </c>
      <c r="D99" s="508">
        <v>0</v>
      </c>
      <c r="E99" s="516">
        <v>69992</v>
      </c>
      <c r="F99" s="515">
        <v>3814550</v>
      </c>
      <c r="G99" s="574">
        <v>1907275</v>
      </c>
      <c r="H99" s="575">
        <v>374013</v>
      </c>
      <c r="I99" s="576">
        <v>374013</v>
      </c>
      <c r="J99" s="514">
        <f t="shared" ref="J99:J130" si="26">+I99-H99</f>
        <v>0</v>
      </c>
      <c r="K99" s="514"/>
      <c r="L99" s="512">
        <f>K17</f>
        <v>0</v>
      </c>
      <c r="M99" s="513">
        <f t="shared" ref="M99:M130" si="27">IF(L99&lt;&gt;0,+H99-L99,0)</f>
        <v>0</v>
      </c>
      <c r="N99" s="512">
        <f>M17</f>
        <v>0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2007</v>
      </c>
      <c r="D100" s="508">
        <v>5731607</v>
      </c>
      <c r="E100" s="516">
        <v>77454</v>
      </c>
      <c r="F100" s="515">
        <v>5654153</v>
      </c>
      <c r="G100" s="515">
        <v>5692880</v>
      </c>
      <c r="H100" s="516">
        <v>622381</v>
      </c>
      <c r="I100" s="510">
        <v>622381</v>
      </c>
      <c r="J100" s="514">
        <f t="shared" si="26"/>
        <v>0</v>
      </c>
      <c r="K100" s="514"/>
      <c r="L100" s="518">
        <v>622381</v>
      </c>
      <c r="M100" s="514">
        <f t="shared" si="27"/>
        <v>0</v>
      </c>
      <c r="N100" s="518">
        <v>622381</v>
      </c>
      <c r="O100" s="514">
        <f t="shared" si="28"/>
        <v>0</v>
      </c>
      <c r="P100" s="514">
        <f t="shared" si="29"/>
        <v>0</v>
      </c>
      <c r="Q100" s="269"/>
    </row>
    <row r="101" spans="1:17" ht="12.5">
      <c r="B101" s="195" t="str">
        <f t="shared" ref="B101:B154" si="30">IF(D101=F100,"","IU")</f>
        <v>IU</v>
      </c>
      <c r="C101" s="507">
        <f>IF(D93="","-",+C100+1)</f>
        <v>2008</v>
      </c>
      <c r="D101" s="508">
        <v>3709563</v>
      </c>
      <c r="E101" s="516">
        <v>104988</v>
      </c>
      <c r="F101" s="515">
        <v>3604575</v>
      </c>
      <c r="G101" s="515">
        <v>3657069</v>
      </c>
      <c r="H101" s="516">
        <v>687928</v>
      </c>
      <c r="I101" s="510">
        <v>687928</v>
      </c>
      <c r="J101" s="514">
        <f t="shared" si="26"/>
        <v>0</v>
      </c>
      <c r="K101" s="514"/>
      <c r="L101" s="518">
        <v>687928</v>
      </c>
      <c r="M101" s="514">
        <f t="shared" si="27"/>
        <v>0</v>
      </c>
      <c r="N101" s="518">
        <v>687928</v>
      </c>
      <c r="O101" s="514">
        <f t="shared" si="28"/>
        <v>0</v>
      </c>
      <c r="P101" s="514">
        <f>+O101-M101</f>
        <v>0</v>
      </c>
      <c r="Q101" s="269"/>
    </row>
    <row r="102" spans="1:17" ht="12.5">
      <c r="B102" s="195" t="str">
        <f t="shared" si="30"/>
        <v>IU</v>
      </c>
      <c r="C102" s="507">
        <f>IF(D93="","-",+C101+1)</f>
        <v>2009</v>
      </c>
      <c r="D102" s="508">
        <v>3632108</v>
      </c>
      <c r="E102" s="516">
        <v>102224.78947368421</v>
      </c>
      <c r="F102" s="515">
        <v>3529883.210526316</v>
      </c>
      <c r="G102" s="515">
        <v>3580995.6052631577</v>
      </c>
      <c r="H102" s="516">
        <v>620529.72613879445</v>
      </c>
      <c r="I102" s="510">
        <v>620529.72613879445</v>
      </c>
      <c r="J102" s="514">
        <f t="shared" si="26"/>
        <v>0</v>
      </c>
      <c r="K102" s="514"/>
      <c r="L102" s="518">
        <f t="shared" ref="L102:L107" si="31">H102</f>
        <v>620529.72613879445</v>
      </c>
      <c r="M102" s="519">
        <f t="shared" si="27"/>
        <v>0</v>
      </c>
      <c r="N102" s="518">
        <f t="shared" ref="N102:N107" si="32">I102</f>
        <v>620529.72613879445</v>
      </c>
      <c r="O102" s="514">
        <f t="shared" si="28"/>
        <v>0</v>
      </c>
      <c r="P102" s="514">
        <f t="shared" si="29"/>
        <v>0</v>
      </c>
      <c r="Q102" s="269"/>
    </row>
    <row r="103" spans="1:17" ht="12.5">
      <c r="B103" s="195" t="str">
        <f t="shared" si="30"/>
        <v/>
      </c>
      <c r="C103" s="507">
        <f>IF(D93="","-",+C102+1)</f>
        <v>2010</v>
      </c>
      <c r="D103" s="508">
        <v>3529883.210526316</v>
      </c>
      <c r="E103" s="516">
        <v>94744.926829268297</v>
      </c>
      <c r="F103" s="515">
        <v>3435138.2836970477</v>
      </c>
      <c r="G103" s="515">
        <v>3482510.7471116818</v>
      </c>
      <c r="H103" s="516">
        <v>669658.98198518401</v>
      </c>
      <c r="I103" s="510">
        <v>669658.98198518401</v>
      </c>
      <c r="J103" s="514">
        <f t="shared" si="26"/>
        <v>0</v>
      </c>
      <c r="K103" s="514"/>
      <c r="L103" s="518">
        <f t="shared" si="31"/>
        <v>669658.98198518401</v>
      </c>
      <c r="M103" s="519">
        <f t="shared" si="27"/>
        <v>0</v>
      </c>
      <c r="N103" s="518">
        <f t="shared" si="32"/>
        <v>669658.98198518401</v>
      </c>
      <c r="O103" s="514">
        <f t="shared" si="28"/>
        <v>0</v>
      </c>
      <c r="P103" s="514">
        <f t="shared" si="29"/>
        <v>0</v>
      </c>
      <c r="Q103" s="269"/>
    </row>
    <row r="104" spans="1:17" ht="12.5">
      <c r="B104" s="195" t="str">
        <f t="shared" si="30"/>
        <v/>
      </c>
      <c r="C104" s="507">
        <f>IF(D93="","-",+C103+1)</f>
        <v>2011</v>
      </c>
      <c r="D104" s="508">
        <v>3435138.2836970477</v>
      </c>
      <c r="E104" s="520">
        <v>92489.095238095237</v>
      </c>
      <c r="F104" s="515">
        <v>3342649.1884589526</v>
      </c>
      <c r="G104" s="515">
        <v>3388893.7360780002</v>
      </c>
      <c r="H104" s="516">
        <v>602110.60067638115</v>
      </c>
      <c r="I104" s="510">
        <v>602110.60067638115</v>
      </c>
      <c r="J104" s="514">
        <f t="shared" si="26"/>
        <v>0</v>
      </c>
      <c r="K104" s="514"/>
      <c r="L104" s="518">
        <f t="shared" si="31"/>
        <v>602110.60067638115</v>
      </c>
      <c r="M104" s="519">
        <f t="shared" si="27"/>
        <v>0</v>
      </c>
      <c r="N104" s="518">
        <f t="shared" si="32"/>
        <v>602110.60067638115</v>
      </c>
      <c r="O104" s="514">
        <f t="shared" si="28"/>
        <v>0</v>
      </c>
      <c r="P104" s="514">
        <f t="shared" si="29"/>
        <v>0</v>
      </c>
      <c r="Q104" s="269"/>
    </row>
    <row r="105" spans="1:17" ht="12.5">
      <c r="B105" s="195" t="str">
        <f t="shared" si="30"/>
        <v/>
      </c>
      <c r="C105" s="507">
        <f>IF(D93="","-",+C104+1)</f>
        <v>2012</v>
      </c>
      <c r="D105" s="508">
        <v>3342649.1884589526</v>
      </c>
      <c r="E105" s="516">
        <v>92489.095238095237</v>
      </c>
      <c r="F105" s="515">
        <v>3250160.0932208574</v>
      </c>
      <c r="G105" s="515">
        <v>3296404.640839905</v>
      </c>
      <c r="H105" s="516">
        <v>577567.99892876786</v>
      </c>
      <c r="I105" s="510">
        <v>577567.99892876786</v>
      </c>
      <c r="J105" s="514">
        <f t="shared" si="26"/>
        <v>0</v>
      </c>
      <c r="K105" s="514"/>
      <c r="L105" s="518">
        <f t="shared" si="31"/>
        <v>577567.99892876786</v>
      </c>
      <c r="M105" s="519">
        <f t="shared" si="27"/>
        <v>0</v>
      </c>
      <c r="N105" s="518">
        <f t="shared" si="32"/>
        <v>577567.99892876786</v>
      </c>
      <c r="O105" s="514">
        <f t="shared" si="28"/>
        <v>0</v>
      </c>
      <c r="P105" s="514">
        <f t="shared" si="29"/>
        <v>0</v>
      </c>
      <c r="Q105" s="269"/>
    </row>
    <row r="106" spans="1:17" ht="12.5">
      <c r="B106" s="195" t="str">
        <f t="shared" si="30"/>
        <v/>
      </c>
      <c r="C106" s="507">
        <f>IF(D93="","-",+C105+1)</f>
        <v>2013</v>
      </c>
      <c r="D106" s="508">
        <v>3250160.0932208574</v>
      </c>
      <c r="E106" s="516">
        <v>92489.095238095237</v>
      </c>
      <c r="F106" s="515">
        <v>3157670.9979827623</v>
      </c>
      <c r="G106" s="515">
        <v>3203915.5456018099</v>
      </c>
      <c r="H106" s="516">
        <v>525952.28345826664</v>
      </c>
      <c r="I106" s="510">
        <v>525952.28345826664</v>
      </c>
      <c r="J106" s="514">
        <v>0</v>
      </c>
      <c r="K106" s="514"/>
      <c r="L106" s="518">
        <f t="shared" si="31"/>
        <v>525952.28345826664</v>
      </c>
      <c r="M106" s="519">
        <f t="shared" ref="M106:M111" si="33">IF(L106&lt;&gt;0,+H106-L106,0)</f>
        <v>0</v>
      </c>
      <c r="N106" s="518">
        <f t="shared" si="32"/>
        <v>525952.28345826664</v>
      </c>
      <c r="O106" s="514">
        <f t="shared" ref="O106:O111" si="34">IF(N106&lt;&gt;0,+I106-N106,0)</f>
        <v>0</v>
      </c>
      <c r="P106" s="514">
        <f t="shared" ref="P106:P111" si="35">+O106-M106</f>
        <v>0</v>
      </c>
      <c r="Q106" s="269"/>
    </row>
    <row r="107" spans="1:17" ht="12.5">
      <c r="B107" s="195" t="str">
        <f t="shared" si="30"/>
        <v>IU</v>
      </c>
      <c r="C107" s="507">
        <f>IF(D93="","-",+C106+1)</f>
        <v>2014</v>
      </c>
      <c r="D107" s="508">
        <v>5004735.9979827618</v>
      </c>
      <c r="E107" s="516">
        <v>136466.83333333334</v>
      </c>
      <c r="F107" s="515">
        <v>4868269.1646494288</v>
      </c>
      <c r="G107" s="515">
        <v>4936502.5813160948</v>
      </c>
      <c r="H107" s="516">
        <v>807453.34332208754</v>
      </c>
      <c r="I107" s="510">
        <v>807453.34332208754</v>
      </c>
      <c r="J107" s="514">
        <v>0</v>
      </c>
      <c r="K107" s="514"/>
      <c r="L107" s="518">
        <f t="shared" si="31"/>
        <v>807453.34332208754</v>
      </c>
      <c r="M107" s="519">
        <f t="shared" si="33"/>
        <v>0</v>
      </c>
      <c r="N107" s="518">
        <f t="shared" si="32"/>
        <v>807453.34332208754</v>
      </c>
      <c r="O107" s="514">
        <f t="shared" si="34"/>
        <v>0</v>
      </c>
      <c r="P107" s="514">
        <f t="shared" si="35"/>
        <v>0</v>
      </c>
      <c r="Q107" s="269"/>
    </row>
    <row r="108" spans="1:17" ht="12.5">
      <c r="B108" s="195" t="str">
        <f t="shared" si="30"/>
        <v/>
      </c>
      <c r="C108" s="507">
        <f>IF(D93="","-",+C107+1)</f>
        <v>2015</v>
      </c>
      <c r="D108" s="508">
        <v>4868269.1646494288</v>
      </c>
      <c r="E108" s="516">
        <v>136466.83333333334</v>
      </c>
      <c r="F108" s="515">
        <v>4731802.3313160958</v>
      </c>
      <c r="G108" s="515">
        <v>4800035.7479827628</v>
      </c>
      <c r="H108" s="516">
        <v>768962.15760486678</v>
      </c>
      <c r="I108" s="510">
        <v>768962.15760486678</v>
      </c>
      <c r="J108" s="514">
        <f t="shared" si="26"/>
        <v>0</v>
      </c>
      <c r="K108" s="514"/>
      <c r="L108" s="518">
        <f t="shared" ref="L108:L113" si="36">H108</f>
        <v>768962.15760486678</v>
      </c>
      <c r="M108" s="519">
        <f t="shared" si="33"/>
        <v>0</v>
      </c>
      <c r="N108" s="518">
        <f t="shared" ref="N108:N113" si="37">I108</f>
        <v>768962.15760486678</v>
      </c>
      <c r="O108" s="514">
        <f t="shared" si="34"/>
        <v>0</v>
      </c>
      <c r="P108" s="514">
        <f t="shared" si="35"/>
        <v>0</v>
      </c>
      <c r="Q108" s="269"/>
    </row>
    <row r="109" spans="1:17" ht="12.5">
      <c r="B109" s="195" t="str">
        <f t="shared" si="30"/>
        <v/>
      </c>
      <c r="C109" s="507">
        <f>IF(D93="","-",+C108+1)</f>
        <v>2016</v>
      </c>
      <c r="D109" s="508">
        <v>4731802.3313160958</v>
      </c>
      <c r="E109" s="516">
        <v>133293.18604651163</v>
      </c>
      <c r="F109" s="515">
        <v>4598509.1452695839</v>
      </c>
      <c r="G109" s="515">
        <v>4665155.7382928394</v>
      </c>
      <c r="H109" s="516">
        <v>725534.65238617209</v>
      </c>
      <c r="I109" s="510">
        <v>725534.65238617209</v>
      </c>
      <c r="J109" s="514">
        <f t="shared" si="26"/>
        <v>0</v>
      </c>
      <c r="K109" s="514"/>
      <c r="L109" s="518">
        <f t="shared" si="36"/>
        <v>725534.65238617209</v>
      </c>
      <c r="M109" s="519">
        <f t="shared" si="33"/>
        <v>0</v>
      </c>
      <c r="N109" s="518">
        <f t="shared" si="37"/>
        <v>725534.65238617209</v>
      </c>
      <c r="O109" s="514">
        <f t="shared" si="34"/>
        <v>0</v>
      </c>
      <c r="P109" s="514">
        <f t="shared" si="35"/>
        <v>0</v>
      </c>
      <c r="Q109" s="269"/>
    </row>
    <row r="110" spans="1:17" ht="12.5">
      <c r="B110" s="195" t="str">
        <f t="shared" si="30"/>
        <v/>
      </c>
      <c r="C110" s="507">
        <f>IF(D93="","-",+C109+1)</f>
        <v>2017</v>
      </c>
      <c r="D110" s="508">
        <v>4598509.1452695839</v>
      </c>
      <c r="E110" s="516">
        <v>136466.83333333334</v>
      </c>
      <c r="F110" s="515">
        <v>4462042.3119362509</v>
      </c>
      <c r="G110" s="515">
        <v>4530275.7286029179</v>
      </c>
      <c r="H110" s="516">
        <v>686766.02979709371</v>
      </c>
      <c r="I110" s="510">
        <v>686766.02979709371</v>
      </c>
      <c r="J110" s="514">
        <f t="shared" si="26"/>
        <v>0</v>
      </c>
      <c r="K110" s="514"/>
      <c r="L110" s="518">
        <f t="shared" si="36"/>
        <v>686766.02979709371</v>
      </c>
      <c r="M110" s="519">
        <f t="shared" si="33"/>
        <v>0</v>
      </c>
      <c r="N110" s="518">
        <f t="shared" si="37"/>
        <v>686766.02979709371</v>
      </c>
      <c r="O110" s="514">
        <f t="shared" si="34"/>
        <v>0</v>
      </c>
      <c r="P110" s="514">
        <f t="shared" si="35"/>
        <v>0</v>
      </c>
      <c r="Q110" s="269"/>
    </row>
    <row r="111" spans="1:17" ht="12.5">
      <c r="B111" s="195" t="str">
        <f t="shared" si="30"/>
        <v/>
      </c>
      <c r="C111" s="507">
        <f>IF(D93="","-",+C110+1)</f>
        <v>2018</v>
      </c>
      <c r="D111" s="508">
        <v>4462042.3119362509</v>
      </c>
      <c r="E111" s="516">
        <v>136466.83333333334</v>
      </c>
      <c r="F111" s="515">
        <v>4325575.4786029179</v>
      </c>
      <c r="G111" s="515">
        <v>4393808.8952695839</v>
      </c>
      <c r="H111" s="516">
        <v>600473.20188958384</v>
      </c>
      <c r="I111" s="510">
        <v>600473.20188958384</v>
      </c>
      <c r="J111" s="514">
        <f t="shared" si="26"/>
        <v>0</v>
      </c>
      <c r="K111" s="514"/>
      <c r="L111" s="518">
        <f t="shared" si="36"/>
        <v>600473.20188958384</v>
      </c>
      <c r="M111" s="519">
        <f t="shared" si="33"/>
        <v>0</v>
      </c>
      <c r="N111" s="518">
        <f t="shared" si="37"/>
        <v>600473.20188958384</v>
      </c>
      <c r="O111" s="514">
        <f t="shared" si="34"/>
        <v>0</v>
      </c>
      <c r="P111" s="514">
        <f t="shared" si="35"/>
        <v>0</v>
      </c>
      <c r="Q111" s="269"/>
    </row>
    <row r="112" spans="1:17" ht="12.5">
      <c r="B112" s="195" t="str">
        <f t="shared" si="30"/>
        <v/>
      </c>
      <c r="C112" s="507">
        <f>IF(D93="","-",+C111+1)</f>
        <v>2019</v>
      </c>
      <c r="D112" s="508">
        <v>4325575.4786029179</v>
      </c>
      <c r="E112" s="516">
        <v>133293.18604651163</v>
      </c>
      <c r="F112" s="515">
        <v>4192282.292556406</v>
      </c>
      <c r="G112" s="515">
        <v>4258928.8855796624</v>
      </c>
      <c r="H112" s="516">
        <v>589171.26164273242</v>
      </c>
      <c r="I112" s="510">
        <v>589171.26164273242</v>
      </c>
      <c r="J112" s="514">
        <f t="shared" si="26"/>
        <v>0</v>
      </c>
      <c r="K112" s="514"/>
      <c r="L112" s="518">
        <f t="shared" si="36"/>
        <v>589171.26164273242</v>
      </c>
      <c r="M112" s="519">
        <f t="shared" ref="M112:M113" si="38">IF(L112&lt;&gt;0,+H112-L112,0)</f>
        <v>0</v>
      </c>
      <c r="N112" s="518">
        <f t="shared" si="37"/>
        <v>589171.26164273242</v>
      </c>
      <c r="O112" s="514">
        <f t="shared" si="28"/>
        <v>0</v>
      </c>
      <c r="P112" s="514">
        <f t="shared" si="29"/>
        <v>0</v>
      </c>
      <c r="Q112" s="269"/>
    </row>
    <row r="113" spans="2:17" ht="12.5">
      <c r="B113" s="195" t="str">
        <f t="shared" si="30"/>
        <v/>
      </c>
      <c r="C113" s="507">
        <f>IF(D93="","-",+C112+1)</f>
        <v>2020</v>
      </c>
      <c r="D113" s="508">
        <v>4192282.292556406</v>
      </c>
      <c r="E113" s="516">
        <v>136466.83333333334</v>
      </c>
      <c r="F113" s="515">
        <v>4055815.4592230725</v>
      </c>
      <c r="G113" s="515">
        <v>4124048.875889739</v>
      </c>
      <c r="H113" s="516">
        <v>580106.57633315108</v>
      </c>
      <c r="I113" s="510">
        <v>580106.57633315108</v>
      </c>
      <c r="J113" s="514">
        <f t="shared" si="26"/>
        <v>0</v>
      </c>
      <c r="K113" s="514"/>
      <c r="L113" s="518">
        <f t="shared" si="36"/>
        <v>580106.57633315108</v>
      </c>
      <c r="M113" s="519">
        <f t="shared" si="38"/>
        <v>0</v>
      </c>
      <c r="N113" s="518">
        <f t="shared" si="37"/>
        <v>580106.57633315108</v>
      </c>
      <c r="O113" s="514">
        <f t="shared" si="28"/>
        <v>0</v>
      </c>
      <c r="P113" s="514">
        <f t="shared" si="29"/>
        <v>0</v>
      </c>
      <c r="Q113" s="269"/>
    </row>
    <row r="114" spans="2:17" ht="12.5">
      <c r="B114" s="195" t="str">
        <f t="shared" si="30"/>
        <v/>
      </c>
      <c r="C114" s="507">
        <f>IF(D93="","-",+C113+1)</f>
        <v>2021</v>
      </c>
      <c r="D114" s="374">
        <f>IF(F113+SUM(E$99:E113)=D$92,F113,D$92-SUM(E$99:E113))</f>
        <v>4055815.4592230725</v>
      </c>
      <c r="E114" s="522">
        <f>IF(+J96&lt;F113,J96,D114)</f>
        <v>139795.29268292684</v>
      </c>
      <c r="F114" s="523">
        <f t="shared" ref="F114:F130" si="39">+D114-E114</f>
        <v>3916020.1665401459</v>
      </c>
      <c r="G114" s="523">
        <f t="shared" ref="G114:G130" si="40">+(F114+D114)/2</f>
        <v>3985917.8128816094</v>
      </c>
      <c r="H114" s="526">
        <f t="shared" ref="H114:H154" si="41">+J$94*G114+E114</f>
        <v>592253.66959375609</v>
      </c>
      <c r="I114" s="577">
        <f t="shared" ref="I114:I154" si="42">+J$95*G114+E114</f>
        <v>592253.66959375609</v>
      </c>
      <c r="J114" s="514">
        <f t="shared" si="26"/>
        <v>0</v>
      </c>
      <c r="K114" s="514"/>
      <c r="L114" s="525"/>
      <c r="M114" s="514">
        <f t="shared" si="27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 ht="12.5">
      <c r="B115" s="195" t="str">
        <f t="shared" si="30"/>
        <v/>
      </c>
      <c r="C115" s="507">
        <f>IF(D93="","-",+C114+1)</f>
        <v>2022</v>
      </c>
      <c r="D115" s="374">
        <f>IF(F114+SUM(E$99:E114)=D$92,F114,D$92-SUM(E$99:E114))</f>
        <v>3916020.1665401459</v>
      </c>
      <c r="E115" s="522">
        <f>IF(+J96&lt;F114,J96,D115)</f>
        <v>139795.29268292684</v>
      </c>
      <c r="F115" s="523">
        <f t="shared" si="39"/>
        <v>3776224.8738572192</v>
      </c>
      <c r="G115" s="523">
        <f t="shared" si="40"/>
        <v>3846122.5201986823</v>
      </c>
      <c r="H115" s="526">
        <f t="shared" si="41"/>
        <v>576384.9150944344</v>
      </c>
      <c r="I115" s="577">
        <f t="shared" si="42"/>
        <v>576384.9150944344</v>
      </c>
      <c r="J115" s="514">
        <f t="shared" si="26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 ht="12.5">
      <c r="B116" s="195" t="str">
        <f t="shared" si="30"/>
        <v/>
      </c>
      <c r="C116" s="507">
        <f>IF(D93="","-",+C115+1)</f>
        <v>2023</v>
      </c>
      <c r="D116" s="374">
        <f>IF(F115+SUM(E$99:E115)=D$92,F115,D$92-SUM(E$99:E115))</f>
        <v>3776224.8738572192</v>
      </c>
      <c r="E116" s="522">
        <f>IF(+J96&lt;F115,J96,D116)</f>
        <v>139795.29268292684</v>
      </c>
      <c r="F116" s="523">
        <f t="shared" si="39"/>
        <v>3636429.5811742926</v>
      </c>
      <c r="G116" s="523">
        <f t="shared" si="40"/>
        <v>3706327.2275157562</v>
      </c>
      <c r="H116" s="526">
        <f t="shared" si="41"/>
        <v>560516.16059511283</v>
      </c>
      <c r="I116" s="577">
        <f t="shared" si="42"/>
        <v>560516.16059511283</v>
      </c>
      <c r="J116" s="514">
        <f t="shared" si="26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 ht="12.5">
      <c r="B117" s="195" t="str">
        <f t="shared" si="30"/>
        <v/>
      </c>
      <c r="C117" s="507">
        <f>IF(D93="","-",+C116+1)</f>
        <v>2024</v>
      </c>
      <c r="D117" s="374">
        <f>IF(F116+SUM(E$99:E116)=D$92,F116,D$92-SUM(E$99:E116))</f>
        <v>3636429.5811742926</v>
      </c>
      <c r="E117" s="522">
        <f>IF(+J96&lt;F116,J96,D117)</f>
        <v>139795.29268292684</v>
      </c>
      <c r="F117" s="523">
        <f t="shared" si="39"/>
        <v>3496634.288491366</v>
      </c>
      <c r="G117" s="523">
        <f t="shared" si="40"/>
        <v>3566531.9348328291</v>
      </c>
      <c r="H117" s="526">
        <f t="shared" si="41"/>
        <v>544647.40609579114</v>
      </c>
      <c r="I117" s="577">
        <f t="shared" si="42"/>
        <v>544647.40609579114</v>
      </c>
      <c r="J117" s="514">
        <f t="shared" si="26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 ht="12.5">
      <c r="B118" s="195" t="str">
        <f t="shared" si="30"/>
        <v/>
      </c>
      <c r="C118" s="507">
        <f>IF(D93="","-",+C117+1)</f>
        <v>2025</v>
      </c>
      <c r="D118" s="374">
        <f>IF(F117+SUM(E$99:E117)=D$92,F117,D$92-SUM(E$99:E117))</f>
        <v>3496634.288491366</v>
      </c>
      <c r="E118" s="522">
        <f>IF(+J96&lt;F117,J96,D118)</f>
        <v>139795.29268292684</v>
      </c>
      <c r="F118" s="523">
        <f t="shared" si="39"/>
        <v>3356838.9958084393</v>
      </c>
      <c r="G118" s="523">
        <f t="shared" si="40"/>
        <v>3426736.6421499029</v>
      </c>
      <c r="H118" s="526">
        <f t="shared" si="41"/>
        <v>528778.65159646946</v>
      </c>
      <c r="I118" s="577">
        <f t="shared" si="42"/>
        <v>528778.65159646946</v>
      </c>
      <c r="J118" s="514">
        <f t="shared" si="26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 ht="12.5">
      <c r="B119" s="195" t="str">
        <f t="shared" si="30"/>
        <v/>
      </c>
      <c r="C119" s="507">
        <f>IF(D93="","-",+C118+1)</f>
        <v>2026</v>
      </c>
      <c r="D119" s="374">
        <f>IF(F118+SUM(E$99:E118)=D$92,F118,D$92-SUM(E$99:E118))</f>
        <v>3356838.9958084393</v>
      </c>
      <c r="E119" s="522">
        <f>IF(+J96&lt;F118,J96,D119)</f>
        <v>139795.29268292684</v>
      </c>
      <c r="F119" s="523">
        <f t="shared" si="39"/>
        <v>3217043.7031255127</v>
      </c>
      <c r="G119" s="523">
        <f t="shared" si="40"/>
        <v>3286941.3494669758</v>
      </c>
      <c r="H119" s="526">
        <f t="shared" si="41"/>
        <v>512909.89709714777</v>
      </c>
      <c r="I119" s="577">
        <f t="shared" si="42"/>
        <v>512909.89709714777</v>
      </c>
      <c r="J119" s="514">
        <f t="shared" si="26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 ht="12.5">
      <c r="B120" s="195" t="str">
        <f t="shared" si="30"/>
        <v/>
      </c>
      <c r="C120" s="507">
        <f>IF(D93="","-",+C119+1)</f>
        <v>2027</v>
      </c>
      <c r="D120" s="374">
        <f>IF(F119+SUM(E$99:E119)=D$92,F119,D$92-SUM(E$99:E119))</f>
        <v>3217043.7031255127</v>
      </c>
      <c r="E120" s="522">
        <f>IF(+J96&lt;F119,J96,D120)</f>
        <v>139795.29268292684</v>
      </c>
      <c r="F120" s="523">
        <f t="shared" si="39"/>
        <v>3077248.4104425861</v>
      </c>
      <c r="G120" s="523">
        <f t="shared" si="40"/>
        <v>3147146.0567840496</v>
      </c>
      <c r="H120" s="526">
        <f t="shared" si="41"/>
        <v>497041.1425978262</v>
      </c>
      <c r="I120" s="577">
        <f t="shared" si="42"/>
        <v>497041.1425978262</v>
      </c>
      <c r="J120" s="514">
        <f t="shared" si="26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 ht="12.5">
      <c r="B121" s="195" t="str">
        <f t="shared" si="30"/>
        <v/>
      </c>
      <c r="C121" s="507">
        <f>IF(D93="","-",+C120+1)</f>
        <v>2028</v>
      </c>
      <c r="D121" s="374">
        <f>IF(F120+SUM(E$99:E120)=D$92,F120,D$92-SUM(E$99:E120))</f>
        <v>3077248.4104425861</v>
      </c>
      <c r="E121" s="522">
        <f>IF(+J96&lt;F120,J96,D121)</f>
        <v>139795.29268292684</v>
      </c>
      <c r="F121" s="523">
        <f t="shared" si="39"/>
        <v>2937453.1177596594</v>
      </c>
      <c r="G121" s="523">
        <f t="shared" si="40"/>
        <v>3007350.7641011225</v>
      </c>
      <c r="H121" s="526">
        <f t="shared" si="41"/>
        <v>481172.38809850451</v>
      </c>
      <c r="I121" s="577">
        <f t="shared" si="42"/>
        <v>481172.38809850451</v>
      </c>
      <c r="J121" s="514">
        <f t="shared" si="26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 ht="12.5">
      <c r="B122" s="195" t="str">
        <f t="shared" si="30"/>
        <v/>
      </c>
      <c r="C122" s="507">
        <f>IF(D93="","-",+C121+1)</f>
        <v>2029</v>
      </c>
      <c r="D122" s="374">
        <f>IF(F121+SUM(E$99:E121)=D$92,F121,D$92-SUM(E$99:E121))</f>
        <v>2937453.1177596594</v>
      </c>
      <c r="E122" s="522">
        <f>IF(+J96&lt;F121,J96,D122)</f>
        <v>139795.29268292684</v>
      </c>
      <c r="F122" s="523">
        <f t="shared" si="39"/>
        <v>2797657.8250767328</v>
      </c>
      <c r="G122" s="523">
        <f t="shared" si="40"/>
        <v>2867555.4714181963</v>
      </c>
      <c r="H122" s="526">
        <f t="shared" si="41"/>
        <v>465303.63359918294</v>
      </c>
      <c r="I122" s="577">
        <f t="shared" si="42"/>
        <v>465303.63359918294</v>
      </c>
      <c r="J122" s="514">
        <f t="shared" si="26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 ht="12.5">
      <c r="B123" s="195" t="str">
        <f t="shared" si="30"/>
        <v/>
      </c>
      <c r="C123" s="507">
        <f>IF(D93="","-",+C122+1)</f>
        <v>2030</v>
      </c>
      <c r="D123" s="374">
        <f>IF(F122+SUM(E$99:E122)=D$92,F122,D$92-SUM(E$99:E122))</f>
        <v>2797657.8250767328</v>
      </c>
      <c r="E123" s="522">
        <f>IF(+J96&lt;F122,J96,D123)</f>
        <v>139795.29268292684</v>
      </c>
      <c r="F123" s="523">
        <f t="shared" si="39"/>
        <v>2657862.5323938061</v>
      </c>
      <c r="G123" s="523">
        <f t="shared" si="40"/>
        <v>2727760.1787352692</v>
      </c>
      <c r="H123" s="526">
        <f t="shared" si="41"/>
        <v>449434.87909986125</v>
      </c>
      <c r="I123" s="577">
        <f t="shared" si="42"/>
        <v>449434.87909986125</v>
      </c>
      <c r="J123" s="514">
        <f t="shared" si="26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 ht="12.5">
      <c r="B124" s="195" t="str">
        <f t="shared" si="30"/>
        <v/>
      </c>
      <c r="C124" s="507">
        <f>IF(D93="","-",+C123+1)</f>
        <v>2031</v>
      </c>
      <c r="D124" s="374">
        <f>IF(F123+SUM(E$99:E123)=D$92,F123,D$92-SUM(E$99:E123))</f>
        <v>2657862.5323938061</v>
      </c>
      <c r="E124" s="522">
        <f>IF(+J96&lt;F123,J96,D124)</f>
        <v>139795.29268292684</v>
      </c>
      <c r="F124" s="523">
        <f t="shared" si="39"/>
        <v>2518067.2397108795</v>
      </c>
      <c r="G124" s="523">
        <f t="shared" si="40"/>
        <v>2587964.8860523431</v>
      </c>
      <c r="H124" s="526">
        <f t="shared" si="41"/>
        <v>433566.12460053968</v>
      </c>
      <c r="I124" s="577">
        <f t="shared" si="42"/>
        <v>433566.12460053968</v>
      </c>
      <c r="J124" s="514">
        <f t="shared" si="26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 ht="12.5">
      <c r="B125" s="195" t="str">
        <f t="shared" si="30"/>
        <v/>
      </c>
      <c r="C125" s="507">
        <f>IF(D93="","-",+C124+1)</f>
        <v>2032</v>
      </c>
      <c r="D125" s="374">
        <f>IF(F124+SUM(E$99:E124)=D$92,F124,D$92-SUM(E$99:E124))</f>
        <v>2518067.2397108795</v>
      </c>
      <c r="E125" s="522">
        <f>IF(+J96&lt;F124,J96,D125)</f>
        <v>139795.29268292684</v>
      </c>
      <c r="F125" s="523">
        <f t="shared" si="39"/>
        <v>2378271.9470279529</v>
      </c>
      <c r="G125" s="523">
        <f t="shared" si="40"/>
        <v>2448169.593369416</v>
      </c>
      <c r="H125" s="526">
        <f t="shared" si="41"/>
        <v>417697.370101218</v>
      </c>
      <c r="I125" s="577">
        <f t="shared" si="42"/>
        <v>417697.370101218</v>
      </c>
      <c r="J125" s="514">
        <f t="shared" si="26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 ht="12.5">
      <c r="B126" s="195" t="str">
        <f t="shared" si="30"/>
        <v/>
      </c>
      <c r="C126" s="507">
        <f>IF(D93="","-",+C125+1)</f>
        <v>2033</v>
      </c>
      <c r="D126" s="374">
        <f>IF(F125+SUM(E$99:E125)=D$92,F125,D$92-SUM(E$99:E125))</f>
        <v>2378271.9470279529</v>
      </c>
      <c r="E126" s="522">
        <f>IF(+J96&lt;F125,J96,D126)</f>
        <v>139795.29268292684</v>
      </c>
      <c r="F126" s="523">
        <f t="shared" si="39"/>
        <v>2238476.6543450262</v>
      </c>
      <c r="G126" s="523">
        <f t="shared" si="40"/>
        <v>2308374.3006864898</v>
      </c>
      <c r="H126" s="526">
        <f t="shared" si="41"/>
        <v>401828.61560189642</v>
      </c>
      <c r="I126" s="577">
        <f t="shared" si="42"/>
        <v>401828.61560189642</v>
      </c>
      <c r="J126" s="514">
        <f t="shared" si="26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 ht="12.5">
      <c r="B127" s="195" t="str">
        <f t="shared" si="30"/>
        <v/>
      </c>
      <c r="C127" s="507">
        <f>IF(D93="","-",+C126+1)</f>
        <v>2034</v>
      </c>
      <c r="D127" s="374">
        <f>IF(F126+SUM(E$99:E126)=D$92,F126,D$92-SUM(E$99:E126))</f>
        <v>2238476.6543450262</v>
      </c>
      <c r="E127" s="522">
        <f>IF(+J96&lt;F126,J96,D127)</f>
        <v>139795.29268292684</v>
      </c>
      <c r="F127" s="523">
        <f t="shared" si="39"/>
        <v>2098681.3616620996</v>
      </c>
      <c r="G127" s="523">
        <f t="shared" si="40"/>
        <v>2168579.0080035627</v>
      </c>
      <c r="H127" s="526">
        <f t="shared" si="41"/>
        <v>385959.86110257474</v>
      </c>
      <c r="I127" s="577">
        <f t="shared" si="42"/>
        <v>385959.86110257474</v>
      </c>
      <c r="J127" s="514">
        <f t="shared" si="26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 ht="12.5">
      <c r="B128" s="195" t="str">
        <f t="shared" si="30"/>
        <v/>
      </c>
      <c r="C128" s="507">
        <f>IF(D93="","-",+C127+1)</f>
        <v>2035</v>
      </c>
      <c r="D128" s="374">
        <f>IF(F127+SUM(E$99:E127)=D$92,F127,D$92-SUM(E$99:E127))</f>
        <v>2098681.3616620996</v>
      </c>
      <c r="E128" s="522">
        <f>IF(+J96&lt;F127,J96,D128)</f>
        <v>139795.29268292684</v>
      </c>
      <c r="F128" s="523">
        <f t="shared" si="39"/>
        <v>1958886.0689791727</v>
      </c>
      <c r="G128" s="523">
        <f t="shared" si="40"/>
        <v>2028783.7153206361</v>
      </c>
      <c r="H128" s="526">
        <f t="shared" si="41"/>
        <v>370091.10660325305</v>
      </c>
      <c r="I128" s="577">
        <f t="shared" si="42"/>
        <v>370091.10660325305</v>
      </c>
      <c r="J128" s="514">
        <f t="shared" si="26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 ht="12.5">
      <c r="B129" s="195" t="str">
        <f t="shared" si="30"/>
        <v/>
      </c>
      <c r="C129" s="507">
        <f>IF(D93="","-",+C128+1)</f>
        <v>2036</v>
      </c>
      <c r="D129" s="374">
        <f>IF(F128+SUM(E$99:E128)=D$92,F128,D$92-SUM(E$99:E128))</f>
        <v>1958886.0689791727</v>
      </c>
      <c r="E129" s="522">
        <f>IF(+J96&lt;F128,J96,D129)</f>
        <v>139795.29268292684</v>
      </c>
      <c r="F129" s="523">
        <f t="shared" si="39"/>
        <v>1819090.7762962459</v>
      </c>
      <c r="G129" s="523">
        <f t="shared" si="40"/>
        <v>1888988.4226377094</v>
      </c>
      <c r="H129" s="526">
        <f t="shared" si="41"/>
        <v>354222.35210393142</v>
      </c>
      <c r="I129" s="577">
        <f t="shared" si="42"/>
        <v>354222.35210393142</v>
      </c>
      <c r="J129" s="514">
        <f t="shared" si="26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 ht="12.5">
      <c r="B130" s="195" t="str">
        <f t="shared" si="30"/>
        <v/>
      </c>
      <c r="C130" s="507">
        <f>IF(D93="","-",+C129+1)</f>
        <v>2037</v>
      </c>
      <c r="D130" s="374">
        <f>IF(F129+SUM(E$99:E129)=D$92,F129,D$92-SUM(E$99:E129))</f>
        <v>1819090.7762962459</v>
      </c>
      <c r="E130" s="522">
        <f>IF(+J96&lt;F129,J96,D130)</f>
        <v>139795.29268292684</v>
      </c>
      <c r="F130" s="523">
        <f t="shared" si="39"/>
        <v>1679295.483613319</v>
      </c>
      <c r="G130" s="523">
        <f t="shared" si="40"/>
        <v>1749193.1299547823</v>
      </c>
      <c r="H130" s="526">
        <f t="shared" si="41"/>
        <v>338353.59760460973</v>
      </c>
      <c r="I130" s="577">
        <f t="shared" si="42"/>
        <v>338353.59760460973</v>
      </c>
      <c r="J130" s="514">
        <f t="shared" si="26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 ht="12.5">
      <c r="B131" s="195" t="str">
        <f t="shared" si="30"/>
        <v/>
      </c>
      <c r="C131" s="507">
        <f>IF(D93="","-",+C130+1)</f>
        <v>2038</v>
      </c>
      <c r="D131" s="374">
        <f>IF(F130+SUM(E$99:E130)=D$92,F130,D$92-SUM(E$99:E130))</f>
        <v>1679295.483613319</v>
      </c>
      <c r="E131" s="522">
        <f>IF(+J96&lt;F130,J96,D131)</f>
        <v>139795.29268292684</v>
      </c>
      <c r="F131" s="523">
        <f t="shared" ref="F131:F154" si="43">+D131-E131</f>
        <v>1539500.1909303921</v>
      </c>
      <c r="G131" s="523">
        <f t="shared" ref="G131:G154" si="44">+(F131+D131)/2</f>
        <v>1609397.8372718557</v>
      </c>
      <c r="H131" s="526">
        <f t="shared" si="41"/>
        <v>322484.84310528811</v>
      </c>
      <c r="I131" s="577">
        <f t="shared" si="42"/>
        <v>322484.84310528811</v>
      </c>
      <c r="J131" s="514">
        <f t="shared" ref="J131:J154" si="45">+I131-H131</f>
        <v>0</v>
      </c>
      <c r="K131" s="514"/>
      <c r="L131" s="525"/>
      <c r="M131" s="514">
        <f t="shared" ref="M131:M154" si="46">IF(L131&lt;&gt;0,+H131-L131,0)</f>
        <v>0</v>
      </c>
      <c r="N131" s="525"/>
      <c r="O131" s="514">
        <f t="shared" ref="O131:O154" si="47">IF(N131&lt;&gt;0,+I131-N131,0)</f>
        <v>0</v>
      </c>
      <c r="P131" s="514">
        <f t="shared" ref="P131:P154" si="48">+O131-M131</f>
        <v>0</v>
      </c>
      <c r="Q131" s="269"/>
    </row>
    <row r="132" spans="2:17" ht="12.5">
      <c r="B132" s="195" t="str">
        <f t="shared" si="30"/>
        <v/>
      </c>
      <c r="C132" s="507">
        <f>IF(D93="","-",+C131+1)</f>
        <v>2039</v>
      </c>
      <c r="D132" s="374">
        <f>IF(F131+SUM(E$99:E131)=D$92,F131,D$92-SUM(E$99:E131))</f>
        <v>1539500.1909303921</v>
      </c>
      <c r="E132" s="522">
        <f>IF(+J96&lt;F131,J96,D132)</f>
        <v>139795.29268292684</v>
      </c>
      <c r="F132" s="523">
        <f t="shared" si="43"/>
        <v>1399704.8982474653</v>
      </c>
      <c r="G132" s="523">
        <f t="shared" si="44"/>
        <v>1469602.5445889286</v>
      </c>
      <c r="H132" s="526">
        <f t="shared" si="41"/>
        <v>306616.08860596642</v>
      </c>
      <c r="I132" s="577">
        <f t="shared" si="42"/>
        <v>306616.08860596642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  <c r="Q132" s="269"/>
    </row>
    <row r="133" spans="2:17" ht="12.5">
      <c r="B133" s="195" t="str">
        <f t="shared" si="30"/>
        <v/>
      </c>
      <c r="C133" s="507">
        <f>IF(D93="","-",+C132+1)</f>
        <v>2040</v>
      </c>
      <c r="D133" s="374">
        <f>IF(F132+SUM(E$99:E132)=D$92,F132,D$92-SUM(E$99:E132))</f>
        <v>1399704.8982474653</v>
      </c>
      <c r="E133" s="522">
        <f>IF(+J96&lt;F132,J96,D133)</f>
        <v>139795.29268292684</v>
      </c>
      <c r="F133" s="523">
        <f t="shared" si="43"/>
        <v>1259909.6055645384</v>
      </c>
      <c r="G133" s="523">
        <f t="shared" si="44"/>
        <v>1329807.2519060019</v>
      </c>
      <c r="H133" s="526">
        <f t="shared" si="41"/>
        <v>290747.33410664473</v>
      </c>
      <c r="I133" s="577">
        <f t="shared" si="42"/>
        <v>290747.33410664473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  <c r="Q133" s="269"/>
    </row>
    <row r="134" spans="2:17" ht="12.5">
      <c r="B134" s="195" t="str">
        <f t="shared" si="30"/>
        <v/>
      </c>
      <c r="C134" s="507">
        <f>IF(D93="","-",+C133+1)</f>
        <v>2041</v>
      </c>
      <c r="D134" s="374">
        <f>IF(F133+SUM(E$99:E133)=D$92,F133,D$92-SUM(E$99:E133))</f>
        <v>1259909.6055645384</v>
      </c>
      <c r="E134" s="522">
        <f>IF(+J96&lt;F133,J96,D134)</f>
        <v>139795.29268292684</v>
      </c>
      <c r="F134" s="523">
        <f t="shared" si="43"/>
        <v>1120114.3128816115</v>
      </c>
      <c r="G134" s="523">
        <f t="shared" si="44"/>
        <v>1190011.9592230748</v>
      </c>
      <c r="H134" s="526">
        <f t="shared" si="41"/>
        <v>274878.57960732304</v>
      </c>
      <c r="I134" s="577">
        <f t="shared" si="42"/>
        <v>274878.57960732304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  <c r="Q134" s="269"/>
    </row>
    <row r="135" spans="2:17" ht="12.5">
      <c r="B135" s="195" t="str">
        <f t="shared" si="30"/>
        <v/>
      </c>
      <c r="C135" s="507">
        <f>IF(D93="","-",+C134+1)</f>
        <v>2042</v>
      </c>
      <c r="D135" s="374">
        <f>IF(F134+SUM(E$99:E134)=D$92,F134,D$92-SUM(E$99:E134))</f>
        <v>1120114.3128816115</v>
      </c>
      <c r="E135" s="522">
        <f>IF(+J96&lt;F134,J96,D135)</f>
        <v>139795.29268292684</v>
      </c>
      <c r="F135" s="523">
        <f t="shared" si="43"/>
        <v>980319.02019868465</v>
      </c>
      <c r="G135" s="523">
        <f t="shared" si="44"/>
        <v>1050216.6665401482</v>
      </c>
      <c r="H135" s="526">
        <f t="shared" si="41"/>
        <v>259009.82510800142</v>
      </c>
      <c r="I135" s="577">
        <f t="shared" si="42"/>
        <v>259009.82510800142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  <c r="Q135" s="269"/>
    </row>
    <row r="136" spans="2:17" ht="12.5">
      <c r="B136" s="195" t="str">
        <f t="shared" si="30"/>
        <v/>
      </c>
      <c r="C136" s="507">
        <f>IF(D93="","-",+C135+1)</f>
        <v>2043</v>
      </c>
      <c r="D136" s="374">
        <f>IF(F135+SUM(E$99:E135)=D$92,F135,D$92-SUM(E$99:E135))</f>
        <v>980319.02019868465</v>
      </c>
      <c r="E136" s="522">
        <f>IF(+J96&lt;F135,J96,D136)</f>
        <v>139795.29268292684</v>
      </c>
      <c r="F136" s="523">
        <f t="shared" si="43"/>
        <v>840523.72751575778</v>
      </c>
      <c r="G136" s="523">
        <f t="shared" si="44"/>
        <v>910421.37385722122</v>
      </c>
      <c r="H136" s="526">
        <f t="shared" si="41"/>
        <v>243141.07060867976</v>
      </c>
      <c r="I136" s="577">
        <f t="shared" si="42"/>
        <v>243141.07060867976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  <c r="Q136" s="269"/>
    </row>
    <row r="137" spans="2:17" ht="12.5">
      <c r="B137" s="195" t="str">
        <f t="shared" si="30"/>
        <v/>
      </c>
      <c r="C137" s="507">
        <f>IF(D93="","-",+C136+1)</f>
        <v>2044</v>
      </c>
      <c r="D137" s="374">
        <f>IF(F136+SUM(E$99:E136)=D$92,F136,D$92-SUM(E$99:E136))</f>
        <v>840523.72751575778</v>
      </c>
      <c r="E137" s="522">
        <f>IF(+J96&lt;F136,J96,D137)</f>
        <v>139795.29268292684</v>
      </c>
      <c r="F137" s="523">
        <f t="shared" si="43"/>
        <v>700728.43483283091</v>
      </c>
      <c r="G137" s="523">
        <f t="shared" si="44"/>
        <v>770626.08117429435</v>
      </c>
      <c r="H137" s="526">
        <f t="shared" si="41"/>
        <v>227272.3161093581</v>
      </c>
      <c r="I137" s="577">
        <f t="shared" si="42"/>
        <v>227272.3161093581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  <c r="Q137" s="269"/>
    </row>
    <row r="138" spans="2:17" ht="12.5">
      <c r="B138" s="195" t="str">
        <f t="shared" si="30"/>
        <v/>
      </c>
      <c r="C138" s="507">
        <f>IF(D93="","-",+C137+1)</f>
        <v>2045</v>
      </c>
      <c r="D138" s="374">
        <f>IF(F137+SUM(E$99:E137)=D$92,F137,D$92-SUM(E$99:E137))</f>
        <v>700728.43483283091</v>
      </c>
      <c r="E138" s="522">
        <f>IF(+J96&lt;F137,J96,D138)</f>
        <v>139795.29268292684</v>
      </c>
      <c r="F138" s="523">
        <f t="shared" si="43"/>
        <v>560933.14214990404</v>
      </c>
      <c r="G138" s="523">
        <f t="shared" si="44"/>
        <v>630830.78849136748</v>
      </c>
      <c r="H138" s="526">
        <f t="shared" si="41"/>
        <v>211403.56161003641</v>
      </c>
      <c r="I138" s="577">
        <f t="shared" si="42"/>
        <v>211403.56161003641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  <c r="Q138" s="269"/>
    </row>
    <row r="139" spans="2:17" ht="12.5">
      <c r="B139" s="195" t="str">
        <f t="shared" si="30"/>
        <v/>
      </c>
      <c r="C139" s="507">
        <f>IF(D93="","-",+C138+1)</f>
        <v>2046</v>
      </c>
      <c r="D139" s="374">
        <f>IF(F138+SUM(E$99:E138)=D$92,F138,D$92-SUM(E$99:E138))</f>
        <v>560933.14214990404</v>
      </c>
      <c r="E139" s="522">
        <f>IF(+J96&lt;F138,J96,D139)</f>
        <v>139795.29268292684</v>
      </c>
      <c r="F139" s="523">
        <f t="shared" si="43"/>
        <v>421137.84946697718</v>
      </c>
      <c r="G139" s="523">
        <f t="shared" si="44"/>
        <v>491035.49580844061</v>
      </c>
      <c r="H139" s="526">
        <f t="shared" si="41"/>
        <v>195534.80711071476</v>
      </c>
      <c r="I139" s="577">
        <f t="shared" si="42"/>
        <v>195534.80711071476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  <c r="Q139" s="269"/>
    </row>
    <row r="140" spans="2:17" ht="12.5">
      <c r="B140" s="195" t="str">
        <f t="shared" si="30"/>
        <v/>
      </c>
      <c r="C140" s="507">
        <f>IF(D93="","-",+C139+1)</f>
        <v>2047</v>
      </c>
      <c r="D140" s="374">
        <f>IF(F139+SUM(E$99:E139)=D$92,F139,D$92-SUM(E$99:E139))</f>
        <v>421137.84946697718</v>
      </c>
      <c r="E140" s="522">
        <f>IF(+J96&lt;F139,J96,D140)</f>
        <v>139795.29268292684</v>
      </c>
      <c r="F140" s="523">
        <f t="shared" si="43"/>
        <v>281342.55678405031</v>
      </c>
      <c r="G140" s="523">
        <f t="shared" si="44"/>
        <v>351240.20312551374</v>
      </c>
      <c r="H140" s="526">
        <f t="shared" si="41"/>
        <v>179666.0526113931</v>
      </c>
      <c r="I140" s="577">
        <f t="shared" si="42"/>
        <v>179666.0526113931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  <c r="Q140" s="269"/>
    </row>
    <row r="141" spans="2:17" ht="12.5">
      <c r="B141" s="195" t="str">
        <f t="shared" si="30"/>
        <v/>
      </c>
      <c r="C141" s="507">
        <f>IF(D93="","-",+C140+1)</f>
        <v>2048</v>
      </c>
      <c r="D141" s="374">
        <f>IF(F140+SUM(E$99:E140)=D$92,F140,D$92-SUM(E$99:E140))</f>
        <v>281342.55678405031</v>
      </c>
      <c r="E141" s="522">
        <f>IF(+J96&lt;F140,J96,D141)</f>
        <v>139795.29268292684</v>
      </c>
      <c r="F141" s="523">
        <f t="shared" si="43"/>
        <v>141547.26410112347</v>
      </c>
      <c r="G141" s="523">
        <f t="shared" si="44"/>
        <v>211444.91044258687</v>
      </c>
      <c r="H141" s="526">
        <f t="shared" si="41"/>
        <v>163797.29811207141</v>
      </c>
      <c r="I141" s="577">
        <f t="shared" si="42"/>
        <v>163797.29811207141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  <c r="Q141" s="269"/>
    </row>
    <row r="142" spans="2:17" ht="12.5">
      <c r="B142" s="195" t="str">
        <f t="shared" si="30"/>
        <v/>
      </c>
      <c r="C142" s="507">
        <f>IF(D93="","-",+C141+1)</f>
        <v>2049</v>
      </c>
      <c r="D142" s="374">
        <f>IF(F141+SUM(E$99:E141)=D$92,F141,D$92-SUM(E$99:E141))</f>
        <v>141547.26410112347</v>
      </c>
      <c r="E142" s="522">
        <f>IF(+J96&lt;F141,J96,D142)</f>
        <v>139795.29268292684</v>
      </c>
      <c r="F142" s="523">
        <f t="shared" si="43"/>
        <v>1751.9714181966265</v>
      </c>
      <c r="G142" s="523">
        <f t="shared" si="44"/>
        <v>71649.617759660046</v>
      </c>
      <c r="H142" s="526">
        <f t="shared" si="41"/>
        <v>147928.54361274975</v>
      </c>
      <c r="I142" s="577">
        <f t="shared" si="42"/>
        <v>147928.54361274975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  <c r="Q142" s="269"/>
    </row>
    <row r="143" spans="2:17" ht="12.5">
      <c r="B143" s="195" t="str">
        <f t="shared" si="30"/>
        <v/>
      </c>
      <c r="C143" s="507">
        <f>IF(D93="","-",+C142+1)</f>
        <v>2050</v>
      </c>
      <c r="D143" s="374">
        <f>IF(F142+SUM(E$99:E142)=D$92,F142,D$92-SUM(E$99:E142))</f>
        <v>1751.9714181966265</v>
      </c>
      <c r="E143" s="522">
        <f>IF(+J96&lt;F142,J96,D143)</f>
        <v>1751.9714181966265</v>
      </c>
      <c r="F143" s="523">
        <f t="shared" si="43"/>
        <v>0</v>
      </c>
      <c r="G143" s="523">
        <f t="shared" si="44"/>
        <v>875.98570909831324</v>
      </c>
      <c r="H143" s="526">
        <f t="shared" si="41"/>
        <v>1851.4082582776732</v>
      </c>
      <c r="I143" s="577">
        <f t="shared" si="42"/>
        <v>1851.4082582776732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  <c r="Q143" s="269"/>
    </row>
    <row r="144" spans="2:17" ht="12.5">
      <c r="B144" s="195" t="str">
        <f t="shared" si="30"/>
        <v/>
      </c>
      <c r="C144" s="507">
        <f>IF(D93="","-",+C143+1)</f>
        <v>2051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3"/>
        <v>0</v>
      </c>
      <c r="G144" s="523">
        <f t="shared" si="44"/>
        <v>0</v>
      </c>
      <c r="H144" s="526">
        <f t="shared" si="41"/>
        <v>0</v>
      </c>
      <c r="I144" s="577">
        <f t="shared" si="42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  <c r="Q144" s="269"/>
    </row>
    <row r="145" spans="2:17" ht="12.5">
      <c r="B145" s="195" t="str">
        <f t="shared" si="30"/>
        <v/>
      </c>
      <c r="C145" s="507">
        <f>IF(D93="","-",+C144+1)</f>
        <v>2052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3"/>
        <v>0</v>
      </c>
      <c r="G145" s="523">
        <f t="shared" si="44"/>
        <v>0</v>
      </c>
      <c r="H145" s="526">
        <f t="shared" si="41"/>
        <v>0</v>
      </c>
      <c r="I145" s="577">
        <f t="shared" si="42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  <c r="Q145" s="269"/>
    </row>
    <row r="146" spans="2:17" ht="12.5">
      <c r="B146" s="195" t="str">
        <f t="shared" si="30"/>
        <v/>
      </c>
      <c r="C146" s="507">
        <f>IF(D93="","-",+C145+1)</f>
        <v>2053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3"/>
        <v>0</v>
      </c>
      <c r="G146" s="523">
        <f t="shared" si="44"/>
        <v>0</v>
      </c>
      <c r="H146" s="526">
        <f t="shared" si="41"/>
        <v>0</v>
      </c>
      <c r="I146" s="577">
        <f t="shared" si="42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  <c r="Q146" s="269"/>
    </row>
    <row r="147" spans="2:17" ht="12.5">
      <c r="B147" s="195" t="str">
        <f t="shared" si="30"/>
        <v/>
      </c>
      <c r="C147" s="507">
        <f>IF(D93="","-",+C146+1)</f>
        <v>2054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3"/>
        <v>0</v>
      </c>
      <c r="G147" s="523">
        <f t="shared" si="44"/>
        <v>0</v>
      </c>
      <c r="H147" s="526">
        <f t="shared" si="41"/>
        <v>0</v>
      </c>
      <c r="I147" s="577">
        <f t="shared" si="42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  <c r="Q147" s="269"/>
    </row>
    <row r="148" spans="2:17" ht="12.5">
      <c r="B148" s="195" t="str">
        <f t="shared" si="30"/>
        <v/>
      </c>
      <c r="C148" s="507">
        <f>IF(D93="","-",+C147+1)</f>
        <v>2055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3"/>
        <v>0</v>
      </c>
      <c r="G148" s="523">
        <f t="shared" si="44"/>
        <v>0</v>
      </c>
      <c r="H148" s="526">
        <f t="shared" si="41"/>
        <v>0</v>
      </c>
      <c r="I148" s="577">
        <f t="shared" si="42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  <c r="Q148" s="269"/>
    </row>
    <row r="149" spans="2:17" ht="12.5">
      <c r="B149" s="195" t="str">
        <f t="shared" si="30"/>
        <v/>
      </c>
      <c r="C149" s="507">
        <f>IF(D93="","-",+C148+1)</f>
        <v>2056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3"/>
        <v>0</v>
      </c>
      <c r="G149" s="523">
        <f t="shared" si="44"/>
        <v>0</v>
      </c>
      <c r="H149" s="526">
        <f t="shared" si="41"/>
        <v>0</v>
      </c>
      <c r="I149" s="577">
        <f t="shared" si="42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  <c r="Q149" s="269"/>
    </row>
    <row r="150" spans="2:17" ht="12.5">
      <c r="B150" s="195" t="str">
        <f t="shared" si="30"/>
        <v/>
      </c>
      <c r="C150" s="507">
        <f>IF(D93="","-",+C149+1)</f>
        <v>2057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3"/>
        <v>0</v>
      </c>
      <c r="G150" s="523">
        <f t="shared" si="44"/>
        <v>0</v>
      </c>
      <c r="H150" s="526">
        <f t="shared" si="41"/>
        <v>0</v>
      </c>
      <c r="I150" s="577">
        <f t="shared" si="42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  <c r="Q150" s="269"/>
    </row>
    <row r="151" spans="2:17" ht="12.5">
      <c r="B151" s="195" t="str">
        <f t="shared" si="30"/>
        <v/>
      </c>
      <c r="C151" s="507">
        <f>IF(D93="","-",+C150+1)</f>
        <v>2058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3"/>
        <v>0</v>
      </c>
      <c r="G151" s="523">
        <f t="shared" si="44"/>
        <v>0</v>
      </c>
      <c r="H151" s="526">
        <f t="shared" si="41"/>
        <v>0</v>
      </c>
      <c r="I151" s="577">
        <f t="shared" si="42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  <c r="Q151" s="269"/>
    </row>
    <row r="152" spans="2:17" ht="12.5">
      <c r="B152" s="195" t="str">
        <f t="shared" si="30"/>
        <v/>
      </c>
      <c r="C152" s="507">
        <f>IF(D93="","-",+C151+1)</f>
        <v>2059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3"/>
        <v>0</v>
      </c>
      <c r="G152" s="523">
        <f t="shared" si="44"/>
        <v>0</v>
      </c>
      <c r="H152" s="526">
        <f t="shared" si="41"/>
        <v>0</v>
      </c>
      <c r="I152" s="577">
        <f t="shared" si="42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  <c r="Q152" s="269"/>
    </row>
    <row r="153" spans="2:17" ht="12.5">
      <c r="B153" s="195" t="str">
        <f t="shared" si="30"/>
        <v/>
      </c>
      <c r="C153" s="507">
        <f>IF(D93="","-",+C152+1)</f>
        <v>2060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3"/>
        <v>0</v>
      </c>
      <c r="G153" s="523">
        <f t="shared" si="44"/>
        <v>0</v>
      </c>
      <c r="H153" s="526">
        <f t="shared" si="41"/>
        <v>0</v>
      </c>
      <c r="I153" s="577">
        <f t="shared" si="42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  <c r="Q153" s="269"/>
    </row>
    <row r="154" spans="2:17" ht="13" thickBot="1">
      <c r="B154" s="195" t="str">
        <f t="shared" si="30"/>
        <v/>
      </c>
      <c r="C154" s="527">
        <f>IF(D93="","-",+C153+1)</f>
        <v>2061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3"/>
        <v>0</v>
      </c>
      <c r="G154" s="528">
        <f t="shared" si="44"/>
        <v>0</v>
      </c>
      <c r="H154" s="530">
        <f t="shared" si="41"/>
        <v>0</v>
      </c>
      <c r="I154" s="579">
        <f t="shared" si="42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  <c r="Q154" s="269"/>
    </row>
    <row r="155" spans="2:17" ht="12.5">
      <c r="C155" s="374" t="s">
        <v>78</v>
      </c>
      <c r="D155" s="375"/>
      <c r="E155" s="375">
        <f>SUM(E99:E154)</f>
        <v>5731607.0000000028</v>
      </c>
      <c r="F155" s="375"/>
      <c r="G155" s="375"/>
      <c r="H155" s="375">
        <f>SUM(H99:H154)</f>
        <v>20173102.313915696</v>
      </c>
      <c r="I155" s="375">
        <f>SUM(I99:I154)</f>
        <v>20173102.313915696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5" priority="1" stopIfTrue="1" operator="equal">
      <formula>$I$10</formula>
    </cfRule>
  </conditionalFormatting>
  <conditionalFormatting sqref="C99:C154">
    <cfRule type="cellIs" dxfId="13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63">
    <tabColor indexed="16"/>
  </sheetPr>
  <dimension ref="A1:W162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9.17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14.26953125" style="183" customWidth="1"/>
    <col min="24" max="16384" width="8.7265625" style="183"/>
  </cols>
  <sheetData>
    <row r="1" spans="1:23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14 of 74</v>
      </c>
      <c r="Q1" s="453"/>
      <c r="R1" s="269"/>
      <c r="S1" s="269"/>
      <c r="T1" s="269"/>
      <c r="U1" s="269"/>
      <c r="V1" s="269"/>
      <c r="W1" s="269"/>
    </row>
    <row r="2" spans="1:23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  <c r="R2" s="269"/>
      <c r="S2" s="269"/>
      <c r="T2" s="269"/>
      <c r="U2" s="269"/>
      <c r="V2" s="269"/>
      <c r="W2" s="269"/>
    </row>
    <row r="3" spans="1:23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  <c r="R3" s="269"/>
      <c r="S3" s="269"/>
      <c r="T3" s="269"/>
      <c r="U3" s="269"/>
      <c r="V3" s="269"/>
      <c r="W3" s="269"/>
    </row>
    <row r="4" spans="1:23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  <c r="R4" s="269"/>
      <c r="S4" s="269"/>
      <c r="T4" s="269"/>
      <c r="U4" s="269"/>
      <c r="V4" s="269"/>
      <c r="W4" s="269"/>
    </row>
    <row r="5" spans="1:23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8544.5366116396999</v>
      </c>
      <c r="P5" s="269"/>
      <c r="R5" s="269"/>
      <c r="S5" s="269"/>
      <c r="T5" s="269"/>
      <c r="U5" s="269"/>
      <c r="V5" s="269"/>
      <c r="W5" s="269"/>
    </row>
    <row r="6" spans="1:23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8544.5366116396999</v>
      </c>
      <c r="O6" s="269"/>
      <c r="P6" s="269"/>
      <c r="R6" s="269"/>
      <c r="S6" s="269"/>
      <c r="T6" s="269"/>
      <c r="U6" s="269"/>
      <c r="V6" s="269"/>
      <c r="W6" s="269"/>
    </row>
    <row r="7" spans="1:23" ht="13.5" thickBot="1">
      <c r="C7" s="467" t="s">
        <v>48</v>
      </c>
      <c r="D7" s="468" t="s">
        <v>233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  <c r="R7" s="269"/>
      <c r="S7" s="269"/>
      <c r="T7" s="269"/>
      <c r="U7" s="269"/>
      <c r="V7" s="269"/>
      <c r="W7" s="269"/>
    </row>
    <row r="8" spans="1:23" ht="13.5" thickBot="1">
      <c r="C8" s="472"/>
      <c r="D8" s="473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  <c r="R8" s="269"/>
      <c r="S8" s="269"/>
      <c r="T8" s="269"/>
      <c r="U8" s="269"/>
      <c r="V8" s="269"/>
      <c r="W8" s="269"/>
    </row>
    <row r="9" spans="1:23" ht="13.5" thickBot="1">
      <c r="A9" s="191"/>
      <c r="C9" s="476" t="s">
        <v>50</v>
      </c>
      <c r="D9" s="477" t="s">
        <v>152</v>
      </c>
      <c r="E9" s="666" t="s">
        <v>482</v>
      </c>
      <c r="F9" s="478"/>
      <c r="G9" s="478"/>
      <c r="H9" s="478"/>
      <c r="I9" s="479"/>
      <c r="J9" s="480"/>
      <c r="O9" s="481"/>
      <c r="P9" s="272"/>
      <c r="R9" s="269"/>
      <c r="S9" s="269"/>
      <c r="T9" s="269"/>
      <c r="U9" s="269"/>
      <c r="V9" s="269"/>
      <c r="W9" s="269"/>
    </row>
    <row r="10" spans="1:23" ht="13">
      <c r="C10" s="482" t="s">
        <v>51</v>
      </c>
      <c r="D10" s="483">
        <v>81701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  <c r="R10" s="269"/>
      <c r="S10" s="269"/>
      <c r="T10" s="269"/>
      <c r="U10" s="269"/>
      <c r="V10" s="269"/>
      <c r="W10" s="269"/>
    </row>
    <row r="11" spans="1:23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  <c r="R11" s="269"/>
      <c r="S11" s="269"/>
      <c r="T11" s="269"/>
      <c r="U11" s="269"/>
      <c r="V11" s="269"/>
      <c r="W11" s="269"/>
    </row>
    <row r="12" spans="1:23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  <c r="R12" s="269"/>
      <c r="S12" s="269"/>
      <c r="T12" s="269"/>
      <c r="U12" s="269"/>
      <c r="V12" s="269"/>
      <c r="W12" s="269"/>
    </row>
    <row r="13" spans="1:23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  <c r="R13" s="269"/>
      <c r="S13" s="269"/>
      <c r="T13" s="269"/>
      <c r="U13" s="269"/>
      <c r="V13" s="269"/>
      <c r="W13" s="269"/>
    </row>
    <row r="14" spans="1:23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1945.2619047619048</v>
      </c>
      <c r="J14" s="375"/>
      <c r="K14" s="375"/>
      <c r="L14" s="375"/>
      <c r="M14" s="375"/>
      <c r="N14" s="375"/>
      <c r="O14" s="272"/>
      <c r="P14" s="272"/>
      <c r="R14" s="269"/>
      <c r="S14" s="269"/>
      <c r="T14" s="269"/>
      <c r="U14" s="269"/>
      <c r="V14" s="269"/>
      <c r="W14" s="269"/>
    </row>
    <row r="15" spans="1:23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  <c r="R15" s="269"/>
      <c r="S15" s="269"/>
      <c r="T15" s="269"/>
      <c r="U15" s="269"/>
      <c r="V15" s="269"/>
      <c r="W15" s="269"/>
    </row>
    <row r="16" spans="1:23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  <c r="R16" s="269"/>
      <c r="S16" s="269"/>
      <c r="T16" s="269"/>
      <c r="U16" s="269"/>
      <c r="V16" s="269"/>
      <c r="W16" s="269"/>
    </row>
    <row r="17" spans="2:23" ht="12.5">
      <c r="C17" s="507">
        <f>IF(D11= "","-",D11)</f>
        <v>2007</v>
      </c>
      <c r="D17" s="508">
        <v>54301</v>
      </c>
      <c r="E17" s="509">
        <v>714</v>
      </c>
      <c r="F17" s="508">
        <v>53587</v>
      </c>
      <c r="G17" s="509">
        <v>8418</v>
      </c>
      <c r="H17" s="510">
        <v>8418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  <c r="R17" s="372"/>
      <c r="S17" s="372"/>
      <c r="T17" s="372"/>
      <c r="U17" s="372"/>
      <c r="V17" s="372"/>
      <c r="W17" s="269"/>
    </row>
    <row r="18" spans="2:23" ht="12.5">
      <c r="B18" s="195" t="str">
        <f>IF(D18=F17,"","IU")</f>
        <v/>
      </c>
      <c r="C18" s="507">
        <f>IF(D11="","-",+C17+1)</f>
        <v>2008</v>
      </c>
      <c r="D18" s="515">
        <v>53587</v>
      </c>
      <c r="E18" s="516">
        <v>1429</v>
      </c>
      <c r="F18" s="515">
        <v>52158</v>
      </c>
      <c r="G18" s="516">
        <v>8927</v>
      </c>
      <c r="H18" s="510">
        <v>8927</v>
      </c>
      <c r="I18" s="59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  <c r="R18" s="372"/>
      <c r="S18" s="372"/>
      <c r="T18" s="372"/>
      <c r="U18" s="372"/>
      <c r="V18" s="372"/>
      <c r="W18" s="269"/>
    </row>
    <row r="19" spans="2:23" ht="12.5">
      <c r="B19" s="195" t="str">
        <f>IF(D19=F18,"","IU")</f>
        <v/>
      </c>
      <c r="C19" s="507">
        <f>IF(D11="","-",+C18+1)</f>
        <v>2009</v>
      </c>
      <c r="D19" s="515">
        <v>52158</v>
      </c>
      <c r="E19" s="516">
        <v>1429</v>
      </c>
      <c r="F19" s="515">
        <v>50729</v>
      </c>
      <c r="G19" s="516">
        <v>8722</v>
      </c>
      <c r="H19" s="510">
        <v>8722</v>
      </c>
      <c r="I19" s="596">
        <f t="shared" si="0"/>
        <v>0</v>
      </c>
      <c r="J19" s="511"/>
      <c r="K19" s="518">
        <f>G19</f>
        <v>8722</v>
      </c>
      <c r="L19" s="519">
        <f>IF(K19&lt;&gt;0,+G19-K19,0)</f>
        <v>0</v>
      </c>
      <c r="M19" s="518">
        <f>H19</f>
        <v>8722</v>
      </c>
      <c r="N19" s="514">
        <f>IF(M19&lt;&gt;0,+H19-M19,0)</f>
        <v>0</v>
      </c>
      <c r="O19" s="514">
        <f>+N19-L19</f>
        <v>0</v>
      </c>
      <c r="P19" s="272"/>
      <c r="R19" s="372"/>
      <c r="S19" s="372"/>
      <c r="T19" s="372"/>
      <c r="U19" s="372"/>
      <c r="V19" s="372"/>
      <c r="W19" s="269"/>
    </row>
    <row r="20" spans="2:23" ht="12.5">
      <c r="B20" s="195" t="str">
        <f t="shared" ref="B20:B72" si="4">IF(D20=F19,"","IU")</f>
        <v/>
      </c>
      <c r="C20" s="507">
        <f>IF(D11="","-",+C19+1)</f>
        <v>2010</v>
      </c>
      <c r="D20" s="515">
        <v>50729</v>
      </c>
      <c r="E20" s="516">
        <v>1428.9736842105262</v>
      </c>
      <c r="F20" s="515">
        <v>49300.026315789473</v>
      </c>
      <c r="G20" s="516">
        <v>8516.5919295125823</v>
      </c>
      <c r="H20" s="510">
        <v>8516.5919295125823</v>
      </c>
      <c r="I20" s="517">
        <v>0</v>
      </c>
      <c r="J20" s="511"/>
      <c r="K20" s="518">
        <f t="shared" ref="K20:K25" si="5">G20</f>
        <v>8516.5919295125823</v>
      </c>
      <c r="L20" s="519">
        <f t="shared" si="1"/>
        <v>0</v>
      </c>
      <c r="M20" s="518">
        <f t="shared" ref="M20:M25" si="6">H20</f>
        <v>8516.5919295125823</v>
      </c>
      <c r="N20" s="514">
        <f t="shared" si="2"/>
        <v>0</v>
      </c>
      <c r="O20" s="514">
        <f t="shared" si="3"/>
        <v>0</v>
      </c>
      <c r="P20" s="272"/>
      <c r="R20" s="269"/>
      <c r="S20" s="269"/>
      <c r="T20" s="269"/>
      <c r="U20" s="269"/>
      <c r="V20" s="269"/>
      <c r="W20" s="269"/>
    </row>
    <row r="21" spans="2:23" ht="12.5">
      <c r="B21" s="195" t="str">
        <f t="shared" si="4"/>
        <v>IU</v>
      </c>
      <c r="C21" s="507">
        <f>IF(D12="","-",+C20+1)</f>
        <v>2011</v>
      </c>
      <c r="D21" s="515">
        <v>76700.026315789466</v>
      </c>
      <c r="E21" s="516">
        <v>1992.7073170731708</v>
      </c>
      <c r="F21" s="515">
        <v>74707.318998716291</v>
      </c>
      <c r="G21" s="516">
        <v>13661.406661613239</v>
      </c>
      <c r="H21" s="510">
        <v>13661.406661613239</v>
      </c>
      <c r="I21" s="517">
        <v>0</v>
      </c>
      <c r="J21" s="511"/>
      <c r="K21" s="518">
        <f t="shared" si="5"/>
        <v>13661.406661613239</v>
      </c>
      <c r="L21" s="519">
        <f t="shared" si="1"/>
        <v>0</v>
      </c>
      <c r="M21" s="518">
        <f t="shared" si="6"/>
        <v>13661.406661613239</v>
      </c>
      <c r="N21" s="514">
        <f t="shared" si="2"/>
        <v>0</v>
      </c>
      <c r="O21" s="514">
        <f t="shared" si="3"/>
        <v>0</v>
      </c>
      <c r="P21" s="272"/>
      <c r="R21" s="269"/>
      <c r="S21" s="269"/>
      <c r="T21" s="269"/>
      <c r="U21" s="269"/>
      <c r="V21" s="269"/>
      <c r="W21" s="269"/>
    </row>
    <row r="22" spans="2:23" ht="12.5">
      <c r="B22" s="195" t="str">
        <f t="shared" si="4"/>
        <v/>
      </c>
      <c r="C22" s="507">
        <f>IF(D11="","-",+C21+1)</f>
        <v>2012</v>
      </c>
      <c r="D22" s="515">
        <v>74707.318998716291</v>
      </c>
      <c r="E22" s="520">
        <v>1945.2619047619048</v>
      </c>
      <c r="F22" s="515">
        <v>72762.057093954383</v>
      </c>
      <c r="G22" s="516">
        <v>12766.445227365637</v>
      </c>
      <c r="H22" s="510">
        <v>12766.445227365637</v>
      </c>
      <c r="I22" s="517">
        <v>0</v>
      </c>
      <c r="J22" s="511"/>
      <c r="K22" s="518">
        <f t="shared" si="5"/>
        <v>12766.445227365637</v>
      </c>
      <c r="L22" s="519">
        <f t="shared" si="1"/>
        <v>0</v>
      </c>
      <c r="M22" s="518">
        <f t="shared" si="6"/>
        <v>12766.445227365637</v>
      </c>
      <c r="N22" s="514">
        <f t="shared" si="2"/>
        <v>0</v>
      </c>
      <c r="O22" s="514">
        <f t="shared" si="3"/>
        <v>0</v>
      </c>
      <c r="P22" s="272"/>
      <c r="R22" s="269"/>
      <c r="S22" s="269"/>
      <c r="T22" s="269"/>
      <c r="U22" s="269"/>
      <c r="V22" s="269"/>
      <c r="W22" s="269"/>
    </row>
    <row r="23" spans="2:23" ht="12.5">
      <c r="B23" s="195" t="str">
        <f t="shared" si="4"/>
        <v/>
      </c>
      <c r="C23" s="507">
        <f>IF(D11="","-",+C22+1)</f>
        <v>2013</v>
      </c>
      <c r="D23" s="608">
        <v>72762.057093954383</v>
      </c>
      <c r="E23" s="609">
        <v>1945.2619047619048</v>
      </c>
      <c r="F23" s="608">
        <v>70816.795189192475</v>
      </c>
      <c r="G23" s="609">
        <v>11858.698425256665</v>
      </c>
      <c r="H23" s="610">
        <v>11858.698425256665</v>
      </c>
      <c r="I23" s="596">
        <v>0</v>
      </c>
      <c r="J23" s="511"/>
      <c r="K23" s="518">
        <f t="shared" si="5"/>
        <v>11858.698425256665</v>
      </c>
      <c r="L23" s="519">
        <f t="shared" ref="L23:L28" si="7">IF(K23&lt;&gt;0,+G23-K23,0)</f>
        <v>0</v>
      </c>
      <c r="M23" s="518">
        <f t="shared" si="6"/>
        <v>11858.698425256665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  <c r="R23" s="269"/>
      <c r="S23" s="269"/>
      <c r="T23" s="269"/>
      <c r="U23" s="269"/>
      <c r="V23" s="269"/>
      <c r="W23" s="269"/>
    </row>
    <row r="24" spans="2:23" ht="12.5">
      <c r="B24" s="195" t="str">
        <f t="shared" si="4"/>
        <v/>
      </c>
      <c r="C24" s="507">
        <f>IF(D11="","-",+C23+1)</f>
        <v>2014</v>
      </c>
      <c r="D24" s="608">
        <v>70816.795189192475</v>
      </c>
      <c r="E24" s="609">
        <v>1945.2619047619048</v>
      </c>
      <c r="F24" s="608">
        <v>68871.533284430567</v>
      </c>
      <c r="G24" s="609">
        <v>11236.755464120854</v>
      </c>
      <c r="H24" s="610">
        <v>11236.755464120854</v>
      </c>
      <c r="I24" s="596">
        <v>0</v>
      </c>
      <c r="J24" s="511"/>
      <c r="K24" s="518">
        <f t="shared" si="5"/>
        <v>11236.755464120854</v>
      </c>
      <c r="L24" s="519">
        <f t="shared" si="7"/>
        <v>0</v>
      </c>
      <c r="M24" s="518">
        <f t="shared" si="6"/>
        <v>11236.755464120854</v>
      </c>
      <c r="N24" s="514">
        <f t="shared" si="8"/>
        <v>0</v>
      </c>
      <c r="O24" s="514">
        <f t="shared" si="9"/>
        <v>0</v>
      </c>
      <c r="P24" s="272"/>
      <c r="R24" s="269"/>
      <c r="S24" s="269"/>
      <c r="T24" s="269"/>
      <c r="U24" s="269"/>
      <c r="V24" s="269"/>
      <c r="W24" s="269"/>
    </row>
    <row r="25" spans="2:23" ht="12.5">
      <c r="B25" s="195" t="str">
        <f t="shared" si="4"/>
        <v/>
      </c>
      <c r="C25" s="507">
        <f>IF(D11="","-",+C24+1)</f>
        <v>2015</v>
      </c>
      <c r="D25" s="608">
        <v>68871.533284430567</v>
      </c>
      <c r="E25" s="609">
        <v>1945.2619047619048</v>
      </c>
      <c r="F25" s="608">
        <v>66926.271379668658</v>
      </c>
      <c r="G25" s="609">
        <v>10759.773156827454</v>
      </c>
      <c r="H25" s="610">
        <v>10759.773156827454</v>
      </c>
      <c r="I25" s="511">
        <v>0</v>
      </c>
      <c r="J25" s="511"/>
      <c r="K25" s="518">
        <f t="shared" si="5"/>
        <v>10759.773156827454</v>
      </c>
      <c r="L25" s="519">
        <f t="shared" si="7"/>
        <v>0</v>
      </c>
      <c r="M25" s="518">
        <f t="shared" si="6"/>
        <v>10759.773156827454</v>
      </c>
      <c r="N25" s="514">
        <f t="shared" si="8"/>
        <v>0</v>
      </c>
      <c r="O25" s="514">
        <f t="shared" si="9"/>
        <v>0</v>
      </c>
      <c r="P25" s="272"/>
      <c r="R25" s="269"/>
      <c r="S25" s="269"/>
      <c r="T25" s="269"/>
      <c r="U25" s="269"/>
      <c r="V25" s="269"/>
      <c r="W25" s="269"/>
    </row>
    <row r="26" spans="2:23" ht="12.5">
      <c r="B26" s="195" t="str">
        <f t="shared" si="4"/>
        <v/>
      </c>
      <c r="C26" s="507">
        <f>IF(D11="","-",+C25+1)</f>
        <v>2016</v>
      </c>
      <c r="D26" s="608">
        <v>66926.271379668658</v>
      </c>
      <c r="E26" s="609">
        <v>1945.2619047619048</v>
      </c>
      <c r="F26" s="608">
        <v>64981.00947490675</v>
      </c>
      <c r="G26" s="609">
        <v>10397.989993961875</v>
      </c>
      <c r="H26" s="610">
        <v>10397.989993961875</v>
      </c>
      <c r="I26" s="511">
        <f t="shared" si="0"/>
        <v>0</v>
      </c>
      <c r="J26" s="511"/>
      <c r="K26" s="518">
        <f t="shared" ref="K26:K31" si="10">G26</f>
        <v>10397.989993961875</v>
      </c>
      <c r="L26" s="519">
        <f t="shared" si="7"/>
        <v>0</v>
      </c>
      <c r="M26" s="518">
        <f t="shared" ref="M26:M31" si="11">H26</f>
        <v>10397.989993961875</v>
      </c>
      <c r="N26" s="514">
        <f t="shared" si="8"/>
        <v>0</v>
      </c>
      <c r="O26" s="514">
        <f t="shared" si="9"/>
        <v>0</v>
      </c>
      <c r="P26" s="272"/>
      <c r="R26" s="269"/>
      <c r="S26" s="269"/>
      <c r="T26" s="269"/>
      <c r="U26" s="269"/>
      <c r="V26" s="269"/>
      <c r="W26" s="269"/>
    </row>
    <row r="27" spans="2:23" ht="12.5">
      <c r="B27" s="195" t="str">
        <f t="shared" si="4"/>
        <v/>
      </c>
      <c r="C27" s="507">
        <f>IF(D11="","-",+C26+1)</f>
        <v>2017</v>
      </c>
      <c r="D27" s="608">
        <v>64981.00947490675</v>
      </c>
      <c r="E27" s="609">
        <v>1900.0232558139535</v>
      </c>
      <c r="F27" s="608">
        <v>63080.986219092796</v>
      </c>
      <c r="G27" s="609">
        <v>9832.9858090659618</v>
      </c>
      <c r="H27" s="610">
        <v>9832.9858090659618</v>
      </c>
      <c r="I27" s="511">
        <f t="shared" si="0"/>
        <v>0</v>
      </c>
      <c r="J27" s="511"/>
      <c r="K27" s="518">
        <f t="shared" si="10"/>
        <v>9832.9858090659618</v>
      </c>
      <c r="L27" s="519">
        <f t="shared" si="7"/>
        <v>0</v>
      </c>
      <c r="M27" s="518">
        <f t="shared" si="11"/>
        <v>9832.9858090659618</v>
      </c>
      <c r="N27" s="514">
        <f t="shared" si="8"/>
        <v>0</v>
      </c>
      <c r="O27" s="514">
        <f t="shared" si="9"/>
        <v>0</v>
      </c>
      <c r="P27" s="272"/>
      <c r="R27" s="269"/>
      <c r="S27" s="269"/>
      <c r="T27" s="269"/>
      <c r="U27" s="269"/>
      <c r="V27" s="269"/>
      <c r="W27" s="269"/>
    </row>
    <row r="28" spans="2:23" ht="12.5">
      <c r="B28" s="195" t="str">
        <f t="shared" si="4"/>
        <v/>
      </c>
      <c r="C28" s="507">
        <f>IF(D11="","-",+C27+1)</f>
        <v>2018</v>
      </c>
      <c r="D28" s="608">
        <v>63080.986219092796</v>
      </c>
      <c r="E28" s="609">
        <v>1992.7073170731708</v>
      </c>
      <c r="F28" s="608">
        <v>61088.278902019629</v>
      </c>
      <c r="G28" s="609">
        <v>9883.2977496491349</v>
      </c>
      <c r="H28" s="610">
        <v>9883.2977496491349</v>
      </c>
      <c r="I28" s="511">
        <f t="shared" si="0"/>
        <v>0</v>
      </c>
      <c r="J28" s="511"/>
      <c r="K28" s="518">
        <f t="shared" si="10"/>
        <v>9883.2977496491349</v>
      </c>
      <c r="L28" s="519">
        <f t="shared" si="7"/>
        <v>0</v>
      </c>
      <c r="M28" s="518">
        <f t="shared" si="11"/>
        <v>9883.2977496491349</v>
      </c>
      <c r="N28" s="514">
        <f t="shared" si="8"/>
        <v>0</v>
      </c>
      <c r="O28" s="514">
        <f t="shared" si="9"/>
        <v>0</v>
      </c>
      <c r="P28" s="272"/>
      <c r="R28" s="269"/>
      <c r="S28" s="269"/>
      <c r="T28" s="269"/>
      <c r="U28" s="269"/>
      <c r="V28" s="269"/>
      <c r="W28" s="269"/>
    </row>
    <row r="29" spans="2:23" ht="12.5">
      <c r="B29" s="195" t="str">
        <f t="shared" si="4"/>
        <v/>
      </c>
      <c r="C29" s="507">
        <f>IF(D11="","-",+C28+1)</f>
        <v>2019</v>
      </c>
      <c r="D29" s="608">
        <v>61088.278902019629</v>
      </c>
      <c r="E29" s="609">
        <v>1992.7073170731708</v>
      </c>
      <c r="F29" s="608">
        <v>59095.571584946461</v>
      </c>
      <c r="G29" s="609">
        <v>9630.036408757971</v>
      </c>
      <c r="H29" s="610">
        <v>9630.036408757971</v>
      </c>
      <c r="I29" s="511">
        <f t="shared" si="0"/>
        <v>0</v>
      </c>
      <c r="J29" s="511"/>
      <c r="K29" s="518">
        <f t="shared" si="10"/>
        <v>9630.036408757971</v>
      </c>
      <c r="L29" s="519">
        <f t="shared" ref="L29" si="12">IF(K29&lt;&gt;0,+G29-K29,0)</f>
        <v>0</v>
      </c>
      <c r="M29" s="518">
        <f t="shared" si="11"/>
        <v>9630.036408757971</v>
      </c>
      <c r="N29" s="514">
        <f t="shared" ref="N29" si="13">IF(M29&lt;&gt;0,+H29-M29,0)</f>
        <v>0</v>
      </c>
      <c r="O29" s="514">
        <f t="shared" si="3"/>
        <v>0</v>
      </c>
      <c r="P29" s="272"/>
      <c r="R29" s="269"/>
      <c r="S29" s="269"/>
      <c r="T29" s="269"/>
      <c r="U29" s="269"/>
      <c r="V29" s="269"/>
      <c r="W29" s="269"/>
    </row>
    <row r="30" spans="2:23" ht="12.5">
      <c r="B30" s="195" t="str">
        <f t="shared" si="4"/>
        <v/>
      </c>
      <c r="C30" s="507">
        <f>IF(D11="","-",+C29+1)</f>
        <v>2020</v>
      </c>
      <c r="D30" s="608">
        <v>59095.571584946461</v>
      </c>
      <c r="E30" s="609">
        <v>1992.7073170731708</v>
      </c>
      <c r="F30" s="608">
        <v>57102.864267873294</v>
      </c>
      <c r="G30" s="609">
        <v>7938.3172353794334</v>
      </c>
      <c r="H30" s="610">
        <v>7938.3172353794334</v>
      </c>
      <c r="I30" s="511">
        <f t="shared" si="0"/>
        <v>0</v>
      </c>
      <c r="J30" s="511"/>
      <c r="K30" s="518">
        <f t="shared" si="10"/>
        <v>7938.3172353794334</v>
      </c>
      <c r="L30" s="519">
        <f t="shared" ref="L30" si="14">IF(K30&lt;&gt;0,+G30-K30,0)</f>
        <v>0</v>
      </c>
      <c r="M30" s="518">
        <f t="shared" si="11"/>
        <v>7938.3172353794334</v>
      </c>
      <c r="N30" s="514">
        <f t="shared" si="2"/>
        <v>0</v>
      </c>
      <c r="O30" s="514">
        <f t="shared" si="3"/>
        <v>0</v>
      </c>
      <c r="P30" s="272"/>
      <c r="R30" s="269"/>
      <c r="S30" s="269"/>
      <c r="T30" s="269"/>
      <c r="U30" s="269"/>
      <c r="V30" s="269"/>
      <c r="W30" s="269"/>
    </row>
    <row r="31" spans="2:23" ht="12.5">
      <c r="B31" s="195" t="str">
        <f t="shared" si="4"/>
        <v>IU</v>
      </c>
      <c r="C31" s="507">
        <f>IF(D11="","-",+C30+1)</f>
        <v>2021</v>
      </c>
      <c r="D31" s="608">
        <v>57195.548329132529</v>
      </c>
      <c r="E31" s="609">
        <v>1945.2619047619048</v>
      </c>
      <c r="F31" s="608">
        <v>55250.286424370621</v>
      </c>
      <c r="G31" s="609">
        <v>7905.1466822533876</v>
      </c>
      <c r="H31" s="610">
        <v>7905.1466822533876</v>
      </c>
      <c r="I31" s="511">
        <f t="shared" si="0"/>
        <v>0</v>
      </c>
      <c r="J31" s="511"/>
      <c r="K31" s="518">
        <f t="shared" si="10"/>
        <v>7905.1466822533876</v>
      </c>
      <c r="L31" s="519">
        <f t="shared" ref="L31" si="15">IF(K31&lt;&gt;0,+G31-K31,0)</f>
        <v>0</v>
      </c>
      <c r="M31" s="518">
        <f t="shared" si="11"/>
        <v>7905.1466822533876</v>
      </c>
      <c r="N31" s="514">
        <f t="shared" si="2"/>
        <v>0</v>
      </c>
      <c r="O31" s="514">
        <f t="shared" si="3"/>
        <v>0</v>
      </c>
      <c r="P31" s="272"/>
      <c r="R31" s="269"/>
      <c r="S31" s="269"/>
      <c r="T31" s="269"/>
      <c r="U31" s="269"/>
      <c r="V31" s="269"/>
      <c r="W31" s="269"/>
    </row>
    <row r="32" spans="2:23" ht="12.5">
      <c r="B32" s="195" t="str">
        <f t="shared" si="4"/>
        <v>IU</v>
      </c>
      <c r="C32" s="507">
        <f>IF(D11="","-",+C31+1)</f>
        <v>2022</v>
      </c>
      <c r="D32" s="608">
        <v>55157.602363111408</v>
      </c>
      <c r="E32" s="609">
        <v>1945.2619047619048</v>
      </c>
      <c r="F32" s="608">
        <v>53212.340458349499</v>
      </c>
      <c r="G32" s="609">
        <v>8038.0420796764802</v>
      </c>
      <c r="H32" s="610">
        <v>8038.0420796764802</v>
      </c>
      <c r="I32" s="511">
        <f t="shared" si="0"/>
        <v>0</v>
      </c>
      <c r="J32" s="511"/>
      <c r="K32" s="518">
        <f t="shared" ref="K32" si="16">G32</f>
        <v>8038.0420796764802</v>
      </c>
      <c r="L32" s="519">
        <f t="shared" ref="L32" si="17">IF(K32&lt;&gt;0,+G32-K32,0)</f>
        <v>0</v>
      </c>
      <c r="M32" s="518">
        <f t="shared" ref="M32" si="18">H32</f>
        <v>8038.0420796764802</v>
      </c>
      <c r="N32" s="514">
        <f t="shared" si="2"/>
        <v>0</v>
      </c>
      <c r="O32" s="514">
        <f t="shared" si="3"/>
        <v>0</v>
      </c>
      <c r="P32" s="272"/>
      <c r="R32" s="269"/>
      <c r="S32" s="269"/>
      <c r="T32" s="269"/>
      <c r="U32" s="269"/>
      <c r="V32" s="269"/>
      <c r="W32" s="269"/>
    </row>
    <row r="33" spans="2:23" ht="12.5">
      <c r="B33" s="582" t="str">
        <f t="shared" si="4"/>
        <v/>
      </c>
      <c r="C33" s="507">
        <f>IF(D11="","-",+C32+1)</f>
        <v>2023</v>
      </c>
      <c r="D33" s="523">
        <f>IF(F32+SUM(E$17:E32)=D$10,F32,D$10-SUM(E$17:E32))</f>
        <v>53212.340458349499</v>
      </c>
      <c r="E33" s="522">
        <f>IF(+I14&lt;F32,I14,D33)</f>
        <v>1945.2619047619048</v>
      </c>
      <c r="F33" s="523">
        <f t="shared" ref="F33:F48" si="19">+D33-E33</f>
        <v>51267.078553587591</v>
      </c>
      <c r="G33" s="524">
        <f t="shared" ref="G33:G72" si="20">+I$12*((D33+F33)/2)+E33</f>
        <v>8544.5366116396999</v>
      </c>
      <c r="H33" s="491">
        <f t="shared" ref="H33:H72" si="21">+I$13*((D33+F33)/2)+E33</f>
        <v>8544.5366116396999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  <c r="R33" s="269"/>
      <c r="S33" s="269"/>
      <c r="T33" s="269"/>
      <c r="U33" s="269"/>
      <c r="V33" s="269"/>
      <c r="W33" s="269"/>
    </row>
    <row r="34" spans="2:23" ht="12.5">
      <c r="B34" s="195" t="str">
        <f t="shared" si="4"/>
        <v/>
      </c>
      <c r="C34" s="507">
        <f>IF(D11="","-",+C33+1)</f>
        <v>2024</v>
      </c>
      <c r="D34" s="523">
        <f>IF(F33+SUM(E$17:E33)=D$10,F33,D$10-SUM(E$17:E33))</f>
        <v>51267.078553587591</v>
      </c>
      <c r="E34" s="522">
        <f>IF(+I14&lt;F33,I14,D34)</f>
        <v>1945.2619047619048</v>
      </c>
      <c r="F34" s="523">
        <f t="shared" si="19"/>
        <v>49321.816648825683</v>
      </c>
      <c r="G34" s="524">
        <f t="shared" si="20"/>
        <v>8298.7979234319955</v>
      </c>
      <c r="H34" s="491">
        <f t="shared" si="21"/>
        <v>8298.7979234319955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  <c r="R34" s="269"/>
      <c r="S34" s="269"/>
      <c r="T34" s="269"/>
      <c r="U34" s="269"/>
      <c r="V34" s="269"/>
      <c r="W34" s="269"/>
    </row>
    <row r="35" spans="2:23" ht="12.5">
      <c r="B35" s="195" t="str">
        <f t="shared" si="4"/>
        <v/>
      </c>
      <c r="C35" s="507">
        <f>IF(D11="","-",+C34+1)</f>
        <v>2025</v>
      </c>
      <c r="D35" s="523">
        <f>IF(F34+SUM(E$17:E34)=D$10,F34,D$10-SUM(E$17:E34))</f>
        <v>49321.816648825683</v>
      </c>
      <c r="E35" s="522">
        <f>IF(+I14&lt;F34,I14,D35)</f>
        <v>1945.2619047619048</v>
      </c>
      <c r="F35" s="523">
        <f t="shared" si="19"/>
        <v>47376.554744063775</v>
      </c>
      <c r="G35" s="524">
        <f t="shared" si="20"/>
        <v>8053.0592352242929</v>
      </c>
      <c r="H35" s="491">
        <f t="shared" si="21"/>
        <v>8053.0592352242929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  <c r="R35" s="269"/>
      <c r="S35" s="269"/>
      <c r="T35" s="269"/>
      <c r="U35" s="269"/>
      <c r="V35" s="269"/>
      <c r="W35" s="269"/>
    </row>
    <row r="36" spans="2:23" ht="12.5">
      <c r="B36" s="195" t="str">
        <f t="shared" si="4"/>
        <v/>
      </c>
      <c r="C36" s="507">
        <f>IF(D11="","-",+C35+1)</f>
        <v>2026</v>
      </c>
      <c r="D36" s="523">
        <f>IF(F35+SUM(E$17:E35)=D$10,F35,D$10-SUM(E$17:E35))</f>
        <v>47376.554744063775</v>
      </c>
      <c r="E36" s="522">
        <f>IF(+I14&lt;F35,I14,D36)</f>
        <v>1945.2619047619048</v>
      </c>
      <c r="F36" s="523">
        <f t="shared" si="19"/>
        <v>45431.292839301866</v>
      </c>
      <c r="G36" s="524">
        <f t="shared" si="20"/>
        <v>7807.3205470165904</v>
      </c>
      <c r="H36" s="491">
        <f t="shared" si="21"/>
        <v>7807.3205470165904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  <c r="R36" s="269"/>
      <c r="S36" s="269"/>
      <c r="T36" s="269"/>
      <c r="U36" s="269"/>
      <c r="V36" s="269"/>
      <c r="W36" s="269"/>
    </row>
    <row r="37" spans="2:23" ht="12.5">
      <c r="B37" s="195" t="str">
        <f t="shared" si="4"/>
        <v/>
      </c>
      <c r="C37" s="507">
        <f>IF(D11="","-",+C36+1)</f>
        <v>2027</v>
      </c>
      <c r="D37" s="523">
        <f>IF(F36+SUM(E$17:E36)=D$10,F36,D$10-SUM(E$17:E36))</f>
        <v>45431.292839301866</v>
      </c>
      <c r="E37" s="522">
        <f>IF(+I14&lt;F36,I14,D37)</f>
        <v>1945.2619047619048</v>
      </c>
      <c r="F37" s="523">
        <f t="shared" si="19"/>
        <v>43486.030934539958</v>
      </c>
      <c r="G37" s="524">
        <f t="shared" si="20"/>
        <v>7561.5818588088869</v>
      </c>
      <c r="H37" s="491">
        <f t="shared" si="21"/>
        <v>7561.5818588088869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  <c r="R37" s="269"/>
      <c r="S37" s="269"/>
      <c r="T37" s="269"/>
      <c r="U37" s="269"/>
      <c r="V37" s="269"/>
      <c r="W37" s="269"/>
    </row>
    <row r="38" spans="2:23" ht="12.5">
      <c r="B38" s="195" t="str">
        <f t="shared" si="4"/>
        <v/>
      </c>
      <c r="C38" s="507">
        <f>IF(D11="","-",+C37+1)</f>
        <v>2028</v>
      </c>
      <c r="D38" s="523">
        <f>IF(F37+SUM(E$17:E37)=D$10,F37,D$10-SUM(E$17:E37))</f>
        <v>43486.030934539958</v>
      </c>
      <c r="E38" s="522">
        <f>IF(+I14&lt;F37,I14,D38)</f>
        <v>1945.2619047619048</v>
      </c>
      <c r="F38" s="523">
        <f t="shared" si="19"/>
        <v>41540.76902977805</v>
      </c>
      <c r="G38" s="524">
        <f t="shared" si="20"/>
        <v>7315.8431706011843</v>
      </c>
      <c r="H38" s="491">
        <f t="shared" si="21"/>
        <v>7315.8431706011843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  <c r="R38" s="269"/>
      <c r="S38" s="269"/>
      <c r="T38" s="269"/>
      <c r="U38" s="269"/>
      <c r="V38" s="269"/>
      <c r="W38" s="269"/>
    </row>
    <row r="39" spans="2:23" ht="12.5">
      <c r="B39" s="195" t="str">
        <f t="shared" si="4"/>
        <v/>
      </c>
      <c r="C39" s="507">
        <f>IF(D11="","-",+C38+1)</f>
        <v>2029</v>
      </c>
      <c r="D39" s="523">
        <f>IF(F38+SUM(E$17:E38)=D$10,F38,D$10-SUM(E$17:E38))</f>
        <v>41540.76902977805</v>
      </c>
      <c r="E39" s="522">
        <f>IF(+I14&lt;F38,I14,D39)</f>
        <v>1945.2619047619048</v>
      </c>
      <c r="F39" s="523">
        <f t="shared" si="19"/>
        <v>39595.507125016142</v>
      </c>
      <c r="G39" s="524">
        <f t="shared" si="20"/>
        <v>7070.1044823934808</v>
      </c>
      <c r="H39" s="491">
        <f t="shared" si="21"/>
        <v>7070.1044823934808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  <c r="R39" s="269"/>
      <c r="S39" s="269"/>
      <c r="T39" s="269"/>
      <c r="U39" s="269"/>
      <c r="V39" s="269"/>
      <c r="W39" s="269"/>
    </row>
    <row r="40" spans="2:23" ht="12.5">
      <c r="B40" s="195" t="str">
        <f t="shared" si="4"/>
        <v/>
      </c>
      <c r="C40" s="507">
        <f>IF(D11="","-",+C39+1)</f>
        <v>2030</v>
      </c>
      <c r="D40" s="523">
        <f>IF(F39+SUM(E$17:E39)=D$10,F39,D$10-SUM(E$17:E39))</f>
        <v>39595.507125016142</v>
      </c>
      <c r="E40" s="522">
        <f>IF(+I14&lt;F39,I14,D40)</f>
        <v>1945.2619047619048</v>
      </c>
      <c r="F40" s="523">
        <f t="shared" si="19"/>
        <v>37650.245220254234</v>
      </c>
      <c r="G40" s="524">
        <f t="shared" si="20"/>
        <v>6824.3657941857782</v>
      </c>
      <c r="H40" s="491">
        <f t="shared" si="21"/>
        <v>6824.3657941857782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  <c r="R40" s="269"/>
      <c r="S40" s="269"/>
      <c r="T40" s="269"/>
      <c r="U40" s="269"/>
      <c r="V40" s="269"/>
      <c r="W40" s="269"/>
    </row>
    <row r="41" spans="2:23" ht="12.5">
      <c r="B41" s="195" t="str">
        <f t="shared" si="4"/>
        <v/>
      </c>
      <c r="C41" s="507">
        <f>IF(D11="","-",+C40+1)</f>
        <v>2031</v>
      </c>
      <c r="D41" s="523">
        <f>IF(F40+SUM(E$17:E40)=D$10,F40,D$10-SUM(E$17:E40))</f>
        <v>37650.245220254234</v>
      </c>
      <c r="E41" s="522">
        <f>IF(+I14&lt;F40,I14,D41)</f>
        <v>1945.2619047619048</v>
      </c>
      <c r="F41" s="523">
        <f t="shared" si="19"/>
        <v>35704.983315492325</v>
      </c>
      <c r="G41" s="524">
        <f t="shared" si="20"/>
        <v>6578.6271059780747</v>
      </c>
      <c r="H41" s="491">
        <f t="shared" si="21"/>
        <v>6578.6271059780747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  <c r="R41" s="269"/>
      <c r="S41" s="269"/>
      <c r="T41" s="269"/>
      <c r="U41" s="269"/>
      <c r="V41" s="269"/>
      <c r="W41" s="269"/>
    </row>
    <row r="42" spans="2:23" ht="12.5">
      <c r="B42" s="195" t="str">
        <f t="shared" si="4"/>
        <v/>
      </c>
      <c r="C42" s="507">
        <f>IF(D11="","-",+C41+1)</f>
        <v>2032</v>
      </c>
      <c r="D42" s="523">
        <f>IF(F41+SUM(E$17:E41)=D$10,F41,D$10-SUM(E$17:E41))</f>
        <v>35704.983315492325</v>
      </c>
      <c r="E42" s="522">
        <f>IF(+I14&lt;F41,I14,D42)</f>
        <v>1945.2619047619048</v>
      </c>
      <c r="F42" s="523">
        <f t="shared" si="19"/>
        <v>33759.721410730417</v>
      </c>
      <c r="G42" s="524">
        <f t="shared" si="20"/>
        <v>6332.8884177703721</v>
      </c>
      <c r="H42" s="491">
        <f t="shared" si="21"/>
        <v>6332.8884177703721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  <c r="R42" s="269"/>
      <c r="S42" s="269"/>
      <c r="T42" s="269"/>
      <c r="U42" s="269"/>
      <c r="V42" s="269"/>
      <c r="W42" s="269"/>
    </row>
    <row r="43" spans="2:23" ht="12.5">
      <c r="B43" s="195" t="str">
        <f t="shared" si="4"/>
        <v/>
      </c>
      <c r="C43" s="507">
        <f>IF(D11="","-",+C42+1)</f>
        <v>2033</v>
      </c>
      <c r="D43" s="523">
        <f>IF(F42+SUM(E$17:E42)=D$10,F42,D$10-SUM(E$17:E42))</f>
        <v>33759.721410730417</v>
      </c>
      <c r="E43" s="522">
        <f>IF(+I14&lt;F42,I14,D43)</f>
        <v>1945.2619047619048</v>
      </c>
      <c r="F43" s="523">
        <f t="shared" si="19"/>
        <v>31814.459505968513</v>
      </c>
      <c r="G43" s="524">
        <f t="shared" si="20"/>
        <v>6087.1497295626687</v>
      </c>
      <c r="H43" s="491">
        <f t="shared" si="21"/>
        <v>6087.1497295626687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  <c r="R43" s="269"/>
      <c r="S43" s="269"/>
      <c r="T43" s="269"/>
      <c r="U43" s="269"/>
      <c r="V43" s="269"/>
      <c r="W43" s="269"/>
    </row>
    <row r="44" spans="2:23" ht="12.5">
      <c r="B44" s="195" t="str">
        <f t="shared" si="4"/>
        <v/>
      </c>
      <c r="C44" s="507">
        <f>IF(D11="","-",+C43+1)</f>
        <v>2034</v>
      </c>
      <c r="D44" s="523">
        <f>IF(F43+SUM(E$17:E43)=D$10,F43,D$10-SUM(E$17:E43))</f>
        <v>31814.459505968513</v>
      </c>
      <c r="E44" s="522">
        <f>IF(+I14&lt;F43,I14,D44)</f>
        <v>1945.2619047619048</v>
      </c>
      <c r="F44" s="523">
        <f t="shared" si="19"/>
        <v>29869.197601206608</v>
      </c>
      <c r="G44" s="524">
        <f t="shared" si="20"/>
        <v>5841.411041354967</v>
      </c>
      <c r="H44" s="491">
        <f t="shared" si="21"/>
        <v>5841.411041354967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  <c r="R44" s="269"/>
      <c r="S44" s="269"/>
      <c r="T44" s="269"/>
      <c r="U44" s="269"/>
      <c r="V44" s="269"/>
      <c r="W44" s="269"/>
    </row>
    <row r="45" spans="2:23" ht="12.5">
      <c r="B45" s="195" t="str">
        <f t="shared" si="4"/>
        <v/>
      </c>
      <c r="C45" s="507">
        <f>IF(D11="","-",+C44+1)</f>
        <v>2035</v>
      </c>
      <c r="D45" s="523">
        <f>IF(F44+SUM(E$17:E44)=D$10,F44,D$10-SUM(E$17:E44))</f>
        <v>29869.197601206608</v>
      </c>
      <c r="E45" s="522">
        <f>IF(+I14&lt;F44,I14,D45)</f>
        <v>1945.2619047619048</v>
      </c>
      <c r="F45" s="523">
        <f t="shared" si="19"/>
        <v>27923.935696444703</v>
      </c>
      <c r="G45" s="524">
        <f t="shared" si="20"/>
        <v>5595.6723531472644</v>
      </c>
      <c r="H45" s="491">
        <f t="shared" si="21"/>
        <v>5595.6723531472644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  <c r="R45" s="269"/>
      <c r="S45" s="269"/>
      <c r="T45" s="269"/>
      <c r="U45" s="269"/>
      <c r="V45" s="269"/>
      <c r="W45" s="269"/>
    </row>
    <row r="46" spans="2:23" ht="12.5">
      <c r="B46" s="195" t="str">
        <f t="shared" si="4"/>
        <v/>
      </c>
      <c r="C46" s="507">
        <f>IF(D11="","-",+C45+1)</f>
        <v>2036</v>
      </c>
      <c r="D46" s="523">
        <f>IF(F45+SUM(E$17:E45)=D$10,F45,D$10-SUM(E$17:E45))</f>
        <v>27923.935696444703</v>
      </c>
      <c r="E46" s="522">
        <f>IF(+I14&lt;F45,I14,D46)</f>
        <v>1945.2619047619048</v>
      </c>
      <c r="F46" s="523">
        <f t="shared" si="19"/>
        <v>25978.673791682799</v>
      </c>
      <c r="G46" s="524">
        <f t="shared" si="20"/>
        <v>5349.9336649395618</v>
      </c>
      <c r="H46" s="491">
        <f t="shared" si="21"/>
        <v>5349.9336649395618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  <c r="R46" s="269"/>
      <c r="S46" s="269"/>
      <c r="T46" s="269"/>
      <c r="U46" s="269"/>
      <c r="V46" s="269"/>
      <c r="W46" s="269"/>
    </row>
    <row r="47" spans="2:23" ht="12.5">
      <c r="B47" s="195" t="str">
        <f t="shared" si="4"/>
        <v/>
      </c>
      <c r="C47" s="507">
        <f>IF(D11="","-",+C46+1)</f>
        <v>2037</v>
      </c>
      <c r="D47" s="523">
        <f>IF(F46+SUM(E$17:E46)=D$10,F46,D$10-SUM(E$17:E46))</f>
        <v>25978.673791682799</v>
      </c>
      <c r="E47" s="522">
        <f>IF(+I14&lt;F46,I14,D47)</f>
        <v>1945.2619047619048</v>
      </c>
      <c r="F47" s="523">
        <f t="shared" si="19"/>
        <v>24033.411886920894</v>
      </c>
      <c r="G47" s="524">
        <f t="shared" si="20"/>
        <v>5104.1949767318592</v>
      </c>
      <c r="H47" s="491">
        <f t="shared" si="21"/>
        <v>5104.1949767318592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  <c r="R47" s="269"/>
      <c r="S47" s="269"/>
      <c r="T47" s="269"/>
      <c r="U47" s="269"/>
      <c r="V47" s="269"/>
      <c r="W47" s="269"/>
    </row>
    <row r="48" spans="2:23" ht="12.5">
      <c r="B48" s="195" t="str">
        <f t="shared" si="4"/>
        <v/>
      </c>
      <c r="C48" s="507">
        <f>IF(D11="","-",+C47+1)</f>
        <v>2038</v>
      </c>
      <c r="D48" s="523">
        <f>IF(F47+SUM(E$17:E47)=D$10,F47,D$10-SUM(E$17:E47))</f>
        <v>24033.411886920894</v>
      </c>
      <c r="E48" s="522">
        <f>IF(+I14&lt;F47,I14,D48)</f>
        <v>1945.2619047619048</v>
      </c>
      <c r="F48" s="523">
        <f t="shared" si="19"/>
        <v>22088.14998215899</v>
      </c>
      <c r="G48" s="524">
        <f t="shared" si="20"/>
        <v>4858.4562885241576</v>
      </c>
      <c r="H48" s="491">
        <f t="shared" si="21"/>
        <v>4858.4562885241576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  <c r="R48" s="269"/>
      <c r="S48" s="269"/>
      <c r="T48" s="269"/>
      <c r="U48" s="269"/>
      <c r="V48" s="269"/>
      <c r="W48" s="269"/>
    </row>
    <row r="49" spans="2:23" ht="12.5">
      <c r="B49" s="195" t="str">
        <f t="shared" si="4"/>
        <v/>
      </c>
      <c r="C49" s="507">
        <f>IF(D11="","-",+C48+1)</f>
        <v>2039</v>
      </c>
      <c r="D49" s="523">
        <f>IF(F48+SUM(E$17:E48)=D$10,F48,D$10-SUM(E$17:E48))</f>
        <v>22088.14998215899</v>
      </c>
      <c r="E49" s="522">
        <f>IF(+I14&lt;F48,I14,D49)</f>
        <v>1945.2619047619048</v>
      </c>
      <c r="F49" s="523">
        <f t="shared" ref="F49:F72" si="22">+D49-E49</f>
        <v>20142.888077397085</v>
      </c>
      <c r="G49" s="524">
        <f t="shared" si="20"/>
        <v>4612.7176003164541</v>
      </c>
      <c r="H49" s="491">
        <f t="shared" si="21"/>
        <v>4612.7176003164541</v>
      </c>
      <c r="I49" s="511">
        <f t="shared" ref="I49:I72" si="23">H49-G49</f>
        <v>0</v>
      </c>
      <c r="J49" s="511"/>
      <c r="K49" s="525"/>
      <c r="L49" s="514">
        <f t="shared" ref="L49:L72" si="24">IF(K49&lt;&gt;0,+G49-K49,0)</f>
        <v>0</v>
      </c>
      <c r="M49" s="525"/>
      <c r="N49" s="514">
        <f t="shared" ref="N49:N72" si="25">IF(M49&lt;&gt;0,+H49-M49,0)</f>
        <v>0</v>
      </c>
      <c r="O49" s="514">
        <f t="shared" ref="O49:O72" si="26">+N49-L49</f>
        <v>0</v>
      </c>
      <c r="P49" s="272"/>
      <c r="R49" s="269"/>
      <c r="S49" s="269"/>
      <c r="T49" s="269"/>
      <c r="U49" s="269"/>
      <c r="V49" s="269"/>
      <c r="W49" s="269"/>
    </row>
    <row r="50" spans="2:23" ht="12.5">
      <c r="B50" s="195" t="str">
        <f t="shared" si="4"/>
        <v/>
      </c>
      <c r="C50" s="507">
        <f>IF(D11="","-",+C49+1)</f>
        <v>2040</v>
      </c>
      <c r="D50" s="523">
        <f>IF(F49+SUM(E$17:E49)=D$10,F49,D$10-SUM(E$17:E49))</f>
        <v>20142.888077397085</v>
      </c>
      <c r="E50" s="522">
        <f>IF(+I14&lt;F49,I14,D50)</f>
        <v>1945.2619047619048</v>
      </c>
      <c r="F50" s="523">
        <f t="shared" si="22"/>
        <v>18197.62617263518</v>
      </c>
      <c r="G50" s="524">
        <f t="shared" si="20"/>
        <v>4366.9789121087524</v>
      </c>
      <c r="H50" s="491">
        <f t="shared" si="21"/>
        <v>4366.9789121087524</v>
      </c>
      <c r="I50" s="511">
        <f t="shared" si="23"/>
        <v>0</v>
      </c>
      <c r="J50" s="511"/>
      <c r="K50" s="525"/>
      <c r="L50" s="514">
        <f t="shared" si="24"/>
        <v>0</v>
      </c>
      <c r="M50" s="525"/>
      <c r="N50" s="514">
        <f t="shared" si="25"/>
        <v>0</v>
      </c>
      <c r="O50" s="514">
        <f t="shared" si="26"/>
        <v>0</v>
      </c>
      <c r="P50" s="272"/>
      <c r="R50" s="269"/>
      <c r="S50" s="269"/>
      <c r="T50" s="269"/>
      <c r="U50" s="269"/>
      <c r="V50" s="269"/>
      <c r="W50" s="269"/>
    </row>
    <row r="51" spans="2:23" ht="12.5">
      <c r="B51" s="195" t="str">
        <f t="shared" si="4"/>
        <v/>
      </c>
      <c r="C51" s="507">
        <f>IF(D11="","-",+C50+1)</f>
        <v>2041</v>
      </c>
      <c r="D51" s="523">
        <f>IF(F50+SUM(E$17:E50)=D$10,F50,D$10-SUM(E$17:E50))</f>
        <v>18197.62617263518</v>
      </c>
      <c r="E51" s="522">
        <f>IF(+I14&lt;F50,I14,D51)</f>
        <v>1945.2619047619048</v>
      </c>
      <c r="F51" s="523">
        <f t="shared" si="22"/>
        <v>16252.364267873276</v>
      </c>
      <c r="G51" s="524">
        <f t="shared" si="20"/>
        <v>4121.2402239010489</v>
      </c>
      <c r="H51" s="491">
        <f t="shared" si="21"/>
        <v>4121.2402239010489</v>
      </c>
      <c r="I51" s="511">
        <f t="shared" si="23"/>
        <v>0</v>
      </c>
      <c r="J51" s="511"/>
      <c r="K51" s="525"/>
      <c r="L51" s="514">
        <f t="shared" si="24"/>
        <v>0</v>
      </c>
      <c r="M51" s="525"/>
      <c r="N51" s="514">
        <f t="shared" si="25"/>
        <v>0</v>
      </c>
      <c r="O51" s="514">
        <f t="shared" si="26"/>
        <v>0</v>
      </c>
      <c r="P51" s="272"/>
      <c r="R51" s="269"/>
      <c r="S51" s="269"/>
      <c r="T51" s="269"/>
      <c r="U51" s="269"/>
      <c r="V51" s="269"/>
      <c r="W51" s="269"/>
    </row>
    <row r="52" spans="2:23" ht="12.5">
      <c r="B52" s="195" t="str">
        <f t="shared" si="4"/>
        <v/>
      </c>
      <c r="C52" s="507">
        <f>IF(D11="","-",+C51+1)</f>
        <v>2042</v>
      </c>
      <c r="D52" s="523">
        <f>IF(F51+SUM(E$17:E51)=D$10,F51,D$10-SUM(E$17:E51))</f>
        <v>16252.364267873276</v>
      </c>
      <c r="E52" s="522">
        <f>IF(+I14&lt;F51,I14,D52)</f>
        <v>1945.2619047619048</v>
      </c>
      <c r="F52" s="523">
        <f t="shared" si="22"/>
        <v>14307.102363111371</v>
      </c>
      <c r="G52" s="524">
        <f t="shared" si="20"/>
        <v>3875.5015356933468</v>
      </c>
      <c r="H52" s="491">
        <f t="shared" si="21"/>
        <v>3875.5015356933468</v>
      </c>
      <c r="I52" s="511">
        <f t="shared" si="23"/>
        <v>0</v>
      </c>
      <c r="J52" s="511"/>
      <c r="K52" s="525"/>
      <c r="L52" s="514">
        <f t="shared" si="24"/>
        <v>0</v>
      </c>
      <c r="M52" s="525"/>
      <c r="N52" s="514">
        <f t="shared" si="25"/>
        <v>0</v>
      </c>
      <c r="O52" s="514">
        <f t="shared" si="26"/>
        <v>0</v>
      </c>
      <c r="P52" s="272"/>
      <c r="R52" s="269"/>
      <c r="S52" s="269"/>
      <c r="T52" s="269"/>
      <c r="U52" s="269"/>
      <c r="V52" s="269"/>
      <c r="W52" s="269"/>
    </row>
    <row r="53" spans="2:23" ht="12.5">
      <c r="B53" s="195" t="str">
        <f t="shared" si="4"/>
        <v/>
      </c>
      <c r="C53" s="507">
        <f>IF(D11="","-",+C52+1)</f>
        <v>2043</v>
      </c>
      <c r="D53" s="523">
        <f>IF(F52+SUM(E$17:E52)=D$10,F52,D$10-SUM(E$17:E52))</f>
        <v>14307.102363111371</v>
      </c>
      <c r="E53" s="522">
        <f>IF(+I14&lt;F52,I14,D53)</f>
        <v>1945.2619047619048</v>
      </c>
      <c r="F53" s="523">
        <f t="shared" si="22"/>
        <v>12361.840458349467</v>
      </c>
      <c r="G53" s="524">
        <f t="shared" si="20"/>
        <v>3629.7628474856447</v>
      </c>
      <c r="H53" s="491">
        <f t="shared" si="21"/>
        <v>3629.7628474856447</v>
      </c>
      <c r="I53" s="511">
        <f t="shared" si="23"/>
        <v>0</v>
      </c>
      <c r="J53" s="511"/>
      <c r="K53" s="525"/>
      <c r="L53" s="514">
        <f t="shared" si="24"/>
        <v>0</v>
      </c>
      <c r="M53" s="525"/>
      <c r="N53" s="514">
        <f t="shared" si="25"/>
        <v>0</v>
      </c>
      <c r="O53" s="514">
        <f t="shared" si="26"/>
        <v>0</v>
      </c>
      <c r="P53" s="272"/>
      <c r="R53" s="269"/>
      <c r="S53" s="269"/>
      <c r="T53" s="269"/>
      <c r="U53" s="269"/>
      <c r="V53" s="269"/>
      <c r="W53" s="269"/>
    </row>
    <row r="54" spans="2:23" ht="12.5">
      <c r="B54" s="195" t="str">
        <f t="shared" si="4"/>
        <v/>
      </c>
      <c r="C54" s="507">
        <f>IF(D11="","-",+C53+1)</f>
        <v>2044</v>
      </c>
      <c r="D54" s="523">
        <f>IF(F53+SUM(E$17:E53)=D$10,F53,D$10-SUM(E$17:E53))</f>
        <v>12361.840458349467</v>
      </c>
      <c r="E54" s="522">
        <f>IF(+I14&lt;F53,I14,D54)</f>
        <v>1945.2619047619048</v>
      </c>
      <c r="F54" s="523">
        <f t="shared" si="22"/>
        <v>10416.578553587562</v>
      </c>
      <c r="G54" s="524">
        <f t="shared" si="20"/>
        <v>3384.0241592779421</v>
      </c>
      <c r="H54" s="491">
        <f t="shared" si="21"/>
        <v>3384.0241592779421</v>
      </c>
      <c r="I54" s="511">
        <f t="shared" si="23"/>
        <v>0</v>
      </c>
      <c r="J54" s="511"/>
      <c r="K54" s="525"/>
      <c r="L54" s="514">
        <f t="shared" si="24"/>
        <v>0</v>
      </c>
      <c r="M54" s="525"/>
      <c r="N54" s="514">
        <f t="shared" si="25"/>
        <v>0</v>
      </c>
      <c r="O54" s="514">
        <f t="shared" si="26"/>
        <v>0</v>
      </c>
      <c r="P54" s="272"/>
      <c r="R54" s="269"/>
      <c r="S54" s="269"/>
      <c r="T54" s="269"/>
      <c r="U54" s="269"/>
      <c r="V54" s="269"/>
      <c r="W54" s="269"/>
    </row>
    <row r="55" spans="2:23" ht="12.5">
      <c r="B55" s="195" t="str">
        <f t="shared" si="4"/>
        <v/>
      </c>
      <c r="C55" s="507">
        <f>IF(D11="","-",+C54+1)</f>
        <v>2045</v>
      </c>
      <c r="D55" s="523">
        <f>IF(F54+SUM(E$17:E54)=D$10,F54,D$10-SUM(E$17:E54))</f>
        <v>10416.578553587562</v>
      </c>
      <c r="E55" s="522">
        <f>IF(+I14&lt;F54,I14,D55)</f>
        <v>1945.2619047619048</v>
      </c>
      <c r="F55" s="523">
        <f t="shared" si="22"/>
        <v>8471.3166488256575</v>
      </c>
      <c r="G55" s="524">
        <f t="shared" si="20"/>
        <v>3138.2854710702395</v>
      </c>
      <c r="H55" s="491">
        <f t="shared" si="21"/>
        <v>3138.2854710702395</v>
      </c>
      <c r="I55" s="511">
        <f t="shared" si="23"/>
        <v>0</v>
      </c>
      <c r="J55" s="511"/>
      <c r="K55" s="525"/>
      <c r="L55" s="514">
        <f t="shared" si="24"/>
        <v>0</v>
      </c>
      <c r="M55" s="525"/>
      <c r="N55" s="514">
        <f t="shared" si="25"/>
        <v>0</v>
      </c>
      <c r="O55" s="514">
        <f t="shared" si="26"/>
        <v>0</v>
      </c>
      <c r="P55" s="272"/>
      <c r="R55" s="269"/>
      <c r="S55" s="269"/>
      <c r="T55" s="269"/>
      <c r="U55" s="269"/>
      <c r="V55" s="269"/>
      <c r="W55" s="269"/>
    </row>
    <row r="56" spans="2:23" ht="12.5">
      <c r="B56" s="195" t="str">
        <f t="shared" si="4"/>
        <v/>
      </c>
      <c r="C56" s="507">
        <f>IF(D11="","-",+C55+1)</f>
        <v>2046</v>
      </c>
      <c r="D56" s="523">
        <f>IF(F55+SUM(E$17:E55)=D$10,F55,D$10-SUM(E$17:E55))</f>
        <v>8471.3166488256575</v>
      </c>
      <c r="E56" s="522">
        <f>IF(+I14&lt;F55,I14,D56)</f>
        <v>1945.2619047619048</v>
      </c>
      <c r="F56" s="523">
        <f t="shared" si="22"/>
        <v>6526.0547440637529</v>
      </c>
      <c r="G56" s="524">
        <f t="shared" si="20"/>
        <v>2892.5467828625369</v>
      </c>
      <c r="H56" s="491">
        <f t="shared" si="21"/>
        <v>2892.5467828625369</v>
      </c>
      <c r="I56" s="511">
        <f t="shared" si="23"/>
        <v>0</v>
      </c>
      <c r="J56" s="511"/>
      <c r="K56" s="525"/>
      <c r="L56" s="514">
        <f t="shared" si="24"/>
        <v>0</v>
      </c>
      <c r="M56" s="525"/>
      <c r="N56" s="514">
        <f t="shared" si="25"/>
        <v>0</v>
      </c>
      <c r="O56" s="514">
        <f t="shared" si="26"/>
        <v>0</v>
      </c>
      <c r="P56" s="272"/>
      <c r="R56" s="269"/>
      <c r="S56" s="269"/>
      <c r="T56" s="269"/>
      <c r="U56" s="269"/>
      <c r="V56" s="269"/>
      <c r="W56" s="269"/>
    </row>
    <row r="57" spans="2:23" ht="12.5">
      <c r="B57" s="195" t="str">
        <f t="shared" si="4"/>
        <v/>
      </c>
      <c r="C57" s="507">
        <f>IF(D11="","-",+C56+1)</f>
        <v>2047</v>
      </c>
      <c r="D57" s="523">
        <f>IF(F56+SUM(E$17:E56)=D$10,F56,D$10-SUM(E$17:E56))</f>
        <v>6526.0547440637529</v>
      </c>
      <c r="E57" s="522">
        <f>IF(+I14&lt;F56,I14,D57)</f>
        <v>1945.2619047619048</v>
      </c>
      <c r="F57" s="523">
        <f t="shared" si="22"/>
        <v>4580.7928393018483</v>
      </c>
      <c r="G57" s="524">
        <f t="shared" si="20"/>
        <v>2646.8080946548343</v>
      </c>
      <c r="H57" s="491">
        <f t="shared" si="21"/>
        <v>2646.8080946548343</v>
      </c>
      <c r="I57" s="511">
        <f t="shared" si="23"/>
        <v>0</v>
      </c>
      <c r="J57" s="511"/>
      <c r="K57" s="525"/>
      <c r="L57" s="514">
        <f t="shared" si="24"/>
        <v>0</v>
      </c>
      <c r="M57" s="525"/>
      <c r="N57" s="514">
        <f t="shared" si="25"/>
        <v>0</v>
      </c>
      <c r="O57" s="514">
        <f t="shared" si="26"/>
        <v>0</v>
      </c>
      <c r="P57" s="272"/>
      <c r="R57" s="269"/>
      <c r="S57" s="269"/>
      <c r="T57" s="269"/>
      <c r="U57" s="269"/>
      <c r="V57" s="269"/>
      <c r="W57" s="269"/>
    </row>
    <row r="58" spans="2:23" ht="12.5">
      <c r="B58" s="195" t="str">
        <f t="shared" si="4"/>
        <v/>
      </c>
      <c r="C58" s="507">
        <f>IF(D11="","-",+C57+1)</f>
        <v>2048</v>
      </c>
      <c r="D58" s="523">
        <f>IF(F57+SUM(E$17:E57)=D$10,F57,D$10-SUM(E$17:E57))</f>
        <v>4580.7928393018483</v>
      </c>
      <c r="E58" s="522">
        <f>IF(+I14&lt;F57,I14,D58)</f>
        <v>1945.2619047619048</v>
      </c>
      <c r="F58" s="523">
        <f t="shared" si="22"/>
        <v>2635.5309345399437</v>
      </c>
      <c r="G58" s="524">
        <f t="shared" si="20"/>
        <v>2401.0694064471318</v>
      </c>
      <c r="H58" s="491">
        <f t="shared" si="21"/>
        <v>2401.0694064471318</v>
      </c>
      <c r="I58" s="511">
        <f t="shared" si="23"/>
        <v>0</v>
      </c>
      <c r="J58" s="511"/>
      <c r="K58" s="525"/>
      <c r="L58" s="514">
        <f t="shared" si="24"/>
        <v>0</v>
      </c>
      <c r="M58" s="525"/>
      <c r="N58" s="514">
        <f t="shared" si="25"/>
        <v>0</v>
      </c>
      <c r="O58" s="514">
        <f t="shared" si="26"/>
        <v>0</v>
      </c>
      <c r="P58" s="272"/>
      <c r="Q58" s="183" t="str">
        <f>IF(ROUND(Q57,0)=ROUND(SUM(Q18:Q56),0),"","Error -- check allocations above).")</f>
        <v/>
      </c>
      <c r="R58" s="269"/>
      <c r="S58" s="269"/>
      <c r="T58" s="269"/>
      <c r="U58" s="269"/>
      <c r="V58" s="269"/>
      <c r="W58" s="269"/>
    </row>
    <row r="59" spans="2:23" ht="12.5">
      <c r="B59" s="582" t="str">
        <f t="shared" si="4"/>
        <v/>
      </c>
      <c r="C59" s="507">
        <f>IF(D11="","-",+C58+1)</f>
        <v>2049</v>
      </c>
      <c r="D59" s="523">
        <f>IF(F58+SUM(E$17:E58)=D$10,F58,D$10-SUM(E$17:E58))</f>
        <v>2635.5309345399437</v>
      </c>
      <c r="E59" s="522">
        <f>IF(+I14&lt;F58,I14,D59)</f>
        <v>1945.2619047619048</v>
      </c>
      <c r="F59" s="523">
        <f t="shared" si="22"/>
        <v>690.26902977803888</v>
      </c>
      <c r="G59" s="524">
        <f t="shared" si="20"/>
        <v>2155.3307182394292</v>
      </c>
      <c r="H59" s="491">
        <f t="shared" si="21"/>
        <v>2155.3307182394292</v>
      </c>
      <c r="I59" s="511">
        <f t="shared" si="23"/>
        <v>0</v>
      </c>
      <c r="J59" s="511"/>
      <c r="K59" s="525"/>
      <c r="L59" s="514">
        <f t="shared" si="24"/>
        <v>0</v>
      </c>
      <c r="M59" s="525"/>
      <c r="N59" s="514">
        <f t="shared" si="25"/>
        <v>0</v>
      </c>
      <c r="O59" s="514">
        <f t="shared" si="26"/>
        <v>0</v>
      </c>
      <c r="P59" s="272"/>
      <c r="R59" s="269"/>
      <c r="S59" s="269"/>
      <c r="T59" s="269"/>
      <c r="U59" s="269"/>
      <c r="V59" s="269"/>
      <c r="W59" s="269"/>
    </row>
    <row r="60" spans="2:23" ht="12.5">
      <c r="B60" s="195" t="str">
        <f t="shared" si="4"/>
        <v/>
      </c>
      <c r="C60" s="507">
        <f>IF(D11="","-",+C59+1)</f>
        <v>2050</v>
      </c>
      <c r="D60" s="523">
        <f>IF(F59+SUM(E$17:E59)=D$10,F59,D$10-SUM(E$17:E59))</f>
        <v>690.26902977803888</v>
      </c>
      <c r="E60" s="522">
        <f>IF(+I14&lt;F59,I14,D60)</f>
        <v>690.26902977803888</v>
      </c>
      <c r="F60" s="523">
        <f t="shared" si="22"/>
        <v>0</v>
      </c>
      <c r="G60" s="524">
        <f t="shared" si="20"/>
        <v>733.86876446487543</v>
      </c>
      <c r="H60" s="491">
        <f t="shared" si="21"/>
        <v>733.86876446487543</v>
      </c>
      <c r="I60" s="511">
        <f t="shared" si="23"/>
        <v>0</v>
      </c>
      <c r="J60" s="511"/>
      <c r="K60" s="525"/>
      <c r="L60" s="514">
        <f t="shared" si="24"/>
        <v>0</v>
      </c>
      <c r="M60" s="525"/>
      <c r="N60" s="514">
        <f t="shared" si="25"/>
        <v>0</v>
      </c>
      <c r="O60" s="514">
        <f t="shared" si="26"/>
        <v>0</v>
      </c>
      <c r="P60" s="272"/>
      <c r="R60" s="269"/>
      <c r="S60" s="269"/>
      <c r="T60" s="269"/>
      <c r="U60" s="269"/>
      <c r="V60" s="269"/>
      <c r="W60" s="269"/>
    </row>
    <row r="61" spans="2:23" ht="12.5">
      <c r="B61" s="195" t="str">
        <f t="shared" si="4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2"/>
        <v>0</v>
      </c>
      <c r="G61" s="524">
        <f t="shared" si="20"/>
        <v>0</v>
      </c>
      <c r="H61" s="491">
        <f t="shared" si="21"/>
        <v>0</v>
      </c>
      <c r="I61" s="511">
        <f t="shared" si="23"/>
        <v>0</v>
      </c>
      <c r="J61" s="511"/>
      <c r="K61" s="525"/>
      <c r="L61" s="514">
        <f t="shared" si="24"/>
        <v>0</v>
      </c>
      <c r="M61" s="525"/>
      <c r="N61" s="514">
        <f t="shared" si="25"/>
        <v>0</v>
      </c>
      <c r="O61" s="514">
        <f t="shared" si="26"/>
        <v>0</v>
      </c>
      <c r="P61" s="272"/>
      <c r="R61" s="269"/>
      <c r="S61" s="269"/>
      <c r="T61" s="269"/>
      <c r="U61" s="269"/>
      <c r="V61" s="269"/>
      <c r="W61" s="269"/>
    </row>
    <row r="62" spans="2:23" ht="12.5">
      <c r="B62" s="195" t="str">
        <f t="shared" si="4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2"/>
        <v>0</v>
      </c>
      <c r="G62" s="524">
        <f t="shared" si="20"/>
        <v>0</v>
      </c>
      <c r="H62" s="491">
        <f t="shared" si="21"/>
        <v>0</v>
      </c>
      <c r="I62" s="511">
        <f t="shared" si="23"/>
        <v>0</v>
      </c>
      <c r="J62" s="511"/>
      <c r="K62" s="525"/>
      <c r="L62" s="514">
        <f t="shared" si="24"/>
        <v>0</v>
      </c>
      <c r="M62" s="525"/>
      <c r="N62" s="514">
        <f t="shared" si="25"/>
        <v>0</v>
      </c>
      <c r="O62" s="514">
        <f t="shared" si="26"/>
        <v>0</v>
      </c>
      <c r="P62" s="272"/>
      <c r="R62" s="269"/>
      <c r="S62" s="269"/>
      <c r="T62" s="269"/>
      <c r="U62" s="269"/>
      <c r="V62" s="269"/>
      <c r="W62" s="269"/>
    </row>
    <row r="63" spans="2:23" ht="12.5">
      <c r="B63" s="195" t="str">
        <f t="shared" si="4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2"/>
        <v>0</v>
      </c>
      <c r="G63" s="524">
        <f t="shared" si="20"/>
        <v>0</v>
      </c>
      <c r="H63" s="491">
        <f t="shared" si="21"/>
        <v>0</v>
      </c>
      <c r="I63" s="511">
        <f t="shared" si="23"/>
        <v>0</v>
      </c>
      <c r="J63" s="511"/>
      <c r="K63" s="525"/>
      <c r="L63" s="514">
        <f t="shared" si="24"/>
        <v>0</v>
      </c>
      <c r="M63" s="525"/>
      <c r="N63" s="514">
        <f t="shared" si="25"/>
        <v>0</v>
      </c>
      <c r="O63" s="514">
        <f t="shared" si="26"/>
        <v>0</v>
      </c>
      <c r="P63" s="272"/>
      <c r="R63" s="269"/>
      <c r="S63" s="269"/>
      <c r="T63" s="269"/>
      <c r="U63" s="269"/>
      <c r="V63" s="269"/>
      <c r="W63" s="269"/>
    </row>
    <row r="64" spans="2:23" ht="12.5">
      <c r="B64" s="195" t="str">
        <f t="shared" si="4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2"/>
        <v>0</v>
      </c>
      <c r="G64" s="524">
        <f t="shared" si="20"/>
        <v>0</v>
      </c>
      <c r="H64" s="491">
        <f t="shared" si="21"/>
        <v>0</v>
      </c>
      <c r="I64" s="511">
        <f t="shared" si="23"/>
        <v>0</v>
      </c>
      <c r="J64" s="511"/>
      <c r="K64" s="525"/>
      <c r="L64" s="514">
        <f t="shared" si="24"/>
        <v>0</v>
      </c>
      <c r="M64" s="525"/>
      <c r="N64" s="514">
        <f t="shared" si="25"/>
        <v>0</v>
      </c>
      <c r="O64" s="514">
        <f t="shared" si="26"/>
        <v>0</v>
      </c>
      <c r="P64" s="272"/>
      <c r="R64" s="269"/>
      <c r="S64" s="269"/>
      <c r="T64" s="269"/>
      <c r="U64" s="269"/>
      <c r="V64" s="269"/>
      <c r="W64" s="269"/>
    </row>
    <row r="65" spans="1:23" ht="12.5">
      <c r="B65" s="195" t="str">
        <f t="shared" si="4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2"/>
        <v>0</v>
      </c>
      <c r="G65" s="524">
        <f t="shared" si="20"/>
        <v>0</v>
      </c>
      <c r="H65" s="491">
        <f t="shared" si="21"/>
        <v>0</v>
      </c>
      <c r="I65" s="511">
        <f t="shared" si="23"/>
        <v>0</v>
      </c>
      <c r="J65" s="511"/>
      <c r="K65" s="525"/>
      <c r="L65" s="514">
        <f t="shared" si="24"/>
        <v>0</v>
      </c>
      <c r="M65" s="525"/>
      <c r="N65" s="514">
        <f t="shared" si="25"/>
        <v>0</v>
      </c>
      <c r="O65" s="514">
        <f t="shared" si="26"/>
        <v>0</v>
      </c>
      <c r="P65" s="272"/>
      <c r="R65" s="269"/>
      <c r="S65" s="269"/>
      <c r="T65" s="269"/>
      <c r="U65" s="269"/>
      <c r="V65" s="269"/>
      <c r="W65" s="269"/>
    </row>
    <row r="66" spans="1:23" ht="12.5">
      <c r="B66" s="195" t="str">
        <f t="shared" si="4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2"/>
        <v>0</v>
      </c>
      <c r="G66" s="524">
        <f t="shared" si="20"/>
        <v>0</v>
      </c>
      <c r="H66" s="491">
        <f t="shared" si="21"/>
        <v>0</v>
      </c>
      <c r="I66" s="511">
        <f t="shared" si="23"/>
        <v>0</v>
      </c>
      <c r="J66" s="511"/>
      <c r="K66" s="525"/>
      <c r="L66" s="514">
        <f t="shared" si="24"/>
        <v>0</v>
      </c>
      <c r="M66" s="525"/>
      <c r="N66" s="514">
        <f t="shared" si="25"/>
        <v>0</v>
      </c>
      <c r="O66" s="514">
        <f t="shared" si="26"/>
        <v>0</v>
      </c>
      <c r="P66" s="272"/>
      <c r="R66" s="269"/>
      <c r="S66" s="269"/>
      <c r="T66" s="269"/>
      <c r="U66" s="269"/>
      <c r="V66" s="269"/>
      <c r="W66" s="269"/>
    </row>
    <row r="67" spans="1:23" ht="12.5">
      <c r="B67" s="195" t="str">
        <f t="shared" si="4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2"/>
        <v>0</v>
      </c>
      <c r="G67" s="524">
        <f t="shared" si="20"/>
        <v>0</v>
      </c>
      <c r="H67" s="491">
        <f t="shared" si="21"/>
        <v>0</v>
      </c>
      <c r="I67" s="511">
        <f t="shared" si="23"/>
        <v>0</v>
      </c>
      <c r="J67" s="511"/>
      <c r="K67" s="525"/>
      <c r="L67" s="514">
        <f t="shared" si="24"/>
        <v>0</v>
      </c>
      <c r="M67" s="525"/>
      <c r="N67" s="514">
        <f t="shared" si="25"/>
        <v>0</v>
      </c>
      <c r="O67" s="514">
        <f t="shared" si="26"/>
        <v>0</v>
      </c>
      <c r="P67" s="272"/>
      <c r="R67" s="269"/>
      <c r="S67" s="269"/>
      <c r="T67" s="269"/>
      <c r="U67" s="269"/>
      <c r="V67" s="269"/>
      <c r="W67" s="269"/>
    </row>
    <row r="68" spans="1:23" ht="12.5">
      <c r="B68" s="195" t="str">
        <f t="shared" si="4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2"/>
        <v>0</v>
      </c>
      <c r="G68" s="524">
        <f t="shared" si="20"/>
        <v>0</v>
      </c>
      <c r="H68" s="491">
        <f t="shared" si="21"/>
        <v>0</v>
      </c>
      <c r="I68" s="511">
        <f t="shared" si="23"/>
        <v>0</v>
      </c>
      <c r="J68" s="511"/>
      <c r="K68" s="525"/>
      <c r="L68" s="514">
        <f t="shared" si="24"/>
        <v>0</v>
      </c>
      <c r="M68" s="525"/>
      <c r="N68" s="514">
        <f t="shared" si="25"/>
        <v>0</v>
      </c>
      <c r="O68" s="514">
        <f t="shared" si="26"/>
        <v>0</v>
      </c>
      <c r="P68" s="272"/>
      <c r="R68" s="269"/>
      <c r="S68" s="269"/>
      <c r="T68" s="269"/>
      <c r="U68" s="269"/>
      <c r="V68" s="269"/>
      <c r="W68" s="269"/>
    </row>
    <row r="69" spans="1:23" ht="12.5">
      <c r="B69" s="195" t="str">
        <f t="shared" si="4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2"/>
        <v>0</v>
      </c>
      <c r="G69" s="524">
        <f t="shared" si="20"/>
        <v>0</v>
      </c>
      <c r="H69" s="491">
        <f t="shared" si="21"/>
        <v>0</v>
      </c>
      <c r="I69" s="511">
        <f t="shared" si="23"/>
        <v>0</v>
      </c>
      <c r="J69" s="511"/>
      <c r="K69" s="525"/>
      <c r="L69" s="514">
        <f t="shared" si="24"/>
        <v>0</v>
      </c>
      <c r="M69" s="525"/>
      <c r="N69" s="514">
        <f t="shared" si="25"/>
        <v>0</v>
      </c>
      <c r="O69" s="514">
        <f t="shared" si="26"/>
        <v>0</v>
      </c>
      <c r="P69" s="272"/>
      <c r="R69" s="269"/>
      <c r="S69" s="269"/>
      <c r="T69" s="269"/>
      <c r="U69" s="269"/>
      <c r="V69" s="269"/>
      <c r="W69" s="269"/>
    </row>
    <row r="70" spans="1:23" ht="12.5">
      <c r="B70" s="195" t="str">
        <f t="shared" si="4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2"/>
        <v>0</v>
      </c>
      <c r="G70" s="524">
        <f t="shared" si="20"/>
        <v>0</v>
      </c>
      <c r="H70" s="491">
        <f t="shared" si="21"/>
        <v>0</v>
      </c>
      <c r="I70" s="511">
        <f t="shared" si="23"/>
        <v>0</v>
      </c>
      <c r="J70" s="511"/>
      <c r="K70" s="525"/>
      <c r="L70" s="514">
        <f t="shared" si="24"/>
        <v>0</v>
      </c>
      <c r="M70" s="525"/>
      <c r="N70" s="514">
        <f t="shared" si="25"/>
        <v>0</v>
      </c>
      <c r="O70" s="514">
        <f t="shared" si="26"/>
        <v>0</v>
      </c>
      <c r="P70" s="272"/>
      <c r="R70" s="269"/>
      <c r="S70" s="269"/>
      <c r="T70" s="269"/>
      <c r="U70" s="269"/>
      <c r="V70" s="269"/>
      <c r="W70" s="269"/>
    </row>
    <row r="71" spans="1:23" ht="12.5">
      <c r="B71" s="195" t="str">
        <f t="shared" si="4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2"/>
        <v>0</v>
      </c>
      <c r="G71" s="524">
        <f t="shared" si="20"/>
        <v>0</v>
      </c>
      <c r="H71" s="491">
        <f t="shared" si="21"/>
        <v>0</v>
      </c>
      <c r="I71" s="511">
        <f t="shared" si="23"/>
        <v>0</v>
      </c>
      <c r="J71" s="511"/>
      <c r="K71" s="525"/>
      <c r="L71" s="514">
        <f t="shared" si="24"/>
        <v>0</v>
      </c>
      <c r="M71" s="525"/>
      <c r="N71" s="514">
        <f t="shared" si="25"/>
        <v>0</v>
      </c>
      <c r="O71" s="514">
        <f t="shared" si="26"/>
        <v>0</v>
      </c>
      <c r="P71" s="272"/>
      <c r="R71" s="269"/>
      <c r="S71" s="269"/>
      <c r="T71" s="269"/>
      <c r="U71" s="269"/>
      <c r="V71" s="269"/>
      <c r="W71" s="269"/>
    </row>
    <row r="72" spans="1:23" ht="13" thickBot="1">
      <c r="B72" s="195" t="str">
        <f t="shared" si="4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2"/>
        <v>0</v>
      </c>
      <c r="G72" s="528">
        <f t="shared" si="20"/>
        <v>0</v>
      </c>
      <c r="H72" s="528">
        <f t="shared" si="21"/>
        <v>0</v>
      </c>
      <c r="I72" s="531">
        <f t="shared" si="23"/>
        <v>0</v>
      </c>
      <c r="J72" s="511"/>
      <c r="K72" s="532"/>
      <c r="L72" s="533">
        <f t="shared" si="24"/>
        <v>0</v>
      </c>
      <c r="M72" s="532"/>
      <c r="N72" s="533">
        <f t="shared" si="25"/>
        <v>0</v>
      </c>
      <c r="O72" s="533">
        <f t="shared" si="26"/>
        <v>0</v>
      </c>
      <c r="P72" s="272"/>
      <c r="R72" s="269"/>
      <c r="S72" s="269"/>
      <c r="T72" s="269"/>
      <c r="U72" s="269"/>
      <c r="V72" s="269"/>
      <c r="W72" s="269"/>
    </row>
    <row r="73" spans="1:23" ht="12.5">
      <c r="C73" s="374" t="s">
        <v>78</v>
      </c>
      <c r="D73" s="375"/>
      <c r="E73" s="375">
        <f>SUM(E17:E72)</f>
        <v>81701.000000000044</v>
      </c>
      <c r="F73" s="375"/>
      <c r="G73" s="375">
        <f>SUM(G17:G72)</f>
        <v>303674.56454127375</v>
      </c>
      <c r="H73" s="375">
        <f>SUM(H17:H72)</f>
        <v>303674.56454127375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  <c r="R73" s="269"/>
      <c r="S73" s="269"/>
      <c r="T73" s="269"/>
      <c r="U73" s="269"/>
      <c r="V73" s="269"/>
      <c r="W73" s="269"/>
    </row>
    <row r="74" spans="1:23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  <c r="R74" s="269"/>
      <c r="S74" s="269"/>
      <c r="T74" s="269"/>
      <c r="U74" s="269"/>
      <c r="V74" s="269"/>
      <c r="W74" s="269"/>
    </row>
    <row r="75" spans="1:23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  <c r="R75" s="269"/>
      <c r="S75" s="269"/>
      <c r="T75" s="269"/>
      <c r="U75" s="269"/>
      <c r="V75" s="269"/>
      <c r="W75" s="269"/>
    </row>
    <row r="76" spans="1:23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  <c r="R76" s="269"/>
      <c r="S76" s="269"/>
      <c r="T76" s="269"/>
      <c r="U76" s="269"/>
      <c r="V76" s="269"/>
      <c r="W76" s="269"/>
    </row>
    <row r="77" spans="1:23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  <c r="R77" s="269"/>
      <c r="S77" s="269"/>
      <c r="T77" s="269"/>
      <c r="U77" s="269"/>
      <c r="V77" s="269"/>
      <c r="W77" s="269"/>
    </row>
    <row r="78" spans="1:23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  <c r="R78" s="269"/>
      <c r="S78" s="269"/>
      <c r="T78" s="269"/>
      <c r="U78" s="269"/>
      <c r="V78" s="269"/>
      <c r="W78" s="269"/>
    </row>
    <row r="79" spans="1:23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R79" s="269"/>
      <c r="S79" s="269"/>
      <c r="T79" s="269"/>
      <c r="U79" s="269"/>
      <c r="V79" s="269"/>
      <c r="W79" s="269"/>
    </row>
    <row r="80" spans="1:23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  <c r="R80" s="269"/>
      <c r="S80" s="269"/>
      <c r="T80" s="269"/>
      <c r="U80" s="269"/>
      <c r="V80" s="269"/>
      <c r="W80" s="269"/>
    </row>
    <row r="81" spans="1:23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  <c r="R81" s="269"/>
      <c r="S81" s="269"/>
      <c r="T81" s="269"/>
      <c r="U81" s="269"/>
      <c r="V81" s="269"/>
      <c r="W81" s="269"/>
    </row>
    <row r="82" spans="1:23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</row>
    <row r="83" spans="1:23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14 of 74</v>
      </c>
      <c r="Q83" s="269"/>
      <c r="R83" s="269"/>
      <c r="S83" s="269"/>
      <c r="T83" s="269"/>
      <c r="U83" s="269"/>
      <c r="V83" s="269"/>
      <c r="W83" s="269"/>
    </row>
    <row r="84" spans="1:23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  <c r="R84" s="269"/>
      <c r="S84" s="269"/>
      <c r="T84" s="269"/>
      <c r="U84" s="269"/>
      <c r="V84" s="269"/>
      <c r="W84" s="269"/>
    </row>
    <row r="85" spans="1:23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  <c r="R85" s="269"/>
      <c r="S85" s="269"/>
      <c r="T85" s="269"/>
      <c r="U85" s="269"/>
      <c r="V85" s="269"/>
      <c r="W85" s="269"/>
    </row>
    <row r="86" spans="1:23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  <c r="R86" s="269"/>
      <c r="S86" s="269"/>
      <c r="T86" s="269"/>
      <c r="U86" s="269"/>
      <c r="V86" s="269"/>
      <c r="W86" s="269"/>
    </row>
    <row r="87" spans="1:23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7905.1466822533876</v>
      </c>
      <c r="N87" s="546">
        <f>IF(J92&lt;D11,0,VLOOKUP(J92,C17:O72,11))</f>
        <v>7905.1466822533876</v>
      </c>
      <c r="O87" s="547">
        <f>+N87-M87</f>
        <v>0</v>
      </c>
      <c r="P87" s="269"/>
      <c r="Q87" s="269"/>
      <c r="R87" s="269"/>
      <c r="S87" s="269"/>
      <c r="T87" s="269"/>
      <c r="U87" s="269"/>
      <c r="V87" s="269"/>
      <c r="W87" s="269"/>
    </row>
    <row r="88" spans="1:23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8400.9059134474937</v>
      </c>
      <c r="N88" s="550">
        <f>IF(J92&lt;D11,0,VLOOKUP(J92,C99:P154,7))</f>
        <v>8400.9059134474937</v>
      </c>
      <c r="O88" s="551">
        <f>+N88-M88</f>
        <v>0</v>
      </c>
      <c r="P88" s="269"/>
      <c r="Q88" s="269"/>
      <c r="R88" s="269"/>
      <c r="S88" s="269"/>
      <c r="T88" s="269"/>
      <c r="U88" s="269"/>
      <c r="V88" s="269"/>
      <c r="W88" s="269"/>
    </row>
    <row r="89" spans="1:23" ht="13.5" thickBot="1">
      <c r="C89" s="467" t="s">
        <v>84</v>
      </c>
      <c r="D89" s="552" t="str">
        <f>+D7</f>
        <v>NW Henderson - Oak Hill 138 kV line*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495.75923119410618</v>
      </c>
      <c r="N89" s="555">
        <f>+N88-N87</f>
        <v>495.75923119410618</v>
      </c>
      <c r="O89" s="556">
        <f>+O88-O87</f>
        <v>0</v>
      </c>
      <c r="P89" s="269"/>
      <c r="Q89" s="269"/>
      <c r="R89" s="269"/>
      <c r="S89" s="269"/>
      <c r="T89" s="269"/>
      <c r="U89" s="269"/>
      <c r="V89" s="269"/>
      <c r="W89" s="269"/>
    </row>
    <row r="90" spans="1:23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  <c r="R90" s="269"/>
      <c r="S90" s="269"/>
      <c r="T90" s="269"/>
      <c r="U90" s="269"/>
      <c r="V90" s="269"/>
      <c r="W90" s="269"/>
    </row>
    <row r="91" spans="1:23" ht="13.5" thickBot="1">
      <c r="A91" s="191"/>
      <c r="C91" s="558" t="s">
        <v>85</v>
      </c>
      <c r="D91" s="559" t="str">
        <f>+D9</f>
        <v>TP2006089</v>
      </c>
      <c r="E91" s="560"/>
      <c r="F91" s="560"/>
      <c r="G91" s="560"/>
      <c r="H91" s="560"/>
      <c r="I91" s="560"/>
      <c r="J91" s="561"/>
      <c r="K91" s="562"/>
      <c r="P91" s="481"/>
      <c r="Q91" s="269"/>
      <c r="R91" s="269"/>
      <c r="S91" s="269"/>
      <c r="T91" s="269"/>
      <c r="U91" s="269"/>
      <c r="V91" s="269"/>
      <c r="W91" s="269"/>
    </row>
    <row r="92" spans="1:23" ht="13">
      <c r="C92" s="486" t="s">
        <v>51</v>
      </c>
      <c r="D92" s="483">
        <v>81701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  <c r="R92" s="269"/>
      <c r="S92" s="269"/>
      <c r="T92" s="269"/>
      <c r="U92" s="269"/>
      <c r="V92" s="269"/>
      <c r="W92" s="269"/>
    </row>
    <row r="93" spans="1:23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  <c r="R93" s="269"/>
      <c r="S93" s="269"/>
      <c r="T93" s="269"/>
      <c r="U93" s="269"/>
      <c r="V93" s="269"/>
      <c r="W93" s="269"/>
    </row>
    <row r="94" spans="1:23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  <c r="R94" s="269"/>
      <c r="S94" s="269"/>
      <c r="T94" s="269"/>
      <c r="U94" s="269"/>
      <c r="V94" s="269"/>
      <c r="W94" s="269"/>
    </row>
    <row r="95" spans="1:23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  <c r="R95" s="269"/>
      <c r="S95" s="269"/>
      <c r="T95" s="269"/>
      <c r="U95" s="269"/>
      <c r="V95" s="269"/>
      <c r="W95" s="269"/>
    </row>
    <row r="96" spans="1:23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1992.7073170731708</v>
      </c>
      <c r="K96" s="375"/>
      <c r="L96" s="375"/>
      <c r="M96" s="375"/>
      <c r="N96" s="375"/>
      <c r="O96" s="375"/>
      <c r="P96" s="272"/>
      <c r="Q96" s="269"/>
      <c r="R96" s="269"/>
      <c r="S96" s="269"/>
      <c r="T96" s="269"/>
      <c r="U96" s="269"/>
      <c r="V96" s="269"/>
      <c r="W96" s="269"/>
    </row>
    <row r="97" spans="1:23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  <c r="R97" s="269"/>
      <c r="S97" s="269"/>
      <c r="T97" s="269"/>
      <c r="U97" s="269"/>
      <c r="V97" s="269"/>
      <c r="W97" s="269"/>
    </row>
    <row r="98" spans="1:23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  <c r="R98" s="269"/>
      <c r="S98" s="269"/>
      <c r="T98" s="269"/>
      <c r="U98" s="269"/>
      <c r="V98" s="269"/>
      <c r="W98" s="269"/>
    </row>
    <row r="99" spans="1:23" ht="12.5">
      <c r="C99" s="507">
        <f>IF(D93= "","-",D93)</f>
        <v>2007</v>
      </c>
      <c r="D99" s="508">
        <f>IF(D93=C99,0,D92)</f>
        <v>0</v>
      </c>
      <c r="E99" s="516">
        <v>0</v>
      </c>
      <c r="F99" s="515">
        <v>54301</v>
      </c>
      <c r="G99" s="574">
        <v>27151</v>
      </c>
      <c r="H99" s="575">
        <v>4328</v>
      </c>
      <c r="I99" s="576">
        <v>4328</v>
      </c>
      <c r="J99" s="613">
        <f t="shared" ref="J99:J130" si="27">+I99-H99</f>
        <v>0</v>
      </c>
      <c r="K99" s="514"/>
      <c r="L99" s="512">
        <v>0</v>
      </c>
      <c r="M99" s="513">
        <f t="shared" ref="M99:M130" si="28">IF(L99&lt;&gt;0,+H99-L99,0)</f>
        <v>0</v>
      </c>
      <c r="N99" s="512">
        <v>0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  <c r="R99" s="372"/>
      <c r="S99" s="372"/>
      <c r="T99" s="372"/>
      <c r="U99" s="372"/>
      <c r="V99" s="372"/>
      <c r="W99" s="372">
        <f>ROUND(I99,0)</f>
        <v>4328</v>
      </c>
    </row>
    <row r="100" spans="1:23" ht="12.5">
      <c r="B100" s="195" t="str">
        <f>IF(D100=F99,"","IU")</f>
        <v/>
      </c>
      <c r="C100" s="507">
        <f>IF(D93="","-",+C99+1)</f>
        <v>2008</v>
      </c>
      <c r="D100" s="508">
        <v>54301</v>
      </c>
      <c r="E100" s="516">
        <v>1468</v>
      </c>
      <c r="F100" s="515">
        <v>52833</v>
      </c>
      <c r="G100" s="515">
        <v>53567</v>
      </c>
      <c r="H100" s="516">
        <v>10006</v>
      </c>
      <c r="I100" s="510">
        <v>10006</v>
      </c>
      <c r="J100" s="613">
        <f t="shared" si="27"/>
        <v>0</v>
      </c>
      <c r="K100" s="514"/>
      <c r="L100" s="518">
        <v>10006</v>
      </c>
      <c r="M100" s="514">
        <f t="shared" si="28"/>
        <v>0</v>
      </c>
      <c r="N100" s="518">
        <v>10006</v>
      </c>
      <c r="O100" s="514">
        <f t="shared" si="29"/>
        <v>0</v>
      </c>
      <c r="P100" s="514">
        <f t="shared" si="30"/>
        <v>0</v>
      </c>
      <c r="Q100" s="269"/>
      <c r="R100" s="372"/>
      <c r="S100" s="372"/>
      <c r="T100" s="372"/>
      <c r="U100" s="372"/>
      <c r="V100" s="372"/>
      <c r="W100" s="372">
        <f>ROUND(I100,0)</f>
        <v>10006</v>
      </c>
    </row>
    <row r="101" spans="1:23" ht="12.5">
      <c r="B101" s="195" t="str">
        <f t="shared" ref="B101:B154" si="31">IF(D101=F100,"","IU")</f>
        <v/>
      </c>
      <c r="C101" s="507">
        <f>IF(D93="","-",+C100+1)</f>
        <v>2009</v>
      </c>
      <c r="D101" s="508">
        <v>52833</v>
      </c>
      <c r="E101" s="516">
        <v>1428.9736842105262</v>
      </c>
      <c r="F101" s="515">
        <v>51404.026315789473</v>
      </c>
      <c r="G101" s="515">
        <v>52118.513157894733</v>
      </c>
      <c r="H101" s="516">
        <v>8972.4855002204786</v>
      </c>
      <c r="I101" s="510">
        <v>8972.4855002204786</v>
      </c>
      <c r="J101" s="613">
        <f t="shared" si="27"/>
        <v>0</v>
      </c>
      <c r="K101" s="514"/>
      <c r="L101" s="518">
        <f t="shared" ref="L101:L106" si="32">H101</f>
        <v>8972.4855002204786</v>
      </c>
      <c r="M101" s="519">
        <f t="shared" si="28"/>
        <v>0</v>
      </c>
      <c r="N101" s="518">
        <f t="shared" ref="N101:N106" si="33">I101</f>
        <v>8972.4855002204786</v>
      </c>
      <c r="O101" s="514">
        <f t="shared" si="29"/>
        <v>0</v>
      </c>
      <c r="P101" s="514">
        <f t="shared" si="30"/>
        <v>0</v>
      </c>
      <c r="Q101" s="269"/>
      <c r="R101" s="269"/>
      <c r="S101" s="269"/>
      <c r="T101" s="269"/>
      <c r="U101" s="269"/>
      <c r="V101" s="269"/>
      <c r="W101" s="269"/>
    </row>
    <row r="102" spans="1:23" ht="12.5">
      <c r="B102" s="195" t="str">
        <f t="shared" si="31"/>
        <v>IU</v>
      </c>
      <c r="C102" s="507">
        <f>IF(D93="","-",+C101+1)</f>
        <v>2010</v>
      </c>
      <c r="D102" s="508">
        <v>78804.026315789481</v>
      </c>
      <c r="E102" s="516">
        <v>1992.7073170731708</v>
      </c>
      <c r="F102" s="515">
        <v>76811.318998716306</v>
      </c>
      <c r="G102" s="515">
        <v>77807.672657252901</v>
      </c>
      <c r="H102" s="516">
        <v>14837.671154363743</v>
      </c>
      <c r="I102" s="510">
        <v>14837.671154363743</v>
      </c>
      <c r="J102" s="613">
        <f t="shared" si="27"/>
        <v>0</v>
      </c>
      <c r="K102" s="514"/>
      <c r="L102" s="518">
        <f t="shared" si="32"/>
        <v>14837.671154363743</v>
      </c>
      <c r="M102" s="519">
        <f t="shared" si="28"/>
        <v>0</v>
      </c>
      <c r="N102" s="518">
        <f t="shared" si="33"/>
        <v>14837.671154363743</v>
      </c>
      <c r="O102" s="514">
        <f t="shared" si="29"/>
        <v>0</v>
      </c>
      <c r="P102" s="514">
        <f t="shared" si="30"/>
        <v>0</v>
      </c>
      <c r="Q102" s="269"/>
      <c r="R102" s="269"/>
      <c r="S102" s="269"/>
      <c r="T102" s="269"/>
      <c r="U102" s="269"/>
      <c r="V102" s="269"/>
      <c r="W102" s="269"/>
    </row>
    <row r="103" spans="1:23" ht="12.5">
      <c r="B103" s="195" t="str">
        <f t="shared" si="31"/>
        <v/>
      </c>
      <c r="C103" s="507">
        <f>IF(D93="","-",+C102+1)</f>
        <v>2011</v>
      </c>
      <c r="D103" s="508">
        <v>76811.318998716306</v>
      </c>
      <c r="E103" s="520">
        <v>1945.2619047619048</v>
      </c>
      <c r="F103" s="515">
        <v>74866.057093954398</v>
      </c>
      <c r="G103" s="515">
        <v>75838.688046335359</v>
      </c>
      <c r="H103" s="516">
        <v>13349.876325445057</v>
      </c>
      <c r="I103" s="510">
        <v>13349.876325445057</v>
      </c>
      <c r="J103" s="613">
        <f t="shared" si="27"/>
        <v>0</v>
      </c>
      <c r="K103" s="514"/>
      <c r="L103" s="518">
        <f t="shared" si="32"/>
        <v>13349.876325445057</v>
      </c>
      <c r="M103" s="519">
        <f t="shared" si="28"/>
        <v>0</v>
      </c>
      <c r="N103" s="518">
        <f t="shared" si="33"/>
        <v>13349.876325445057</v>
      </c>
      <c r="O103" s="514">
        <f t="shared" si="29"/>
        <v>0</v>
      </c>
      <c r="P103" s="514">
        <f t="shared" si="30"/>
        <v>0</v>
      </c>
      <c r="Q103" s="269"/>
      <c r="R103" s="269"/>
      <c r="S103" s="269"/>
      <c r="T103" s="269"/>
      <c r="U103" s="269"/>
      <c r="V103" s="269"/>
      <c r="W103" s="269"/>
    </row>
    <row r="104" spans="1:23" ht="12.5">
      <c r="B104" s="195" t="str">
        <f t="shared" si="31"/>
        <v/>
      </c>
      <c r="C104" s="507">
        <f>IF(D93="","-",+C103+1)</f>
        <v>2012</v>
      </c>
      <c r="D104" s="508">
        <v>74866.057093954398</v>
      </c>
      <c r="E104" s="516">
        <v>1945.2619047619048</v>
      </c>
      <c r="F104" s="515">
        <v>72920.795189192489</v>
      </c>
      <c r="G104" s="515">
        <v>73893.426141573436</v>
      </c>
      <c r="H104" s="516">
        <v>12818.97009538296</v>
      </c>
      <c r="I104" s="510">
        <v>12818.97009538296</v>
      </c>
      <c r="J104" s="613">
        <f t="shared" si="27"/>
        <v>0</v>
      </c>
      <c r="K104" s="514"/>
      <c r="L104" s="518">
        <f t="shared" si="32"/>
        <v>12818.97009538296</v>
      </c>
      <c r="M104" s="519">
        <f t="shared" si="28"/>
        <v>0</v>
      </c>
      <c r="N104" s="518">
        <f t="shared" si="33"/>
        <v>12818.97009538296</v>
      </c>
      <c r="O104" s="514">
        <f t="shared" si="29"/>
        <v>0</v>
      </c>
      <c r="P104" s="514">
        <f t="shared" si="30"/>
        <v>0</v>
      </c>
      <c r="Q104" s="269"/>
      <c r="R104" s="269"/>
      <c r="S104" s="269"/>
      <c r="T104" s="269"/>
      <c r="U104" s="269"/>
      <c r="V104" s="269"/>
      <c r="W104" s="269"/>
    </row>
    <row r="105" spans="1:23" ht="12.5">
      <c r="B105" s="195" t="str">
        <f t="shared" si="31"/>
        <v/>
      </c>
      <c r="C105" s="507">
        <f>IF(D93="","-",+C104+1)</f>
        <v>2013</v>
      </c>
      <c r="D105" s="508">
        <v>72920.795189192489</v>
      </c>
      <c r="E105" s="516">
        <v>1945.2619047619048</v>
      </c>
      <c r="F105" s="515">
        <v>70975.533284430581</v>
      </c>
      <c r="G105" s="515">
        <v>71948.164236811543</v>
      </c>
      <c r="H105" s="516">
        <v>11679.251522399856</v>
      </c>
      <c r="I105" s="510">
        <v>11679.251522399856</v>
      </c>
      <c r="J105" s="613">
        <v>0</v>
      </c>
      <c r="K105" s="514"/>
      <c r="L105" s="518">
        <f t="shared" si="32"/>
        <v>11679.251522399856</v>
      </c>
      <c r="M105" s="519">
        <f t="shared" ref="M105:M110" si="34">IF(L105&lt;&gt;0,+H105-L105,0)</f>
        <v>0</v>
      </c>
      <c r="N105" s="518">
        <f t="shared" si="33"/>
        <v>11679.251522399856</v>
      </c>
      <c r="O105" s="514">
        <f t="shared" ref="O105:O110" si="35">IF(N105&lt;&gt;0,+I105-N105,0)</f>
        <v>0</v>
      </c>
      <c r="P105" s="514">
        <f t="shared" ref="P105:P110" si="36">+O105-M105</f>
        <v>0</v>
      </c>
      <c r="Q105" s="269"/>
      <c r="R105" s="269"/>
      <c r="S105" s="269"/>
      <c r="T105" s="269"/>
      <c r="U105" s="269"/>
      <c r="V105" s="269"/>
      <c r="W105" s="269"/>
    </row>
    <row r="106" spans="1:23" ht="12.5">
      <c r="B106" s="195" t="str">
        <f t="shared" si="31"/>
        <v/>
      </c>
      <c r="C106" s="507">
        <f>IF(D93="","-",+C105+1)</f>
        <v>2014</v>
      </c>
      <c r="D106" s="508">
        <v>70975.533284430581</v>
      </c>
      <c r="E106" s="516">
        <v>1945.2619047619048</v>
      </c>
      <c r="F106" s="515">
        <v>69030.271379668673</v>
      </c>
      <c r="G106" s="515">
        <v>70002.90233204962</v>
      </c>
      <c r="H106" s="516">
        <v>11460.298583288852</v>
      </c>
      <c r="I106" s="510">
        <v>11460.298583288852</v>
      </c>
      <c r="J106" s="514">
        <v>0</v>
      </c>
      <c r="K106" s="514"/>
      <c r="L106" s="518">
        <f t="shared" si="32"/>
        <v>11460.298583288852</v>
      </c>
      <c r="M106" s="519">
        <f t="shared" si="34"/>
        <v>0</v>
      </c>
      <c r="N106" s="518">
        <f t="shared" si="33"/>
        <v>11460.298583288852</v>
      </c>
      <c r="O106" s="514">
        <f t="shared" si="35"/>
        <v>0</v>
      </c>
      <c r="P106" s="514">
        <f t="shared" si="36"/>
        <v>0</v>
      </c>
      <c r="Q106" s="269"/>
      <c r="R106" s="269"/>
      <c r="S106" s="269"/>
      <c r="T106" s="269"/>
      <c r="U106" s="269"/>
      <c r="V106" s="269"/>
      <c r="W106" s="269"/>
    </row>
    <row r="107" spans="1:23" ht="12.5">
      <c r="B107" s="195" t="str">
        <f t="shared" si="31"/>
        <v/>
      </c>
      <c r="C107" s="507">
        <f>IF(D93="","-",+C106+1)</f>
        <v>2015</v>
      </c>
      <c r="D107" s="508">
        <v>69030.271379668673</v>
      </c>
      <c r="E107" s="516">
        <v>1945.2619047619048</v>
      </c>
      <c r="F107" s="515">
        <v>67085.009474906765</v>
      </c>
      <c r="G107" s="515">
        <v>68057.640427287726</v>
      </c>
      <c r="H107" s="516">
        <v>10913.140814685254</v>
      </c>
      <c r="I107" s="510">
        <v>10913.140814685254</v>
      </c>
      <c r="J107" s="514">
        <f t="shared" si="27"/>
        <v>0</v>
      </c>
      <c r="K107" s="514"/>
      <c r="L107" s="518">
        <f t="shared" ref="L107:L112" si="37">H107</f>
        <v>10913.140814685254</v>
      </c>
      <c r="M107" s="519">
        <f t="shared" si="34"/>
        <v>0</v>
      </c>
      <c r="N107" s="518">
        <f t="shared" ref="N107:N112" si="38">I107</f>
        <v>10913.140814685254</v>
      </c>
      <c r="O107" s="514">
        <f t="shared" si="35"/>
        <v>0</v>
      </c>
      <c r="P107" s="514">
        <f t="shared" si="36"/>
        <v>0</v>
      </c>
      <c r="Q107" s="269"/>
      <c r="R107" s="269"/>
      <c r="S107" s="269"/>
      <c r="T107" s="269"/>
      <c r="U107" s="269"/>
      <c r="V107" s="269"/>
      <c r="W107" s="269"/>
    </row>
    <row r="108" spans="1:23" ht="12.5">
      <c r="B108" s="195" t="str">
        <f t="shared" si="31"/>
        <v/>
      </c>
      <c r="C108" s="507">
        <f>IF(D93="","-",+C107+1)</f>
        <v>2016</v>
      </c>
      <c r="D108" s="508">
        <v>67085.009474906765</v>
      </c>
      <c r="E108" s="516">
        <v>1900.0232558139535</v>
      </c>
      <c r="F108" s="515">
        <v>65184.986219092811</v>
      </c>
      <c r="G108" s="515">
        <v>66134.997846999788</v>
      </c>
      <c r="H108" s="516">
        <v>10295.860457941419</v>
      </c>
      <c r="I108" s="510">
        <v>10295.860457941419</v>
      </c>
      <c r="J108" s="514">
        <f t="shared" si="27"/>
        <v>0</v>
      </c>
      <c r="K108" s="514"/>
      <c r="L108" s="518">
        <f t="shared" si="37"/>
        <v>10295.860457941419</v>
      </c>
      <c r="M108" s="519">
        <f t="shared" si="34"/>
        <v>0</v>
      </c>
      <c r="N108" s="518">
        <f t="shared" si="38"/>
        <v>10295.860457941419</v>
      </c>
      <c r="O108" s="514">
        <f t="shared" si="35"/>
        <v>0</v>
      </c>
      <c r="P108" s="514">
        <f t="shared" si="36"/>
        <v>0</v>
      </c>
      <c r="Q108" s="269"/>
      <c r="R108" s="269"/>
      <c r="S108" s="269"/>
      <c r="T108" s="269"/>
      <c r="U108" s="269"/>
      <c r="V108" s="269"/>
      <c r="W108" s="269"/>
    </row>
    <row r="109" spans="1:23" ht="12.5">
      <c r="B109" s="195" t="str">
        <f t="shared" si="31"/>
        <v/>
      </c>
      <c r="C109" s="507">
        <f>IF(D93="","-",+C108+1)</f>
        <v>2017</v>
      </c>
      <c r="D109" s="508">
        <v>65184.986219092811</v>
      </c>
      <c r="E109" s="516">
        <v>1945.2619047619048</v>
      </c>
      <c r="F109" s="515">
        <v>63239.724314330902</v>
      </c>
      <c r="G109" s="515">
        <v>64212.355266711857</v>
      </c>
      <c r="H109" s="516">
        <v>9745.2303003311172</v>
      </c>
      <c r="I109" s="510">
        <v>9745.2303003311172</v>
      </c>
      <c r="J109" s="514">
        <f t="shared" si="27"/>
        <v>0</v>
      </c>
      <c r="K109" s="514"/>
      <c r="L109" s="518">
        <f t="shared" si="37"/>
        <v>9745.2303003311172</v>
      </c>
      <c r="M109" s="519">
        <f t="shared" si="34"/>
        <v>0</v>
      </c>
      <c r="N109" s="518">
        <f t="shared" si="38"/>
        <v>9745.2303003311172</v>
      </c>
      <c r="O109" s="514">
        <f t="shared" si="35"/>
        <v>0</v>
      </c>
      <c r="P109" s="514">
        <f t="shared" si="36"/>
        <v>0</v>
      </c>
      <c r="Q109" s="269"/>
      <c r="R109" s="269"/>
      <c r="S109" s="269"/>
      <c r="T109" s="269"/>
      <c r="U109" s="269"/>
      <c r="V109" s="269"/>
      <c r="W109" s="269"/>
    </row>
    <row r="110" spans="1:23" ht="12.5">
      <c r="B110" s="195" t="str">
        <f t="shared" si="31"/>
        <v/>
      </c>
      <c r="C110" s="507">
        <f>IF(D93="","-",+C109+1)</f>
        <v>2018</v>
      </c>
      <c r="D110" s="508">
        <v>63239.724314330902</v>
      </c>
      <c r="E110" s="516">
        <v>1945.2619047619048</v>
      </c>
      <c r="F110" s="515">
        <v>61294.462409568994</v>
      </c>
      <c r="G110" s="515">
        <v>62267.093361949948</v>
      </c>
      <c r="H110" s="516">
        <v>8520.9525094527817</v>
      </c>
      <c r="I110" s="510">
        <v>8520.9525094527817</v>
      </c>
      <c r="J110" s="514">
        <f t="shared" si="27"/>
        <v>0</v>
      </c>
      <c r="K110" s="514"/>
      <c r="L110" s="518">
        <f t="shared" si="37"/>
        <v>8520.9525094527817</v>
      </c>
      <c r="M110" s="519">
        <f t="shared" si="34"/>
        <v>0</v>
      </c>
      <c r="N110" s="518">
        <f t="shared" si="38"/>
        <v>8520.9525094527817</v>
      </c>
      <c r="O110" s="514">
        <f t="shared" si="35"/>
        <v>0</v>
      </c>
      <c r="P110" s="514">
        <f t="shared" si="36"/>
        <v>0</v>
      </c>
      <c r="Q110" s="269"/>
      <c r="R110" s="269"/>
      <c r="S110" s="269"/>
      <c r="T110" s="269"/>
      <c r="U110" s="269"/>
      <c r="V110" s="269"/>
      <c r="W110" s="269"/>
    </row>
    <row r="111" spans="1:23" ht="12.5">
      <c r="B111" s="195" t="str">
        <f t="shared" si="31"/>
        <v/>
      </c>
      <c r="C111" s="507">
        <f>IF(D93="","-",+C110+1)</f>
        <v>2019</v>
      </c>
      <c r="D111" s="508">
        <v>61294.462409568994</v>
      </c>
      <c r="E111" s="516">
        <v>1900.0232558139535</v>
      </c>
      <c r="F111" s="515">
        <v>59394.43915375504</v>
      </c>
      <c r="G111" s="515">
        <v>60344.450781662017</v>
      </c>
      <c r="H111" s="516">
        <v>8359.3262482635964</v>
      </c>
      <c r="I111" s="510">
        <v>8359.3262482635964</v>
      </c>
      <c r="J111" s="514">
        <f t="shared" si="27"/>
        <v>0</v>
      </c>
      <c r="K111" s="514"/>
      <c r="L111" s="518">
        <f t="shared" si="37"/>
        <v>8359.3262482635964</v>
      </c>
      <c r="M111" s="519">
        <f t="shared" ref="M111:M112" si="39">IF(L111&lt;&gt;0,+H111-L111,0)</f>
        <v>0</v>
      </c>
      <c r="N111" s="518">
        <f t="shared" si="38"/>
        <v>8359.3262482635964</v>
      </c>
      <c r="O111" s="514">
        <f t="shared" si="29"/>
        <v>0</v>
      </c>
      <c r="P111" s="514">
        <f t="shared" si="30"/>
        <v>0</v>
      </c>
      <c r="Q111" s="269"/>
      <c r="R111" s="269"/>
      <c r="S111" s="269"/>
      <c r="T111" s="269"/>
      <c r="U111" s="269"/>
      <c r="V111" s="269"/>
      <c r="W111" s="269"/>
    </row>
    <row r="112" spans="1:23" ht="12.5">
      <c r="B112" s="195" t="str">
        <f t="shared" si="31"/>
        <v/>
      </c>
      <c r="C112" s="507">
        <f>IF(D93="","-",+C111+1)</f>
        <v>2020</v>
      </c>
      <c r="D112" s="508">
        <v>59394.43915375504</v>
      </c>
      <c r="E112" s="516">
        <v>1945.2619047619048</v>
      </c>
      <c r="F112" s="515">
        <v>57449.177248993132</v>
      </c>
      <c r="G112" s="515">
        <v>58421.808201374086</v>
      </c>
      <c r="H112" s="516">
        <v>8229.9197146067363</v>
      </c>
      <c r="I112" s="510">
        <v>8229.9197146067363</v>
      </c>
      <c r="J112" s="514">
        <f t="shared" si="27"/>
        <v>0</v>
      </c>
      <c r="K112" s="514"/>
      <c r="L112" s="518">
        <f t="shared" si="37"/>
        <v>8229.9197146067363</v>
      </c>
      <c r="M112" s="519">
        <f t="shared" si="39"/>
        <v>0</v>
      </c>
      <c r="N112" s="518">
        <f t="shared" si="38"/>
        <v>8229.9197146067363</v>
      </c>
      <c r="O112" s="514">
        <f t="shared" si="29"/>
        <v>0</v>
      </c>
      <c r="P112" s="514">
        <f t="shared" si="30"/>
        <v>0</v>
      </c>
      <c r="Q112" s="269"/>
      <c r="R112" s="269"/>
      <c r="S112" s="269"/>
      <c r="T112" s="269"/>
      <c r="U112" s="269"/>
      <c r="V112" s="269"/>
      <c r="W112" s="269"/>
    </row>
    <row r="113" spans="2:23" ht="12.5">
      <c r="B113" s="195" t="str">
        <f t="shared" si="31"/>
        <v/>
      </c>
      <c r="C113" s="507">
        <f>IF(D93="","-",+C112+1)</f>
        <v>2021</v>
      </c>
      <c r="D113" s="374">
        <f>IF(F112+SUM(E$99:E112)=D$92,F112,D$92-SUM(E$99:E112))</f>
        <v>57449.177248993132</v>
      </c>
      <c r="E113" s="522">
        <f>IF(+J96&lt;F112,J96,D113)</f>
        <v>1992.7073170731708</v>
      </c>
      <c r="F113" s="523">
        <f t="shared" ref="F113:F130" si="40">+D113-E113</f>
        <v>55456.469931919964</v>
      </c>
      <c r="G113" s="523">
        <f t="shared" ref="G113:G130" si="41">+(F113+D113)/2</f>
        <v>56452.823590456552</v>
      </c>
      <c r="H113" s="526">
        <f t="shared" ref="H113:H154" si="42">+J$94*G113+E113</f>
        <v>8400.9059134474937</v>
      </c>
      <c r="I113" s="577">
        <f t="shared" ref="I113:I154" si="43">+J$95*G113+E113</f>
        <v>8400.9059134474937</v>
      </c>
      <c r="J113" s="514">
        <f t="shared" si="27"/>
        <v>0</v>
      </c>
      <c r="K113" s="514"/>
      <c r="L113" s="525"/>
      <c r="M113" s="514">
        <f t="shared" si="28"/>
        <v>0</v>
      </c>
      <c r="N113" s="525"/>
      <c r="O113" s="514">
        <f t="shared" si="29"/>
        <v>0</v>
      </c>
      <c r="P113" s="514">
        <f t="shared" si="30"/>
        <v>0</v>
      </c>
      <c r="Q113" s="269"/>
      <c r="R113" s="269"/>
      <c r="S113" s="269"/>
      <c r="T113" s="269"/>
      <c r="U113" s="269"/>
      <c r="V113" s="269"/>
      <c r="W113" s="269"/>
    </row>
    <row r="114" spans="2:23" ht="12.5">
      <c r="B114" s="195" t="str">
        <f t="shared" si="31"/>
        <v/>
      </c>
      <c r="C114" s="507">
        <f>IF(D93="","-",+C113+1)</f>
        <v>2022</v>
      </c>
      <c r="D114" s="374">
        <f>IF(F113+SUM(E$99:E113)=D$92,F113,D$92-SUM(E$99:E113))</f>
        <v>55456.469931919964</v>
      </c>
      <c r="E114" s="522">
        <f>IF(+J96&lt;F113,J96,D114)</f>
        <v>1992.7073170731708</v>
      </c>
      <c r="F114" s="523">
        <f t="shared" si="40"/>
        <v>53463.762614846797</v>
      </c>
      <c r="G114" s="523">
        <f t="shared" si="41"/>
        <v>54460.116273383377</v>
      </c>
      <c r="H114" s="526">
        <f t="shared" si="42"/>
        <v>8174.7052839645094</v>
      </c>
      <c r="I114" s="577">
        <f t="shared" si="43"/>
        <v>8174.7052839645094</v>
      </c>
      <c r="J114" s="514">
        <f t="shared" si="27"/>
        <v>0</v>
      </c>
      <c r="K114" s="514"/>
      <c r="L114" s="525"/>
      <c r="M114" s="514">
        <f t="shared" si="28"/>
        <v>0</v>
      </c>
      <c r="N114" s="525"/>
      <c r="O114" s="514">
        <f t="shared" si="29"/>
        <v>0</v>
      </c>
      <c r="P114" s="514">
        <f t="shared" si="30"/>
        <v>0</v>
      </c>
      <c r="Q114" s="269"/>
      <c r="R114" s="269"/>
      <c r="S114" s="269"/>
      <c r="T114" s="269"/>
      <c r="U114" s="269"/>
      <c r="V114" s="269"/>
      <c r="W114" s="269"/>
    </row>
    <row r="115" spans="2:23" ht="12.5">
      <c r="B115" s="195" t="str">
        <f t="shared" si="31"/>
        <v/>
      </c>
      <c r="C115" s="507">
        <f>IF(D93="","-",+C114+1)</f>
        <v>2023</v>
      </c>
      <c r="D115" s="374">
        <f>IF(F114+SUM(E$99:E114)=D$92,F114,D$92-SUM(E$99:E114))</f>
        <v>53463.762614846797</v>
      </c>
      <c r="E115" s="522">
        <f>IF(+J96&lt;F114,J96,D115)</f>
        <v>1992.7073170731708</v>
      </c>
      <c r="F115" s="523">
        <f t="shared" si="40"/>
        <v>51471.05529777363</v>
      </c>
      <c r="G115" s="523">
        <f t="shared" si="41"/>
        <v>52467.408956310217</v>
      </c>
      <c r="H115" s="526">
        <f t="shared" si="42"/>
        <v>7948.5046544815268</v>
      </c>
      <c r="I115" s="577">
        <f t="shared" si="43"/>
        <v>7948.5046544815268</v>
      </c>
      <c r="J115" s="514">
        <f t="shared" si="27"/>
        <v>0</v>
      </c>
      <c r="K115" s="514"/>
      <c r="L115" s="525"/>
      <c r="M115" s="514">
        <f t="shared" si="28"/>
        <v>0</v>
      </c>
      <c r="N115" s="525"/>
      <c r="O115" s="514">
        <f t="shared" si="29"/>
        <v>0</v>
      </c>
      <c r="P115" s="514">
        <f t="shared" si="30"/>
        <v>0</v>
      </c>
      <c r="Q115" s="269"/>
      <c r="R115" s="269"/>
      <c r="S115" s="269"/>
      <c r="T115" s="269"/>
      <c r="U115" s="269"/>
      <c r="V115" s="269"/>
      <c r="W115" s="269"/>
    </row>
    <row r="116" spans="2:23" ht="12.5">
      <c r="B116" s="195" t="str">
        <f t="shared" si="31"/>
        <v/>
      </c>
      <c r="C116" s="507">
        <f>IF(D93="","-",+C115+1)</f>
        <v>2024</v>
      </c>
      <c r="D116" s="374">
        <f>IF(F115+SUM(E$99:E115)=D$92,F115,D$92-SUM(E$99:E115))</f>
        <v>51471.05529777363</v>
      </c>
      <c r="E116" s="522">
        <f>IF(+J96&lt;F115,J96,D116)</f>
        <v>1992.7073170731708</v>
      </c>
      <c r="F116" s="523">
        <f t="shared" si="40"/>
        <v>49478.347980700462</v>
      </c>
      <c r="G116" s="523">
        <f t="shared" si="41"/>
        <v>50474.701639237042</v>
      </c>
      <c r="H116" s="526">
        <f t="shared" si="42"/>
        <v>7722.3040249985415</v>
      </c>
      <c r="I116" s="577">
        <f t="shared" si="43"/>
        <v>7722.3040249985415</v>
      </c>
      <c r="J116" s="514">
        <f t="shared" si="27"/>
        <v>0</v>
      </c>
      <c r="K116" s="514"/>
      <c r="L116" s="525"/>
      <c r="M116" s="514">
        <f t="shared" si="28"/>
        <v>0</v>
      </c>
      <c r="N116" s="525"/>
      <c r="O116" s="514">
        <f t="shared" si="29"/>
        <v>0</v>
      </c>
      <c r="P116" s="514">
        <f t="shared" si="30"/>
        <v>0</v>
      </c>
      <c r="Q116" s="269"/>
      <c r="R116" s="269"/>
      <c r="S116" s="269"/>
      <c r="T116" s="269"/>
      <c r="U116" s="269"/>
      <c r="V116" s="269"/>
      <c r="W116" s="269"/>
    </row>
    <row r="117" spans="2:23" ht="12.5">
      <c r="B117" s="195" t="str">
        <f t="shared" si="31"/>
        <v/>
      </c>
      <c r="C117" s="507">
        <f>IF(D93="","-",+C116+1)</f>
        <v>2025</v>
      </c>
      <c r="D117" s="374">
        <f>IF(F116+SUM(E$99:E116)=D$92,F116,D$92-SUM(E$99:E116))</f>
        <v>49478.347980700462</v>
      </c>
      <c r="E117" s="522">
        <f>IF(+J96&lt;F116,J96,D117)</f>
        <v>1992.7073170731708</v>
      </c>
      <c r="F117" s="523">
        <f t="shared" si="40"/>
        <v>47485.640663627295</v>
      </c>
      <c r="G117" s="523">
        <f t="shared" si="41"/>
        <v>48481.994322163882</v>
      </c>
      <c r="H117" s="526">
        <f t="shared" si="42"/>
        <v>7496.103395515559</v>
      </c>
      <c r="I117" s="577">
        <f t="shared" si="43"/>
        <v>7496.103395515559</v>
      </c>
      <c r="J117" s="514">
        <f t="shared" si="27"/>
        <v>0</v>
      </c>
      <c r="K117" s="514"/>
      <c r="L117" s="525"/>
      <c r="M117" s="514">
        <f t="shared" si="28"/>
        <v>0</v>
      </c>
      <c r="N117" s="525"/>
      <c r="O117" s="514">
        <f t="shared" si="29"/>
        <v>0</v>
      </c>
      <c r="P117" s="514">
        <f t="shared" si="30"/>
        <v>0</v>
      </c>
      <c r="Q117" s="269"/>
      <c r="R117" s="269"/>
      <c r="S117" s="269"/>
      <c r="T117" s="269"/>
      <c r="U117" s="269"/>
      <c r="V117" s="269"/>
      <c r="W117" s="269"/>
    </row>
    <row r="118" spans="2:23" ht="12.5">
      <c r="B118" s="195" t="str">
        <f t="shared" si="31"/>
        <v/>
      </c>
      <c r="C118" s="507">
        <f>IF(D93="","-",+C117+1)</f>
        <v>2026</v>
      </c>
      <c r="D118" s="374">
        <f>IF(F117+SUM(E$99:E117)=D$92,F117,D$92-SUM(E$99:E117))</f>
        <v>47485.640663627295</v>
      </c>
      <c r="E118" s="522">
        <f>IF(+J96&lt;F117,J96,D118)</f>
        <v>1992.7073170731708</v>
      </c>
      <c r="F118" s="523">
        <f t="shared" si="40"/>
        <v>45492.933346554128</v>
      </c>
      <c r="G118" s="523">
        <f t="shared" si="41"/>
        <v>46489.287005090708</v>
      </c>
      <c r="H118" s="526">
        <f t="shared" si="42"/>
        <v>7269.9027660325737</v>
      </c>
      <c r="I118" s="577">
        <f t="shared" si="43"/>
        <v>7269.9027660325737</v>
      </c>
      <c r="J118" s="514">
        <f t="shared" si="27"/>
        <v>0</v>
      </c>
      <c r="K118" s="514"/>
      <c r="L118" s="525"/>
      <c r="M118" s="514">
        <f t="shared" si="28"/>
        <v>0</v>
      </c>
      <c r="N118" s="525"/>
      <c r="O118" s="514">
        <f t="shared" si="29"/>
        <v>0</v>
      </c>
      <c r="P118" s="514">
        <f t="shared" si="30"/>
        <v>0</v>
      </c>
      <c r="Q118" s="269"/>
      <c r="R118" s="269"/>
      <c r="S118" s="269"/>
      <c r="T118" s="269"/>
      <c r="U118" s="269"/>
      <c r="V118" s="269"/>
      <c r="W118" s="269"/>
    </row>
    <row r="119" spans="2:23" ht="12.5">
      <c r="B119" s="195" t="str">
        <f t="shared" si="31"/>
        <v/>
      </c>
      <c r="C119" s="507">
        <f>IF(D93="","-",+C118+1)</f>
        <v>2027</v>
      </c>
      <c r="D119" s="374">
        <f>IF(F118+SUM(E$99:E118)=D$92,F118,D$92-SUM(E$99:E118))</f>
        <v>45492.933346554128</v>
      </c>
      <c r="E119" s="522">
        <f>IF(+J96&lt;F118,J96,D119)</f>
        <v>1992.7073170731708</v>
      </c>
      <c r="F119" s="523">
        <f t="shared" si="40"/>
        <v>43500.22602948096</v>
      </c>
      <c r="G119" s="523">
        <f t="shared" si="41"/>
        <v>44496.579688017548</v>
      </c>
      <c r="H119" s="526">
        <f t="shared" si="42"/>
        <v>7043.7021365495912</v>
      </c>
      <c r="I119" s="577">
        <f t="shared" si="43"/>
        <v>7043.7021365495912</v>
      </c>
      <c r="J119" s="514">
        <f t="shared" si="27"/>
        <v>0</v>
      </c>
      <c r="K119" s="514"/>
      <c r="L119" s="525"/>
      <c r="M119" s="514">
        <f t="shared" si="28"/>
        <v>0</v>
      </c>
      <c r="N119" s="525"/>
      <c r="O119" s="514">
        <f t="shared" si="29"/>
        <v>0</v>
      </c>
      <c r="P119" s="514">
        <f t="shared" si="30"/>
        <v>0</v>
      </c>
      <c r="Q119" s="269"/>
      <c r="R119" s="269"/>
      <c r="S119" s="269"/>
      <c r="T119" s="269"/>
      <c r="U119" s="269"/>
      <c r="V119" s="269"/>
      <c r="W119" s="269"/>
    </row>
    <row r="120" spans="2:23" ht="12.5">
      <c r="B120" s="195" t="str">
        <f t="shared" si="31"/>
        <v/>
      </c>
      <c r="C120" s="507">
        <f>IF(D93="","-",+C119+1)</f>
        <v>2028</v>
      </c>
      <c r="D120" s="374">
        <f>IF(F119+SUM(E$99:E119)=D$92,F119,D$92-SUM(E$99:E119))</f>
        <v>43500.22602948096</v>
      </c>
      <c r="E120" s="522">
        <f>IF(+J96&lt;F119,J96,D120)</f>
        <v>1992.7073170731708</v>
      </c>
      <c r="F120" s="523">
        <f t="shared" si="40"/>
        <v>41507.518712407793</v>
      </c>
      <c r="G120" s="523">
        <f t="shared" si="41"/>
        <v>42503.872370944373</v>
      </c>
      <c r="H120" s="526">
        <f t="shared" si="42"/>
        <v>6817.5015070666059</v>
      </c>
      <c r="I120" s="577">
        <f t="shared" si="43"/>
        <v>6817.5015070666059</v>
      </c>
      <c r="J120" s="514">
        <f t="shared" si="27"/>
        <v>0</v>
      </c>
      <c r="K120" s="514"/>
      <c r="L120" s="525"/>
      <c r="M120" s="514">
        <f t="shared" si="28"/>
        <v>0</v>
      </c>
      <c r="N120" s="525"/>
      <c r="O120" s="514">
        <f t="shared" si="29"/>
        <v>0</v>
      </c>
      <c r="P120" s="514">
        <f t="shared" si="30"/>
        <v>0</v>
      </c>
      <c r="Q120" s="269"/>
      <c r="R120" s="269"/>
      <c r="S120" s="269"/>
      <c r="T120" s="269"/>
      <c r="U120" s="269"/>
      <c r="V120" s="269"/>
      <c r="W120" s="269"/>
    </row>
    <row r="121" spans="2:23" ht="12.5">
      <c r="B121" s="195" t="str">
        <f t="shared" si="31"/>
        <v/>
      </c>
      <c r="C121" s="507">
        <f>IF(D93="","-",+C120+1)</f>
        <v>2029</v>
      </c>
      <c r="D121" s="374">
        <f>IF(F120+SUM(E$99:E120)=D$92,F120,D$92-SUM(E$99:E120))</f>
        <v>41507.518712407793</v>
      </c>
      <c r="E121" s="522">
        <f>IF(+J96&lt;F120,J96,D121)</f>
        <v>1992.7073170731708</v>
      </c>
      <c r="F121" s="523">
        <f t="shared" si="40"/>
        <v>39514.811395334626</v>
      </c>
      <c r="G121" s="523">
        <f t="shared" si="41"/>
        <v>40511.165053871213</v>
      </c>
      <c r="H121" s="526">
        <f t="shared" si="42"/>
        <v>6591.3008775836233</v>
      </c>
      <c r="I121" s="577">
        <f t="shared" si="43"/>
        <v>6591.3008775836233</v>
      </c>
      <c r="J121" s="514">
        <f t="shared" si="27"/>
        <v>0</v>
      </c>
      <c r="K121" s="514"/>
      <c r="L121" s="525"/>
      <c r="M121" s="514">
        <f t="shared" si="28"/>
        <v>0</v>
      </c>
      <c r="N121" s="525"/>
      <c r="O121" s="514">
        <f t="shared" si="29"/>
        <v>0</v>
      </c>
      <c r="P121" s="514">
        <f t="shared" si="30"/>
        <v>0</v>
      </c>
      <c r="Q121" s="269"/>
      <c r="R121" s="269"/>
      <c r="S121" s="269"/>
      <c r="T121" s="269"/>
      <c r="U121" s="269"/>
      <c r="V121" s="269"/>
      <c r="W121" s="269"/>
    </row>
    <row r="122" spans="2:23" ht="12.5">
      <c r="B122" s="195" t="str">
        <f t="shared" si="31"/>
        <v/>
      </c>
      <c r="C122" s="507">
        <f>IF(D93="","-",+C121+1)</f>
        <v>2030</v>
      </c>
      <c r="D122" s="374">
        <f>IF(F121+SUM(E$99:E121)=D$92,F121,D$92-SUM(E$99:E121))</f>
        <v>39514.811395334626</v>
      </c>
      <c r="E122" s="522">
        <f>IF(+J96&lt;F121,J96,D122)</f>
        <v>1992.7073170731708</v>
      </c>
      <c r="F122" s="523">
        <f t="shared" si="40"/>
        <v>37522.104078261458</v>
      </c>
      <c r="G122" s="523">
        <f t="shared" si="41"/>
        <v>38518.457736798038</v>
      </c>
      <c r="H122" s="526">
        <f t="shared" si="42"/>
        <v>6365.1002481006381</v>
      </c>
      <c r="I122" s="577">
        <f t="shared" si="43"/>
        <v>6365.1002481006381</v>
      </c>
      <c r="J122" s="514">
        <f t="shared" si="27"/>
        <v>0</v>
      </c>
      <c r="K122" s="514"/>
      <c r="L122" s="525"/>
      <c r="M122" s="514">
        <f t="shared" si="28"/>
        <v>0</v>
      </c>
      <c r="N122" s="525"/>
      <c r="O122" s="514">
        <f t="shared" si="29"/>
        <v>0</v>
      </c>
      <c r="P122" s="514">
        <f t="shared" si="30"/>
        <v>0</v>
      </c>
      <c r="Q122" s="269"/>
      <c r="R122" s="269"/>
      <c r="S122" s="269"/>
      <c r="T122" s="269"/>
      <c r="U122" s="269"/>
      <c r="V122" s="269"/>
      <c r="W122" s="269"/>
    </row>
    <row r="123" spans="2:23" ht="12.5">
      <c r="B123" s="195" t="str">
        <f t="shared" si="31"/>
        <v/>
      </c>
      <c r="C123" s="507">
        <f>IF(D93="","-",+C122+1)</f>
        <v>2031</v>
      </c>
      <c r="D123" s="374">
        <f>IF(F122+SUM(E$99:E122)=D$92,F122,D$92-SUM(E$99:E122))</f>
        <v>37522.104078261458</v>
      </c>
      <c r="E123" s="522">
        <f>IF(+J96&lt;F122,J96,D123)</f>
        <v>1992.7073170731708</v>
      </c>
      <c r="F123" s="523">
        <f t="shared" si="40"/>
        <v>35529.396761188291</v>
      </c>
      <c r="G123" s="523">
        <f t="shared" si="41"/>
        <v>36525.750419724878</v>
      </c>
      <c r="H123" s="526">
        <f t="shared" si="42"/>
        <v>6138.8996186176555</v>
      </c>
      <c r="I123" s="577">
        <f t="shared" si="43"/>
        <v>6138.8996186176555</v>
      </c>
      <c r="J123" s="514">
        <f t="shared" si="27"/>
        <v>0</v>
      </c>
      <c r="K123" s="514"/>
      <c r="L123" s="525"/>
      <c r="M123" s="514">
        <f t="shared" si="28"/>
        <v>0</v>
      </c>
      <c r="N123" s="525"/>
      <c r="O123" s="514">
        <f t="shared" si="29"/>
        <v>0</v>
      </c>
      <c r="P123" s="514">
        <f t="shared" si="30"/>
        <v>0</v>
      </c>
      <c r="Q123" s="269"/>
      <c r="R123" s="269"/>
      <c r="S123" s="269"/>
      <c r="T123" s="269"/>
      <c r="U123" s="269"/>
      <c r="V123" s="269"/>
      <c r="W123" s="269"/>
    </row>
    <row r="124" spans="2:23" ht="12.5">
      <c r="B124" s="195" t="str">
        <f t="shared" si="31"/>
        <v/>
      </c>
      <c r="C124" s="507">
        <f>IF(D93="","-",+C123+1)</f>
        <v>2032</v>
      </c>
      <c r="D124" s="374">
        <f>IF(F123+SUM(E$99:E123)=D$92,F123,D$92-SUM(E$99:E123))</f>
        <v>35529.396761188291</v>
      </c>
      <c r="E124" s="522">
        <f>IF(+J96&lt;F123,J96,D124)</f>
        <v>1992.7073170731708</v>
      </c>
      <c r="F124" s="523">
        <f t="shared" si="40"/>
        <v>33536.689444115123</v>
      </c>
      <c r="G124" s="523">
        <f t="shared" si="41"/>
        <v>34533.043102651704</v>
      </c>
      <c r="H124" s="526">
        <f t="shared" si="42"/>
        <v>5912.6989891346702</v>
      </c>
      <c r="I124" s="577">
        <f t="shared" si="43"/>
        <v>5912.6989891346702</v>
      </c>
      <c r="J124" s="514">
        <f t="shared" si="27"/>
        <v>0</v>
      </c>
      <c r="K124" s="514"/>
      <c r="L124" s="525"/>
      <c r="M124" s="514">
        <f t="shared" si="28"/>
        <v>0</v>
      </c>
      <c r="N124" s="525"/>
      <c r="O124" s="514">
        <f t="shared" si="29"/>
        <v>0</v>
      </c>
      <c r="P124" s="514">
        <f t="shared" si="30"/>
        <v>0</v>
      </c>
      <c r="Q124" s="269"/>
      <c r="R124" s="269"/>
      <c r="S124" s="269"/>
      <c r="T124" s="269"/>
      <c r="U124" s="269"/>
      <c r="V124" s="269"/>
      <c r="W124" s="269"/>
    </row>
    <row r="125" spans="2:23" ht="12.5">
      <c r="B125" s="195" t="str">
        <f t="shared" si="31"/>
        <v/>
      </c>
      <c r="C125" s="507">
        <f>IF(D93="","-",+C124+1)</f>
        <v>2033</v>
      </c>
      <c r="D125" s="374">
        <f>IF(F124+SUM(E$99:E124)=D$92,F124,D$92-SUM(E$99:E124))</f>
        <v>33536.689444115123</v>
      </c>
      <c r="E125" s="522">
        <f>IF(+J96&lt;F124,J96,D125)</f>
        <v>1992.7073170731708</v>
      </c>
      <c r="F125" s="523">
        <f t="shared" si="40"/>
        <v>31543.982127041952</v>
      </c>
      <c r="G125" s="523">
        <f t="shared" si="41"/>
        <v>32540.335785578536</v>
      </c>
      <c r="H125" s="526">
        <f t="shared" si="42"/>
        <v>5686.4983596516868</v>
      </c>
      <c r="I125" s="577">
        <f t="shared" si="43"/>
        <v>5686.4983596516868</v>
      </c>
      <c r="J125" s="514">
        <f t="shared" si="27"/>
        <v>0</v>
      </c>
      <c r="K125" s="514"/>
      <c r="L125" s="525"/>
      <c r="M125" s="514">
        <f t="shared" si="28"/>
        <v>0</v>
      </c>
      <c r="N125" s="525"/>
      <c r="O125" s="514">
        <f t="shared" si="29"/>
        <v>0</v>
      </c>
      <c r="P125" s="514">
        <f t="shared" si="30"/>
        <v>0</v>
      </c>
      <c r="Q125" s="269"/>
      <c r="R125" s="269"/>
      <c r="S125" s="269"/>
      <c r="T125" s="269"/>
      <c r="U125" s="269"/>
      <c r="V125" s="269"/>
      <c r="W125" s="269"/>
    </row>
    <row r="126" spans="2:23" ht="12.5">
      <c r="B126" s="195" t="str">
        <f t="shared" si="31"/>
        <v/>
      </c>
      <c r="C126" s="507">
        <f>IF(D93="","-",+C125+1)</f>
        <v>2034</v>
      </c>
      <c r="D126" s="374">
        <f>IF(F125+SUM(E$99:E125)=D$92,F125,D$92-SUM(E$99:E125))</f>
        <v>31543.982127041952</v>
      </c>
      <c r="E126" s="522">
        <f>IF(+J96&lt;F125,J96,D126)</f>
        <v>1992.7073170731708</v>
      </c>
      <c r="F126" s="523">
        <f t="shared" si="40"/>
        <v>29551.274809968781</v>
      </c>
      <c r="G126" s="523">
        <f t="shared" si="41"/>
        <v>30547.628468505369</v>
      </c>
      <c r="H126" s="526">
        <f t="shared" si="42"/>
        <v>5460.2977301687024</v>
      </c>
      <c r="I126" s="577">
        <f t="shared" si="43"/>
        <v>5460.2977301687024</v>
      </c>
      <c r="J126" s="514">
        <f t="shared" si="27"/>
        <v>0</v>
      </c>
      <c r="K126" s="514"/>
      <c r="L126" s="525"/>
      <c r="M126" s="514">
        <f t="shared" si="28"/>
        <v>0</v>
      </c>
      <c r="N126" s="525"/>
      <c r="O126" s="514">
        <f t="shared" si="29"/>
        <v>0</v>
      </c>
      <c r="P126" s="514">
        <f t="shared" si="30"/>
        <v>0</v>
      </c>
      <c r="Q126" s="269"/>
      <c r="R126" s="269"/>
      <c r="S126" s="269"/>
      <c r="T126" s="269"/>
      <c r="U126" s="269"/>
      <c r="V126" s="269"/>
      <c r="W126" s="269"/>
    </row>
    <row r="127" spans="2:23" ht="12.5">
      <c r="B127" s="195" t="str">
        <f t="shared" si="31"/>
        <v/>
      </c>
      <c r="C127" s="507">
        <f>IF(D93="","-",+C126+1)</f>
        <v>2035</v>
      </c>
      <c r="D127" s="374">
        <f>IF(F126+SUM(E$99:E126)=D$92,F126,D$92-SUM(E$99:E126))</f>
        <v>29551.274809968781</v>
      </c>
      <c r="E127" s="522">
        <f>IF(+J96&lt;F126,J96,D127)</f>
        <v>1992.7073170731708</v>
      </c>
      <c r="F127" s="523">
        <f t="shared" si="40"/>
        <v>27558.56749289561</v>
      </c>
      <c r="G127" s="523">
        <f t="shared" si="41"/>
        <v>28554.921151432194</v>
      </c>
      <c r="H127" s="526">
        <f t="shared" si="42"/>
        <v>5234.097100685718</v>
      </c>
      <c r="I127" s="577">
        <f t="shared" si="43"/>
        <v>5234.097100685718</v>
      </c>
      <c r="J127" s="514">
        <f t="shared" si="27"/>
        <v>0</v>
      </c>
      <c r="K127" s="514"/>
      <c r="L127" s="525"/>
      <c r="M127" s="514">
        <f t="shared" si="28"/>
        <v>0</v>
      </c>
      <c r="N127" s="525"/>
      <c r="O127" s="514">
        <f t="shared" si="29"/>
        <v>0</v>
      </c>
      <c r="P127" s="514">
        <f t="shared" si="30"/>
        <v>0</v>
      </c>
      <c r="Q127" s="269"/>
      <c r="R127" s="269"/>
      <c r="S127" s="269"/>
      <c r="T127" s="269"/>
      <c r="U127" s="269"/>
      <c r="V127" s="269"/>
      <c r="W127" s="269"/>
    </row>
    <row r="128" spans="2:23" ht="12.5">
      <c r="B128" s="195" t="str">
        <f t="shared" si="31"/>
        <v/>
      </c>
      <c r="C128" s="507">
        <f>IF(D93="","-",+C127+1)</f>
        <v>2036</v>
      </c>
      <c r="D128" s="374">
        <f>IF(F127+SUM(E$99:E127)=D$92,F127,D$92-SUM(E$99:E127))</f>
        <v>27558.56749289561</v>
      </c>
      <c r="E128" s="522">
        <f>IF(+J96&lt;F127,J96,D128)</f>
        <v>1992.7073170731708</v>
      </c>
      <c r="F128" s="523">
        <f t="shared" si="40"/>
        <v>25565.860175822439</v>
      </c>
      <c r="G128" s="523">
        <f t="shared" si="41"/>
        <v>26562.213834359027</v>
      </c>
      <c r="H128" s="526">
        <f t="shared" si="42"/>
        <v>5007.8964712027337</v>
      </c>
      <c r="I128" s="577">
        <f t="shared" si="43"/>
        <v>5007.8964712027337</v>
      </c>
      <c r="J128" s="514">
        <f t="shared" si="27"/>
        <v>0</v>
      </c>
      <c r="K128" s="514"/>
      <c r="L128" s="525"/>
      <c r="M128" s="514">
        <f t="shared" si="28"/>
        <v>0</v>
      </c>
      <c r="N128" s="525"/>
      <c r="O128" s="514">
        <f t="shared" si="29"/>
        <v>0</v>
      </c>
      <c r="P128" s="514">
        <f t="shared" si="30"/>
        <v>0</v>
      </c>
      <c r="Q128" s="269"/>
      <c r="R128" s="269"/>
      <c r="S128" s="269"/>
      <c r="T128" s="269"/>
      <c r="U128" s="269"/>
      <c r="V128" s="269"/>
      <c r="W128" s="269"/>
    </row>
    <row r="129" spans="2:23" ht="12.5">
      <c r="B129" s="195" t="str">
        <f t="shared" si="31"/>
        <v/>
      </c>
      <c r="C129" s="507">
        <f>IF(D93="","-",+C128+1)</f>
        <v>2037</v>
      </c>
      <c r="D129" s="374">
        <f>IF(F128+SUM(E$99:E128)=D$92,F128,D$92-SUM(E$99:E128))</f>
        <v>25565.860175822439</v>
      </c>
      <c r="E129" s="522">
        <f>IF(+J96&lt;F128,J96,D129)</f>
        <v>1992.7073170731708</v>
      </c>
      <c r="F129" s="523">
        <f t="shared" si="40"/>
        <v>23573.152858749268</v>
      </c>
      <c r="G129" s="523">
        <f t="shared" si="41"/>
        <v>24569.506517285852</v>
      </c>
      <c r="H129" s="526">
        <f t="shared" si="42"/>
        <v>4781.6958417197493</v>
      </c>
      <c r="I129" s="577">
        <f t="shared" si="43"/>
        <v>4781.6958417197493</v>
      </c>
      <c r="J129" s="514">
        <f t="shared" si="27"/>
        <v>0</v>
      </c>
      <c r="K129" s="514"/>
      <c r="L129" s="525"/>
      <c r="M129" s="514">
        <f t="shared" si="28"/>
        <v>0</v>
      </c>
      <c r="N129" s="525"/>
      <c r="O129" s="514">
        <f t="shared" si="29"/>
        <v>0</v>
      </c>
      <c r="P129" s="514">
        <f t="shared" si="30"/>
        <v>0</v>
      </c>
      <c r="Q129" s="269"/>
      <c r="R129" s="269"/>
      <c r="S129" s="269"/>
      <c r="T129" s="269"/>
      <c r="U129" s="269"/>
      <c r="V129" s="269"/>
      <c r="W129" s="269"/>
    </row>
    <row r="130" spans="2:23" ht="12.5">
      <c r="B130" s="195" t="str">
        <f t="shared" si="31"/>
        <v/>
      </c>
      <c r="C130" s="507">
        <f>IF(D93="","-",+C129+1)</f>
        <v>2038</v>
      </c>
      <c r="D130" s="374">
        <f>IF(F129+SUM(E$99:E129)=D$92,F129,D$92-SUM(E$99:E129))</f>
        <v>23573.152858749268</v>
      </c>
      <c r="E130" s="522">
        <f>IF(+J96&lt;F129,J96,D130)</f>
        <v>1992.7073170731708</v>
      </c>
      <c r="F130" s="523">
        <f t="shared" si="40"/>
        <v>21580.445541676097</v>
      </c>
      <c r="G130" s="523">
        <f t="shared" si="41"/>
        <v>22576.799200212685</v>
      </c>
      <c r="H130" s="526">
        <f t="shared" si="42"/>
        <v>4555.4952122367658</v>
      </c>
      <c r="I130" s="577">
        <f t="shared" si="43"/>
        <v>4555.4952122367658</v>
      </c>
      <c r="J130" s="514">
        <f t="shared" si="27"/>
        <v>0</v>
      </c>
      <c r="K130" s="514"/>
      <c r="L130" s="525"/>
      <c r="M130" s="514">
        <f t="shared" si="28"/>
        <v>0</v>
      </c>
      <c r="N130" s="525"/>
      <c r="O130" s="514">
        <f t="shared" si="29"/>
        <v>0</v>
      </c>
      <c r="P130" s="514">
        <f t="shared" si="30"/>
        <v>0</v>
      </c>
      <c r="Q130" s="269"/>
      <c r="R130" s="269"/>
      <c r="S130" s="269"/>
      <c r="T130" s="269"/>
      <c r="U130" s="269"/>
      <c r="V130" s="269"/>
      <c r="W130" s="269"/>
    </row>
    <row r="131" spans="2:23" ht="12.5">
      <c r="B131" s="195" t="str">
        <f t="shared" si="31"/>
        <v/>
      </c>
      <c r="C131" s="507">
        <f>IF(D93="","-",+C130+1)</f>
        <v>2039</v>
      </c>
      <c r="D131" s="374">
        <f>IF(F130+SUM(E$99:E130)=D$92,F130,D$92-SUM(E$99:E130))</f>
        <v>21580.445541676097</v>
      </c>
      <c r="E131" s="522">
        <f>IF(+J96&lt;F130,J96,D131)</f>
        <v>1992.7073170731708</v>
      </c>
      <c r="F131" s="523">
        <f t="shared" ref="F131:F154" si="44">+D131-E131</f>
        <v>19587.738224602926</v>
      </c>
      <c r="G131" s="523">
        <f t="shared" ref="G131:G154" si="45">+(F131+D131)/2</f>
        <v>20584.09188313951</v>
      </c>
      <c r="H131" s="526">
        <f t="shared" si="42"/>
        <v>4329.2945827537806</v>
      </c>
      <c r="I131" s="577">
        <f t="shared" si="43"/>
        <v>4329.2945827537806</v>
      </c>
      <c r="J131" s="514">
        <f t="shared" ref="J131:J154" si="46">+I131-H131</f>
        <v>0</v>
      </c>
      <c r="K131" s="514"/>
      <c r="L131" s="525"/>
      <c r="M131" s="514">
        <f t="shared" ref="M131:M154" si="47">IF(L131&lt;&gt;0,+H131-L131,0)</f>
        <v>0</v>
      </c>
      <c r="N131" s="525"/>
      <c r="O131" s="514">
        <f t="shared" ref="O131:O154" si="48">IF(N131&lt;&gt;0,+I131-N131,0)</f>
        <v>0</v>
      </c>
      <c r="P131" s="514">
        <f t="shared" ref="P131:P154" si="49">+O131-M131</f>
        <v>0</v>
      </c>
      <c r="Q131" s="269"/>
      <c r="R131" s="269"/>
      <c r="S131" s="269"/>
      <c r="T131" s="269"/>
      <c r="U131" s="269"/>
      <c r="V131" s="269"/>
      <c r="W131" s="269"/>
    </row>
    <row r="132" spans="2:23" ht="12.5">
      <c r="B132" s="195" t="str">
        <f t="shared" si="31"/>
        <v/>
      </c>
      <c r="C132" s="507">
        <f>IF(D93="","-",+C131+1)</f>
        <v>2040</v>
      </c>
      <c r="D132" s="374">
        <f>IF(F131+SUM(E$99:E131)=D$92,F131,D$92-SUM(E$99:E131))</f>
        <v>19587.738224602926</v>
      </c>
      <c r="E132" s="522">
        <f>IF(+J96&lt;F131,J96,D132)</f>
        <v>1992.7073170731708</v>
      </c>
      <c r="F132" s="523">
        <f t="shared" si="44"/>
        <v>17595.030907529755</v>
      </c>
      <c r="G132" s="523">
        <f t="shared" si="45"/>
        <v>18591.384566066343</v>
      </c>
      <c r="H132" s="526">
        <f t="shared" si="42"/>
        <v>4103.0939532707971</v>
      </c>
      <c r="I132" s="577">
        <f t="shared" si="43"/>
        <v>4103.0939532707971</v>
      </c>
      <c r="J132" s="514">
        <f t="shared" si="46"/>
        <v>0</v>
      </c>
      <c r="K132" s="514"/>
      <c r="L132" s="525"/>
      <c r="M132" s="514">
        <f t="shared" si="47"/>
        <v>0</v>
      </c>
      <c r="N132" s="525"/>
      <c r="O132" s="514">
        <f t="shared" si="48"/>
        <v>0</v>
      </c>
      <c r="P132" s="514">
        <f t="shared" si="49"/>
        <v>0</v>
      </c>
      <c r="Q132" s="269"/>
      <c r="R132" s="269"/>
      <c r="S132" s="269"/>
      <c r="T132" s="269"/>
      <c r="U132" s="269"/>
      <c r="V132" s="269"/>
      <c r="W132" s="269"/>
    </row>
    <row r="133" spans="2:23" ht="12.5">
      <c r="B133" s="195" t="str">
        <f t="shared" si="31"/>
        <v/>
      </c>
      <c r="C133" s="507">
        <f>IF(D93="","-",+C132+1)</f>
        <v>2041</v>
      </c>
      <c r="D133" s="374">
        <f>IF(F132+SUM(E$99:E132)=D$92,F132,D$92-SUM(E$99:E132))</f>
        <v>17595.030907529755</v>
      </c>
      <c r="E133" s="522">
        <f>IF(+J96&lt;F132,J96,D133)</f>
        <v>1992.7073170731708</v>
      </c>
      <c r="F133" s="523">
        <f t="shared" si="44"/>
        <v>15602.323590456584</v>
      </c>
      <c r="G133" s="523">
        <f t="shared" si="45"/>
        <v>16598.677248993168</v>
      </c>
      <c r="H133" s="526">
        <f t="shared" si="42"/>
        <v>3876.8933237878118</v>
      </c>
      <c r="I133" s="577">
        <f t="shared" si="43"/>
        <v>3876.8933237878118</v>
      </c>
      <c r="J133" s="514">
        <f t="shared" si="46"/>
        <v>0</v>
      </c>
      <c r="K133" s="514"/>
      <c r="L133" s="525"/>
      <c r="M133" s="514">
        <f t="shared" si="47"/>
        <v>0</v>
      </c>
      <c r="N133" s="525"/>
      <c r="O133" s="514">
        <f t="shared" si="48"/>
        <v>0</v>
      </c>
      <c r="P133" s="514">
        <f t="shared" si="49"/>
        <v>0</v>
      </c>
      <c r="Q133" s="269"/>
      <c r="R133" s="269"/>
      <c r="S133" s="269"/>
      <c r="T133" s="269"/>
      <c r="U133" s="269"/>
      <c r="V133" s="269"/>
      <c r="W133" s="269"/>
    </row>
    <row r="134" spans="2:23" ht="12.5">
      <c r="B134" s="195" t="str">
        <f t="shared" si="31"/>
        <v/>
      </c>
      <c r="C134" s="507">
        <f>IF(D93="","-",+C133+1)</f>
        <v>2042</v>
      </c>
      <c r="D134" s="374">
        <f>IF(F133+SUM(E$99:E133)=D$92,F133,D$92-SUM(E$99:E133))</f>
        <v>15602.323590456584</v>
      </c>
      <c r="E134" s="522">
        <f>IF(+J96&lt;F133,J96,D134)</f>
        <v>1992.7073170731708</v>
      </c>
      <c r="F134" s="523">
        <f t="shared" si="44"/>
        <v>13609.616273383413</v>
      </c>
      <c r="G134" s="523">
        <f t="shared" si="45"/>
        <v>14605.969931919999</v>
      </c>
      <c r="H134" s="526">
        <f t="shared" si="42"/>
        <v>3650.6926943048284</v>
      </c>
      <c r="I134" s="577">
        <f t="shared" si="43"/>
        <v>3650.6926943048284</v>
      </c>
      <c r="J134" s="514">
        <f t="shared" si="46"/>
        <v>0</v>
      </c>
      <c r="K134" s="514"/>
      <c r="L134" s="525"/>
      <c r="M134" s="514">
        <f t="shared" si="47"/>
        <v>0</v>
      </c>
      <c r="N134" s="525"/>
      <c r="O134" s="514">
        <f t="shared" si="48"/>
        <v>0</v>
      </c>
      <c r="P134" s="514">
        <f t="shared" si="49"/>
        <v>0</v>
      </c>
      <c r="Q134" s="269"/>
      <c r="R134" s="269"/>
      <c r="S134" s="269"/>
      <c r="T134" s="269"/>
      <c r="U134" s="269"/>
      <c r="V134" s="269"/>
      <c r="W134" s="269"/>
    </row>
    <row r="135" spans="2:23" ht="12.5">
      <c r="B135" s="195" t="str">
        <f t="shared" si="31"/>
        <v/>
      </c>
      <c r="C135" s="507">
        <f>IF(D93="","-",+C134+1)</f>
        <v>2043</v>
      </c>
      <c r="D135" s="374">
        <f>IF(F134+SUM(E$99:E134)=D$92,F134,D$92-SUM(E$99:E134))</f>
        <v>13609.616273383413</v>
      </c>
      <c r="E135" s="522">
        <f>IF(+J96&lt;F134,J96,D135)</f>
        <v>1992.7073170731708</v>
      </c>
      <c r="F135" s="523">
        <f t="shared" si="44"/>
        <v>11616.908956310243</v>
      </c>
      <c r="G135" s="523">
        <f t="shared" si="45"/>
        <v>12613.262614846828</v>
      </c>
      <c r="H135" s="526">
        <f t="shared" si="42"/>
        <v>3424.492064821844</v>
      </c>
      <c r="I135" s="577">
        <f t="shared" si="43"/>
        <v>3424.492064821844</v>
      </c>
      <c r="J135" s="514">
        <f t="shared" si="46"/>
        <v>0</v>
      </c>
      <c r="K135" s="514"/>
      <c r="L135" s="525"/>
      <c r="M135" s="514">
        <f t="shared" si="47"/>
        <v>0</v>
      </c>
      <c r="N135" s="525"/>
      <c r="O135" s="514">
        <f t="shared" si="48"/>
        <v>0</v>
      </c>
      <c r="P135" s="514">
        <f t="shared" si="49"/>
        <v>0</v>
      </c>
      <c r="Q135" s="269"/>
      <c r="R135" s="269"/>
      <c r="S135" s="269"/>
      <c r="T135" s="269"/>
      <c r="U135" s="269"/>
      <c r="V135" s="269"/>
      <c r="W135" s="269"/>
    </row>
    <row r="136" spans="2:23" ht="12.5">
      <c r="B136" s="195" t="str">
        <f t="shared" si="31"/>
        <v/>
      </c>
      <c r="C136" s="507">
        <f>IF(D93="","-",+C135+1)</f>
        <v>2044</v>
      </c>
      <c r="D136" s="374">
        <f>IF(F135+SUM(E$99:E135)=D$92,F135,D$92-SUM(E$99:E135))</f>
        <v>11616.908956310243</v>
      </c>
      <c r="E136" s="522">
        <f>IF(+J96&lt;F135,J96,D136)</f>
        <v>1992.7073170731708</v>
      </c>
      <c r="F136" s="523">
        <f t="shared" si="44"/>
        <v>9624.2016392370715</v>
      </c>
      <c r="G136" s="523">
        <f t="shared" si="45"/>
        <v>10620.555297773657</v>
      </c>
      <c r="H136" s="526">
        <f t="shared" si="42"/>
        <v>3198.2914353388596</v>
      </c>
      <c r="I136" s="577">
        <f t="shared" si="43"/>
        <v>3198.2914353388596</v>
      </c>
      <c r="J136" s="514">
        <f t="shared" si="46"/>
        <v>0</v>
      </c>
      <c r="K136" s="514"/>
      <c r="L136" s="525"/>
      <c r="M136" s="514">
        <f t="shared" si="47"/>
        <v>0</v>
      </c>
      <c r="N136" s="525"/>
      <c r="O136" s="514">
        <f t="shared" si="48"/>
        <v>0</v>
      </c>
      <c r="P136" s="514">
        <f t="shared" si="49"/>
        <v>0</v>
      </c>
      <c r="Q136" s="269"/>
      <c r="R136" s="269"/>
      <c r="S136" s="269"/>
      <c r="T136" s="269"/>
      <c r="U136" s="269"/>
      <c r="V136" s="269"/>
      <c r="W136" s="269"/>
    </row>
    <row r="137" spans="2:23" ht="12.5">
      <c r="B137" s="195" t="str">
        <f t="shared" si="31"/>
        <v/>
      </c>
      <c r="C137" s="507">
        <f>IF(D93="","-",+C136+1)</f>
        <v>2045</v>
      </c>
      <c r="D137" s="374">
        <f>IF(F136+SUM(E$99:E136)=D$92,F136,D$92-SUM(E$99:E136))</f>
        <v>9624.2016392370715</v>
      </c>
      <c r="E137" s="522">
        <f>IF(+J96&lt;F136,J96,D137)</f>
        <v>1992.7073170731708</v>
      </c>
      <c r="F137" s="523">
        <f t="shared" si="44"/>
        <v>7631.4943221639005</v>
      </c>
      <c r="G137" s="523">
        <f t="shared" si="45"/>
        <v>8627.847980700486</v>
      </c>
      <c r="H137" s="526">
        <f t="shared" si="42"/>
        <v>2972.0908058558753</v>
      </c>
      <c r="I137" s="577">
        <f t="shared" si="43"/>
        <v>2972.0908058558753</v>
      </c>
      <c r="J137" s="514">
        <f t="shared" si="46"/>
        <v>0</v>
      </c>
      <c r="K137" s="514"/>
      <c r="L137" s="525"/>
      <c r="M137" s="514">
        <f t="shared" si="47"/>
        <v>0</v>
      </c>
      <c r="N137" s="525"/>
      <c r="O137" s="514">
        <f t="shared" si="48"/>
        <v>0</v>
      </c>
      <c r="P137" s="514">
        <f t="shared" si="49"/>
        <v>0</v>
      </c>
      <c r="Q137" s="269"/>
      <c r="R137" s="269"/>
      <c r="S137" s="269"/>
      <c r="T137" s="269"/>
      <c r="U137" s="269"/>
      <c r="V137" s="269"/>
      <c r="W137" s="269"/>
    </row>
    <row r="138" spans="2:23" ht="12.5">
      <c r="B138" s="195" t="str">
        <f t="shared" si="31"/>
        <v/>
      </c>
      <c r="C138" s="507">
        <f>IF(D93="","-",+C137+1)</f>
        <v>2046</v>
      </c>
      <c r="D138" s="374">
        <f>IF(F137+SUM(E$99:E137)=D$92,F137,D$92-SUM(E$99:E137))</f>
        <v>7631.4943221639005</v>
      </c>
      <c r="E138" s="522">
        <f>IF(+J96&lt;F137,J96,D138)</f>
        <v>1992.7073170731708</v>
      </c>
      <c r="F138" s="523">
        <f t="shared" si="44"/>
        <v>5638.7870050907295</v>
      </c>
      <c r="G138" s="523">
        <f t="shared" si="45"/>
        <v>6635.140663627315</v>
      </c>
      <c r="H138" s="526">
        <f t="shared" si="42"/>
        <v>2745.8901763728909</v>
      </c>
      <c r="I138" s="577">
        <f t="shared" si="43"/>
        <v>2745.8901763728909</v>
      </c>
      <c r="J138" s="514">
        <f t="shared" si="46"/>
        <v>0</v>
      </c>
      <c r="K138" s="514"/>
      <c r="L138" s="525"/>
      <c r="M138" s="514">
        <f t="shared" si="47"/>
        <v>0</v>
      </c>
      <c r="N138" s="525"/>
      <c r="O138" s="514">
        <f t="shared" si="48"/>
        <v>0</v>
      </c>
      <c r="P138" s="514">
        <f t="shared" si="49"/>
        <v>0</v>
      </c>
      <c r="Q138" s="269"/>
      <c r="R138" s="269"/>
      <c r="S138" s="269"/>
      <c r="T138" s="269"/>
      <c r="U138" s="269"/>
      <c r="V138" s="269"/>
      <c r="W138" s="269"/>
    </row>
    <row r="139" spans="2:23" ht="12.5">
      <c r="B139" s="195" t="str">
        <f t="shared" si="31"/>
        <v/>
      </c>
      <c r="C139" s="507">
        <f>IF(D93="","-",+C138+1)</f>
        <v>2047</v>
      </c>
      <c r="D139" s="374">
        <f>IF(F138+SUM(E$99:E138)=D$92,F138,D$92-SUM(E$99:E138))</f>
        <v>5638.7870050907295</v>
      </c>
      <c r="E139" s="522">
        <f>IF(+J96&lt;F138,J96,D139)</f>
        <v>1992.7073170731708</v>
      </c>
      <c r="F139" s="523">
        <f t="shared" si="44"/>
        <v>3646.0796880175585</v>
      </c>
      <c r="G139" s="523">
        <f t="shared" si="45"/>
        <v>4642.433346554144</v>
      </c>
      <c r="H139" s="526">
        <f t="shared" si="42"/>
        <v>2519.6895468899065</v>
      </c>
      <c r="I139" s="577">
        <f t="shared" si="43"/>
        <v>2519.6895468899065</v>
      </c>
      <c r="J139" s="514">
        <f t="shared" si="46"/>
        <v>0</v>
      </c>
      <c r="K139" s="514"/>
      <c r="L139" s="525"/>
      <c r="M139" s="514">
        <f t="shared" si="47"/>
        <v>0</v>
      </c>
      <c r="N139" s="525"/>
      <c r="O139" s="514">
        <f t="shared" si="48"/>
        <v>0</v>
      </c>
      <c r="P139" s="514">
        <f t="shared" si="49"/>
        <v>0</v>
      </c>
      <c r="Q139" s="269"/>
      <c r="R139" s="269"/>
      <c r="S139" s="269"/>
      <c r="T139" s="269"/>
      <c r="U139" s="269"/>
      <c r="V139" s="269"/>
      <c r="W139" s="269"/>
    </row>
    <row r="140" spans="2:23" ht="12.5">
      <c r="B140" s="195" t="str">
        <f t="shared" si="31"/>
        <v/>
      </c>
      <c r="C140" s="507">
        <f>IF(D93="","-",+C139+1)</f>
        <v>2048</v>
      </c>
      <c r="D140" s="374">
        <f>IF(F139+SUM(E$99:E139)=D$92,F139,D$92-SUM(E$99:E139))</f>
        <v>3646.0796880175585</v>
      </c>
      <c r="E140" s="522">
        <f>IF(+J96&lt;F139,J96,D140)</f>
        <v>1992.7073170731708</v>
      </c>
      <c r="F140" s="523">
        <f t="shared" si="44"/>
        <v>1653.3723709443877</v>
      </c>
      <c r="G140" s="523">
        <f t="shared" si="45"/>
        <v>2649.726029480973</v>
      </c>
      <c r="H140" s="526">
        <f t="shared" si="42"/>
        <v>2293.4889174069222</v>
      </c>
      <c r="I140" s="577">
        <f t="shared" si="43"/>
        <v>2293.4889174069222</v>
      </c>
      <c r="J140" s="514">
        <f t="shared" si="46"/>
        <v>0</v>
      </c>
      <c r="K140" s="514"/>
      <c r="L140" s="525"/>
      <c r="M140" s="514">
        <f t="shared" si="47"/>
        <v>0</v>
      </c>
      <c r="N140" s="525"/>
      <c r="O140" s="514">
        <f t="shared" si="48"/>
        <v>0</v>
      </c>
      <c r="P140" s="514">
        <f t="shared" si="49"/>
        <v>0</v>
      </c>
      <c r="Q140" s="269"/>
      <c r="R140" s="269"/>
      <c r="S140" s="269"/>
      <c r="T140" s="269"/>
      <c r="U140" s="269"/>
      <c r="V140" s="269"/>
      <c r="W140" s="269"/>
    </row>
    <row r="141" spans="2:23" ht="12.5">
      <c r="B141" s="582" t="str">
        <f t="shared" si="31"/>
        <v/>
      </c>
      <c r="C141" s="507">
        <f>IF(D93="","-",+C140+1)</f>
        <v>2049</v>
      </c>
      <c r="D141" s="374">
        <f>IF(F140+SUM(E$99:E140)=D$92,F140,D$92-SUM(E$99:E140))</f>
        <v>1653.3723709443877</v>
      </c>
      <c r="E141" s="522">
        <f>IF(+J96&lt;F140,J96,D141)</f>
        <v>1653.3723709443877</v>
      </c>
      <c r="F141" s="523">
        <f t="shared" si="44"/>
        <v>0</v>
      </c>
      <c r="G141" s="523">
        <f t="shared" si="45"/>
        <v>826.68618547219387</v>
      </c>
      <c r="H141" s="526">
        <f t="shared" si="42"/>
        <v>1747.2130137405175</v>
      </c>
      <c r="I141" s="577">
        <f t="shared" si="43"/>
        <v>1747.2130137405175</v>
      </c>
      <c r="J141" s="514">
        <f t="shared" si="46"/>
        <v>0</v>
      </c>
      <c r="K141" s="514"/>
      <c r="L141" s="525"/>
      <c r="M141" s="514">
        <f t="shared" si="47"/>
        <v>0</v>
      </c>
      <c r="N141" s="525"/>
      <c r="O141" s="514">
        <f t="shared" si="48"/>
        <v>0</v>
      </c>
      <c r="P141" s="514">
        <f t="shared" si="49"/>
        <v>0</v>
      </c>
      <c r="Q141" s="269"/>
      <c r="R141" s="269"/>
      <c r="S141" s="269"/>
      <c r="T141" s="269"/>
      <c r="U141" s="269"/>
      <c r="V141" s="269"/>
      <c r="W141" s="269"/>
    </row>
    <row r="142" spans="2:23" ht="12.5">
      <c r="B142" s="195" t="str">
        <f t="shared" si="31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4"/>
        <v>0</v>
      </c>
      <c r="G142" s="523">
        <f t="shared" si="45"/>
        <v>0</v>
      </c>
      <c r="H142" s="526">
        <f t="shared" si="42"/>
        <v>0</v>
      </c>
      <c r="I142" s="577">
        <f t="shared" si="43"/>
        <v>0</v>
      </c>
      <c r="J142" s="514">
        <f t="shared" si="46"/>
        <v>0</v>
      </c>
      <c r="K142" s="514"/>
      <c r="L142" s="525"/>
      <c r="M142" s="514">
        <f t="shared" si="47"/>
        <v>0</v>
      </c>
      <c r="N142" s="525"/>
      <c r="O142" s="514">
        <f t="shared" si="48"/>
        <v>0</v>
      </c>
      <c r="P142" s="514">
        <f t="shared" si="49"/>
        <v>0</v>
      </c>
      <c r="Q142" s="269"/>
      <c r="R142" s="269"/>
      <c r="S142" s="269"/>
      <c r="T142" s="269"/>
      <c r="U142" s="269"/>
      <c r="V142" s="269"/>
      <c r="W142" s="269"/>
    </row>
    <row r="143" spans="2:23" ht="12.5">
      <c r="B143" s="195" t="str">
        <f t="shared" si="31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4"/>
        <v>0</v>
      </c>
      <c r="G143" s="523">
        <f t="shared" si="45"/>
        <v>0</v>
      </c>
      <c r="H143" s="526">
        <f t="shared" si="42"/>
        <v>0</v>
      </c>
      <c r="I143" s="577">
        <f t="shared" si="43"/>
        <v>0</v>
      </c>
      <c r="J143" s="514">
        <f t="shared" si="46"/>
        <v>0</v>
      </c>
      <c r="K143" s="514"/>
      <c r="L143" s="525"/>
      <c r="M143" s="514">
        <f t="shared" si="47"/>
        <v>0</v>
      </c>
      <c r="N143" s="525"/>
      <c r="O143" s="514">
        <f t="shared" si="48"/>
        <v>0</v>
      </c>
      <c r="P143" s="514">
        <f t="shared" si="49"/>
        <v>0</v>
      </c>
      <c r="Q143" s="269"/>
      <c r="R143" s="269"/>
      <c r="S143" s="269"/>
      <c r="T143" s="269"/>
      <c r="U143" s="269"/>
      <c r="V143" s="269"/>
      <c r="W143" s="269"/>
    </row>
    <row r="144" spans="2:23" ht="12.5">
      <c r="B144" s="195" t="str">
        <f t="shared" si="31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4"/>
        <v>0</v>
      </c>
      <c r="G144" s="523">
        <f t="shared" si="45"/>
        <v>0</v>
      </c>
      <c r="H144" s="526">
        <f t="shared" si="42"/>
        <v>0</v>
      </c>
      <c r="I144" s="577">
        <f t="shared" si="43"/>
        <v>0</v>
      </c>
      <c r="J144" s="514">
        <f t="shared" si="46"/>
        <v>0</v>
      </c>
      <c r="K144" s="514"/>
      <c r="L144" s="525"/>
      <c r="M144" s="514">
        <f t="shared" si="47"/>
        <v>0</v>
      </c>
      <c r="N144" s="525"/>
      <c r="O144" s="514">
        <f t="shared" si="48"/>
        <v>0</v>
      </c>
      <c r="P144" s="514">
        <f t="shared" si="49"/>
        <v>0</v>
      </c>
      <c r="Q144" s="269"/>
      <c r="R144" s="269"/>
      <c r="S144" s="269"/>
      <c r="T144" s="269"/>
      <c r="U144" s="269"/>
      <c r="V144" s="269"/>
      <c r="W144" s="269"/>
    </row>
    <row r="145" spans="2:23" ht="12.5">
      <c r="B145" s="195" t="str">
        <f t="shared" si="31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4"/>
        <v>0</v>
      </c>
      <c r="G145" s="523">
        <f t="shared" si="45"/>
        <v>0</v>
      </c>
      <c r="H145" s="526">
        <f t="shared" si="42"/>
        <v>0</v>
      </c>
      <c r="I145" s="577">
        <f t="shared" si="43"/>
        <v>0</v>
      </c>
      <c r="J145" s="514">
        <f t="shared" si="46"/>
        <v>0</v>
      </c>
      <c r="K145" s="514"/>
      <c r="L145" s="525"/>
      <c r="M145" s="514">
        <f t="shared" si="47"/>
        <v>0</v>
      </c>
      <c r="N145" s="525"/>
      <c r="O145" s="514">
        <f t="shared" si="48"/>
        <v>0</v>
      </c>
      <c r="P145" s="514">
        <f t="shared" si="49"/>
        <v>0</v>
      </c>
      <c r="Q145" s="269"/>
      <c r="R145" s="269"/>
      <c r="S145" s="269"/>
      <c r="T145" s="269"/>
      <c r="U145" s="269"/>
      <c r="V145" s="269"/>
      <c r="W145" s="269"/>
    </row>
    <row r="146" spans="2:23" ht="12.5">
      <c r="B146" s="195" t="str">
        <f t="shared" si="31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4"/>
        <v>0</v>
      </c>
      <c r="G146" s="523">
        <f t="shared" si="45"/>
        <v>0</v>
      </c>
      <c r="H146" s="526">
        <f t="shared" si="42"/>
        <v>0</v>
      </c>
      <c r="I146" s="577">
        <f t="shared" si="43"/>
        <v>0</v>
      </c>
      <c r="J146" s="514">
        <f t="shared" si="46"/>
        <v>0</v>
      </c>
      <c r="K146" s="514"/>
      <c r="L146" s="525"/>
      <c r="M146" s="514">
        <f t="shared" si="47"/>
        <v>0</v>
      </c>
      <c r="N146" s="525"/>
      <c r="O146" s="514">
        <f t="shared" si="48"/>
        <v>0</v>
      </c>
      <c r="P146" s="514">
        <f t="shared" si="49"/>
        <v>0</v>
      </c>
      <c r="Q146" s="269"/>
      <c r="R146" s="269"/>
      <c r="S146" s="269"/>
      <c r="T146" s="269"/>
      <c r="U146" s="269"/>
      <c r="V146" s="269"/>
      <c r="W146" s="269"/>
    </row>
    <row r="147" spans="2:23" ht="12.5">
      <c r="B147" s="195" t="str">
        <f t="shared" si="31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4"/>
        <v>0</v>
      </c>
      <c r="G147" s="523">
        <f t="shared" si="45"/>
        <v>0</v>
      </c>
      <c r="H147" s="526">
        <f t="shared" si="42"/>
        <v>0</v>
      </c>
      <c r="I147" s="577">
        <f t="shared" si="43"/>
        <v>0</v>
      </c>
      <c r="J147" s="514">
        <f t="shared" si="46"/>
        <v>0</v>
      </c>
      <c r="K147" s="514"/>
      <c r="L147" s="525"/>
      <c r="M147" s="514">
        <f t="shared" si="47"/>
        <v>0</v>
      </c>
      <c r="N147" s="525"/>
      <c r="O147" s="514">
        <f t="shared" si="48"/>
        <v>0</v>
      </c>
      <c r="P147" s="514">
        <f t="shared" si="49"/>
        <v>0</v>
      </c>
      <c r="Q147" s="269"/>
      <c r="R147" s="269"/>
      <c r="S147" s="269"/>
      <c r="T147" s="269"/>
      <c r="U147" s="269"/>
      <c r="V147" s="269"/>
      <c r="W147" s="269"/>
    </row>
    <row r="148" spans="2:23" ht="12.5">
      <c r="B148" s="195" t="str">
        <f t="shared" si="31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4"/>
        <v>0</v>
      </c>
      <c r="G148" s="523">
        <f t="shared" si="45"/>
        <v>0</v>
      </c>
      <c r="H148" s="526">
        <f t="shared" si="42"/>
        <v>0</v>
      </c>
      <c r="I148" s="577">
        <f t="shared" si="43"/>
        <v>0</v>
      </c>
      <c r="J148" s="514">
        <f t="shared" si="46"/>
        <v>0</v>
      </c>
      <c r="K148" s="514"/>
      <c r="L148" s="525"/>
      <c r="M148" s="514">
        <f t="shared" si="47"/>
        <v>0</v>
      </c>
      <c r="N148" s="525"/>
      <c r="O148" s="514">
        <f t="shared" si="48"/>
        <v>0</v>
      </c>
      <c r="P148" s="514">
        <f t="shared" si="49"/>
        <v>0</v>
      </c>
      <c r="Q148" s="269"/>
      <c r="R148" s="269"/>
      <c r="S148" s="269"/>
      <c r="T148" s="269"/>
      <c r="U148" s="269"/>
      <c r="V148" s="269"/>
      <c r="W148" s="269"/>
    </row>
    <row r="149" spans="2:23" ht="12.5">
      <c r="B149" s="195" t="str">
        <f t="shared" si="31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4"/>
        <v>0</v>
      </c>
      <c r="G149" s="523">
        <f t="shared" si="45"/>
        <v>0</v>
      </c>
      <c r="H149" s="526">
        <f t="shared" si="42"/>
        <v>0</v>
      </c>
      <c r="I149" s="577">
        <f t="shared" si="43"/>
        <v>0</v>
      </c>
      <c r="J149" s="514">
        <f t="shared" si="46"/>
        <v>0</v>
      </c>
      <c r="K149" s="514"/>
      <c r="L149" s="525"/>
      <c r="M149" s="514">
        <f t="shared" si="47"/>
        <v>0</v>
      </c>
      <c r="N149" s="525"/>
      <c r="O149" s="514">
        <f t="shared" si="48"/>
        <v>0</v>
      </c>
      <c r="P149" s="514">
        <f t="shared" si="49"/>
        <v>0</v>
      </c>
      <c r="Q149" s="269"/>
      <c r="R149" s="269"/>
      <c r="S149" s="269"/>
      <c r="T149" s="269"/>
      <c r="U149" s="269"/>
      <c r="V149" s="269"/>
      <c r="W149" s="269"/>
    </row>
    <row r="150" spans="2:23" ht="12.5">
      <c r="B150" s="195" t="str">
        <f t="shared" si="31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4"/>
        <v>0</v>
      </c>
      <c r="G150" s="523">
        <f t="shared" si="45"/>
        <v>0</v>
      </c>
      <c r="H150" s="526">
        <f t="shared" si="42"/>
        <v>0</v>
      </c>
      <c r="I150" s="577">
        <f t="shared" si="43"/>
        <v>0</v>
      </c>
      <c r="J150" s="514">
        <f t="shared" si="46"/>
        <v>0</v>
      </c>
      <c r="K150" s="514"/>
      <c r="L150" s="525"/>
      <c r="M150" s="514">
        <f t="shared" si="47"/>
        <v>0</v>
      </c>
      <c r="N150" s="525"/>
      <c r="O150" s="514">
        <f t="shared" si="48"/>
        <v>0</v>
      </c>
      <c r="P150" s="514">
        <f t="shared" si="49"/>
        <v>0</v>
      </c>
      <c r="Q150" s="269"/>
      <c r="R150" s="269"/>
      <c r="S150" s="269"/>
      <c r="T150" s="269"/>
      <c r="U150" s="269"/>
      <c r="V150" s="269"/>
      <c r="W150" s="269"/>
    </row>
    <row r="151" spans="2:23" ht="12.5">
      <c r="B151" s="195" t="str">
        <f t="shared" si="31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4"/>
        <v>0</v>
      </c>
      <c r="G151" s="523">
        <f t="shared" si="45"/>
        <v>0</v>
      </c>
      <c r="H151" s="526">
        <f t="shared" si="42"/>
        <v>0</v>
      </c>
      <c r="I151" s="577">
        <f t="shared" si="43"/>
        <v>0</v>
      </c>
      <c r="J151" s="514">
        <f t="shared" si="46"/>
        <v>0</v>
      </c>
      <c r="K151" s="514"/>
      <c r="L151" s="525"/>
      <c r="M151" s="514">
        <f t="shared" si="47"/>
        <v>0</v>
      </c>
      <c r="N151" s="525"/>
      <c r="O151" s="514">
        <f t="shared" si="48"/>
        <v>0</v>
      </c>
      <c r="P151" s="514">
        <f t="shared" si="49"/>
        <v>0</v>
      </c>
      <c r="Q151" s="269"/>
      <c r="R151" s="269"/>
      <c r="S151" s="269"/>
      <c r="T151" s="269"/>
      <c r="U151" s="269"/>
      <c r="V151" s="269"/>
      <c r="W151" s="269"/>
    </row>
    <row r="152" spans="2:23" ht="12.5">
      <c r="B152" s="195" t="str">
        <f t="shared" si="31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4"/>
        <v>0</v>
      </c>
      <c r="G152" s="523">
        <f t="shared" si="45"/>
        <v>0</v>
      </c>
      <c r="H152" s="526">
        <f t="shared" si="42"/>
        <v>0</v>
      </c>
      <c r="I152" s="577">
        <f t="shared" si="43"/>
        <v>0</v>
      </c>
      <c r="J152" s="514">
        <f t="shared" si="46"/>
        <v>0</v>
      </c>
      <c r="K152" s="514"/>
      <c r="L152" s="525"/>
      <c r="M152" s="514">
        <f t="shared" si="47"/>
        <v>0</v>
      </c>
      <c r="N152" s="525"/>
      <c r="O152" s="514">
        <f t="shared" si="48"/>
        <v>0</v>
      </c>
      <c r="P152" s="514">
        <f t="shared" si="49"/>
        <v>0</v>
      </c>
      <c r="Q152" s="269"/>
      <c r="R152" s="269"/>
      <c r="S152" s="269"/>
      <c r="T152" s="269"/>
      <c r="U152" s="269"/>
      <c r="V152" s="269"/>
      <c r="W152" s="269"/>
    </row>
    <row r="153" spans="2:23" ht="12.5">
      <c r="B153" s="195" t="str">
        <f t="shared" si="31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4"/>
        <v>0</v>
      </c>
      <c r="G153" s="523">
        <f t="shared" si="45"/>
        <v>0</v>
      </c>
      <c r="H153" s="526">
        <f t="shared" si="42"/>
        <v>0</v>
      </c>
      <c r="I153" s="577">
        <f t="shared" si="43"/>
        <v>0</v>
      </c>
      <c r="J153" s="514">
        <f t="shared" si="46"/>
        <v>0</v>
      </c>
      <c r="K153" s="514"/>
      <c r="L153" s="525"/>
      <c r="M153" s="514">
        <f t="shared" si="47"/>
        <v>0</v>
      </c>
      <c r="N153" s="525"/>
      <c r="O153" s="514">
        <f t="shared" si="48"/>
        <v>0</v>
      </c>
      <c r="P153" s="514">
        <f t="shared" si="49"/>
        <v>0</v>
      </c>
      <c r="Q153" s="269"/>
      <c r="R153" s="269"/>
      <c r="S153" s="269"/>
      <c r="T153" s="269"/>
      <c r="U153" s="269"/>
      <c r="V153" s="269"/>
      <c r="W153" s="269"/>
    </row>
    <row r="154" spans="2:23" ht="13" thickBot="1">
      <c r="B154" s="195" t="str">
        <f t="shared" si="31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4"/>
        <v>0</v>
      </c>
      <c r="G154" s="528">
        <f t="shared" si="45"/>
        <v>0</v>
      </c>
      <c r="H154" s="530">
        <f t="shared" si="42"/>
        <v>0</v>
      </c>
      <c r="I154" s="579">
        <f t="shared" si="43"/>
        <v>0</v>
      </c>
      <c r="J154" s="533">
        <f t="shared" si="46"/>
        <v>0</v>
      </c>
      <c r="K154" s="514"/>
      <c r="L154" s="532"/>
      <c r="M154" s="533">
        <f t="shared" si="47"/>
        <v>0</v>
      </c>
      <c r="N154" s="532"/>
      <c r="O154" s="533">
        <f t="shared" si="48"/>
        <v>0</v>
      </c>
      <c r="P154" s="533">
        <f t="shared" si="49"/>
        <v>0</v>
      </c>
      <c r="Q154" s="269"/>
      <c r="R154" s="269"/>
      <c r="S154" s="269"/>
      <c r="T154" s="269"/>
      <c r="U154" s="269"/>
      <c r="V154" s="269"/>
      <c r="W154" s="269"/>
    </row>
    <row r="155" spans="2:23" ht="12.5">
      <c r="C155" s="374" t="s">
        <v>78</v>
      </c>
      <c r="D155" s="375"/>
      <c r="E155" s="375">
        <f>SUM(E99:E154)</f>
        <v>81700.999999999985</v>
      </c>
      <c r="F155" s="375"/>
      <c r="G155" s="375"/>
      <c r="H155" s="375">
        <f>SUM(H99:H154)</f>
        <v>294985.72387208429</v>
      </c>
      <c r="I155" s="375">
        <f>SUM(I99:I154)</f>
        <v>294985.72387208429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  <c r="R155" s="269"/>
      <c r="S155" s="269"/>
      <c r="T155" s="269"/>
      <c r="U155" s="269"/>
      <c r="V155" s="269"/>
      <c r="W155" s="269"/>
    </row>
    <row r="156" spans="2:23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  <c r="R156" s="269"/>
      <c r="S156" s="269"/>
      <c r="T156" s="269"/>
      <c r="U156" s="269"/>
      <c r="V156" s="269"/>
      <c r="W156" s="269"/>
    </row>
    <row r="157" spans="2:23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  <c r="R157" s="269"/>
      <c r="S157" s="269"/>
      <c r="T157" s="269"/>
      <c r="U157" s="269"/>
      <c r="V157" s="269"/>
      <c r="W157" s="269"/>
    </row>
    <row r="158" spans="2:23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  <c r="R158" s="269"/>
      <c r="S158" s="269"/>
      <c r="T158" s="269"/>
      <c r="U158" s="269"/>
      <c r="V158" s="269"/>
      <c r="W158" s="269"/>
    </row>
    <row r="159" spans="2:23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  <c r="R159" s="269"/>
      <c r="S159" s="269"/>
      <c r="T159" s="269"/>
      <c r="U159" s="269"/>
      <c r="V159" s="269"/>
      <c r="W159" s="269"/>
    </row>
    <row r="160" spans="2:23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  <c r="R160" s="269"/>
      <c r="S160" s="269"/>
      <c r="T160" s="269"/>
      <c r="U160" s="269"/>
      <c r="V160" s="269"/>
      <c r="W160" s="269"/>
    </row>
    <row r="161" spans="3:23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  <c r="R161" s="269"/>
      <c r="S161" s="269"/>
      <c r="T161" s="269"/>
      <c r="U161" s="269"/>
      <c r="V161" s="269"/>
      <c r="W161" s="269"/>
    </row>
    <row r="162" spans="3:23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  <c r="R162" s="269"/>
      <c r="S162" s="269"/>
      <c r="T162" s="269"/>
      <c r="U162" s="269"/>
      <c r="V162" s="269"/>
      <c r="W162" s="269"/>
    </row>
  </sheetData>
  <phoneticPr fontId="0" type="noConversion"/>
  <conditionalFormatting sqref="C17:C72">
    <cfRule type="cellIs" dxfId="133" priority="1" stopIfTrue="1" operator="equal">
      <formula>$I$10</formula>
    </cfRule>
  </conditionalFormatting>
  <conditionalFormatting sqref="C99:C154">
    <cfRule type="cellIs" dxfId="13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4"/>
  <dimension ref="A1:Q162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15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37586.135511568798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37586.135511568798</v>
      </c>
      <c r="O6" s="269"/>
      <c r="P6" s="269"/>
    </row>
    <row r="7" spans="1:17" ht="13.5" thickBot="1">
      <c r="C7" s="467" t="s">
        <v>48</v>
      </c>
      <c r="D7" s="468" t="s">
        <v>244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153</v>
      </c>
      <c r="E9" s="666" t="s">
        <v>483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372149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8860.6904761904771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508">
        <v>367119</v>
      </c>
      <c r="E17" s="509">
        <v>10058</v>
      </c>
      <c r="F17" s="508">
        <v>357061</v>
      </c>
      <c r="G17" s="509">
        <v>37924</v>
      </c>
      <c r="H17" s="510">
        <v>37924</v>
      </c>
      <c r="I17" s="596">
        <f t="shared" ref="I17:I48" si="0">H17-G17</f>
        <v>0</v>
      </c>
      <c r="J17" s="511"/>
      <c r="K17" s="512">
        <v>0</v>
      </c>
      <c r="L17" s="513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515">
        <v>357061</v>
      </c>
      <c r="E18" s="516">
        <v>10058</v>
      </c>
      <c r="F18" s="515">
        <v>347003</v>
      </c>
      <c r="G18" s="516">
        <v>63360</v>
      </c>
      <c r="H18" s="510">
        <v>63360</v>
      </c>
      <c r="I18" s="596">
        <f t="shared" si="0"/>
        <v>0</v>
      </c>
      <c r="J18" s="511"/>
      <c r="K18" s="518">
        <v>63360</v>
      </c>
      <c r="L18" s="514">
        <f t="shared" si="1"/>
        <v>0</v>
      </c>
      <c r="M18" s="518">
        <v>63360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2009</v>
      </c>
      <c r="D19" s="515">
        <v>238456</v>
      </c>
      <c r="E19" s="516">
        <v>6701</v>
      </c>
      <c r="F19" s="515">
        <v>231755</v>
      </c>
      <c r="G19" s="516">
        <v>42221</v>
      </c>
      <c r="H19" s="510">
        <v>42221</v>
      </c>
      <c r="I19" s="596">
        <f t="shared" si="0"/>
        <v>0</v>
      </c>
      <c r="J19" s="511"/>
      <c r="K19" s="518">
        <v>42221</v>
      </c>
      <c r="L19" s="519">
        <f t="shared" si="1"/>
        <v>0</v>
      </c>
      <c r="M19" s="518">
        <v>42221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4">IF(D20=F19,"","IU")</f>
        <v>IU</v>
      </c>
      <c r="C20" s="507">
        <f>IF(D11="","-",+C19+1)</f>
        <v>2010</v>
      </c>
      <c r="D20" s="515">
        <v>221133</v>
      </c>
      <c r="E20" s="516">
        <v>6525</v>
      </c>
      <c r="F20" s="515">
        <v>214608</v>
      </c>
      <c r="G20" s="516">
        <v>37378.118954636928</v>
      </c>
      <c r="H20" s="510">
        <v>37378.118954636928</v>
      </c>
      <c r="I20" s="517">
        <v>0</v>
      </c>
      <c r="J20" s="511"/>
      <c r="K20" s="518">
        <f t="shared" ref="K20:K25" si="5">G20</f>
        <v>37378.118954636928</v>
      </c>
      <c r="L20" s="519">
        <f t="shared" si="1"/>
        <v>0</v>
      </c>
      <c r="M20" s="518">
        <f t="shared" ref="M20:M25" si="6">H20</f>
        <v>37378.118954636928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4"/>
        <v>IU</v>
      </c>
      <c r="C21" s="507">
        <f>IF(D12="","-",+C20+1)</f>
        <v>2011</v>
      </c>
      <c r="D21" s="515">
        <v>338807</v>
      </c>
      <c r="E21" s="516">
        <v>9076.8048780487807</v>
      </c>
      <c r="F21" s="515">
        <v>329730.19512195123</v>
      </c>
      <c r="G21" s="516">
        <v>60578.084314414227</v>
      </c>
      <c r="H21" s="510">
        <v>60578.084314414227</v>
      </c>
      <c r="I21" s="517">
        <v>0</v>
      </c>
      <c r="J21" s="511"/>
      <c r="K21" s="518">
        <f t="shared" si="5"/>
        <v>60578.084314414227</v>
      </c>
      <c r="L21" s="519">
        <f t="shared" si="1"/>
        <v>0</v>
      </c>
      <c r="M21" s="518">
        <f t="shared" si="6"/>
        <v>60578.084314414227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4"/>
        <v/>
      </c>
      <c r="C22" s="507">
        <f>IF(D11="","-",+C21+1)</f>
        <v>2012</v>
      </c>
      <c r="D22" s="515">
        <v>329730.19512195123</v>
      </c>
      <c r="E22" s="520">
        <v>8860.6904761904771</v>
      </c>
      <c r="F22" s="515">
        <v>320869.50464576075</v>
      </c>
      <c r="G22" s="516">
        <v>56580.448150459459</v>
      </c>
      <c r="H22" s="510">
        <v>56580.448150459459</v>
      </c>
      <c r="I22" s="517">
        <v>0</v>
      </c>
      <c r="J22" s="511"/>
      <c r="K22" s="518">
        <f t="shared" si="5"/>
        <v>56580.448150459459</v>
      </c>
      <c r="L22" s="519">
        <f t="shared" si="1"/>
        <v>0</v>
      </c>
      <c r="M22" s="518">
        <f t="shared" si="6"/>
        <v>56580.448150459459</v>
      </c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4"/>
        <v/>
      </c>
      <c r="C23" s="507">
        <f>IF(D11="","-",+C22+1)</f>
        <v>2013</v>
      </c>
      <c r="D23" s="608">
        <v>320869.50464576075</v>
      </c>
      <c r="E23" s="609">
        <v>8860.6904761904771</v>
      </c>
      <c r="F23" s="608">
        <v>312008.81416957028</v>
      </c>
      <c r="G23" s="609">
        <v>52537.893953719817</v>
      </c>
      <c r="H23" s="610">
        <v>52537.893953719817</v>
      </c>
      <c r="I23" s="596">
        <v>0</v>
      </c>
      <c r="J23" s="511"/>
      <c r="K23" s="518">
        <f t="shared" si="5"/>
        <v>52537.893953719817</v>
      </c>
      <c r="L23" s="519">
        <f t="shared" ref="L23:L28" si="7">IF(K23&lt;&gt;0,+G23-K23,0)</f>
        <v>0</v>
      </c>
      <c r="M23" s="518">
        <f t="shared" si="6"/>
        <v>52537.893953719817</v>
      </c>
      <c r="N23" s="514">
        <f t="shared" ref="N23:N28" si="8">IF(M23&lt;&gt;0,+H23-M23,0)</f>
        <v>0</v>
      </c>
      <c r="O23" s="514">
        <f t="shared" ref="O23:O28" si="9">+N23-L23</f>
        <v>0</v>
      </c>
      <c r="P23" s="272"/>
    </row>
    <row r="24" spans="2:16" ht="12.5">
      <c r="B24" s="195" t="str">
        <f t="shared" si="4"/>
        <v/>
      </c>
      <c r="C24" s="507">
        <f>IF(D11="","-",+C23+1)</f>
        <v>2014</v>
      </c>
      <c r="D24" s="608">
        <v>312008.81416957028</v>
      </c>
      <c r="E24" s="609">
        <v>8860.6904761904771</v>
      </c>
      <c r="F24" s="608">
        <v>303148.12369337981</v>
      </c>
      <c r="G24" s="609">
        <v>49758.557918696577</v>
      </c>
      <c r="H24" s="610">
        <v>49758.557918696577</v>
      </c>
      <c r="I24" s="596">
        <v>0</v>
      </c>
      <c r="J24" s="511"/>
      <c r="K24" s="518">
        <f t="shared" si="5"/>
        <v>49758.557918696577</v>
      </c>
      <c r="L24" s="519">
        <f t="shared" si="7"/>
        <v>0</v>
      </c>
      <c r="M24" s="518">
        <f t="shared" si="6"/>
        <v>49758.557918696577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4"/>
        <v/>
      </c>
      <c r="C25" s="507">
        <f>IF(D11="","-",+C24+1)</f>
        <v>2015</v>
      </c>
      <c r="D25" s="608">
        <v>303148.12369337981</v>
      </c>
      <c r="E25" s="609">
        <v>8860.6904761904771</v>
      </c>
      <c r="F25" s="608">
        <v>294287.43321718933</v>
      </c>
      <c r="G25" s="609">
        <v>47619.758297536755</v>
      </c>
      <c r="H25" s="610">
        <v>47619.758297536755</v>
      </c>
      <c r="I25" s="511">
        <v>0</v>
      </c>
      <c r="J25" s="511"/>
      <c r="K25" s="518">
        <f t="shared" si="5"/>
        <v>47619.758297536755</v>
      </c>
      <c r="L25" s="519">
        <f t="shared" si="7"/>
        <v>0</v>
      </c>
      <c r="M25" s="518">
        <f t="shared" si="6"/>
        <v>47619.758297536755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4"/>
        <v/>
      </c>
      <c r="C26" s="507">
        <f>IF(D11="","-",+C25+1)</f>
        <v>2016</v>
      </c>
      <c r="D26" s="608">
        <v>294287.43321718933</v>
      </c>
      <c r="E26" s="609">
        <v>8860.6904761904771</v>
      </c>
      <c r="F26" s="608">
        <v>285426.74274099886</v>
      </c>
      <c r="G26" s="609">
        <v>45988.994041670856</v>
      </c>
      <c r="H26" s="610">
        <v>45988.994041670856</v>
      </c>
      <c r="I26" s="511">
        <f t="shared" si="0"/>
        <v>0</v>
      </c>
      <c r="J26" s="511"/>
      <c r="K26" s="518">
        <f t="shared" ref="K26:K31" si="10">G26</f>
        <v>45988.994041670856</v>
      </c>
      <c r="L26" s="519">
        <f t="shared" si="7"/>
        <v>0</v>
      </c>
      <c r="M26" s="518">
        <f t="shared" ref="M26:M31" si="11">H26</f>
        <v>45988.994041670856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4"/>
        <v/>
      </c>
      <c r="C27" s="507">
        <f>IF(D11="","-",+C26+1)</f>
        <v>2017</v>
      </c>
      <c r="D27" s="608">
        <v>285426.74274099886</v>
      </c>
      <c r="E27" s="609">
        <v>8654.6279069767443</v>
      </c>
      <c r="F27" s="608">
        <v>276772.11483402213</v>
      </c>
      <c r="G27" s="609">
        <v>43480.748337588419</v>
      </c>
      <c r="H27" s="610">
        <v>43480.748337588419</v>
      </c>
      <c r="I27" s="511">
        <f t="shared" si="0"/>
        <v>0</v>
      </c>
      <c r="J27" s="511"/>
      <c r="K27" s="518">
        <f t="shared" si="10"/>
        <v>43480.748337588419</v>
      </c>
      <c r="L27" s="519">
        <f t="shared" si="7"/>
        <v>0</v>
      </c>
      <c r="M27" s="518">
        <f t="shared" si="11"/>
        <v>43480.748337588419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4"/>
        <v/>
      </c>
      <c r="C28" s="507">
        <f>IF(D11="","-",+C27+1)</f>
        <v>2018</v>
      </c>
      <c r="D28" s="608">
        <v>276772.11483402213</v>
      </c>
      <c r="E28" s="609">
        <v>9076.8048780487807</v>
      </c>
      <c r="F28" s="608">
        <v>267695.30995597335</v>
      </c>
      <c r="G28" s="609">
        <v>43676.103252785928</v>
      </c>
      <c r="H28" s="610">
        <v>43676.103252785928</v>
      </c>
      <c r="I28" s="511">
        <f t="shared" si="0"/>
        <v>0</v>
      </c>
      <c r="J28" s="511"/>
      <c r="K28" s="518">
        <f t="shared" si="10"/>
        <v>43676.103252785928</v>
      </c>
      <c r="L28" s="519">
        <f t="shared" si="7"/>
        <v>0</v>
      </c>
      <c r="M28" s="518">
        <f t="shared" si="11"/>
        <v>43676.103252785928</v>
      </c>
      <c r="N28" s="514">
        <f t="shared" si="8"/>
        <v>0</v>
      </c>
      <c r="O28" s="514">
        <f t="shared" si="9"/>
        <v>0</v>
      </c>
      <c r="P28" s="272"/>
    </row>
    <row r="29" spans="2:16" ht="12.5">
      <c r="B29" s="195" t="str">
        <f t="shared" si="4"/>
        <v/>
      </c>
      <c r="C29" s="507">
        <f>IF(D11="","-",+C28+1)</f>
        <v>2019</v>
      </c>
      <c r="D29" s="608">
        <v>267695.30995597335</v>
      </c>
      <c r="E29" s="609">
        <v>9076.8048780487807</v>
      </c>
      <c r="F29" s="608">
        <v>258618.50507792458</v>
      </c>
      <c r="G29" s="609">
        <v>42522.494915662697</v>
      </c>
      <c r="H29" s="610">
        <v>42522.494915662697</v>
      </c>
      <c r="I29" s="511">
        <f t="shared" si="0"/>
        <v>0</v>
      </c>
      <c r="J29" s="511"/>
      <c r="K29" s="518">
        <f t="shared" si="10"/>
        <v>42522.494915662697</v>
      </c>
      <c r="L29" s="519">
        <f t="shared" ref="L29" si="12">IF(K29&lt;&gt;0,+G29-K29,0)</f>
        <v>0</v>
      </c>
      <c r="M29" s="518">
        <f t="shared" si="11"/>
        <v>42522.494915662697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4"/>
        <v/>
      </c>
      <c r="C30" s="507">
        <f>IF(D11="","-",+C29+1)</f>
        <v>2020</v>
      </c>
      <c r="D30" s="608">
        <v>258618.50507792458</v>
      </c>
      <c r="E30" s="609">
        <v>9076.8048780487807</v>
      </c>
      <c r="F30" s="608">
        <v>249541.70019987581</v>
      </c>
      <c r="G30" s="609">
        <v>35078.207860917915</v>
      </c>
      <c r="H30" s="610">
        <v>35078.207860917915</v>
      </c>
      <c r="I30" s="511">
        <f t="shared" si="0"/>
        <v>0</v>
      </c>
      <c r="J30" s="511"/>
      <c r="K30" s="518">
        <f t="shared" si="10"/>
        <v>35078.207860917915</v>
      </c>
      <c r="L30" s="519">
        <f t="shared" ref="L30" si="13">IF(K30&lt;&gt;0,+G30-K30,0)</f>
        <v>0</v>
      </c>
      <c r="M30" s="518">
        <f t="shared" si="11"/>
        <v>35078.207860917915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4"/>
        <v>IU</v>
      </c>
      <c r="C31" s="507">
        <f>IF(D11="","-",+C30+1)</f>
        <v>2021</v>
      </c>
      <c r="D31" s="608">
        <v>249963.87717094779</v>
      </c>
      <c r="E31" s="609">
        <v>8860.6904761904771</v>
      </c>
      <c r="F31" s="608">
        <v>241103.18669475731</v>
      </c>
      <c r="G31" s="609">
        <v>34888.360821440634</v>
      </c>
      <c r="H31" s="610">
        <v>34888.360821440634</v>
      </c>
      <c r="I31" s="511">
        <f t="shared" si="0"/>
        <v>0</v>
      </c>
      <c r="J31" s="511"/>
      <c r="K31" s="518">
        <f t="shared" si="10"/>
        <v>34888.360821440634</v>
      </c>
      <c r="L31" s="519">
        <f t="shared" ref="L31" si="14">IF(K31&lt;&gt;0,+G31-K31,0)</f>
        <v>0</v>
      </c>
      <c r="M31" s="518">
        <f t="shared" si="11"/>
        <v>34888.360821440634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4"/>
        <v>IU</v>
      </c>
      <c r="C32" s="507">
        <f>IF(D11="","-",+C31+1)</f>
        <v>2022</v>
      </c>
      <c r="D32" s="608">
        <v>240681.0097236853</v>
      </c>
      <c r="E32" s="609">
        <v>8860.6904761904771</v>
      </c>
      <c r="F32" s="608">
        <v>231820.31924749483</v>
      </c>
      <c r="G32" s="609">
        <v>35425.683082297925</v>
      </c>
      <c r="H32" s="610">
        <v>35425.683082297925</v>
      </c>
      <c r="I32" s="511">
        <f t="shared" si="0"/>
        <v>0</v>
      </c>
      <c r="J32" s="511"/>
      <c r="K32" s="518">
        <f t="shared" ref="K32" si="15">G32</f>
        <v>35425.683082297925</v>
      </c>
      <c r="L32" s="519">
        <f t="shared" ref="L32" si="16">IF(K32&lt;&gt;0,+G32-K32,0)</f>
        <v>0</v>
      </c>
      <c r="M32" s="518">
        <f t="shared" ref="M32" si="17">H32</f>
        <v>35425.683082297925</v>
      </c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4"/>
        <v/>
      </c>
      <c r="C33" s="507">
        <f>IF(D11="","-",+C32+1)</f>
        <v>2023</v>
      </c>
      <c r="D33" s="523">
        <f>IF(F32+SUM(E$17:E32)=D$10,F32,D$10-SUM(E$17:E32))</f>
        <v>231820.31924749483</v>
      </c>
      <c r="E33" s="522">
        <f>IF(+I14&lt;F32,I14,D33)</f>
        <v>8860.6904761904771</v>
      </c>
      <c r="F33" s="523">
        <f t="shared" ref="F33:F48" si="18">+D33-E33</f>
        <v>222959.62877130436</v>
      </c>
      <c r="G33" s="524">
        <f t="shared" ref="G33:G72" si="19">+I$12*((D33+F33)/2)+E33</f>
        <v>37586.135511568798</v>
      </c>
      <c r="H33" s="491">
        <f t="shared" ref="H33:H72" si="20">+I$13*((D33+F33)/2)+E33</f>
        <v>37586.135511568798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4"/>
        <v/>
      </c>
      <c r="C34" s="507">
        <f>IF(D11="","-",+C33+1)</f>
        <v>2024</v>
      </c>
      <c r="D34" s="523">
        <f>IF(F33+SUM(E$17:E33)=D$10,F33,D$10-SUM(E$17:E33))</f>
        <v>222959.62877130436</v>
      </c>
      <c r="E34" s="522">
        <f>IF(+I14&lt;F33,I14,D34)</f>
        <v>8860.6904761904771</v>
      </c>
      <c r="F34" s="523">
        <f t="shared" si="18"/>
        <v>214098.93829511388</v>
      </c>
      <c r="G34" s="524">
        <f t="shared" si="19"/>
        <v>36466.792944429981</v>
      </c>
      <c r="H34" s="491">
        <f t="shared" si="20"/>
        <v>36466.792944429981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4"/>
        <v/>
      </c>
      <c r="C35" s="507">
        <f>IF(D11="","-",+C34+1)</f>
        <v>2025</v>
      </c>
      <c r="D35" s="523">
        <f>IF(F34+SUM(E$17:E34)=D$10,F34,D$10-SUM(E$17:E34))</f>
        <v>214098.93829511388</v>
      </c>
      <c r="E35" s="522">
        <f>IF(+I14&lt;F34,I14,D35)</f>
        <v>8860.6904761904771</v>
      </c>
      <c r="F35" s="523">
        <f t="shared" si="18"/>
        <v>205238.24781892341</v>
      </c>
      <c r="G35" s="524">
        <f t="shared" si="19"/>
        <v>35347.45037729117</v>
      </c>
      <c r="H35" s="491">
        <f t="shared" si="20"/>
        <v>35347.45037729117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4"/>
        <v/>
      </c>
      <c r="C36" s="507">
        <f>IF(D11="","-",+C35+1)</f>
        <v>2026</v>
      </c>
      <c r="D36" s="523">
        <f>IF(F35+SUM(E$17:E35)=D$10,F35,D$10-SUM(E$17:E35))</f>
        <v>205238.24781892341</v>
      </c>
      <c r="E36" s="522">
        <f>IF(+I14&lt;F35,I14,D36)</f>
        <v>8860.6904761904771</v>
      </c>
      <c r="F36" s="523">
        <f t="shared" si="18"/>
        <v>196377.55734273294</v>
      </c>
      <c r="G36" s="524">
        <f t="shared" si="19"/>
        <v>34228.107810152353</v>
      </c>
      <c r="H36" s="491">
        <f t="shared" si="20"/>
        <v>34228.107810152353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4"/>
        <v/>
      </c>
      <c r="C37" s="507">
        <f>IF(D11="","-",+C36+1)</f>
        <v>2027</v>
      </c>
      <c r="D37" s="523">
        <f>IF(F36+SUM(E$17:E36)=D$10,F36,D$10-SUM(E$17:E36))</f>
        <v>196377.55734273294</v>
      </c>
      <c r="E37" s="522">
        <f>IF(+I14&lt;F36,I14,D37)</f>
        <v>8860.6904761904771</v>
      </c>
      <c r="F37" s="523">
        <f t="shared" si="18"/>
        <v>187516.86686654246</v>
      </c>
      <c r="G37" s="524">
        <f t="shared" si="19"/>
        <v>33108.765243013535</v>
      </c>
      <c r="H37" s="491">
        <f t="shared" si="20"/>
        <v>33108.765243013535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4"/>
        <v/>
      </c>
      <c r="C38" s="507">
        <f>IF(D11="","-",+C37+1)</f>
        <v>2028</v>
      </c>
      <c r="D38" s="523">
        <f>IF(F37+SUM(E$17:E37)=D$10,F37,D$10-SUM(E$17:E37))</f>
        <v>187516.86686654246</v>
      </c>
      <c r="E38" s="522">
        <f>IF(+I14&lt;F37,I14,D38)</f>
        <v>8860.6904761904771</v>
      </c>
      <c r="F38" s="523">
        <f t="shared" si="18"/>
        <v>178656.17639035199</v>
      </c>
      <c r="G38" s="524">
        <f t="shared" si="19"/>
        <v>31989.422675874725</v>
      </c>
      <c r="H38" s="491">
        <f t="shared" si="20"/>
        <v>31989.422675874725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4"/>
        <v/>
      </c>
      <c r="C39" s="507">
        <f>IF(D11="","-",+C38+1)</f>
        <v>2029</v>
      </c>
      <c r="D39" s="523">
        <f>IF(F38+SUM(E$17:E38)=D$10,F38,D$10-SUM(E$17:E38))</f>
        <v>178656.17639035199</v>
      </c>
      <c r="E39" s="522">
        <f>IF(+I14&lt;F38,I14,D39)</f>
        <v>8860.6904761904771</v>
      </c>
      <c r="F39" s="523">
        <f t="shared" si="18"/>
        <v>169795.48591416152</v>
      </c>
      <c r="G39" s="524">
        <f t="shared" si="19"/>
        <v>30870.08010873591</v>
      </c>
      <c r="H39" s="491">
        <f t="shared" si="20"/>
        <v>30870.08010873591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4"/>
        <v/>
      </c>
      <c r="C40" s="507">
        <f>IF(D11="","-",+C39+1)</f>
        <v>2030</v>
      </c>
      <c r="D40" s="523">
        <f>IF(F39+SUM(E$17:E39)=D$10,F39,D$10-SUM(E$17:E39))</f>
        <v>169795.48591416152</v>
      </c>
      <c r="E40" s="522">
        <f>IF(+I14&lt;F39,I14,D40)</f>
        <v>8860.6904761904771</v>
      </c>
      <c r="F40" s="523">
        <f t="shared" si="18"/>
        <v>160934.79543797104</v>
      </c>
      <c r="G40" s="524">
        <f t="shared" si="19"/>
        <v>29750.737541597096</v>
      </c>
      <c r="H40" s="491">
        <f t="shared" si="20"/>
        <v>29750.737541597096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4"/>
        <v/>
      </c>
      <c r="C41" s="507">
        <f>IF(D11="","-",+C40+1)</f>
        <v>2031</v>
      </c>
      <c r="D41" s="523">
        <f>IF(F40+SUM(E$17:E40)=D$10,F40,D$10-SUM(E$17:E40))</f>
        <v>160934.79543797104</v>
      </c>
      <c r="E41" s="522">
        <f>IF(+I14&lt;F40,I14,D41)</f>
        <v>8860.6904761904771</v>
      </c>
      <c r="F41" s="523">
        <f t="shared" si="18"/>
        <v>152074.10496178057</v>
      </c>
      <c r="G41" s="524">
        <f t="shared" si="19"/>
        <v>28631.394974458282</v>
      </c>
      <c r="H41" s="491">
        <f t="shared" si="20"/>
        <v>28631.394974458282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4"/>
        <v/>
      </c>
      <c r="C42" s="507">
        <f>IF(D11="","-",+C41+1)</f>
        <v>2032</v>
      </c>
      <c r="D42" s="523">
        <f>IF(F41+SUM(E$17:E41)=D$10,F41,D$10-SUM(E$17:E41))</f>
        <v>152074.10496178057</v>
      </c>
      <c r="E42" s="522">
        <f>IF(+I14&lt;F41,I14,D42)</f>
        <v>8860.6904761904771</v>
      </c>
      <c r="F42" s="523">
        <f t="shared" si="18"/>
        <v>143213.4144855901</v>
      </c>
      <c r="G42" s="524">
        <f t="shared" si="19"/>
        <v>27512.052407319468</v>
      </c>
      <c r="H42" s="491">
        <f t="shared" si="20"/>
        <v>27512.052407319468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4"/>
        <v/>
      </c>
      <c r="C43" s="507">
        <f>IF(D11="","-",+C42+1)</f>
        <v>2033</v>
      </c>
      <c r="D43" s="523">
        <f>IF(F42+SUM(E$17:E42)=D$10,F42,D$10-SUM(E$17:E42))</f>
        <v>143213.4144855901</v>
      </c>
      <c r="E43" s="522">
        <f>IF(+I14&lt;F42,I14,D43)</f>
        <v>8860.6904761904771</v>
      </c>
      <c r="F43" s="523">
        <f t="shared" si="18"/>
        <v>134352.72400939962</v>
      </c>
      <c r="G43" s="524">
        <f t="shared" si="19"/>
        <v>26392.709840180654</v>
      </c>
      <c r="H43" s="491">
        <f t="shared" si="20"/>
        <v>26392.709840180654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4"/>
        <v/>
      </c>
      <c r="C44" s="507">
        <f>IF(D11="","-",+C43+1)</f>
        <v>2034</v>
      </c>
      <c r="D44" s="523">
        <f>IF(F43+SUM(E$17:E43)=D$10,F43,D$10-SUM(E$17:E43))</f>
        <v>134352.72400939962</v>
      </c>
      <c r="E44" s="522">
        <f>IF(+I14&lt;F43,I14,D44)</f>
        <v>8860.6904761904771</v>
      </c>
      <c r="F44" s="523">
        <f t="shared" si="18"/>
        <v>125492.03353320915</v>
      </c>
      <c r="G44" s="524">
        <f t="shared" si="19"/>
        <v>25273.36727304184</v>
      </c>
      <c r="H44" s="491">
        <f t="shared" si="20"/>
        <v>25273.36727304184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4"/>
        <v/>
      </c>
      <c r="C45" s="507">
        <f>IF(D11="","-",+C44+1)</f>
        <v>2035</v>
      </c>
      <c r="D45" s="523">
        <f>IF(F44+SUM(E$17:E44)=D$10,F44,D$10-SUM(E$17:E44))</f>
        <v>125492.03353320915</v>
      </c>
      <c r="E45" s="522">
        <f>IF(+I14&lt;F44,I14,D45)</f>
        <v>8860.6904761904771</v>
      </c>
      <c r="F45" s="523">
        <f t="shared" si="18"/>
        <v>116631.34305701868</v>
      </c>
      <c r="G45" s="524">
        <f t="shared" si="19"/>
        <v>24154.024705903026</v>
      </c>
      <c r="H45" s="491">
        <f t="shared" si="20"/>
        <v>24154.024705903026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4"/>
        <v/>
      </c>
      <c r="C46" s="507">
        <f>IF(D11="","-",+C45+1)</f>
        <v>2036</v>
      </c>
      <c r="D46" s="523">
        <f>IF(F45+SUM(E$17:E45)=D$10,F45,D$10-SUM(E$17:E45))</f>
        <v>116631.34305701868</v>
      </c>
      <c r="E46" s="522">
        <f>IF(+I14&lt;F45,I14,D46)</f>
        <v>8860.6904761904771</v>
      </c>
      <c r="F46" s="523">
        <f t="shared" si="18"/>
        <v>107770.6525808282</v>
      </c>
      <c r="G46" s="524">
        <f t="shared" si="19"/>
        <v>23034.682138764212</v>
      </c>
      <c r="H46" s="491">
        <f t="shared" si="20"/>
        <v>23034.682138764212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4"/>
        <v/>
      </c>
      <c r="C47" s="507">
        <f>IF(D11="","-",+C46+1)</f>
        <v>2037</v>
      </c>
      <c r="D47" s="523">
        <f>IF(F46+SUM(E$17:E46)=D$10,F46,D$10-SUM(E$17:E46))</f>
        <v>107770.6525808282</v>
      </c>
      <c r="E47" s="522">
        <f>IF(+I14&lt;F46,I14,D47)</f>
        <v>8860.6904761904771</v>
      </c>
      <c r="F47" s="523">
        <f t="shared" si="18"/>
        <v>98909.962104637729</v>
      </c>
      <c r="G47" s="524">
        <f t="shared" si="19"/>
        <v>21915.339571625394</v>
      </c>
      <c r="H47" s="491">
        <f t="shared" si="20"/>
        <v>21915.339571625394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4"/>
        <v/>
      </c>
      <c r="C48" s="507">
        <f>IF(D11="","-",+C47+1)</f>
        <v>2038</v>
      </c>
      <c r="D48" s="523">
        <f>IF(F47+SUM(E$17:E47)=D$10,F47,D$10-SUM(E$17:E47))</f>
        <v>98909.962104637729</v>
      </c>
      <c r="E48" s="522">
        <f>IF(+I14&lt;F47,I14,D48)</f>
        <v>8860.6904761904771</v>
      </c>
      <c r="F48" s="523">
        <f t="shared" si="18"/>
        <v>90049.271628447255</v>
      </c>
      <c r="G48" s="524">
        <f t="shared" si="19"/>
        <v>20795.997004486584</v>
      </c>
      <c r="H48" s="491">
        <f t="shared" si="20"/>
        <v>20795.997004486584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4"/>
        <v/>
      </c>
      <c r="C49" s="507">
        <f>IF(D11="","-",+C48+1)</f>
        <v>2039</v>
      </c>
      <c r="D49" s="523">
        <f>IF(F48+SUM(E$17:E48)=D$10,F48,D$10-SUM(E$17:E48))</f>
        <v>90049.271628447255</v>
      </c>
      <c r="E49" s="522">
        <f>IF(+I14&lt;F48,I14,D49)</f>
        <v>8860.6904761904771</v>
      </c>
      <c r="F49" s="523">
        <f t="shared" ref="F49:F72" si="21">+D49-E49</f>
        <v>81188.581152256782</v>
      </c>
      <c r="G49" s="524">
        <f t="shared" si="19"/>
        <v>19676.654437347766</v>
      </c>
      <c r="H49" s="491">
        <f t="shared" si="20"/>
        <v>19676.654437347766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 ht="12.5">
      <c r="B50" s="195" t="str">
        <f t="shared" si="4"/>
        <v/>
      </c>
      <c r="C50" s="507">
        <f>IF(D11="","-",+C49+1)</f>
        <v>2040</v>
      </c>
      <c r="D50" s="523">
        <f>IF(F49+SUM(E$17:E49)=D$10,F49,D$10-SUM(E$17:E49))</f>
        <v>81188.581152256782</v>
      </c>
      <c r="E50" s="522">
        <f>IF(+I14&lt;F49,I14,D50)</f>
        <v>8860.6904761904771</v>
      </c>
      <c r="F50" s="523">
        <f t="shared" si="21"/>
        <v>72327.890676066309</v>
      </c>
      <c r="G50" s="524">
        <f t="shared" si="19"/>
        <v>18557.311870208956</v>
      </c>
      <c r="H50" s="491">
        <f t="shared" si="20"/>
        <v>18557.311870208956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 ht="12.5">
      <c r="B51" s="195" t="str">
        <f t="shared" si="4"/>
        <v/>
      </c>
      <c r="C51" s="507">
        <f>IF(D11="","-",+C50+1)</f>
        <v>2041</v>
      </c>
      <c r="D51" s="523">
        <f>IF(F50+SUM(E$17:E50)=D$10,F50,D$10-SUM(E$17:E50))</f>
        <v>72327.890676066309</v>
      </c>
      <c r="E51" s="522">
        <f>IF(+I14&lt;F50,I14,D51)</f>
        <v>8860.6904761904771</v>
      </c>
      <c r="F51" s="523">
        <f t="shared" si="21"/>
        <v>63467.200199875835</v>
      </c>
      <c r="G51" s="524">
        <f t="shared" si="19"/>
        <v>17437.969303070138</v>
      </c>
      <c r="H51" s="491">
        <f t="shared" si="20"/>
        <v>17437.969303070138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 ht="12.5">
      <c r="B52" s="195" t="str">
        <f t="shared" si="4"/>
        <v/>
      </c>
      <c r="C52" s="507">
        <f>IF(D11="","-",+C51+1)</f>
        <v>2042</v>
      </c>
      <c r="D52" s="523">
        <f>IF(F51+SUM(E$17:E51)=D$10,F51,D$10-SUM(E$17:E51))</f>
        <v>63467.200199875835</v>
      </c>
      <c r="E52" s="522">
        <f>IF(+I14&lt;F51,I14,D52)</f>
        <v>8860.6904761904771</v>
      </c>
      <c r="F52" s="523">
        <f t="shared" si="21"/>
        <v>54606.509723685362</v>
      </c>
      <c r="G52" s="524">
        <f t="shared" si="19"/>
        <v>16318.626735931326</v>
      </c>
      <c r="H52" s="491">
        <f t="shared" si="20"/>
        <v>16318.626735931326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 ht="12.5">
      <c r="B53" s="195" t="str">
        <f t="shared" si="4"/>
        <v/>
      </c>
      <c r="C53" s="507">
        <f>IF(D11="","-",+C52+1)</f>
        <v>2043</v>
      </c>
      <c r="D53" s="523">
        <f>IF(F52+SUM(E$17:E52)=D$10,F52,D$10-SUM(E$17:E52))</f>
        <v>54606.509723685362</v>
      </c>
      <c r="E53" s="522">
        <f>IF(+I14&lt;F52,I14,D53)</f>
        <v>8860.6904761904771</v>
      </c>
      <c r="F53" s="523">
        <f t="shared" si="21"/>
        <v>45745.819247494888</v>
      </c>
      <c r="G53" s="524">
        <f t="shared" si="19"/>
        <v>15199.284168792512</v>
      </c>
      <c r="H53" s="491">
        <f t="shared" si="20"/>
        <v>15199.284168792512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 ht="12.5">
      <c r="B54" s="195" t="str">
        <f t="shared" si="4"/>
        <v/>
      </c>
      <c r="C54" s="507">
        <f>IF(D11="","-",+C53+1)</f>
        <v>2044</v>
      </c>
      <c r="D54" s="523">
        <f>IF(F53+SUM(E$17:E53)=D$10,F53,D$10-SUM(E$17:E53))</f>
        <v>45745.819247494888</v>
      </c>
      <c r="E54" s="522">
        <f>IF(+I14&lt;F53,I14,D54)</f>
        <v>8860.6904761904771</v>
      </c>
      <c r="F54" s="523">
        <f t="shared" si="21"/>
        <v>36885.128771304415</v>
      </c>
      <c r="G54" s="524">
        <f t="shared" si="19"/>
        <v>14079.941601653696</v>
      </c>
      <c r="H54" s="491">
        <f t="shared" si="20"/>
        <v>14079.941601653696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 ht="12.5">
      <c r="B55" s="195" t="str">
        <f t="shared" si="4"/>
        <v/>
      </c>
      <c r="C55" s="507">
        <f>IF(D11="","-",+C54+1)</f>
        <v>2045</v>
      </c>
      <c r="D55" s="523">
        <f>IF(F54+SUM(E$17:E54)=D$10,F54,D$10-SUM(E$17:E54))</f>
        <v>36885.128771304415</v>
      </c>
      <c r="E55" s="522">
        <f>IF(+I14&lt;F54,I14,D55)</f>
        <v>8860.6904761904771</v>
      </c>
      <c r="F55" s="523">
        <f t="shared" si="21"/>
        <v>28024.438295113938</v>
      </c>
      <c r="G55" s="524">
        <f t="shared" si="19"/>
        <v>12960.599034514882</v>
      </c>
      <c r="H55" s="491">
        <f t="shared" si="20"/>
        <v>12960.599034514882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 ht="12.5">
      <c r="B56" s="195" t="str">
        <f t="shared" si="4"/>
        <v/>
      </c>
      <c r="C56" s="507">
        <f>IF(D11="","-",+C55+1)</f>
        <v>2046</v>
      </c>
      <c r="D56" s="523">
        <f>IF(F55+SUM(E$17:E55)=D$10,F55,D$10-SUM(E$17:E55))</f>
        <v>28024.438295113938</v>
      </c>
      <c r="E56" s="522">
        <f>IF(+I14&lt;F55,I14,D56)</f>
        <v>8860.6904761904771</v>
      </c>
      <c r="F56" s="523">
        <f t="shared" si="21"/>
        <v>19163.747818923461</v>
      </c>
      <c r="G56" s="524">
        <f t="shared" si="19"/>
        <v>11841.256467376068</v>
      </c>
      <c r="H56" s="491">
        <f t="shared" si="20"/>
        <v>11841.256467376068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 ht="12.5">
      <c r="B57" s="195" t="str">
        <f t="shared" si="4"/>
        <v/>
      </c>
      <c r="C57" s="507">
        <f>IF(D11="","-",+C56+1)</f>
        <v>2047</v>
      </c>
      <c r="D57" s="523">
        <f>IF(F56+SUM(E$17:E56)=D$10,F56,D$10-SUM(E$17:E56))</f>
        <v>19163.747818923461</v>
      </c>
      <c r="E57" s="522">
        <f>IF(+I14&lt;F56,I14,D57)</f>
        <v>8860.6904761904771</v>
      </c>
      <c r="F57" s="523">
        <f t="shared" si="21"/>
        <v>10303.057342732984</v>
      </c>
      <c r="G57" s="524">
        <f t="shared" si="19"/>
        <v>10721.913900237254</v>
      </c>
      <c r="H57" s="491">
        <f t="shared" si="20"/>
        <v>10721.913900237254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 ht="12.5">
      <c r="B58" s="195" t="str">
        <f t="shared" si="4"/>
        <v/>
      </c>
      <c r="C58" s="507">
        <f>IF(D11="","-",+C57+1)</f>
        <v>2048</v>
      </c>
      <c r="D58" s="523">
        <f>IF(F57+SUM(E$17:E57)=D$10,F57,D$10-SUM(E$17:E57))</f>
        <v>10303.057342732984</v>
      </c>
      <c r="E58" s="522">
        <f>IF(+I14&lt;F57,I14,D58)</f>
        <v>8860.6904761904771</v>
      </c>
      <c r="F58" s="523">
        <f t="shared" si="21"/>
        <v>1442.3668665425066</v>
      </c>
      <c r="G58" s="524">
        <f t="shared" si="19"/>
        <v>9602.5713330984381</v>
      </c>
      <c r="H58" s="491">
        <f t="shared" si="20"/>
        <v>9602.5713330984381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4"/>
        <v/>
      </c>
      <c r="C59" s="507">
        <f>IF(D11="","-",+C58+1)</f>
        <v>2049</v>
      </c>
      <c r="D59" s="523">
        <f>IF(F58+SUM(E$17:E58)=D$10,F58,D$10-SUM(E$17:E58))</f>
        <v>1442.3668665425066</v>
      </c>
      <c r="E59" s="522">
        <f>IF(+I14&lt;F58,I14,D59)</f>
        <v>1442.3668665425066</v>
      </c>
      <c r="F59" s="523">
        <f t="shared" si="21"/>
        <v>0</v>
      </c>
      <c r="G59" s="524">
        <f t="shared" si="19"/>
        <v>1533.4716532117836</v>
      </c>
      <c r="H59" s="491">
        <f t="shared" si="20"/>
        <v>1533.4716532117836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 ht="12.5">
      <c r="B60" s="195" t="str">
        <f t="shared" si="4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19"/>
        <v>0</v>
      </c>
      <c r="H60" s="491">
        <f t="shared" si="20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 ht="12.5">
      <c r="B61" s="195" t="str">
        <f t="shared" si="4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19"/>
        <v>0</v>
      </c>
      <c r="H61" s="491">
        <f t="shared" si="20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 ht="12.5">
      <c r="B62" s="195" t="str">
        <f t="shared" si="4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 ht="12.5">
      <c r="B63" s="195" t="str">
        <f t="shared" si="4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 ht="12.5">
      <c r="B64" s="195" t="str">
        <f t="shared" si="4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 ht="12.5">
      <c r="B65" s="195" t="str">
        <f t="shared" si="4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 ht="12.5">
      <c r="B66" s="195" t="str">
        <f t="shared" si="4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 ht="12.5">
      <c r="B67" s="195" t="str">
        <f t="shared" si="4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 ht="12.5">
      <c r="B68" s="195" t="str">
        <f t="shared" si="4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 ht="12.5">
      <c r="B69" s="195" t="str">
        <f t="shared" si="4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 ht="12.5">
      <c r="B70" s="195" t="str">
        <f t="shared" si="4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 ht="12.5">
      <c r="B71" s="195" t="str">
        <f t="shared" si="4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" thickBot="1">
      <c r="B72" s="195" t="str">
        <f t="shared" si="4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19"/>
        <v>0</v>
      </c>
      <c r="H72" s="47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 ht="12.5">
      <c r="C73" s="374" t="s">
        <v>78</v>
      </c>
      <c r="D73" s="375"/>
      <c r="E73" s="375">
        <f>SUM(E17:E72)</f>
        <v>372149</v>
      </c>
      <c r="F73" s="375"/>
      <c r="G73" s="375">
        <f>SUM(G17:G72)</f>
        <v>1344005.114535714</v>
      </c>
      <c r="H73" s="375">
        <f>SUM(H17:H72)</f>
        <v>1344005.114535714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15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34888.360821440634</v>
      </c>
      <c r="N87" s="546">
        <f>IF(J92&lt;D11,0,VLOOKUP(J92,C17:O72,11))</f>
        <v>34888.360821440634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36750.054256736621</v>
      </c>
      <c r="N88" s="550">
        <f>IF(J92&lt;D11,0,VLOOKUP(J92,C99:P154,7))</f>
        <v>36750.054256736621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Arsenal Hill 138kV Device (Cap. Bank)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1861.693435295987</v>
      </c>
      <c r="N89" s="555">
        <f>+N88-N87</f>
        <v>1861.693435295987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TP2004148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372149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9076.8048780487807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2007</v>
      </c>
      <c r="D99" s="508">
        <v>367119</v>
      </c>
      <c r="E99" s="516">
        <v>10058</v>
      </c>
      <c r="F99" s="515">
        <v>357061</v>
      </c>
      <c r="G99" s="574">
        <v>362090</v>
      </c>
      <c r="H99" s="575">
        <v>69474</v>
      </c>
      <c r="I99" s="576">
        <v>69474</v>
      </c>
      <c r="J99" s="613">
        <f t="shared" ref="J99:J130" si="26">+I99-H99</f>
        <v>0</v>
      </c>
      <c r="K99" s="514"/>
      <c r="L99" s="512">
        <v>0</v>
      </c>
      <c r="M99" s="597">
        <f t="shared" ref="M99:M130" si="27">IF(L99&lt;&gt;0,+H99-L99,0)</f>
        <v>0</v>
      </c>
      <c r="N99" s="512">
        <v>0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2008</v>
      </c>
      <c r="D100" s="508">
        <v>245158</v>
      </c>
      <c r="E100" s="516">
        <v>6701</v>
      </c>
      <c r="F100" s="515">
        <v>238456</v>
      </c>
      <c r="G100" s="515">
        <v>241807</v>
      </c>
      <c r="H100" s="516">
        <v>45246</v>
      </c>
      <c r="I100" s="510">
        <v>45246</v>
      </c>
      <c r="J100" s="613">
        <f t="shared" si="26"/>
        <v>0</v>
      </c>
      <c r="K100" s="514"/>
      <c r="L100" s="518">
        <v>45246</v>
      </c>
      <c r="M100" s="514">
        <f t="shared" si="27"/>
        <v>0</v>
      </c>
      <c r="N100" s="518">
        <v>45246</v>
      </c>
      <c r="O100" s="514">
        <f t="shared" si="28"/>
        <v>0</v>
      </c>
      <c r="P100" s="514">
        <f t="shared" si="29"/>
        <v>0</v>
      </c>
      <c r="Q100" s="269"/>
    </row>
    <row r="101" spans="1:17" ht="12.5">
      <c r="B101" s="195" t="str">
        <f t="shared" ref="B101:B154" si="30">IF(D101=F100,"","IU")</f>
        <v>IU</v>
      </c>
      <c r="C101" s="507">
        <f>IF(D93="","-",+C100+1)</f>
        <v>2009</v>
      </c>
      <c r="D101" s="508">
        <v>355390</v>
      </c>
      <c r="E101" s="516">
        <v>9793.394736842105</v>
      </c>
      <c r="F101" s="515">
        <v>345596.60526315792</v>
      </c>
      <c r="G101" s="515">
        <v>350493.30263157899</v>
      </c>
      <c r="H101" s="516">
        <v>60522.976408209717</v>
      </c>
      <c r="I101" s="510">
        <v>60522.976408209717</v>
      </c>
      <c r="J101" s="613">
        <f t="shared" si="26"/>
        <v>0</v>
      </c>
      <c r="K101" s="514"/>
      <c r="L101" s="518">
        <f t="shared" ref="L101:L106" si="31">H101</f>
        <v>60522.976408209717</v>
      </c>
      <c r="M101" s="519">
        <f t="shared" si="27"/>
        <v>0</v>
      </c>
      <c r="N101" s="518">
        <f t="shared" ref="N101:N106" si="32">I101</f>
        <v>60522.976408209717</v>
      </c>
      <c r="O101" s="514">
        <f t="shared" si="28"/>
        <v>0</v>
      </c>
      <c r="P101" s="514">
        <f t="shared" si="29"/>
        <v>0</v>
      </c>
      <c r="Q101" s="269"/>
    </row>
    <row r="102" spans="1:17" ht="12.5">
      <c r="B102" s="195" t="str">
        <f t="shared" si="30"/>
        <v/>
      </c>
      <c r="C102" s="507">
        <f>IF(D93="","-",+C101+1)</f>
        <v>2010</v>
      </c>
      <c r="D102" s="508">
        <v>345596.60526315792</v>
      </c>
      <c r="E102" s="516">
        <v>9076.8048780487807</v>
      </c>
      <c r="F102" s="515">
        <v>336519.80038510915</v>
      </c>
      <c r="G102" s="515">
        <v>341058.20282413356</v>
      </c>
      <c r="H102" s="516">
        <v>65380.767354671472</v>
      </c>
      <c r="I102" s="510">
        <v>65380.767354671472</v>
      </c>
      <c r="J102" s="613">
        <f t="shared" si="26"/>
        <v>0</v>
      </c>
      <c r="K102" s="514"/>
      <c r="L102" s="518">
        <f t="shared" si="31"/>
        <v>65380.767354671472</v>
      </c>
      <c r="M102" s="519">
        <f t="shared" si="27"/>
        <v>0</v>
      </c>
      <c r="N102" s="518">
        <f t="shared" si="32"/>
        <v>65380.767354671472</v>
      </c>
      <c r="O102" s="514">
        <f t="shared" si="28"/>
        <v>0</v>
      </c>
      <c r="P102" s="514">
        <f t="shared" si="29"/>
        <v>0</v>
      </c>
      <c r="Q102" s="269"/>
    </row>
    <row r="103" spans="1:17" ht="12.5">
      <c r="B103" s="195" t="str">
        <f t="shared" si="30"/>
        <v/>
      </c>
      <c r="C103" s="507">
        <f>IF(D93="","-",+C102+1)</f>
        <v>2011</v>
      </c>
      <c r="D103" s="508">
        <v>336519.80038510915</v>
      </c>
      <c r="E103" s="520">
        <v>8860.6904761904771</v>
      </c>
      <c r="F103" s="515">
        <v>327659.10990891868</v>
      </c>
      <c r="G103" s="515">
        <v>332089.45514701388</v>
      </c>
      <c r="H103" s="516">
        <v>58800.269953257346</v>
      </c>
      <c r="I103" s="510">
        <v>58800.269953257346</v>
      </c>
      <c r="J103" s="613">
        <f t="shared" si="26"/>
        <v>0</v>
      </c>
      <c r="K103" s="514"/>
      <c r="L103" s="518">
        <f t="shared" si="31"/>
        <v>58800.269953257346</v>
      </c>
      <c r="M103" s="519">
        <f t="shared" si="27"/>
        <v>0</v>
      </c>
      <c r="N103" s="518">
        <f t="shared" si="32"/>
        <v>58800.269953257346</v>
      </c>
      <c r="O103" s="514">
        <f t="shared" si="28"/>
        <v>0</v>
      </c>
      <c r="P103" s="514">
        <f t="shared" si="29"/>
        <v>0</v>
      </c>
      <c r="Q103" s="269"/>
    </row>
    <row r="104" spans="1:17" ht="12.5">
      <c r="B104" s="195" t="str">
        <f t="shared" si="30"/>
        <v/>
      </c>
      <c r="C104" s="507">
        <f>IF(D93="","-",+C103+1)</f>
        <v>2012</v>
      </c>
      <c r="D104" s="508">
        <v>327659.10990891868</v>
      </c>
      <c r="E104" s="516">
        <v>8860.6904761904771</v>
      </c>
      <c r="F104" s="515">
        <v>318798.4194327282</v>
      </c>
      <c r="G104" s="515">
        <v>323228.76467082347</v>
      </c>
      <c r="H104" s="516">
        <v>56425.074067115129</v>
      </c>
      <c r="I104" s="510">
        <v>56425.074067115129</v>
      </c>
      <c r="J104" s="613">
        <f t="shared" si="26"/>
        <v>0</v>
      </c>
      <c r="K104" s="514"/>
      <c r="L104" s="518">
        <f t="shared" si="31"/>
        <v>56425.074067115129</v>
      </c>
      <c r="M104" s="519">
        <f t="shared" si="27"/>
        <v>0</v>
      </c>
      <c r="N104" s="518">
        <f t="shared" si="32"/>
        <v>56425.074067115129</v>
      </c>
      <c r="O104" s="514">
        <f t="shared" si="28"/>
        <v>0</v>
      </c>
      <c r="P104" s="514">
        <f t="shared" si="29"/>
        <v>0</v>
      </c>
      <c r="Q104" s="269"/>
    </row>
    <row r="105" spans="1:17" ht="12.5">
      <c r="B105" s="195" t="str">
        <f t="shared" si="30"/>
        <v/>
      </c>
      <c r="C105" s="507">
        <f>IF(D93="","-",+C104+1)</f>
        <v>2013</v>
      </c>
      <c r="D105" s="508">
        <v>318798.4194327282</v>
      </c>
      <c r="E105" s="516">
        <v>8860.6904761904771</v>
      </c>
      <c r="F105" s="515">
        <v>309937.72895653773</v>
      </c>
      <c r="G105" s="515">
        <v>314368.07419463294</v>
      </c>
      <c r="H105" s="516">
        <v>51392.082385725094</v>
      </c>
      <c r="I105" s="510">
        <v>51392.082385725094</v>
      </c>
      <c r="J105" s="613">
        <v>0</v>
      </c>
      <c r="K105" s="514"/>
      <c r="L105" s="518">
        <f t="shared" si="31"/>
        <v>51392.082385725094</v>
      </c>
      <c r="M105" s="519">
        <f t="shared" ref="M105:M110" si="33">IF(L105&lt;&gt;0,+H105-L105,0)</f>
        <v>0</v>
      </c>
      <c r="N105" s="518">
        <f t="shared" si="32"/>
        <v>51392.082385725094</v>
      </c>
      <c r="O105" s="514">
        <f t="shared" ref="O105:O110" si="34">IF(N105&lt;&gt;0,+I105-N105,0)</f>
        <v>0</v>
      </c>
      <c r="P105" s="514">
        <f t="shared" ref="P105:P110" si="35">+O105-M105</f>
        <v>0</v>
      </c>
      <c r="Q105" s="269"/>
    </row>
    <row r="106" spans="1:17" ht="12.5">
      <c r="B106" s="195" t="str">
        <f t="shared" si="30"/>
        <v/>
      </c>
      <c r="C106" s="507">
        <f>IF(D93="","-",+C105+1)</f>
        <v>2014</v>
      </c>
      <c r="D106" s="508">
        <v>309937.72895653773</v>
      </c>
      <c r="E106" s="516">
        <v>8860.6904761904771</v>
      </c>
      <c r="F106" s="515">
        <v>301077.03848034726</v>
      </c>
      <c r="G106" s="515">
        <v>305507.38371844252</v>
      </c>
      <c r="H106" s="516">
        <v>50386.311054794773</v>
      </c>
      <c r="I106" s="510">
        <v>50386.311054794773</v>
      </c>
      <c r="J106" s="514">
        <v>0</v>
      </c>
      <c r="K106" s="514"/>
      <c r="L106" s="518">
        <f t="shared" si="31"/>
        <v>50386.311054794773</v>
      </c>
      <c r="M106" s="519">
        <f t="shared" si="33"/>
        <v>0</v>
      </c>
      <c r="N106" s="518">
        <f t="shared" si="32"/>
        <v>50386.311054794773</v>
      </c>
      <c r="O106" s="514">
        <f t="shared" si="34"/>
        <v>0</v>
      </c>
      <c r="P106" s="514">
        <f t="shared" si="35"/>
        <v>0</v>
      </c>
      <c r="Q106" s="269"/>
    </row>
    <row r="107" spans="1:17" ht="12.5">
      <c r="B107" s="195" t="str">
        <f t="shared" si="30"/>
        <v/>
      </c>
      <c r="C107" s="507">
        <f>IF(D93="","-",+C106+1)</f>
        <v>2015</v>
      </c>
      <c r="D107" s="508">
        <v>301077.03848034726</v>
      </c>
      <c r="E107" s="516">
        <v>8860.6904761904771</v>
      </c>
      <c r="F107" s="515">
        <v>292216.34800415678</v>
      </c>
      <c r="G107" s="515">
        <v>296646.69324225199</v>
      </c>
      <c r="H107" s="516">
        <v>47949.4923700488</v>
      </c>
      <c r="I107" s="510">
        <v>47949.4923700488</v>
      </c>
      <c r="J107" s="514">
        <f t="shared" si="26"/>
        <v>0</v>
      </c>
      <c r="K107" s="514"/>
      <c r="L107" s="518">
        <f t="shared" ref="L107:L112" si="36">H107</f>
        <v>47949.4923700488</v>
      </c>
      <c r="M107" s="519">
        <f t="shared" si="33"/>
        <v>0</v>
      </c>
      <c r="N107" s="518">
        <f t="shared" ref="N107:N112" si="37">I107</f>
        <v>47949.4923700488</v>
      </c>
      <c r="O107" s="514">
        <f t="shared" si="34"/>
        <v>0</v>
      </c>
      <c r="P107" s="514">
        <f t="shared" si="35"/>
        <v>0</v>
      </c>
      <c r="Q107" s="269"/>
    </row>
    <row r="108" spans="1:17" ht="12.5">
      <c r="B108" s="195" t="str">
        <f t="shared" si="30"/>
        <v/>
      </c>
      <c r="C108" s="507">
        <f>IF(D93="","-",+C107+1)</f>
        <v>2016</v>
      </c>
      <c r="D108" s="508">
        <v>292216.34800415678</v>
      </c>
      <c r="E108" s="516">
        <v>8654.6279069767443</v>
      </c>
      <c r="F108" s="515">
        <v>283561.72009718005</v>
      </c>
      <c r="G108" s="515">
        <v>287889.03405066842</v>
      </c>
      <c r="H108" s="516">
        <v>45202.137408056922</v>
      </c>
      <c r="I108" s="510">
        <v>45202.137408056922</v>
      </c>
      <c r="J108" s="514">
        <f t="shared" si="26"/>
        <v>0</v>
      </c>
      <c r="K108" s="514"/>
      <c r="L108" s="518">
        <f t="shared" si="36"/>
        <v>45202.137408056922</v>
      </c>
      <c r="M108" s="519">
        <f t="shared" si="33"/>
        <v>0</v>
      </c>
      <c r="N108" s="518">
        <f t="shared" si="37"/>
        <v>45202.137408056922</v>
      </c>
      <c r="O108" s="514">
        <f t="shared" si="34"/>
        <v>0</v>
      </c>
      <c r="P108" s="514">
        <f t="shared" si="35"/>
        <v>0</v>
      </c>
      <c r="Q108" s="269"/>
    </row>
    <row r="109" spans="1:17" ht="12.5">
      <c r="B109" s="195" t="str">
        <f t="shared" si="30"/>
        <v/>
      </c>
      <c r="C109" s="507">
        <f>IF(D93="","-",+C108+1)</f>
        <v>2017</v>
      </c>
      <c r="D109" s="508">
        <v>283561.72009718005</v>
      </c>
      <c r="E109" s="516">
        <v>8860.6904761904771</v>
      </c>
      <c r="F109" s="515">
        <v>274701.02962098958</v>
      </c>
      <c r="G109" s="515">
        <v>279131.37485908484</v>
      </c>
      <c r="H109" s="516">
        <v>42767.185465657531</v>
      </c>
      <c r="I109" s="510">
        <v>42767.185465657531</v>
      </c>
      <c r="J109" s="514">
        <f t="shared" si="26"/>
        <v>0</v>
      </c>
      <c r="K109" s="514"/>
      <c r="L109" s="518">
        <f t="shared" si="36"/>
        <v>42767.185465657531</v>
      </c>
      <c r="M109" s="519">
        <f t="shared" si="33"/>
        <v>0</v>
      </c>
      <c r="N109" s="518">
        <f t="shared" si="37"/>
        <v>42767.185465657531</v>
      </c>
      <c r="O109" s="514">
        <f t="shared" si="34"/>
        <v>0</v>
      </c>
      <c r="P109" s="514">
        <f t="shared" si="35"/>
        <v>0</v>
      </c>
      <c r="Q109" s="269"/>
    </row>
    <row r="110" spans="1:17" ht="12.5">
      <c r="B110" s="195" t="str">
        <f t="shared" si="30"/>
        <v/>
      </c>
      <c r="C110" s="507">
        <f>IF(D93="","-",+C109+1)</f>
        <v>2018</v>
      </c>
      <c r="D110" s="508">
        <v>274701.02962098958</v>
      </c>
      <c r="E110" s="516">
        <v>8860.6904761904771</v>
      </c>
      <c r="F110" s="515">
        <v>265840.3391447991</v>
      </c>
      <c r="G110" s="515">
        <v>270270.68438289431</v>
      </c>
      <c r="H110" s="516">
        <v>37402.514159677034</v>
      </c>
      <c r="I110" s="510">
        <v>37402.514159677034</v>
      </c>
      <c r="J110" s="514">
        <f t="shared" si="26"/>
        <v>0</v>
      </c>
      <c r="K110" s="514"/>
      <c r="L110" s="518">
        <f t="shared" si="36"/>
        <v>37402.514159677034</v>
      </c>
      <c r="M110" s="519">
        <f t="shared" si="33"/>
        <v>0</v>
      </c>
      <c r="N110" s="518">
        <f t="shared" si="37"/>
        <v>37402.514159677034</v>
      </c>
      <c r="O110" s="514">
        <f t="shared" si="34"/>
        <v>0</v>
      </c>
      <c r="P110" s="514">
        <f t="shared" si="35"/>
        <v>0</v>
      </c>
      <c r="Q110" s="269"/>
    </row>
    <row r="111" spans="1:17" ht="12.5">
      <c r="B111" s="195" t="str">
        <f t="shared" si="30"/>
        <v/>
      </c>
      <c r="C111" s="507">
        <f>IF(D93="","-",+C110+1)</f>
        <v>2019</v>
      </c>
      <c r="D111" s="508">
        <v>265840.3391447991</v>
      </c>
      <c r="E111" s="516">
        <v>8654.6279069767443</v>
      </c>
      <c r="F111" s="515">
        <v>257185.71123782237</v>
      </c>
      <c r="G111" s="515">
        <v>261513.02519131073</v>
      </c>
      <c r="H111" s="516">
        <v>36647.12505132259</v>
      </c>
      <c r="I111" s="510">
        <v>36647.12505132259</v>
      </c>
      <c r="J111" s="514">
        <f t="shared" si="26"/>
        <v>0</v>
      </c>
      <c r="K111" s="514"/>
      <c r="L111" s="518">
        <f t="shared" si="36"/>
        <v>36647.12505132259</v>
      </c>
      <c r="M111" s="519">
        <f t="shared" ref="M111:M112" si="38">IF(L111&lt;&gt;0,+H111-L111,0)</f>
        <v>0</v>
      </c>
      <c r="N111" s="518">
        <f t="shared" si="37"/>
        <v>36647.12505132259</v>
      </c>
      <c r="O111" s="514">
        <f t="shared" si="28"/>
        <v>0</v>
      </c>
      <c r="P111" s="514">
        <f t="shared" si="29"/>
        <v>0</v>
      </c>
      <c r="Q111" s="269"/>
    </row>
    <row r="112" spans="1:17" ht="12.5">
      <c r="B112" s="195" t="str">
        <f t="shared" si="30"/>
        <v/>
      </c>
      <c r="C112" s="507">
        <f>IF(D93="","-",+C111+1)</f>
        <v>2020</v>
      </c>
      <c r="D112" s="508">
        <v>257185.71123782237</v>
      </c>
      <c r="E112" s="516">
        <v>8860.6904761904771</v>
      </c>
      <c r="F112" s="515">
        <v>248325.02076163189</v>
      </c>
      <c r="G112" s="515">
        <v>252755.36599972713</v>
      </c>
      <c r="H112" s="516">
        <v>36050.553881907734</v>
      </c>
      <c r="I112" s="510">
        <v>36050.553881907734</v>
      </c>
      <c r="J112" s="514">
        <f t="shared" si="26"/>
        <v>0</v>
      </c>
      <c r="K112" s="514"/>
      <c r="L112" s="518">
        <f t="shared" si="36"/>
        <v>36050.553881907734</v>
      </c>
      <c r="M112" s="519">
        <f t="shared" si="38"/>
        <v>0</v>
      </c>
      <c r="N112" s="518">
        <f t="shared" si="37"/>
        <v>36050.553881907734</v>
      </c>
      <c r="O112" s="514">
        <f t="shared" si="28"/>
        <v>0</v>
      </c>
      <c r="P112" s="514">
        <f t="shared" si="29"/>
        <v>0</v>
      </c>
      <c r="Q112" s="269"/>
    </row>
    <row r="113" spans="2:17" ht="12.5">
      <c r="B113" s="195" t="str">
        <f t="shared" si="30"/>
        <v/>
      </c>
      <c r="C113" s="507">
        <f>IF(D93="","-",+C112+1)</f>
        <v>2021</v>
      </c>
      <c r="D113" s="374">
        <f>IF(F112+SUM(E$99:E112)=D$92,F112,D$92-SUM(E$99:E112))</f>
        <v>248325.02076163189</v>
      </c>
      <c r="E113" s="522">
        <f>IF(+J96&lt;F112,J96,D113)</f>
        <v>9076.8048780487807</v>
      </c>
      <c r="F113" s="523">
        <f t="shared" ref="F113:F130" si="39">+D113-E113</f>
        <v>239248.21588358312</v>
      </c>
      <c r="G113" s="523">
        <f t="shared" ref="G113:G130" si="40">+(F113+D113)/2</f>
        <v>243786.61832260751</v>
      </c>
      <c r="H113" s="526">
        <f t="shared" ref="H113:H154" si="41">+J$94*G113+E113</f>
        <v>36750.054256736621</v>
      </c>
      <c r="I113" s="577">
        <f t="shared" ref="I113:I154" si="42">+J$95*G113+E113</f>
        <v>36750.054256736621</v>
      </c>
      <c r="J113" s="514">
        <f t="shared" si="26"/>
        <v>0</v>
      </c>
      <c r="K113" s="514"/>
      <c r="L113" s="525"/>
      <c r="M113" s="514">
        <f t="shared" si="27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 ht="12.5">
      <c r="B114" s="195" t="str">
        <f t="shared" si="30"/>
        <v/>
      </c>
      <c r="C114" s="507">
        <f>IF(D93="","-",+C113+1)</f>
        <v>2022</v>
      </c>
      <c r="D114" s="374">
        <f>IF(F113+SUM(E$99:E113)=D$92,F113,D$92-SUM(E$99:E113))</f>
        <v>239248.21588358312</v>
      </c>
      <c r="E114" s="522">
        <f>IF(+J96&lt;F113,J96,D114)</f>
        <v>9076.8048780487807</v>
      </c>
      <c r="F114" s="523">
        <f t="shared" si="39"/>
        <v>230171.41100553435</v>
      </c>
      <c r="G114" s="523">
        <f t="shared" si="40"/>
        <v>234709.81344455873</v>
      </c>
      <c r="H114" s="526">
        <f t="shared" si="41"/>
        <v>35719.707773077149</v>
      </c>
      <c r="I114" s="577">
        <f t="shared" si="42"/>
        <v>35719.707773077149</v>
      </c>
      <c r="J114" s="514">
        <f t="shared" si="26"/>
        <v>0</v>
      </c>
      <c r="K114" s="514"/>
      <c r="L114" s="525"/>
      <c r="M114" s="514">
        <f t="shared" si="27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 ht="12.5">
      <c r="B115" s="195" t="str">
        <f t="shared" si="30"/>
        <v/>
      </c>
      <c r="C115" s="507">
        <f>IF(D93="","-",+C114+1)</f>
        <v>2023</v>
      </c>
      <c r="D115" s="374">
        <f>IF(F114+SUM(E$99:E114)=D$92,F114,D$92-SUM(E$99:E114))</f>
        <v>230171.41100553435</v>
      </c>
      <c r="E115" s="522">
        <f>IF(+J96&lt;F114,J96,D115)</f>
        <v>9076.8048780487807</v>
      </c>
      <c r="F115" s="523">
        <f t="shared" si="39"/>
        <v>221094.60612748557</v>
      </c>
      <c r="G115" s="523">
        <f t="shared" si="40"/>
        <v>225633.00856650996</v>
      </c>
      <c r="H115" s="526">
        <f t="shared" si="41"/>
        <v>34689.361289417669</v>
      </c>
      <c r="I115" s="577">
        <f t="shared" si="42"/>
        <v>34689.361289417669</v>
      </c>
      <c r="J115" s="514">
        <f t="shared" si="26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 ht="12.5">
      <c r="B116" s="195" t="str">
        <f t="shared" si="30"/>
        <v/>
      </c>
      <c r="C116" s="507">
        <f>IF(D93="","-",+C115+1)</f>
        <v>2024</v>
      </c>
      <c r="D116" s="374">
        <f>IF(F115+SUM(E$99:E115)=D$92,F115,D$92-SUM(E$99:E115))</f>
        <v>221094.60612748557</v>
      </c>
      <c r="E116" s="522">
        <f>IF(+J96&lt;F115,J96,D116)</f>
        <v>9076.8048780487807</v>
      </c>
      <c r="F116" s="523">
        <f t="shared" si="39"/>
        <v>212017.8012494368</v>
      </c>
      <c r="G116" s="523">
        <f t="shared" si="40"/>
        <v>216556.20368846119</v>
      </c>
      <c r="H116" s="526">
        <f t="shared" si="41"/>
        <v>33659.01480575819</v>
      </c>
      <c r="I116" s="577">
        <f t="shared" si="42"/>
        <v>33659.01480575819</v>
      </c>
      <c r="J116" s="514">
        <f t="shared" si="26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 ht="12.5">
      <c r="B117" s="195" t="str">
        <f t="shared" si="30"/>
        <v/>
      </c>
      <c r="C117" s="507">
        <f>IF(D93="","-",+C116+1)</f>
        <v>2025</v>
      </c>
      <c r="D117" s="374">
        <f>IF(F116+SUM(E$99:E116)=D$92,F116,D$92-SUM(E$99:E116))</f>
        <v>212017.8012494368</v>
      </c>
      <c r="E117" s="522">
        <f>IF(+J96&lt;F116,J96,D117)</f>
        <v>9076.8048780487807</v>
      </c>
      <c r="F117" s="523">
        <f t="shared" si="39"/>
        <v>202940.99637138803</v>
      </c>
      <c r="G117" s="523">
        <f t="shared" si="40"/>
        <v>207479.39881041241</v>
      </c>
      <c r="H117" s="526">
        <f t="shared" si="41"/>
        <v>32628.668322098711</v>
      </c>
      <c r="I117" s="577">
        <f t="shared" si="42"/>
        <v>32628.668322098711</v>
      </c>
      <c r="J117" s="514">
        <f t="shared" si="26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 ht="12.5">
      <c r="B118" s="195" t="str">
        <f t="shared" si="30"/>
        <v/>
      </c>
      <c r="C118" s="507">
        <f>IF(D93="","-",+C117+1)</f>
        <v>2026</v>
      </c>
      <c r="D118" s="374">
        <f>IF(F117+SUM(E$99:E117)=D$92,F117,D$92-SUM(E$99:E117))</f>
        <v>202940.99637138803</v>
      </c>
      <c r="E118" s="522">
        <f>IF(+J96&lt;F117,J96,D118)</f>
        <v>9076.8048780487807</v>
      </c>
      <c r="F118" s="523">
        <f t="shared" si="39"/>
        <v>193864.19149333925</v>
      </c>
      <c r="G118" s="523">
        <f t="shared" si="40"/>
        <v>198402.59393236364</v>
      </c>
      <c r="H118" s="526">
        <f t="shared" si="41"/>
        <v>31598.321838439235</v>
      </c>
      <c r="I118" s="577">
        <f t="shared" si="42"/>
        <v>31598.321838439235</v>
      </c>
      <c r="J118" s="514">
        <f t="shared" si="26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 ht="12.5">
      <c r="B119" s="195" t="str">
        <f t="shared" si="30"/>
        <v/>
      </c>
      <c r="C119" s="507">
        <f>IF(D93="","-",+C118+1)</f>
        <v>2027</v>
      </c>
      <c r="D119" s="374">
        <f>IF(F118+SUM(E$99:E118)=D$92,F118,D$92-SUM(E$99:E118))</f>
        <v>193864.19149333925</v>
      </c>
      <c r="E119" s="522">
        <f>IF(+J96&lt;F118,J96,D119)</f>
        <v>9076.8048780487807</v>
      </c>
      <c r="F119" s="523">
        <f t="shared" si="39"/>
        <v>184787.38661529048</v>
      </c>
      <c r="G119" s="523">
        <f t="shared" si="40"/>
        <v>189325.78905431487</v>
      </c>
      <c r="H119" s="526">
        <f t="shared" si="41"/>
        <v>30567.975354779755</v>
      </c>
      <c r="I119" s="577">
        <f t="shared" si="42"/>
        <v>30567.975354779755</v>
      </c>
      <c r="J119" s="514">
        <f t="shared" si="26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 ht="12.5">
      <c r="B120" s="195" t="str">
        <f t="shared" si="30"/>
        <v/>
      </c>
      <c r="C120" s="507">
        <f>IF(D93="","-",+C119+1)</f>
        <v>2028</v>
      </c>
      <c r="D120" s="374">
        <f>IF(F119+SUM(E$99:E119)=D$92,F119,D$92-SUM(E$99:E119))</f>
        <v>184787.38661529048</v>
      </c>
      <c r="E120" s="522">
        <f>IF(+J96&lt;F119,J96,D120)</f>
        <v>9076.8048780487807</v>
      </c>
      <c r="F120" s="523">
        <f t="shared" si="39"/>
        <v>175710.58173724171</v>
      </c>
      <c r="G120" s="523">
        <f t="shared" si="40"/>
        <v>180248.98417626609</v>
      </c>
      <c r="H120" s="526">
        <f t="shared" si="41"/>
        <v>29537.628871120276</v>
      </c>
      <c r="I120" s="577">
        <f t="shared" si="42"/>
        <v>29537.628871120276</v>
      </c>
      <c r="J120" s="514">
        <f t="shared" si="26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 ht="12.5">
      <c r="B121" s="195" t="str">
        <f t="shared" si="30"/>
        <v/>
      </c>
      <c r="C121" s="507">
        <f>IF(D93="","-",+C120+1)</f>
        <v>2029</v>
      </c>
      <c r="D121" s="374">
        <f>IF(F120+SUM(E$99:E120)=D$92,F120,D$92-SUM(E$99:E120))</f>
        <v>175710.58173724171</v>
      </c>
      <c r="E121" s="522">
        <f>IF(+J96&lt;F120,J96,D121)</f>
        <v>9076.8048780487807</v>
      </c>
      <c r="F121" s="523">
        <f t="shared" si="39"/>
        <v>166633.77685919293</v>
      </c>
      <c r="G121" s="523">
        <f t="shared" si="40"/>
        <v>171172.17929821732</v>
      </c>
      <c r="H121" s="526">
        <f t="shared" si="41"/>
        <v>28507.282387460797</v>
      </c>
      <c r="I121" s="577">
        <f t="shared" si="42"/>
        <v>28507.282387460797</v>
      </c>
      <c r="J121" s="514">
        <f t="shared" si="26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 ht="12.5">
      <c r="B122" s="195" t="str">
        <f t="shared" si="30"/>
        <v/>
      </c>
      <c r="C122" s="507">
        <f>IF(D93="","-",+C121+1)</f>
        <v>2030</v>
      </c>
      <c r="D122" s="374">
        <f>IF(F121+SUM(E$99:E121)=D$92,F121,D$92-SUM(E$99:E121))</f>
        <v>166633.77685919293</v>
      </c>
      <c r="E122" s="522">
        <f>IF(+J96&lt;F121,J96,D122)</f>
        <v>9076.8048780487807</v>
      </c>
      <c r="F122" s="523">
        <f t="shared" si="39"/>
        <v>157556.97198114416</v>
      </c>
      <c r="G122" s="523">
        <f t="shared" si="40"/>
        <v>162095.37442016855</v>
      </c>
      <c r="H122" s="526">
        <f t="shared" si="41"/>
        <v>27476.935903801321</v>
      </c>
      <c r="I122" s="577">
        <f t="shared" si="42"/>
        <v>27476.935903801321</v>
      </c>
      <c r="J122" s="514">
        <f t="shared" si="26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 ht="12.5">
      <c r="B123" s="195" t="str">
        <f t="shared" si="30"/>
        <v/>
      </c>
      <c r="C123" s="507">
        <f>IF(D93="","-",+C122+1)</f>
        <v>2031</v>
      </c>
      <c r="D123" s="374">
        <f>IF(F122+SUM(E$99:E122)=D$92,F122,D$92-SUM(E$99:E122))</f>
        <v>157556.97198114416</v>
      </c>
      <c r="E123" s="522">
        <f>IF(+J96&lt;F122,J96,D123)</f>
        <v>9076.8048780487807</v>
      </c>
      <c r="F123" s="523">
        <f t="shared" si="39"/>
        <v>148480.16710309539</v>
      </c>
      <c r="G123" s="523">
        <f t="shared" si="40"/>
        <v>153018.56954211977</v>
      </c>
      <c r="H123" s="526">
        <f t="shared" si="41"/>
        <v>26446.589420141841</v>
      </c>
      <c r="I123" s="577">
        <f t="shared" si="42"/>
        <v>26446.589420141841</v>
      </c>
      <c r="J123" s="514">
        <f t="shared" si="26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 ht="12.5">
      <c r="B124" s="195" t="str">
        <f t="shared" si="30"/>
        <v/>
      </c>
      <c r="C124" s="507">
        <f>IF(D93="","-",+C123+1)</f>
        <v>2032</v>
      </c>
      <c r="D124" s="374">
        <f>IF(F123+SUM(E$99:E123)=D$92,F123,D$92-SUM(E$99:E123))</f>
        <v>148480.16710309539</v>
      </c>
      <c r="E124" s="522">
        <f>IF(+J96&lt;F123,J96,D124)</f>
        <v>9076.8048780487807</v>
      </c>
      <c r="F124" s="523">
        <f t="shared" si="39"/>
        <v>139403.36222504661</v>
      </c>
      <c r="G124" s="523">
        <f t="shared" si="40"/>
        <v>143941.764664071</v>
      </c>
      <c r="H124" s="526">
        <f t="shared" si="41"/>
        <v>25416.242936482362</v>
      </c>
      <c r="I124" s="577">
        <f t="shared" si="42"/>
        <v>25416.242936482362</v>
      </c>
      <c r="J124" s="514">
        <f t="shared" si="26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 ht="12.5">
      <c r="B125" s="195" t="str">
        <f t="shared" si="30"/>
        <v/>
      </c>
      <c r="C125" s="507">
        <f>IF(D93="","-",+C124+1)</f>
        <v>2033</v>
      </c>
      <c r="D125" s="374">
        <f>IF(F124+SUM(E$99:E124)=D$92,F124,D$92-SUM(E$99:E124))</f>
        <v>139403.36222504661</v>
      </c>
      <c r="E125" s="522">
        <f>IF(+J96&lt;F124,J96,D125)</f>
        <v>9076.8048780487807</v>
      </c>
      <c r="F125" s="523">
        <f t="shared" si="39"/>
        <v>130326.55734699784</v>
      </c>
      <c r="G125" s="523">
        <f t="shared" si="40"/>
        <v>134864.95978602223</v>
      </c>
      <c r="H125" s="526">
        <f t="shared" si="41"/>
        <v>24385.896452822883</v>
      </c>
      <c r="I125" s="577">
        <f t="shared" si="42"/>
        <v>24385.896452822883</v>
      </c>
      <c r="J125" s="514">
        <f t="shared" si="26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 ht="12.5">
      <c r="B126" s="195" t="str">
        <f t="shared" si="30"/>
        <v/>
      </c>
      <c r="C126" s="507">
        <f>IF(D93="","-",+C125+1)</f>
        <v>2034</v>
      </c>
      <c r="D126" s="374">
        <f>IF(F125+SUM(E$99:E125)=D$92,F125,D$92-SUM(E$99:E125))</f>
        <v>130326.55734699784</v>
      </c>
      <c r="E126" s="522">
        <f>IF(+J96&lt;F125,J96,D126)</f>
        <v>9076.8048780487807</v>
      </c>
      <c r="F126" s="523">
        <f t="shared" si="39"/>
        <v>121249.75246894907</v>
      </c>
      <c r="G126" s="523">
        <f t="shared" si="40"/>
        <v>125788.15490797345</v>
      </c>
      <c r="H126" s="526">
        <f t="shared" si="41"/>
        <v>23355.549969163407</v>
      </c>
      <c r="I126" s="577">
        <f t="shared" si="42"/>
        <v>23355.549969163407</v>
      </c>
      <c r="J126" s="514">
        <f t="shared" si="26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 ht="12.5">
      <c r="B127" s="195" t="str">
        <f t="shared" si="30"/>
        <v/>
      </c>
      <c r="C127" s="507">
        <f>IF(D93="","-",+C126+1)</f>
        <v>2035</v>
      </c>
      <c r="D127" s="374">
        <f>IF(F126+SUM(E$99:E126)=D$92,F126,D$92-SUM(E$99:E126))</f>
        <v>121249.75246894907</v>
      </c>
      <c r="E127" s="522">
        <f>IF(+J96&lt;F126,J96,D127)</f>
        <v>9076.8048780487807</v>
      </c>
      <c r="F127" s="523">
        <f t="shared" si="39"/>
        <v>112172.94759090029</v>
      </c>
      <c r="G127" s="523">
        <f t="shared" si="40"/>
        <v>116711.35002992468</v>
      </c>
      <c r="H127" s="526">
        <f t="shared" si="41"/>
        <v>22325.203485503927</v>
      </c>
      <c r="I127" s="577">
        <f t="shared" si="42"/>
        <v>22325.203485503927</v>
      </c>
      <c r="J127" s="514">
        <f t="shared" si="26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 ht="12.5">
      <c r="B128" s="195" t="str">
        <f t="shared" si="30"/>
        <v/>
      </c>
      <c r="C128" s="507">
        <f>IF(D93="","-",+C127+1)</f>
        <v>2036</v>
      </c>
      <c r="D128" s="374">
        <f>IF(F127+SUM(E$99:E127)=D$92,F127,D$92-SUM(E$99:E127))</f>
        <v>112172.94759090029</v>
      </c>
      <c r="E128" s="522">
        <f>IF(+J96&lt;F127,J96,D128)</f>
        <v>9076.8048780487807</v>
      </c>
      <c r="F128" s="523">
        <f t="shared" si="39"/>
        <v>103096.14271285152</v>
      </c>
      <c r="G128" s="523">
        <f t="shared" si="40"/>
        <v>107634.54515187591</v>
      </c>
      <c r="H128" s="526">
        <f t="shared" si="41"/>
        <v>21294.857001844452</v>
      </c>
      <c r="I128" s="577">
        <f t="shared" si="42"/>
        <v>21294.857001844452</v>
      </c>
      <c r="J128" s="514">
        <f t="shared" si="26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 ht="12.5">
      <c r="B129" s="195" t="str">
        <f t="shared" si="30"/>
        <v/>
      </c>
      <c r="C129" s="507">
        <f>IF(D93="","-",+C128+1)</f>
        <v>2037</v>
      </c>
      <c r="D129" s="374">
        <f>IF(F128+SUM(E$99:E128)=D$92,F128,D$92-SUM(E$99:E128))</f>
        <v>103096.14271285152</v>
      </c>
      <c r="E129" s="522">
        <f>IF(+J96&lt;F128,J96,D129)</f>
        <v>9076.8048780487807</v>
      </c>
      <c r="F129" s="523">
        <f t="shared" si="39"/>
        <v>94019.337834802747</v>
      </c>
      <c r="G129" s="523">
        <f t="shared" si="40"/>
        <v>98557.740273827134</v>
      </c>
      <c r="H129" s="526">
        <f t="shared" si="41"/>
        <v>20264.510518184972</v>
      </c>
      <c r="I129" s="577">
        <f t="shared" si="42"/>
        <v>20264.510518184972</v>
      </c>
      <c r="J129" s="514">
        <f t="shared" si="26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 ht="12.5">
      <c r="B130" s="195" t="str">
        <f t="shared" si="30"/>
        <v/>
      </c>
      <c r="C130" s="507">
        <f>IF(D93="","-",+C129+1)</f>
        <v>2038</v>
      </c>
      <c r="D130" s="374">
        <f>IF(F129+SUM(E$99:E129)=D$92,F129,D$92-SUM(E$99:E129))</f>
        <v>94019.337834802747</v>
      </c>
      <c r="E130" s="522">
        <f>IF(+J96&lt;F129,J96,D130)</f>
        <v>9076.8048780487807</v>
      </c>
      <c r="F130" s="523">
        <f t="shared" si="39"/>
        <v>84942.532956753974</v>
      </c>
      <c r="G130" s="523">
        <f t="shared" si="40"/>
        <v>89480.935395778361</v>
      </c>
      <c r="H130" s="526">
        <f t="shared" si="41"/>
        <v>19234.164034525493</v>
      </c>
      <c r="I130" s="577">
        <f t="shared" si="42"/>
        <v>19234.164034525493</v>
      </c>
      <c r="J130" s="514">
        <f t="shared" si="26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 ht="12.5">
      <c r="B131" s="195" t="str">
        <f t="shared" si="30"/>
        <v/>
      </c>
      <c r="C131" s="507">
        <f>IF(D93="","-",+C130+1)</f>
        <v>2039</v>
      </c>
      <c r="D131" s="374">
        <f>IF(F130+SUM(E$99:E130)=D$92,F130,D$92-SUM(E$99:E130))</f>
        <v>84942.532956753974</v>
      </c>
      <c r="E131" s="522">
        <f>IF(+J96&lt;F130,J96,D131)</f>
        <v>9076.8048780487807</v>
      </c>
      <c r="F131" s="523">
        <f t="shared" ref="F131:F154" si="43">+D131-E131</f>
        <v>75865.7280787052</v>
      </c>
      <c r="G131" s="523">
        <f t="shared" ref="G131:G154" si="44">+(F131+D131)/2</f>
        <v>80404.130517729587</v>
      </c>
      <c r="H131" s="526">
        <f t="shared" si="41"/>
        <v>18203.817550866013</v>
      </c>
      <c r="I131" s="577">
        <f t="shared" si="42"/>
        <v>18203.817550866013</v>
      </c>
      <c r="J131" s="514">
        <f t="shared" ref="J131:J154" si="45">+I131-H131</f>
        <v>0</v>
      </c>
      <c r="K131" s="514"/>
      <c r="L131" s="525"/>
      <c r="M131" s="514">
        <f t="shared" ref="M131:M154" si="46">IF(L131&lt;&gt;0,+H131-L131,0)</f>
        <v>0</v>
      </c>
      <c r="N131" s="525"/>
      <c r="O131" s="514">
        <f t="shared" ref="O131:O154" si="47">IF(N131&lt;&gt;0,+I131-N131,0)</f>
        <v>0</v>
      </c>
      <c r="P131" s="514">
        <f t="shared" ref="P131:P154" si="48">+O131-M131</f>
        <v>0</v>
      </c>
      <c r="Q131" s="269"/>
    </row>
    <row r="132" spans="2:17" ht="12.5">
      <c r="B132" s="195" t="str">
        <f t="shared" si="30"/>
        <v/>
      </c>
      <c r="C132" s="507">
        <f>IF(D93="","-",+C131+1)</f>
        <v>2040</v>
      </c>
      <c r="D132" s="374">
        <f>IF(F131+SUM(E$99:E131)=D$92,F131,D$92-SUM(E$99:E131))</f>
        <v>75865.7280787052</v>
      </c>
      <c r="E132" s="522">
        <f>IF(+J96&lt;F131,J96,D132)</f>
        <v>9076.8048780487807</v>
      </c>
      <c r="F132" s="523">
        <f t="shared" si="43"/>
        <v>66788.923200656427</v>
      </c>
      <c r="G132" s="523">
        <f t="shared" si="44"/>
        <v>71327.325639680814</v>
      </c>
      <c r="H132" s="526">
        <f t="shared" si="41"/>
        <v>17173.471067206534</v>
      </c>
      <c r="I132" s="577">
        <f t="shared" si="42"/>
        <v>17173.471067206534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  <c r="Q132" s="269"/>
    </row>
    <row r="133" spans="2:17" ht="12.5">
      <c r="B133" s="195" t="str">
        <f t="shared" si="30"/>
        <v/>
      </c>
      <c r="C133" s="507">
        <f>IF(D93="","-",+C132+1)</f>
        <v>2041</v>
      </c>
      <c r="D133" s="374">
        <f>IF(F132+SUM(E$99:E132)=D$92,F132,D$92-SUM(E$99:E132))</f>
        <v>66788.923200656427</v>
      </c>
      <c r="E133" s="522">
        <f>IF(+J96&lt;F132,J96,D133)</f>
        <v>9076.8048780487807</v>
      </c>
      <c r="F133" s="523">
        <f t="shared" si="43"/>
        <v>57712.118322607646</v>
      </c>
      <c r="G133" s="523">
        <f t="shared" si="44"/>
        <v>62250.52076163204</v>
      </c>
      <c r="H133" s="526">
        <f t="shared" si="41"/>
        <v>16143.124583547058</v>
      </c>
      <c r="I133" s="577">
        <f t="shared" si="42"/>
        <v>16143.124583547058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  <c r="Q133" s="269"/>
    </row>
    <row r="134" spans="2:17" ht="12.5">
      <c r="B134" s="195" t="str">
        <f t="shared" si="30"/>
        <v/>
      </c>
      <c r="C134" s="507">
        <f>IF(D93="","-",+C133+1)</f>
        <v>2042</v>
      </c>
      <c r="D134" s="374">
        <f>IF(F133+SUM(E$99:E133)=D$92,F133,D$92-SUM(E$99:E133))</f>
        <v>57712.118322607646</v>
      </c>
      <c r="E134" s="522">
        <f>IF(+J96&lt;F133,J96,D134)</f>
        <v>9076.8048780487807</v>
      </c>
      <c r="F134" s="523">
        <f t="shared" si="43"/>
        <v>48635.313444558866</v>
      </c>
      <c r="G134" s="523">
        <f t="shared" si="44"/>
        <v>53173.715883583252</v>
      </c>
      <c r="H134" s="526">
        <f t="shared" si="41"/>
        <v>15112.778099887577</v>
      </c>
      <c r="I134" s="577">
        <f t="shared" si="42"/>
        <v>15112.778099887577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  <c r="Q134" s="269"/>
    </row>
    <row r="135" spans="2:17" ht="12.5">
      <c r="B135" s="195" t="str">
        <f t="shared" si="30"/>
        <v/>
      </c>
      <c r="C135" s="507">
        <f>IF(D93="","-",+C134+1)</f>
        <v>2043</v>
      </c>
      <c r="D135" s="374">
        <f>IF(F134+SUM(E$99:E134)=D$92,F134,D$92-SUM(E$99:E134))</f>
        <v>48635.313444558866</v>
      </c>
      <c r="E135" s="522">
        <f>IF(+J96&lt;F134,J96,D135)</f>
        <v>9076.8048780487807</v>
      </c>
      <c r="F135" s="523">
        <f t="shared" si="43"/>
        <v>39558.508566510085</v>
      </c>
      <c r="G135" s="523">
        <f t="shared" si="44"/>
        <v>44096.911005534479</v>
      </c>
      <c r="H135" s="526">
        <f t="shared" si="41"/>
        <v>14082.431616228099</v>
      </c>
      <c r="I135" s="577">
        <f t="shared" si="42"/>
        <v>14082.431616228099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  <c r="Q135" s="269"/>
    </row>
    <row r="136" spans="2:17" ht="12.5">
      <c r="B136" s="195" t="str">
        <f t="shared" si="30"/>
        <v/>
      </c>
      <c r="C136" s="507">
        <f>IF(D93="","-",+C135+1)</f>
        <v>2044</v>
      </c>
      <c r="D136" s="374">
        <f>IF(F135+SUM(E$99:E135)=D$92,F135,D$92-SUM(E$99:E135))</f>
        <v>39558.508566510085</v>
      </c>
      <c r="E136" s="522">
        <f>IF(+J96&lt;F135,J96,D136)</f>
        <v>9076.8048780487807</v>
      </c>
      <c r="F136" s="523">
        <f t="shared" si="43"/>
        <v>30481.703688461304</v>
      </c>
      <c r="G136" s="523">
        <f t="shared" si="44"/>
        <v>35020.106127485691</v>
      </c>
      <c r="H136" s="526">
        <f t="shared" si="41"/>
        <v>13052.085132568618</v>
      </c>
      <c r="I136" s="577">
        <f t="shared" si="42"/>
        <v>13052.085132568618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  <c r="Q136" s="269"/>
    </row>
    <row r="137" spans="2:17" ht="12.5">
      <c r="B137" s="195" t="str">
        <f t="shared" si="30"/>
        <v/>
      </c>
      <c r="C137" s="507">
        <f>IF(D93="","-",+C136+1)</f>
        <v>2045</v>
      </c>
      <c r="D137" s="374">
        <f>IF(F136+SUM(E$99:E136)=D$92,F136,D$92-SUM(E$99:E136))</f>
        <v>30481.703688461304</v>
      </c>
      <c r="E137" s="522">
        <f>IF(+J96&lt;F136,J96,D137)</f>
        <v>9076.8048780487807</v>
      </c>
      <c r="F137" s="523">
        <f t="shared" si="43"/>
        <v>21404.898810412524</v>
      </c>
      <c r="G137" s="523">
        <f t="shared" si="44"/>
        <v>25943.301249436914</v>
      </c>
      <c r="H137" s="526">
        <f t="shared" si="41"/>
        <v>12021.73864890914</v>
      </c>
      <c r="I137" s="577">
        <f t="shared" si="42"/>
        <v>12021.73864890914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  <c r="Q137" s="269"/>
    </row>
    <row r="138" spans="2:17" ht="12.5">
      <c r="B138" s="195" t="str">
        <f t="shared" si="30"/>
        <v/>
      </c>
      <c r="C138" s="507">
        <f>IF(D93="","-",+C137+1)</f>
        <v>2046</v>
      </c>
      <c r="D138" s="374">
        <f>IF(F137+SUM(E$99:E137)=D$92,F137,D$92-SUM(E$99:E137))</f>
        <v>21404.898810412524</v>
      </c>
      <c r="E138" s="522">
        <f>IF(+J96&lt;F137,J96,D138)</f>
        <v>9076.8048780487807</v>
      </c>
      <c r="F138" s="523">
        <f t="shared" si="43"/>
        <v>12328.093932363743</v>
      </c>
      <c r="G138" s="523">
        <f t="shared" si="44"/>
        <v>16866.496371388133</v>
      </c>
      <c r="H138" s="526">
        <f t="shared" si="41"/>
        <v>10991.392165249661</v>
      </c>
      <c r="I138" s="577">
        <f t="shared" si="42"/>
        <v>10991.392165249661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  <c r="Q138" s="269"/>
    </row>
    <row r="139" spans="2:17" ht="12.5">
      <c r="B139" s="195" t="str">
        <f t="shared" si="30"/>
        <v/>
      </c>
      <c r="C139" s="507">
        <f>IF(D93="","-",+C138+1)</f>
        <v>2047</v>
      </c>
      <c r="D139" s="374">
        <f>IF(F138+SUM(E$99:E138)=D$92,F138,D$92-SUM(E$99:E138))</f>
        <v>12328.093932363743</v>
      </c>
      <c r="E139" s="522">
        <f>IF(+J96&lt;F138,J96,D139)</f>
        <v>9076.8048780487807</v>
      </c>
      <c r="F139" s="523">
        <f t="shared" si="43"/>
        <v>3251.2890543149624</v>
      </c>
      <c r="G139" s="523">
        <f t="shared" si="44"/>
        <v>7789.6914933393527</v>
      </c>
      <c r="H139" s="526">
        <f t="shared" si="41"/>
        <v>9961.0456815901816</v>
      </c>
      <c r="I139" s="577">
        <f t="shared" si="42"/>
        <v>9961.0456815901816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  <c r="Q139" s="269"/>
    </row>
    <row r="140" spans="2:17" ht="12.5">
      <c r="B140" s="195" t="str">
        <f t="shared" si="30"/>
        <v/>
      </c>
      <c r="C140" s="507">
        <f>IF(D93="","-",+C139+1)</f>
        <v>2048</v>
      </c>
      <c r="D140" s="374">
        <f>IF(F139+SUM(E$99:E139)=D$92,F139,D$92-SUM(E$99:E139))</f>
        <v>3251.2890543149624</v>
      </c>
      <c r="E140" s="522">
        <f>IF(+J96&lt;F139,J96,D140)</f>
        <v>3251.2890543149624</v>
      </c>
      <c r="F140" s="523">
        <f t="shared" si="43"/>
        <v>0</v>
      </c>
      <c r="G140" s="523">
        <f t="shared" si="44"/>
        <v>1625.6445271574812</v>
      </c>
      <c r="H140" s="526">
        <f t="shared" si="41"/>
        <v>3435.822835170793</v>
      </c>
      <c r="I140" s="577">
        <f t="shared" si="42"/>
        <v>3435.822835170793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  <c r="Q140" s="269"/>
    </row>
    <row r="141" spans="2:17" ht="12.5">
      <c r="B141" s="195" t="str">
        <f t="shared" si="30"/>
        <v/>
      </c>
      <c r="C141" s="507">
        <f>IF(D93="","-",+C140+1)</f>
        <v>2049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3"/>
        <v>0</v>
      </c>
      <c r="G141" s="523">
        <f t="shared" si="44"/>
        <v>0</v>
      </c>
      <c r="H141" s="526">
        <f t="shared" si="41"/>
        <v>0</v>
      </c>
      <c r="I141" s="577">
        <f t="shared" si="42"/>
        <v>0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  <c r="Q141" s="269"/>
    </row>
    <row r="142" spans="2:17" ht="12.5">
      <c r="B142" s="195" t="str">
        <f t="shared" si="30"/>
        <v/>
      </c>
      <c r="C142" s="507">
        <f>IF(D93="","-",+C141+1)</f>
        <v>2050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3"/>
        <v>0</v>
      </c>
      <c r="G142" s="523">
        <f t="shared" si="44"/>
        <v>0</v>
      </c>
      <c r="H142" s="526">
        <f t="shared" si="41"/>
        <v>0</v>
      </c>
      <c r="I142" s="577">
        <f t="shared" si="42"/>
        <v>0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  <c r="Q142" s="269"/>
    </row>
    <row r="143" spans="2:17" ht="12.5">
      <c r="B143" s="195" t="str">
        <f t="shared" si="30"/>
        <v/>
      </c>
      <c r="C143" s="507">
        <f>IF(D93="","-",+C142+1)</f>
        <v>2051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3"/>
        <v>0</v>
      </c>
      <c r="G143" s="523">
        <f t="shared" si="44"/>
        <v>0</v>
      </c>
      <c r="H143" s="526">
        <f t="shared" si="41"/>
        <v>0</v>
      </c>
      <c r="I143" s="577">
        <f t="shared" si="42"/>
        <v>0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  <c r="Q143" s="269"/>
    </row>
    <row r="144" spans="2:17" ht="12.5">
      <c r="B144" s="195" t="str">
        <f t="shared" si="30"/>
        <v/>
      </c>
      <c r="C144" s="507">
        <f>IF(D93="","-",+C143+1)</f>
        <v>2052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3"/>
        <v>0</v>
      </c>
      <c r="G144" s="523">
        <f t="shared" si="44"/>
        <v>0</v>
      </c>
      <c r="H144" s="526">
        <f t="shared" si="41"/>
        <v>0</v>
      </c>
      <c r="I144" s="577">
        <f t="shared" si="42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  <c r="Q144" s="269"/>
    </row>
    <row r="145" spans="2:17" ht="12.5">
      <c r="B145" s="195" t="str">
        <f t="shared" si="30"/>
        <v/>
      </c>
      <c r="C145" s="507">
        <f>IF(D93="","-",+C144+1)</f>
        <v>2053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3"/>
        <v>0</v>
      </c>
      <c r="G145" s="523">
        <f t="shared" si="44"/>
        <v>0</v>
      </c>
      <c r="H145" s="526">
        <f t="shared" si="41"/>
        <v>0</v>
      </c>
      <c r="I145" s="577">
        <f t="shared" si="42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  <c r="Q145" s="269"/>
    </row>
    <row r="146" spans="2:17" ht="12.5">
      <c r="B146" s="195" t="str">
        <f t="shared" si="30"/>
        <v/>
      </c>
      <c r="C146" s="507">
        <f>IF(D93="","-",+C145+1)</f>
        <v>2054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3"/>
        <v>0</v>
      </c>
      <c r="G146" s="523">
        <f t="shared" si="44"/>
        <v>0</v>
      </c>
      <c r="H146" s="526">
        <f t="shared" si="41"/>
        <v>0</v>
      </c>
      <c r="I146" s="577">
        <f t="shared" si="42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  <c r="Q146" s="269"/>
    </row>
    <row r="147" spans="2:17" ht="12.5">
      <c r="B147" s="195" t="str">
        <f t="shared" si="30"/>
        <v/>
      </c>
      <c r="C147" s="507">
        <f>IF(D93="","-",+C146+1)</f>
        <v>2055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3"/>
        <v>0</v>
      </c>
      <c r="G147" s="523">
        <f t="shared" si="44"/>
        <v>0</v>
      </c>
      <c r="H147" s="526">
        <f t="shared" si="41"/>
        <v>0</v>
      </c>
      <c r="I147" s="577">
        <f t="shared" si="42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  <c r="Q147" s="269"/>
    </row>
    <row r="148" spans="2:17" ht="12.5">
      <c r="B148" s="195" t="str">
        <f t="shared" si="30"/>
        <v/>
      </c>
      <c r="C148" s="507">
        <f>IF(D93="","-",+C147+1)</f>
        <v>2056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3"/>
        <v>0</v>
      </c>
      <c r="G148" s="523">
        <f t="shared" si="44"/>
        <v>0</v>
      </c>
      <c r="H148" s="526">
        <f t="shared" si="41"/>
        <v>0</v>
      </c>
      <c r="I148" s="577">
        <f t="shared" si="42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  <c r="Q148" s="269"/>
    </row>
    <row r="149" spans="2:17" ht="12.5">
      <c r="B149" s="195" t="str">
        <f t="shared" si="30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3"/>
        <v>0</v>
      </c>
      <c r="G149" s="523">
        <f t="shared" si="44"/>
        <v>0</v>
      </c>
      <c r="H149" s="526">
        <f t="shared" si="41"/>
        <v>0</v>
      </c>
      <c r="I149" s="577">
        <f t="shared" si="42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  <c r="Q149" s="269"/>
    </row>
    <row r="150" spans="2:17" ht="12.5">
      <c r="B150" s="195" t="str">
        <f t="shared" si="30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3"/>
        <v>0</v>
      </c>
      <c r="G150" s="523">
        <f t="shared" si="44"/>
        <v>0</v>
      </c>
      <c r="H150" s="526">
        <f t="shared" si="41"/>
        <v>0</v>
      </c>
      <c r="I150" s="577">
        <f t="shared" si="42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  <c r="Q150" s="269"/>
    </row>
    <row r="151" spans="2:17" ht="12.5">
      <c r="B151" s="195" t="str">
        <f t="shared" si="30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3"/>
        <v>0</v>
      </c>
      <c r="G151" s="523">
        <f t="shared" si="44"/>
        <v>0</v>
      </c>
      <c r="H151" s="526">
        <f t="shared" si="41"/>
        <v>0</v>
      </c>
      <c r="I151" s="577">
        <f t="shared" si="42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  <c r="Q151" s="269"/>
    </row>
    <row r="152" spans="2:17" ht="12.5">
      <c r="B152" s="195" t="str">
        <f t="shared" si="30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3"/>
        <v>0</v>
      </c>
      <c r="G152" s="523">
        <f t="shared" si="44"/>
        <v>0</v>
      </c>
      <c r="H152" s="526">
        <f t="shared" si="41"/>
        <v>0</v>
      </c>
      <c r="I152" s="577">
        <f t="shared" si="42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  <c r="Q152" s="269"/>
    </row>
    <row r="153" spans="2:17" ht="12.5">
      <c r="B153" s="195" t="str">
        <f t="shared" si="30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3"/>
        <v>0</v>
      </c>
      <c r="G153" s="523">
        <f t="shared" si="44"/>
        <v>0</v>
      </c>
      <c r="H153" s="526">
        <f t="shared" si="41"/>
        <v>0</v>
      </c>
      <c r="I153" s="577">
        <f t="shared" si="42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  <c r="Q153" s="269"/>
    </row>
    <row r="154" spans="2:17" ht="13" thickBot="1">
      <c r="B154" s="195" t="str">
        <f t="shared" si="30"/>
        <v/>
      </c>
      <c r="C154" s="527">
        <f>IF(D93="","-",+C153+1)</f>
        <v>2062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3"/>
        <v>0</v>
      </c>
      <c r="G154" s="528">
        <f t="shared" si="44"/>
        <v>0</v>
      </c>
      <c r="H154" s="530">
        <f t="shared" si="41"/>
        <v>0</v>
      </c>
      <c r="I154" s="579">
        <f t="shared" si="42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  <c r="Q154" s="269"/>
    </row>
    <row r="155" spans="2:17" ht="12.5">
      <c r="C155" s="374" t="s">
        <v>78</v>
      </c>
      <c r="D155" s="375"/>
      <c r="E155" s="375">
        <f>SUM(E99:E154)</f>
        <v>372149.00000000006</v>
      </c>
      <c r="F155" s="375"/>
      <c r="G155" s="375"/>
      <c r="H155" s="375">
        <f>SUM(H99:H154)</f>
        <v>1337682.161563027</v>
      </c>
      <c r="I155" s="375">
        <f>SUM(I99:I154)</f>
        <v>1337682.161563027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31" priority="1" stopIfTrue="1" operator="equal">
      <formula>$I$10</formula>
    </cfRule>
  </conditionalFormatting>
  <conditionalFormatting sqref="C99:C154">
    <cfRule type="cellIs" dxfId="13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5"/>
  <dimension ref="A1:Q162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18" width="9.1796875" style="183" customWidth="1"/>
    <col min="19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16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41661.868149558737</v>
      </c>
      <c r="P5" s="269"/>
    </row>
    <row r="6" spans="1:17" ht="15.5">
      <c r="C6" s="274"/>
      <c r="D6" s="614" t="s">
        <v>272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41661.868149558737</v>
      </c>
      <c r="O6" s="269"/>
      <c r="P6" s="269"/>
    </row>
    <row r="7" spans="1:17" ht="13.5" thickBot="1">
      <c r="C7" s="467" t="s">
        <v>48</v>
      </c>
      <c r="D7" s="468" t="s">
        <v>237</v>
      </c>
      <c r="E7" s="269"/>
      <c r="F7" s="269"/>
      <c r="G7" s="269"/>
      <c r="H7" s="615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162</v>
      </c>
      <c r="E9" s="666" t="s">
        <v>484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389326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9269.6666666666661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310667</v>
      </c>
      <c r="E17" s="509">
        <v>0</v>
      </c>
      <c r="F17" s="508">
        <v>310667</v>
      </c>
      <c r="G17" s="509">
        <v>44663</v>
      </c>
      <c r="H17" s="510">
        <v>44663</v>
      </c>
      <c r="I17" s="616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515">
        <v>310667</v>
      </c>
      <c r="E18" s="516">
        <v>8175</v>
      </c>
      <c r="F18" s="515">
        <v>302492</v>
      </c>
      <c r="G18" s="516">
        <v>51663</v>
      </c>
      <c r="H18" s="510">
        <v>51663</v>
      </c>
      <c r="I18" s="616">
        <f t="shared" si="0"/>
        <v>0</v>
      </c>
      <c r="J18" s="511"/>
      <c r="K18" s="518">
        <v>0</v>
      </c>
      <c r="L18" s="514">
        <f t="shared" si="1"/>
        <v>0</v>
      </c>
      <c r="M18" s="518">
        <v>0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2010</v>
      </c>
      <c r="D19" s="515">
        <v>302492</v>
      </c>
      <c r="E19" s="516">
        <v>8175.4473684210525</v>
      </c>
      <c r="F19" s="515">
        <v>294316.55263157893</v>
      </c>
      <c r="G19" s="516">
        <v>50487.866330718665</v>
      </c>
      <c r="H19" s="510">
        <v>50487.866330718665</v>
      </c>
      <c r="I19" s="617">
        <v>0</v>
      </c>
      <c r="J19" s="511"/>
      <c r="K19" s="518">
        <f t="shared" ref="K19:K24" si="4">G19</f>
        <v>50487.866330718665</v>
      </c>
      <c r="L19" s="519">
        <f t="shared" si="1"/>
        <v>0</v>
      </c>
      <c r="M19" s="518">
        <f t="shared" ref="M19:M24" si="5">H19</f>
        <v>50487.866330718665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2011</v>
      </c>
      <c r="D20" s="515">
        <v>372975.55263157893</v>
      </c>
      <c r="E20" s="516">
        <v>9495.7560975609758</v>
      </c>
      <c r="F20" s="515">
        <v>363479.79653401795</v>
      </c>
      <c r="G20" s="516">
        <v>66268.459500863828</v>
      </c>
      <c r="H20" s="510">
        <v>66268.459500863828</v>
      </c>
      <c r="I20" s="517">
        <v>0</v>
      </c>
      <c r="J20" s="511"/>
      <c r="K20" s="518">
        <f t="shared" si="4"/>
        <v>66268.459500863828</v>
      </c>
      <c r="L20" s="519">
        <f t="shared" si="1"/>
        <v>0</v>
      </c>
      <c r="M20" s="518">
        <f t="shared" si="5"/>
        <v>66268.459500863828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363479.79653401795</v>
      </c>
      <c r="E21" s="520">
        <v>9269.6666666666661</v>
      </c>
      <c r="F21" s="515">
        <v>354210.12986735126</v>
      </c>
      <c r="G21" s="516">
        <v>61947.846793824669</v>
      </c>
      <c r="H21" s="510">
        <v>61947.846793824669</v>
      </c>
      <c r="I21" s="517">
        <v>0</v>
      </c>
      <c r="J21" s="511"/>
      <c r="K21" s="518">
        <f t="shared" si="4"/>
        <v>61947.846793824669</v>
      </c>
      <c r="L21" s="519">
        <f t="shared" si="1"/>
        <v>0</v>
      </c>
      <c r="M21" s="518">
        <f t="shared" si="5"/>
        <v>61947.846793824669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608">
        <v>354210.12986735126</v>
      </c>
      <c r="E22" s="609">
        <v>9269.6666666666661</v>
      </c>
      <c r="F22" s="608">
        <v>344940.46320068458</v>
      </c>
      <c r="G22" s="609">
        <v>57556.875600006118</v>
      </c>
      <c r="H22" s="610">
        <v>57556.875600006118</v>
      </c>
      <c r="I22" s="596">
        <v>0</v>
      </c>
      <c r="J22" s="511"/>
      <c r="K22" s="518">
        <f t="shared" si="4"/>
        <v>57556.875600006118</v>
      </c>
      <c r="L22" s="519">
        <f t="shared" ref="L22:L27" si="7">IF(K22&lt;&gt;0,+G22-K22,0)</f>
        <v>0</v>
      </c>
      <c r="M22" s="518">
        <f t="shared" si="5"/>
        <v>57556.875600006118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608">
        <v>344940.46320068458</v>
      </c>
      <c r="E23" s="609">
        <v>9269.6666666666661</v>
      </c>
      <c r="F23" s="608">
        <v>335670.79653401789</v>
      </c>
      <c r="G23" s="609">
        <v>54555.18443175155</v>
      </c>
      <c r="H23" s="610">
        <v>54555.18443175155</v>
      </c>
      <c r="I23" s="596">
        <v>0</v>
      </c>
      <c r="J23" s="511"/>
      <c r="K23" s="518">
        <f t="shared" si="4"/>
        <v>54555.18443175155</v>
      </c>
      <c r="L23" s="519">
        <f t="shared" si="7"/>
        <v>0</v>
      </c>
      <c r="M23" s="518">
        <f t="shared" si="5"/>
        <v>54555.18443175155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608">
        <v>335670.79653401789</v>
      </c>
      <c r="E24" s="609">
        <v>9269.6666666666661</v>
      </c>
      <c r="F24" s="608">
        <v>326401.12986735121</v>
      </c>
      <c r="G24" s="609">
        <v>52258.262513897615</v>
      </c>
      <c r="H24" s="610">
        <v>52258.262513897615</v>
      </c>
      <c r="I24" s="511">
        <v>0</v>
      </c>
      <c r="J24" s="511"/>
      <c r="K24" s="518">
        <f t="shared" si="4"/>
        <v>52258.262513897615</v>
      </c>
      <c r="L24" s="519">
        <f t="shared" si="7"/>
        <v>0</v>
      </c>
      <c r="M24" s="518">
        <f t="shared" si="5"/>
        <v>52258.262513897615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2016</v>
      </c>
      <c r="D25" s="608">
        <v>326401.12986735121</v>
      </c>
      <c r="E25" s="609">
        <v>9269.6666666666661</v>
      </c>
      <c r="F25" s="608">
        <v>317131.46320068452</v>
      </c>
      <c r="G25" s="609">
        <v>50522.11947752475</v>
      </c>
      <c r="H25" s="610">
        <v>50522.11947752475</v>
      </c>
      <c r="I25" s="511">
        <f t="shared" si="0"/>
        <v>0</v>
      </c>
      <c r="J25" s="511"/>
      <c r="K25" s="518">
        <f t="shared" ref="K25:K30" si="10">G25</f>
        <v>50522.11947752475</v>
      </c>
      <c r="L25" s="519">
        <f t="shared" si="7"/>
        <v>0</v>
      </c>
      <c r="M25" s="518">
        <f t="shared" ref="M25:M30" si="11">H25</f>
        <v>50522.11947752475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608">
        <v>317131.46320068452</v>
      </c>
      <c r="E26" s="609">
        <v>9054.0930232558148</v>
      </c>
      <c r="F26" s="608">
        <v>308077.3701774287</v>
      </c>
      <c r="G26" s="609">
        <v>47783.446226544533</v>
      </c>
      <c r="H26" s="610">
        <v>47783.446226544533</v>
      </c>
      <c r="I26" s="511">
        <f t="shared" si="0"/>
        <v>0</v>
      </c>
      <c r="J26" s="511"/>
      <c r="K26" s="518">
        <f t="shared" si="10"/>
        <v>47783.446226544533</v>
      </c>
      <c r="L26" s="519">
        <f t="shared" si="7"/>
        <v>0</v>
      </c>
      <c r="M26" s="518">
        <f t="shared" si="11"/>
        <v>47783.446226544533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608">
        <v>308077.3701774287</v>
      </c>
      <c r="E27" s="609">
        <v>9495.7560975609758</v>
      </c>
      <c r="F27" s="608">
        <v>298581.61407986772</v>
      </c>
      <c r="G27" s="609">
        <v>48047.144578018066</v>
      </c>
      <c r="H27" s="610">
        <v>48047.144578018066</v>
      </c>
      <c r="I27" s="511">
        <f t="shared" si="0"/>
        <v>0</v>
      </c>
      <c r="J27" s="511"/>
      <c r="K27" s="518">
        <f t="shared" si="10"/>
        <v>48047.144578018066</v>
      </c>
      <c r="L27" s="519">
        <f t="shared" si="7"/>
        <v>0</v>
      </c>
      <c r="M27" s="518">
        <f t="shared" si="11"/>
        <v>48047.144578018066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608">
        <v>298581.61407986772</v>
      </c>
      <c r="E28" s="609">
        <v>9495.7560975609758</v>
      </c>
      <c r="F28" s="608">
        <v>289085.85798230674</v>
      </c>
      <c r="G28" s="609">
        <v>46840.290013156024</v>
      </c>
      <c r="H28" s="610">
        <v>46840.290013156024</v>
      </c>
      <c r="I28" s="511">
        <f t="shared" si="0"/>
        <v>0</v>
      </c>
      <c r="J28" s="511"/>
      <c r="K28" s="518">
        <f t="shared" si="10"/>
        <v>46840.290013156024</v>
      </c>
      <c r="L28" s="519">
        <f t="shared" ref="L28" si="12">IF(K28&lt;&gt;0,+G28-K28,0)</f>
        <v>0</v>
      </c>
      <c r="M28" s="518">
        <f t="shared" si="11"/>
        <v>46840.290013156024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2020</v>
      </c>
      <c r="D29" s="608">
        <v>289085.85798230674</v>
      </c>
      <c r="E29" s="609">
        <v>9495.7560975609758</v>
      </c>
      <c r="F29" s="608">
        <v>279590.10188474576</v>
      </c>
      <c r="G29" s="609">
        <v>38593.612729387853</v>
      </c>
      <c r="H29" s="610">
        <v>38593.612729387853</v>
      </c>
      <c r="I29" s="511">
        <f t="shared" si="0"/>
        <v>0</v>
      </c>
      <c r="J29" s="511"/>
      <c r="K29" s="518">
        <f t="shared" si="10"/>
        <v>38593.612729387853</v>
      </c>
      <c r="L29" s="519">
        <f t="shared" ref="L29" si="13">IF(K29&lt;&gt;0,+G29-K29,0)</f>
        <v>0</v>
      </c>
      <c r="M29" s="518">
        <f t="shared" si="11"/>
        <v>38593.612729387853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2021</v>
      </c>
      <c r="D30" s="608">
        <v>280031.76495905104</v>
      </c>
      <c r="E30" s="609">
        <v>9269.6666666666661</v>
      </c>
      <c r="F30" s="608">
        <v>270762.09829238435</v>
      </c>
      <c r="G30" s="609">
        <v>38462.993109784969</v>
      </c>
      <c r="H30" s="610">
        <v>38462.993109784969</v>
      </c>
      <c r="I30" s="511">
        <f t="shared" si="0"/>
        <v>0</v>
      </c>
      <c r="J30" s="511"/>
      <c r="K30" s="518">
        <f t="shared" si="10"/>
        <v>38462.993109784969</v>
      </c>
      <c r="L30" s="519">
        <f t="shared" ref="L30" si="14">IF(K30&lt;&gt;0,+G30-K30,0)</f>
        <v>0</v>
      </c>
      <c r="M30" s="518">
        <f t="shared" si="11"/>
        <v>38462.993109784969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2022</v>
      </c>
      <c r="D31" s="608">
        <v>270320.43521807925</v>
      </c>
      <c r="E31" s="609">
        <v>9269.6666666666661</v>
      </c>
      <c r="F31" s="608">
        <v>261050.76855141259</v>
      </c>
      <c r="G31" s="609">
        <v>39144.444225431915</v>
      </c>
      <c r="H31" s="610">
        <v>39144.444225431915</v>
      </c>
      <c r="I31" s="511">
        <f t="shared" si="0"/>
        <v>0</v>
      </c>
      <c r="J31" s="511"/>
      <c r="K31" s="518">
        <f t="shared" ref="K31" si="15">G31</f>
        <v>39144.444225431915</v>
      </c>
      <c r="L31" s="519">
        <f t="shared" ref="L31" si="16">IF(K31&lt;&gt;0,+G31-K31,0)</f>
        <v>0</v>
      </c>
      <c r="M31" s="518">
        <f t="shared" ref="M31" si="17">H31</f>
        <v>39144.444225431915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261050.76855141259</v>
      </c>
      <c r="E32" s="522">
        <f>IF(+I14&lt;F31,I14,D32)</f>
        <v>9269.6666666666661</v>
      </c>
      <c r="F32" s="523">
        <f t="shared" ref="F32:F48" si="18">+D32-E32</f>
        <v>251781.10188474593</v>
      </c>
      <c r="G32" s="524">
        <f t="shared" ref="G32:G72" si="19">+I$12*((D32+F32)/2)+E32</f>
        <v>41661.868149558737</v>
      </c>
      <c r="H32" s="491">
        <f t="shared" ref="H32:H72" si="20">+I$13*((D32+F32)/2)+E32</f>
        <v>41661.868149558737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251781.10188474593</v>
      </c>
      <c r="E33" s="522">
        <f>IF(+I14&lt;F32,I14,D33)</f>
        <v>9269.6666666666661</v>
      </c>
      <c r="F33" s="523">
        <f t="shared" si="18"/>
        <v>242511.43521807928</v>
      </c>
      <c r="G33" s="524">
        <f t="shared" si="19"/>
        <v>40490.860933916927</v>
      </c>
      <c r="H33" s="491">
        <f t="shared" si="20"/>
        <v>40490.860933916927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242511.43521807928</v>
      </c>
      <c r="E34" s="522">
        <f>IF(+I14&lt;F33,I14,D34)</f>
        <v>9269.6666666666661</v>
      </c>
      <c r="F34" s="523">
        <f t="shared" si="18"/>
        <v>233241.76855141262</v>
      </c>
      <c r="G34" s="524">
        <f t="shared" si="19"/>
        <v>39319.85371827511</v>
      </c>
      <c r="H34" s="491">
        <f t="shared" si="20"/>
        <v>39319.85371827511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233241.76855141262</v>
      </c>
      <c r="E35" s="522">
        <f>IF(+I14&lt;F34,I14,D35)</f>
        <v>9269.6666666666661</v>
      </c>
      <c r="F35" s="523">
        <f t="shared" si="18"/>
        <v>223972.10188474596</v>
      </c>
      <c r="G35" s="524">
        <f t="shared" si="19"/>
        <v>38148.8465026333</v>
      </c>
      <c r="H35" s="491">
        <f t="shared" si="20"/>
        <v>38148.8465026333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223972.10188474596</v>
      </c>
      <c r="E36" s="522">
        <f>IF(+I14&lt;F35,I14,D36)</f>
        <v>9269.6666666666661</v>
      </c>
      <c r="F36" s="523">
        <f t="shared" si="18"/>
        <v>214702.43521807931</v>
      </c>
      <c r="G36" s="524">
        <f t="shared" si="19"/>
        <v>36977.839286991482</v>
      </c>
      <c r="H36" s="491">
        <f t="shared" si="20"/>
        <v>36977.839286991482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214702.43521807931</v>
      </c>
      <c r="E37" s="522">
        <f>IF(+I14&lt;F36,I14,D37)</f>
        <v>9269.6666666666661</v>
      </c>
      <c r="F37" s="523">
        <f t="shared" si="18"/>
        <v>205432.76855141265</v>
      </c>
      <c r="G37" s="524">
        <f t="shared" si="19"/>
        <v>35806.832071349672</v>
      </c>
      <c r="H37" s="491">
        <f t="shared" si="20"/>
        <v>35806.832071349672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205432.76855141265</v>
      </c>
      <c r="E38" s="522">
        <f>IF(+I14&lt;F37,I14,D38)</f>
        <v>9269.6666666666661</v>
      </c>
      <c r="F38" s="523">
        <f t="shared" si="18"/>
        <v>196163.10188474599</v>
      </c>
      <c r="G38" s="524">
        <f t="shared" si="19"/>
        <v>34635.824855707848</v>
      </c>
      <c r="H38" s="491">
        <f t="shared" si="20"/>
        <v>34635.824855707848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196163.10188474599</v>
      </c>
      <c r="E39" s="522">
        <f>IF(+I14&lt;F38,I14,D39)</f>
        <v>9269.6666666666661</v>
      </c>
      <c r="F39" s="523">
        <f t="shared" si="18"/>
        <v>186893.43521807934</v>
      </c>
      <c r="G39" s="524">
        <f t="shared" si="19"/>
        <v>33464.817640066038</v>
      </c>
      <c r="H39" s="491">
        <f t="shared" si="20"/>
        <v>33464.817640066038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186893.43521807934</v>
      </c>
      <c r="E40" s="522">
        <f>IF(+I14&lt;F39,I14,D40)</f>
        <v>9269.6666666666661</v>
      </c>
      <c r="F40" s="523">
        <f t="shared" si="18"/>
        <v>177623.76855141268</v>
      </c>
      <c r="G40" s="524">
        <f t="shared" si="19"/>
        <v>32293.81042442422</v>
      </c>
      <c r="H40" s="491">
        <f t="shared" si="20"/>
        <v>32293.81042442422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177623.76855141268</v>
      </c>
      <c r="E41" s="522">
        <f>IF(+I14&lt;F40,I14,D41)</f>
        <v>9269.6666666666661</v>
      </c>
      <c r="F41" s="523">
        <f t="shared" si="18"/>
        <v>168354.10188474602</v>
      </c>
      <c r="G41" s="524">
        <f t="shared" si="19"/>
        <v>31122.80320878241</v>
      </c>
      <c r="H41" s="491">
        <f t="shared" si="20"/>
        <v>31122.80320878241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168354.10188474602</v>
      </c>
      <c r="E42" s="522">
        <f>IF(+I14&lt;F41,I14,D42)</f>
        <v>9269.6666666666661</v>
      </c>
      <c r="F42" s="523">
        <f t="shared" si="18"/>
        <v>159084.43521807936</v>
      </c>
      <c r="G42" s="524">
        <f t="shared" si="19"/>
        <v>29951.795993140593</v>
      </c>
      <c r="H42" s="491">
        <f t="shared" si="20"/>
        <v>29951.795993140593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159084.43521807936</v>
      </c>
      <c r="E43" s="522">
        <f>IF(+I14&lt;F42,I14,D43)</f>
        <v>9269.6666666666661</v>
      </c>
      <c r="F43" s="523">
        <f t="shared" si="18"/>
        <v>149814.76855141271</v>
      </c>
      <c r="G43" s="524">
        <f t="shared" si="19"/>
        <v>28780.788777498783</v>
      </c>
      <c r="H43" s="491">
        <f t="shared" si="20"/>
        <v>28780.788777498783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149814.76855141271</v>
      </c>
      <c r="E44" s="522">
        <f>IF(+I14&lt;F43,I14,D44)</f>
        <v>9269.6666666666661</v>
      </c>
      <c r="F44" s="523">
        <f t="shared" si="18"/>
        <v>140545.10188474605</v>
      </c>
      <c r="G44" s="524">
        <f t="shared" si="19"/>
        <v>27609.781561856966</v>
      </c>
      <c r="H44" s="491">
        <f t="shared" si="20"/>
        <v>27609.781561856966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140545.10188474605</v>
      </c>
      <c r="E45" s="522">
        <f>IF(+I14&lt;F44,I14,D45)</f>
        <v>9269.6666666666661</v>
      </c>
      <c r="F45" s="523">
        <f t="shared" si="18"/>
        <v>131275.43521807939</v>
      </c>
      <c r="G45" s="524">
        <f t="shared" si="19"/>
        <v>26438.774346215148</v>
      </c>
      <c r="H45" s="491">
        <f t="shared" si="20"/>
        <v>26438.774346215148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131275.43521807939</v>
      </c>
      <c r="E46" s="522">
        <f>IF(+I14&lt;F45,I14,D46)</f>
        <v>9269.6666666666661</v>
      </c>
      <c r="F46" s="523">
        <f t="shared" si="18"/>
        <v>122005.76855141272</v>
      </c>
      <c r="G46" s="524">
        <f t="shared" si="19"/>
        <v>25267.767130573331</v>
      </c>
      <c r="H46" s="491">
        <f t="shared" si="20"/>
        <v>25267.767130573331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122005.76855141272</v>
      </c>
      <c r="E47" s="522">
        <f>IF(+I14&lt;F46,I14,D47)</f>
        <v>9269.6666666666661</v>
      </c>
      <c r="F47" s="523">
        <f t="shared" si="18"/>
        <v>112736.10188474605</v>
      </c>
      <c r="G47" s="524">
        <f t="shared" si="19"/>
        <v>24096.759914931521</v>
      </c>
      <c r="H47" s="491">
        <f t="shared" si="20"/>
        <v>24096.759914931521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112736.10188474605</v>
      </c>
      <c r="E48" s="522">
        <f>IF(+I14&lt;F47,I14,D48)</f>
        <v>9269.6666666666661</v>
      </c>
      <c r="F48" s="523">
        <f t="shared" si="18"/>
        <v>103466.43521807938</v>
      </c>
      <c r="G48" s="524">
        <f t="shared" si="19"/>
        <v>22925.7526992897</v>
      </c>
      <c r="H48" s="491">
        <f t="shared" si="20"/>
        <v>22925.7526992897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103466.43521807938</v>
      </c>
      <c r="E49" s="522">
        <f>IF(+I14&lt;F48,I14,D49)</f>
        <v>9269.6666666666661</v>
      </c>
      <c r="F49" s="523">
        <f t="shared" ref="F49:F72" si="21">+D49-E49</f>
        <v>94196.768551412708</v>
      </c>
      <c r="G49" s="524">
        <f t="shared" si="19"/>
        <v>21754.745483647886</v>
      </c>
      <c r="H49" s="491">
        <f t="shared" si="20"/>
        <v>21754.745483647886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94196.768551412708</v>
      </c>
      <c r="E50" s="522">
        <f>IF(+I14&lt;F49,I14,D50)</f>
        <v>9269.6666666666661</v>
      </c>
      <c r="F50" s="523">
        <f t="shared" si="21"/>
        <v>84927.101884746036</v>
      </c>
      <c r="G50" s="524">
        <f t="shared" si="19"/>
        <v>20583.738268006069</v>
      </c>
      <c r="H50" s="491">
        <f t="shared" si="20"/>
        <v>20583.738268006069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84927.101884746036</v>
      </c>
      <c r="E51" s="522">
        <f>IF(+I14&lt;F50,I14,D51)</f>
        <v>9269.6666666666661</v>
      </c>
      <c r="F51" s="523">
        <f t="shared" si="21"/>
        <v>75657.435218079365</v>
      </c>
      <c r="G51" s="524">
        <f t="shared" si="19"/>
        <v>19412.731052364252</v>
      </c>
      <c r="H51" s="491">
        <f t="shared" si="20"/>
        <v>19412.731052364252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75657.435218079365</v>
      </c>
      <c r="E52" s="522">
        <f>IF(+I14&lt;F51,I14,D52)</f>
        <v>9269.6666666666661</v>
      </c>
      <c r="F52" s="523">
        <f t="shared" si="21"/>
        <v>66387.768551412693</v>
      </c>
      <c r="G52" s="524">
        <f t="shared" si="19"/>
        <v>18241.723836722434</v>
      </c>
      <c r="H52" s="491">
        <f t="shared" si="20"/>
        <v>18241.723836722434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66387.768551412693</v>
      </c>
      <c r="E53" s="522">
        <f>IF(+I14&lt;F52,I14,D53)</f>
        <v>9269.6666666666661</v>
      </c>
      <c r="F53" s="523">
        <f t="shared" si="21"/>
        <v>57118.101884746029</v>
      </c>
      <c r="G53" s="524">
        <f t="shared" si="19"/>
        <v>17070.716621080621</v>
      </c>
      <c r="H53" s="491">
        <f t="shared" si="20"/>
        <v>17070.716621080621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57118.101884746029</v>
      </c>
      <c r="E54" s="522">
        <f>IF(+I14&lt;F53,I14,D54)</f>
        <v>9269.6666666666661</v>
      </c>
      <c r="F54" s="523">
        <f t="shared" si="21"/>
        <v>47848.435218079365</v>
      </c>
      <c r="G54" s="524">
        <f t="shared" si="19"/>
        <v>15899.709405438804</v>
      </c>
      <c r="H54" s="491">
        <f t="shared" si="20"/>
        <v>15899.709405438804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47848.435218079365</v>
      </c>
      <c r="E55" s="522">
        <f>IF(+I14&lt;F54,I14,D55)</f>
        <v>9269.6666666666661</v>
      </c>
      <c r="F55" s="523">
        <f t="shared" si="21"/>
        <v>38578.768551412701</v>
      </c>
      <c r="G55" s="524">
        <f t="shared" si="19"/>
        <v>14728.70218979699</v>
      </c>
      <c r="H55" s="491">
        <f t="shared" si="20"/>
        <v>14728.70218979699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38578.768551412701</v>
      </c>
      <c r="E56" s="522">
        <f>IF(+I14&lt;F55,I14,D56)</f>
        <v>9269.6666666666661</v>
      </c>
      <c r="F56" s="523">
        <f t="shared" si="21"/>
        <v>29309.101884746036</v>
      </c>
      <c r="G56" s="524">
        <f t="shared" si="19"/>
        <v>13557.694974155173</v>
      </c>
      <c r="H56" s="491">
        <f t="shared" si="20"/>
        <v>13557.694974155173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29309.101884746036</v>
      </c>
      <c r="E57" s="522">
        <f>IF(+I14&lt;F56,I14,D57)</f>
        <v>9269.6666666666661</v>
      </c>
      <c r="F57" s="523">
        <f t="shared" si="21"/>
        <v>20039.435218079372</v>
      </c>
      <c r="G57" s="524">
        <f t="shared" si="19"/>
        <v>12386.687758513357</v>
      </c>
      <c r="H57" s="491">
        <f t="shared" si="20"/>
        <v>12386.687758513357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20039.435218079372</v>
      </c>
      <c r="E58" s="522">
        <f>IF(+I14&lt;F57,I14,D58)</f>
        <v>9269.6666666666661</v>
      </c>
      <c r="F58" s="523">
        <f t="shared" si="21"/>
        <v>10769.768551412706</v>
      </c>
      <c r="G58" s="524">
        <f t="shared" si="19"/>
        <v>11215.680542871542</v>
      </c>
      <c r="H58" s="491">
        <f t="shared" si="20"/>
        <v>11215.680542871542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10769.768551412706</v>
      </c>
      <c r="E59" s="522">
        <f>IF(+I14&lt;F58,I14,D59)</f>
        <v>9269.6666666666661</v>
      </c>
      <c r="F59" s="523">
        <f t="shared" si="21"/>
        <v>1500.10188474604</v>
      </c>
      <c r="G59" s="524">
        <f t="shared" si="19"/>
        <v>10044.673327229726</v>
      </c>
      <c r="H59" s="491">
        <f t="shared" si="20"/>
        <v>10044.673327229726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1500.10188474604</v>
      </c>
      <c r="E60" s="522">
        <f>IF(+I14&lt;F59,I14,D60)</f>
        <v>1500.10188474604</v>
      </c>
      <c r="F60" s="523">
        <f t="shared" si="21"/>
        <v>0</v>
      </c>
      <c r="G60" s="524">
        <f t="shared" si="19"/>
        <v>1594.8534111171159</v>
      </c>
      <c r="H60" s="491">
        <f t="shared" si="20"/>
        <v>1594.8534111171159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19"/>
        <v>0</v>
      </c>
      <c r="H61" s="491">
        <f t="shared" si="20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19"/>
        <v>0</v>
      </c>
      <c r="H72" s="47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 ht="12.5">
      <c r="C73" s="374" t="s">
        <v>78</v>
      </c>
      <c r="D73" s="375"/>
      <c r="E73" s="375">
        <f>SUM(E17:E72)</f>
        <v>389326.00000000029</v>
      </c>
      <c r="F73" s="375"/>
      <c r="G73" s="375">
        <f>SUM(G17:G72)</f>
        <v>1474280.9796170662</v>
      </c>
      <c r="H73" s="375">
        <f>SUM(H17:H72)</f>
        <v>1474280.9796170662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16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38462.993109784969</v>
      </c>
      <c r="N87" s="546">
        <f>IF(J92&lt;D11,0,VLOOKUP(J92,C17:O72,11))</f>
        <v>38462.993109784969</v>
      </c>
      <c r="O87" s="547">
        <f>+N87-M87</f>
        <v>0</v>
      </c>
      <c r="P87" s="269"/>
      <c r="Q87" s="269"/>
    </row>
    <row r="88" spans="1:17" ht="15.5">
      <c r="C88" s="274"/>
      <c r="D88" s="614" t="s">
        <v>271</v>
      </c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41514.441787998621</v>
      </c>
      <c r="N88" s="550">
        <f>IF(J92&lt;D11,0,VLOOKUP(J92,C99:P154,7))</f>
        <v>41514.441787998621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Daingerfield - Jenkins REC 69 kV CB Repl**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3051.4486782136519</v>
      </c>
      <c r="N89" s="555">
        <f>+N88-N87</f>
        <v>3051.4486782136519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389326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9495.7560975609758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0</v>
      </c>
      <c r="F99" s="515">
        <v>0</v>
      </c>
      <c r="G99" s="574">
        <v>0</v>
      </c>
      <c r="H99" s="575">
        <v>0</v>
      </c>
      <c r="I99" s="576">
        <v>0</v>
      </c>
      <c r="J99" s="613">
        <f t="shared" ref="J99:J130" si="26">+I99-H99</f>
        <v>0</v>
      </c>
      <c r="K99" s="514"/>
      <c r="L99" s="512">
        <v>0</v>
      </c>
      <c r="M99" s="513">
        <f t="shared" ref="M99:M130" si="27">IF(L99&lt;&gt;0,+H99-L99,0)</f>
        <v>0</v>
      </c>
      <c r="N99" s="512">
        <v>0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2009</v>
      </c>
      <c r="D100" s="508">
        <v>0</v>
      </c>
      <c r="E100" s="516">
        <v>0</v>
      </c>
      <c r="F100" s="515">
        <v>0</v>
      </c>
      <c r="G100" s="515">
        <v>0</v>
      </c>
      <c r="H100" s="516">
        <v>0</v>
      </c>
      <c r="I100" s="510">
        <v>0</v>
      </c>
      <c r="J100" s="613">
        <f t="shared" si="26"/>
        <v>0</v>
      </c>
      <c r="K100" s="514"/>
      <c r="L100" s="518">
        <f t="shared" ref="L100:L105" si="30">H100</f>
        <v>0</v>
      </c>
      <c r="M100" s="519">
        <f t="shared" si="27"/>
        <v>0</v>
      </c>
      <c r="N100" s="518">
        <f t="shared" ref="N100:N105" si="31">I100</f>
        <v>0</v>
      </c>
      <c r="O100" s="514">
        <f t="shared" si="28"/>
        <v>0</v>
      </c>
      <c r="P100" s="514">
        <f t="shared" si="29"/>
        <v>0</v>
      </c>
      <c r="Q100" s="269"/>
    </row>
    <row r="101" spans="1:17" ht="12.5">
      <c r="B101" s="195" t="str">
        <f t="shared" ref="B101:B154" si="32">IF(D101=F100,"","IU")</f>
        <v>IU</v>
      </c>
      <c r="C101" s="507">
        <f>IF(D93="","-",+C100+1)</f>
        <v>2010</v>
      </c>
      <c r="D101" s="508">
        <v>389326</v>
      </c>
      <c r="E101" s="516">
        <v>10245</v>
      </c>
      <c r="F101" s="515">
        <v>379081</v>
      </c>
      <c r="G101" s="515">
        <v>384203.5</v>
      </c>
      <c r="H101" s="516">
        <v>73671.650548973092</v>
      </c>
      <c r="I101" s="510">
        <v>73671.650548973092</v>
      </c>
      <c r="J101" s="613">
        <f t="shared" si="26"/>
        <v>0</v>
      </c>
      <c r="K101" s="514"/>
      <c r="L101" s="518">
        <f t="shared" si="30"/>
        <v>73671.650548973092</v>
      </c>
      <c r="M101" s="519">
        <f t="shared" si="27"/>
        <v>0</v>
      </c>
      <c r="N101" s="518">
        <f t="shared" si="31"/>
        <v>73671.650548973092</v>
      </c>
      <c r="O101" s="514">
        <f t="shared" si="28"/>
        <v>0</v>
      </c>
      <c r="P101" s="514">
        <f t="shared" si="29"/>
        <v>0</v>
      </c>
      <c r="Q101" s="269"/>
    </row>
    <row r="102" spans="1:17" ht="12.5">
      <c r="B102" s="195" t="str">
        <f t="shared" si="32"/>
        <v/>
      </c>
      <c r="C102" s="507">
        <f>IF(D93="","-",+C101+1)</f>
        <v>2011</v>
      </c>
      <c r="D102" s="508">
        <v>379081</v>
      </c>
      <c r="E102" s="520">
        <v>9269.6666666666661</v>
      </c>
      <c r="F102" s="515">
        <v>369811.33333333331</v>
      </c>
      <c r="G102" s="515">
        <v>374446.16666666663</v>
      </c>
      <c r="H102" s="516">
        <v>65578.844240085236</v>
      </c>
      <c r="I102" s="510">
        <v>65578.844240085236</v>
      </c>
      <c r="J102" s="613">
        <f t="shared" si="26"/>
        <v>0</v>
      </c>
      <c r="K102" s="514"/>
      <c r="L102" s="518">
        <f t="shared" si="30"/>
        <v>65578.844240085236</v>
      </c>
      <c r="M102" s="519">
        <f t="shared" si="27"/>
        <v>0</v>
      </c>
      <c r="N102" s="518">
        <f t="shared" si="31"/>
        <v>65578.844240085236</v>
      </c>
      <c r="O102" s="514">
        <f t="shared" si="28"/>
        <v>0</v>
      </c>
      <c r="P102" s="514">
        <f t="shared" si="29"/>
        <v>0</v>
      </c>
      <c r="Q102" s="269"/>
    </row>
    <row r="103" spans="1:17" ht="12.5">
      <c r="B103" s="195" t="str">
        <f t="shared" si="32"/>
        <v/>
      </c>
      <c r="C103" s="507">
        <f>IF(D93="","-",+C102+1)</f>
        <v>2012</v>
      </c>
      <c r="D103" s="508">
        <v>369811.33333333331</v>
      </c>
      <c r="E103" s="516">
        <v>9269.6666666666661</v>
      </c>
      <c r="F103" s="515">
        <v>360541.66666666663</v>
      </c>
      <c r="G103" s="515">
        <v>365176.5</v>
      </c>
      <c r="H103" s="516">
        <v>63006.82444122398</v>
      </c>
      <c r="I103" s="510">
        <v>63006.82444122398</v>
      </c>
      <c r="J103" s="613">
        <f t="shared" si="26"/>
        <v>0</v>
      </c>
      <c r="K103" s="514"/>
      <c r="L103" s="518">
        <f t="shared" si="30"/>
        <v>63006.82444122398</v>
      </c>
      <c r="M103" s="519">
        <f t="shared" si="27"/>
        <v>0</v>
      </c>
      <c r="N103" s="518">
        <f t="shared" si="31"/>
        <v>63006.82444122398</v>
      </c>
      <c r="O103" s="514">
        <f t="shared" si="28"/>
        <v>0</v>
      </c>
      <c r="P103" s="514">
        <f t="shared" si="29"/>
        <v>0</v>
      </c>
      <c r="Q103" s="269"/>
    </row>
    <row r="104" spans="1:17" ht="12.5">
      <c r="B104" s="195" t="str">
        <f t="shared" si="32"/>
        <v/>
      </c>
      <c r="C104" s="507">
        <f>IF(D93="","-",+C103+1)</f>
        <v>2013</v>
      </c>
      <c r="D104" s="508">
        <v>360541.66666666663</v>
      </c>
      <c r="E104" s="516">
        <v>9269.6666666666661</v>
      </c>
      <c r="F104" s="515">
        <v>351271.99999999994</v>
      </c>
      <c r="G104" s="515">
        <v>355906.83333333326</v>
      </c>
      <c r="H104" s="516">
        <v>57420.908011898166</v>
      </c>
      <c r="I104" s="510">
        <v>57420.908011898166</v>
      </c>
      <c r="J104" s="613">
        <v>0</v>
      </c>
      <c r="K104" s="514"/>
      <c r="L104" s="518">
        <f t="shared" si="30"/>
        <v>57420.908011898166</v>
      </c>
      <c r="M104" s="519">
        <f t="shared" ref="M104:M109" si="33">IF(L104&lt;&gt;0,+H104-L104,0)</f>
        <v>0</v>
      </c>
      <c r="N104" s="518">
        <f t="shared" si="31"/>
        <v>57420.908011898166</v>
      </c>
      <c r="O104" s="514">
        <f t="shared" ref="O104:O109" si="34">IF(N104&lt;&gt;0,+I104-N104,0)</f>
        <v>0</v>
      </c>
      <c r="P104" s="514">
        <f t="shared" ref="P104:P109" si="35">+O104-M104</f>
        <v>0</v>
      </c>
      <c r="Q104" s="269"/>
    </row>
    <row r="105" spans="1:17" ht="12.5">
      <c r="B105" s="195" t="str">
        <f t="shared" si="32"/>
        <v/>
      </c>
      <c r="C105" s="507">
        <f>IF(D93="","-",+C104+1)</f>
        <v>2014</v>
      </c>
      <c r="D105" s="508">
        <v>351271.99999999994</v>
      </c>
      <c r="E105" s="516">
        <v>9269.6666666666661</v>
      </c>
      <c r="F105" s="515">
        <v>342002.33333333326</v>
      </c>
      <c r="G105" s="515">
        <v>346637.16666666663</v>
      </c>
      <c r="H105" s="516">
        <v>56385.789642955569</v>
      </c>
      <c r="I105" s="510">
        <v>56385.789642955569</v>
      </c>
      <c r="J105" s="514">
        <v>0</v>
      </c>
      <c r="K105" s="514"/>
      <c r="L105" s="518">
        <f t="shared" si="30"/>
        <v>56385.789642955569</v>
      </c>
      <c r="M105" s="519">
        <f t="shared" si="33"/>
        <v>0</v>
      </c>
      <c r="N105" s="518">
        <f t="shared" si="31"/>
        <v>56385.789642955569</v>
      </c>
      <c r="O105" s="514">
        <f t="shared" si="34"/>
        <v>0</v>
      </c>
      <c r="P105" s="514">
        <f t="shared" si="35"/>
        <v>0</v>
      </c>
      <c r="Q105" s="269"/>
    </row>
    <row r="106" spans="1:17" ht="12.5">
      <c r="B106" s="195" t="str">
        <f t="shared" si="32"/>
        <v/>
      </c>
      <c r="C106" s="507">
        <f>IF(D93="","-",+C105+1)</f>
        <v>2015</v>
      </c>
      <c r="D106" s="508">
        <v>342002.33333333326</v>
      </c>
      <c r="E106" s="516">
        <v>9269.6666666666661</v>
      </c>
      <c r="F106" s="515">
        <v>332732.66666666657</v>
      </c>
      <c r="G106" s="515">
        <v>337367.49999999988</v>
      </c>
      <c r="H106" s="516">
        <v>53724.203573157785</v>
      </c>
      <c r="I106" s="510">
        <v>53724.203573157785</v>
      </c>
      <c r="J106" s="514">
        <f t="shared" si="26"/>
        <v>0</v>
      </c>
      <c r="K106" s="514"/>
      <c r="L106" s="518">
        <f t="shared" ref="L106:L111" si="36">H106</f>
        <v>53724.203573157785</v>
      </c>
      <c r="M106" s="519">
        <f t="shared" si="33"/>
        <v>0</v>
      </c>
      <c r="N106" s="518">
        <f t="shared" ref="N106:N111" si="37">I106</f>
        <v>53724.203573157785</v>
      </c>
      <c r="O106" s="514">
        <f t="shared" si="34"/>
        <v>0</v>
      </c>
      <c r="P106" s="514">
        <f t="shared" si="35"/>
        <v>0</v>
      </c>
      <c r="Q106" s="269"/>
    </row>
    <row r="107" spans="1:17" ht="12.5">
      <c r="B107" s="195" t="str">
        <f t="shared" si="32"/>
        <v/>
      </c>
      <c r="C107" s="507">
        <f>IF(D93="","-",+C106+1)</f>
        <v>2016</v>
      </c>
      <c r="D107" s="508">
        <v>332732.66666666657</v>
      </c>
      <c r="E107" s="516">
        <v>9054.0930232558148</v>
      </c>
      <c r="F107" s="515">
        <v>323678.57364341075</v>
      </c>
      <c r="G107" s="515">
        <v>328205.62015503866</v>
      </c>
      <c r="H107" s="516">
        <v>50719.792658112536</v>
      </c>
      <c r="I107" s="510">
        <v>50719.792658112536</v>
      </c>
      <c r="J107" s="514">
        <f t="shared" si="26"/>
        <v>0</v>
      </c>
      <c r="K107" s="514"/>
      <c r="L107" s="518">
        <f t="shared" si="36"/>
        <v>50719.792658112536</v>
      </c>
      <c r="M107" s="519">
        <f t="shared" si="33"/>
        <v>0</v>
      </c>
      <c r="N107" s="518">
        <f t="shared" si="37"/>
        <v>50719.792658112536</v>
      </c>
      <c r="O107" s="514">
        <f t="shared" si="34"/>
        <v>0</v>
      </c>
      <c r="P107" s="514">
        <f t="shared" si="35"/>
        <v>0</v>
      </c>
      <c r="Q107" s="269"/>
    </row>
    <row r="108" spans="1:17" ht="12.5">
      <c r="B108" s="195" t="str">
        <f t="shared" si="32"/>
        <v/>
      </c>
      <c r="C108" s="507">
        <f>IF(D93="","-",+C107+1)</f>
        <v>2017</v>
      </c>
      <c r="D108" s="508">
        <v>323678.57364341075</v>
      </c>
      <c r="E108" s="516">
        <v>9269.6666666666661</v>
      </c>
      <c r="F108" s="515">
        <v>314408.90697674407</v>
      </c>
      <c r="G108" s="515">
        <v>319043.74031007744</v>
      </c>
      <c r="H108" s="516">
        <v>48024.374867081598</v>
      </c>
      <c r="I108" s="510">
        <v>48024.374867081598</v>
      </c>
      <c r="J108" s="514">
        <f t="shared" si="26"/>
        <v>0</v>
      </c>
      <c r="K108" s="514"/>
      <c r="L108" s="518">
        <f t="shared" si="36"/>
        <v>48024.374867081598</v>
      </c>
      <c r="M108" s="519">
        <f t="shared" si="33"/>
        <v>0</v>
      </c>
      <c r="N108" s="518">
        <f t="shared" si="37"/>
        <v>48024.374867081598</v>
      </c>
      <c r="O108" s="514">
        <f t="shared" si="34"/>
        <v>0</v>
      </c>
      <c r="P108" s="514">
        <f t="shared" si="35"/>
        <v>0</v>
      </c>
      <c r="Q108" s="269"/>
    </row>
    <row r="109" spans="1:17" ht="12.5">
      <c r="B109" s="195" t="str">
        <f t="shared" si="32"/>
        <v/>
      </c>
      <c r="C109" s="507">
        <f>IF(D93="","-",+C108+1)</f>
        <v>2018</v>
      </c>
      <c r="D109" s="508">
        <v>314408.90697674407</v>
      </c>
      <c r="E109" s="516">
        <v>9269.6666666666661</v>
      </c>
      <c r="F109" s="515">
        <v>305139.24031007738</v>
      </c>
      <c r="G109" s="515">
        <v>309774.07364341069</v>
      </c>
      <c r="H109" s="516">
        <v>41983.22941148797</v>
      </c>
      <c r="I109" s="510">
        <v>41983.22941148797</v>
      </c>
      <c r="J109" s="514">
        <f t="shared" si="26"/>
        <v>0</v>
      </c>
      <c r="K109" s="514"/>
      <c r="L109" s="518">
        <f t="shared" si="36"/>
        <v>41983.22941148797</v>
      </c>
      <c r="M109" s="519">
        <f t="shared" si="33"/>
        <v>0</v>
      </c>
      <c r="N109" s="518">
        <f t="shared" si="37"/>
        <v>41983.22941148797</v>
      </c>
      <c r="O109" s="514">
        <f t="shared" si="34"/>
        <v>0</v>
      </c>
      <c r="P109" s="514">
        <f t="shared" si="35"/>
        <v>0</v>
      </c>
      <c r="Q109" s="269"/>
    </row>
    <row r="110" spans="1:17" ht="12.5">
      <c r="B110" s="195" t="str">
        <f t="shared" si="32"/>
        <v/>
      </c>
      <c r="C110" s="507">
        <f>IF(D93="","-",+C109+1)</f>
        <v>2019</v>
      </c>
      <c r="D110" s="508">
        <v>305139.24031007738</v>
      </c>
      <c r="E110" s="516">
        <v>9054.0930232558148</v>
      </c>
      <c r="F110" s="515">
        <v>296085.14728682156</v>
      </c>
      <c r="G110" s="515">
        <v>300612.19379844947</v>
      </c>
      <c r="H110" s="516">
        <v>41231.786544650007</v>
      </c>
      <c r="I110" s="510">
        <v>41231.786544650007</v>
      </c>
      <c r="J110" s="514">
        <f t="shared" si="26"/>
        <v>0</v>
      </c>
      <c r="K110" s="514"/>
      <c r="L110" s="518">
        <f t="shared" si="36"/>
        <v>41231.786544650007</v>
      </c>
      <c r="M110" s="519">
        <f t="shared" ref="M110:M111" si="38">IF(L110&lt;&gt;0,+H110-L110,0)</f>
        <v>0</v>
      </c>
      <c r="N110" s="518">
        <f t="shared" si="37"/>
        <v>41231.786544650007</v>
      </c>
      <c r="O110" s="514">
        <f t="shared" si="28"/>
        <v>0</v>
      </c>
      <c r="P110" s="514">
        <f t="shared" si="29"/>
        <v>0</v>
      </c>
      <c r="Q110" s="269"/>
    </row>
    <row r="111" spans="1:17" ht="12.5">
      <c r="B111" s="195" t="str">
        <f t="shared" si="32"/>
        <v/>
      </c>
      <c r="C111" s="507">
        <f>IF(D93="","-",+C110+1)</f>
        <v>2020</v>
      </c>
      <c r="D111" s="508">
        <v>296085.14728682156</v>
      </c>
      <c r="E111" s="516">
        <v>9269.6666666666661</v>
      </c>
      <c r="F111" s="515">
        <v>286815.48062015488</v>
      </c>
      <c r="G111" s="515">
        <v>291450.31395348825</v>
      </c>
      <c r="H111" s="516">
        <v>40622.093922186577</v>
      </c>
      <c r="I111" s="510">
        <v>40622.093922186577</v>
      </c>
      <c r="J111" s="514">
        <f t="shared" si="26"/>
        <v>0</v>
      </c>
      <c r="K111" s="514"/>
      <c r="L111" s="518">
        <f t="shared" si="36"/>
        <v>40622.093922186577</v>
      </c>
      <c r="M111" s="519">
        <f t="shared" si="38"/>
        <v>0</v>
      </c>
      <c r="N111" s="518">
        <f t="shared" si="37"/>
        <v>40622.093922186577</v>
      </c>
      <c r="O111" s="514">
        <f t="shared" si="28"/>
        <v>0</v>
      </c>
      <c r="P111" s="514">
        <f t="shared" si="29"/>
        <v>0</v>
      </c>
      <c r="Q111" s="269"/>
    </row>
    <row r="112" spans="1:17" ht="12.5">
      <c r="B112" s="195" t="str">
        <f t="shared" si="32"/>
        <v/>
      </c>
      <c r="C112" s="507">
        <f>IF(D93="","-",+C111+1)</f>
        <v>2021</v>
      </c>
      <c r="D112" s="374">
        <f>IF(F111+SUM(E$99:E111)=D$92,F111,D$92-SUM(E$99:E111))</f>
        <v>286815.48062015488</v>
      </c>
      <c r="E112" s="522">
        <f>IF(+J96&lt;F111,J96,D112)</f>
        <v>9495.7560975609758</v>
      </c>
      <c r="F112" s="523">
        <f t="shared" ref="F112:F130" si="39">+D112-E112</f>
        <v>277319.7245225939</v>
      </c>
      <c r="G112" s="523">
        <f t="shared" ref="G112:G130" si="40">+(F112+D112)/2</f>
        <v>282067.60257137439</v>
      </c>
      <c r="H112" s="526">
        <f>+J$94*G112+E112</f>
        <v>41514.441787998621</v>
      </c>
      <c r="I112" s="577">
        <f>+J$95*G112+E112</f>
        <v>41514.441787998621</v>
      </c>
      <c r="J112" s="514">
        <f t="shared" si="26"/>
        <v>0</v>
      </c>
      <c r="K112" s="514"/>
      <c r="L112" s="525"/>
      <c r="M112" s="514">
        <f t="shared" si="27"/>
        <v>0</v>
      </c>
      <c r="N112" s="525"/>
      <c r="O112" s="514">
        <f t="shared" si="28"/>
        <v>0</v>
      </c>
      <c r="P112" s="514">
        <f t="shared" si="29"/>
        <v>0</v>
      </c>
      <c r="Q112" s="269"/>
    </row>
    <row r="113" spans="2:17" ht="12.5">
      <c r="B113" s="195" t="str">
        <f t="shared" si="32"/>
        <v/>
      </c>
      <c r="C113" s="507">
        <f>IF(D93="","-",+C112+1)</f>
        <v>2022</v>
      </c>
      <c r="D113" s="374">
        <f>IF(F112+SUM(E$99:E112)=D$92,F112,D$92-SUM(E$99:E112))</f>
        <v>277319.7245225939</v>
      </c>
      <c r="E113" s="522">
        <f>IF(+J96&lt;F112,J96,D113)</f>
        <v>9495.7560975609758</v>
      </c>
      <c r="F113" s="523">
        <f t="shared" si="39"/>
        <v>267823.96842503292</v>
      </c>
      <c r="G113" s="523">
        <f t="shared" si="40"/>
        <v>272571.84647381341</v>
      </c>
      <c r="H113" s="526">
        <f t="shared" ref="H113:H154" si="41">+J$94*G113+E113</f>
        <v>40436.538380768689</v>
      </c>
      <c r="I113" s="577">
        <f t="shared" ref="I113:I154" si="42">+J$95*G113+E113</f>
        <v>40436.538380768689</v>
      </c>
      <c r="J113" s="514">
        <f t="shared" si="26"/>
        <v>0</v>
      </c>
      <c r="K113" s="514"/>
      <c r="L113" s="525"/>
      <c r="M113" s="514">
        <f t="shared" si="27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 ht="12.5">
      <c r="B114" s="195" t="str">
        <f t="shared" si="32"/>
        <v/>
      </c>
      <c r="C114" s="507">
        <f>IF(D93="","-",+C113+1)</f>
        <v>2023</v>
      </c>
      <c r="D114" s="374">
        <f>IF(F113+SUM(E$99:E113)=D$92,F113,D$92-SUM(E$99:E113))</f>
        <v>267823.96842503292</v>
      </c>
      <c r="E114" s="522">
        <f>IF(+J96&lt;F113,J96,D114)</f>
        <v>9495.7560975609758</v>
      </c>
      <c r="F114" s="523">
        <f t="shared" si="39"/>
        <v>258328.21232747193</v>
      </c>
      <c r="G114" s="523">
        <f t="shared" si="40"/>
        <v>263076.09037625242</v>
      </c>
      <c r="H114" s="526">
        <f t="shared" si="41"/>
        <v>39358.634973538763</v>
      </c>
      <c r="I114" s="577">
        <f t="shared" si="42"/>
        <v>39358.634973538763</v>
      </c>
      <c r="J114" s="514">
        <f t="shared" si="26"/>
        <v>0</v>
      </c>
      <c r="K114" s="514"/>
      <c r="L114" s="525"/>
      <c r="M114" s="514">
        <f t="shared" si="27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 ht="12.5">
      <c r="B115" s="195" t="str">
        <f t="shared" si="32"/>
        <v/>
      </c>
      <c r="C115" s="507">
        <f>IF(D93="","-",+C114+1)</f>
        <v>2024</v>
      </c>
      <c r="D115" s="374">
        <f>IF(F114+SUM(E$99:E114)=D$92,F114,D$92-SUM(E$99:E114))</f>
        <v>258328.21232747193</v>
      </c>
      <c r="E115" s="522">
        <f>IF(+J96&lt;F114,J96,D115)</f>
        <v>9495.7560975609758</v>
      </c>
      <c r="F115" s="523">
        <f t="shared" si="39"/>
        <v>248832.45622991095</v>
      </c>
      <c r="G115" s="523">
        <f t="shared" si="40"/>
        <v>253580.33427869144</v>
      </c>
      <c r="H115" s="526">
        <f t="shared" si="41"/>
        <v>38280.73156630883</v>
      </c>
      <c r="I115" s="577">
        <f t="shared" si="42"/>
        <v>38280.73156630883</v>
      </c>
      <c r="J115" s="514">
        <f t="shared" si="26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 ht="12.5">
      <c r="B116" s="195" t="str">
        <f t="shared" si="32"/>
        <v/>
      </c>
      <c r="C116" s="507">
        <f>IF(D93="","-",+C115+1)</f>
        <v>2025</v>
      </c>
      <c r="D116" s="374">
        <f>IF(F115+SUM(E$99:E115)=D$92,F115,D$92-SUM(E$99:E115))</f>
        <v>248832.45622991095</v>
      </c>
      <c r="E116" s="522">
        <f>IF(+J96&lt;F115,J96,D116)</f>
        <v>9495.7560975609758</v>
      </c>
      <c r="F116" s="523">
        <f t="shared" si="39"/>
        <v>239336.70013234997</v>
      </c>
      <c r="G116" s="523">
        <f t="shared" si="40"/>
        <v>244084.57818113046</v>
      </c>
      <c r="H116" s="526">
        <f t="shared" si="41"/>
        <v>37202.828159078905</v>
      </c>
      <c r="I116" s="577">
        <f t="shared" si="42"/>
        <v>37202.828159078905</v>
      </c>
      <c r="J116" s="514">
        <f t="shared" si="26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 ht="12.5">
      <c r="B117" s="195" t="str">
        <f t="shared" si="32"/>
        <v/>
      </c>
      <c r="C117" s="507">
        <f>IF(D93="","-",+C116+1)</f>
        <v>2026</v>
      </c>
      <c r="D117" s="374">
        <f>IF(F116+SUM(E$99:E116)=D$92,F116,D$92-SUM(E$99:E116))</f>
        <v>239336.70013234997</v>
      </c>
      <c r="E117" s="522">
        <f>IF(+J96&lt;F116,J96,D117)</f>
        <v>9495.7560975609758</v>
      </c>
      <c r="F117" s="523">
        <f t="shared" si="39"/>
        <v>229840.94403478899</v>
      </c>
      <c r="G117" s="523">
        <f t="shared" si="40"/>
        <v>234588.82208356948</v>
      </c>
      <c r="H117" s="526">
        <f t="shared" si="41"/>
        <v>36124.924751848979</v>
      </c>
      <c r="I117" s="577">
        <f t="shared" si="42"/>
        <v>36124.924751848979</v>
      </c>
      <c r="J117" s="514">
        <f t="shared" si="26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 ht="12.5">
      <c r="B118" s="195" t="str">
        <f t="shared" si="32"/>
        <v/>
      </c>
      <c r="C118" s="507">
        <f>IF(D93="","-",+C117+1)</f>
        <v>2027</v>
      </c>
      <c r="D118" s="374">
        <f>IF(F117+SUM(E$99:E117)=D$92,F117,D$92-SUM(E$99:E117))</f>
        <v>229840.94403478899</v>
      </c>
      <c r="E118" s="522">
        <f>IF(+J96&lt;F117,J96,D118)</f>
        <v>9495.7560975609758</v>
      </c>
      <c r="F118" s="523">
        <f t="shared" si="39"/>
        <v>220345.18793722801</v>
      </c>
      <c r="G118" s="523">
        <f t="shared" si="40"/>
        <v>225093.0659860085</v>
      </c>
      <c r="H118" s="526">
        <f t="shared" si="41"/>
        <v>35047.021344619046</v>
      </c>
      <c r="I118" s="577">
        <f t="shared" si="42"/>
        <v>35047.021344619046</v>
      </c>
      <c r="J118" s="514">
        <f t="shared" si="26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 ht="12.5">
      <c r="B119" s="195" t="str">
        <f t="shared" si="32"/>
        <v/>
      </c>
      <c r="C119" s="507">
        <f>IF(D93="","-",+C118+1)</f>
        <v>2028</v>
      </c>
      <c r="D119" s="374">
        <f>IF(F118+SUM(E$99:E118)=D$92,F118,D$92-SUM(E$99:E118))</f>
        <v>220345.18793722801</v>
      </c>
      <c r="E119" s="522">
        <f>IF(+J96&lt;F118,J96,D119)</f>
        <v>9495.7560975609758</v>
      </c>
      <c r="F119" s="523">
        <f t="shared" si="39"/>
        <v>210849.43183966703</v>
      </c>
      <c r="G119" s="523">
        <f t="shared" si="40"/>
        <v>215597.30988844752</v>
      </c>
      <c r="H119" s="526">
        <f t="shared" si="41"/>
        <v>33969.117937389121</v>
      </c>
      <c r="I119" s="577">
        <f t="shared" si="42"/>
        <v>33969.117937389121</v>
      </c>
      <c r="J119" s="514">
        <f t="shared" si="26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 ht="12.5">
      <c r="B120" s="195" t="str">
        <f t="shared" si="32"/>
        <v/>
      </c>
      <c r="C120" s="507">
        <f>IF(D93="","-",+C119+1)</f>
        <v>2029</v>
      </c>
      <c r="D120" s="374">
        <f>IF(F119+SUM(E$99:E119)=D$92,F119,D$92-SUM(E$99:E119))</f>
        <v>210849.43183966703</v>
      </c>
      <c r="E120" s="522">
        <f>IF(+J96&lt;F119,J96,D120)</f>
        <v>9495.7560975609758</v>
      </c>
      <c r="F120" s="523">
        <f t="shared" si="39"/>
        <v>201353.67574210605</v>
      </c>
      <c r="G120" s="523">
        <f t="shared" si="40"/>
        <v>206101.55379088654</v>
      </c>
      <c r="H120" s="526">
        <f t="shared" si="41"/>
        <v>32891.214530159188</v>
      </c>
      <c r="I120" s="577">
        <f t="shared" si="42"/>
        <v>32891.214530159188</v>
      </c>
      <c r="J120" s="514">
        <f t="shared" si="26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 ht="12.5">
      <c r="B121" s="195" t="str">
        <f t="shared" si="32"/>
        <v/>
      </c>
      <c r="C121" s="507">
        <f>IF(D93="","-",+C120+1)</f>
        <v>2030</v>
      </c>
      <c r="D121" s="374">
        <f>IF(F120+SUM(E$99:E120)=D$92,F120,D$92-SUM(E$99:E120))</f>
        <v>201353.67574210605</v>
      </c>
      <c r="E121" s="522">
        <f>IF(+J96&lt;F120,J96,D121)</f>
        <v>9495.7560975609758</v>
      </c>
      <c r="F121" s="523">
        <f t="shared" si="39"/>
        <v>191857.91964454507</v>
      </c>
      <c r="G121" s="523">
        <f t="shared" si="40"/>
        <v>196605.79769332556</v>
      </c>
      <c r="H121" s="526">
        <f t="shared" si="41"/>
        <v>31813.311122929263</v>
      </c>
      <c r="I121" s="577">
        <f t="shared" si="42"/>
        <v>31813.311122929263</v>
      </c>
      <c r="J121" s="514">
        <f t="shared" si="26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 ht="12.5">
      <c r="B122" s="195" t="str">
        <f t="shared" si="32"/>
        <v/>
      </c>
      <c r="C122" s="507">
        <f>IF(D93="","-",+C121+1)</f>
        <v>2031</v>
      </c>
      <c r="D122" s="374">
        <f>IF(F121+SUM(E$99:E121)=D$92,F121,D$92-SUM(E$99:E121))</f>
        <v>191857.91964454507</v>
      </c>
      <c r="E122" s="522">
        <f>IF(+J96&lt;F121,J96,D122)</f>
        <v>9495.7560975609758</v>
      </c>
      <c r="F122" s="523">
        <f t="shared" si="39"/>
        <v>182362.16354698408</v>
      </c>
      <c r="G122" s="523">
        <f t="shared" si="40"/>
        <v>187110.04159576457</v>
      </c>
      <c r="H122" s="526">
        <f t="shared" si="41"/>
        <v>30735.407715699337</v>
      </c>
      <c r="I122" s="577">
        <f t="shared" si="42"/>
        <v>30735.407715699337</v>
      </c>
      <c r="J122" s="514">
        <f t="shared" si="26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 ht="12.5">
      <c r="B123" s="195" t="str">
        <f t="shared" si="32"/>
        <v/>
      </c>
      <c r="C123" s="507">
        <f>IF(D93="","-",+C122+1)</f>
        <v>2032</v>
      </c>
      <c r="D123" s="374">
        <f>IF(F122+SUM(E$99:E122)=D$92,F122,D$92-SUM(E$99:E122))</f>
        <v>182362.16354698408</v>
      </c>
      <c r="E123" s="522">
        <f>IF(+J96&lt;F122,J96,D123)</f>
        <v>9495.7560975609758</v>
      </c>
      <c r="F123" s="523">
        <f t="shared" si="39"/>
        <v>172866.4074494231</v>
      </c>
      <c r="G123" s="523">
        <f t="shared" si="40"/>
        <v>177614.28549820359</v>
      </c>
      <c r="H123" s="526">
        <f t="shared" si="41"/>
        <v>29657.504308469404</v>
      </c>
      <c r="I123" s="577">
        <f t="shared" si="42"/>
        <v>29657.504308469404</v>
      </c>
      <c r="J123" s="514">
        <f t="shared" si="26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 ht="12.5">
      <c r="B124" s="195" t="str">
        <f t="shared" si="32"/>
        <v/>
      </c>
      <c r="C124" s="507">
        <f>IF(D93="","-",+C123+1)</f>
        <v>2033</v>
      </c>
      <c r="D124" s="374">
        <f>IF(F123+SUM(E$99:E123)=D$92,F123,D$92-SUM(E$99:E123))</f>
        <v>172866.4074494231</v>
      </c>
      <c r="E124" s="522">
        <f>IF(+J96&lt;F123,J96,D124)</f>
        <v>9495.7560975609758</v>
      </c>
      <c r="F124" s="523">
        <f t="shared" si="39"/>
        <v>163370.65135186212</v>
      </c>
      <c r="G124" s="523">
        <f t="shared" si="40"/>
        <v>168118.52940064261</v>
      </c>
      <c r="H124" s="526">
        <f t="shared" si="41"/>
        <v>28579.600901239479</v>
      </c>
      <c r="I124" s="577">
        <f t="shared" si="42"/>
        <v>28579.600901239479</v>
      </c>
      <c r="J124" s="514">
        <f t="shared" si="26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 ht="12.5">
      <c r="B125" s="195" t="str">
        <f t="shared" si="32"/>
        <v/>
      </c>
      <c r="C125" s="507">
        <f>IF(D93="","-",+C124+1)</f>
        <v>2034</v>
      </c>
      <c r="D125" s="374">
        <f>IF(F124+SUM(E$99:E124)=D$92,F124,D$92-SUM(E$99:E124))</f>
        <v>163370.65135186212</v>
      </c>
      <c r="E125" s="522">
        <f>IF(+J96&lt;F124,J96,D125)</f>
        <v>9495.7560975609758</v>
      </c>
      <c r="F125" s="523">
        <f t="shared" si="39"/>
        <v>153874.89525430114</v>
      </c>
      <c r="G125" s="523">
        <f t="shared" si="40"/>
        <v>158622.77330308163</v>
      </c>
      <c r="H125" s="526">
        <f t="shared" si="41"/>
        <v>27501.697494009546</v>
      </c>
      <c r="I125" s="577">
        <f t="shared" si="42"/>
        <v>27501.697494009546</v>
      </c>
      <c r="J125" s="514">
        <f t="shared" si="26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 ht="12.5">
      <c r="B126" s="195" t="str">
        <f t="shared" si="32"/>
        <v/>
      </c>
      <c r="C126" s="507">
        <f>IF(D93="","-",+C125+1)</f>
        <v>2035</v>
      </c>
      <c r="D126" s="374">
        <f>IF(F125+SUM(E$99:E125)=D$92,F125,D$92-SUM(E$99:E125))</f>
        <v>153874.89525430114</v>
      </c>
      <c r="E126" s="522">
        <f>IF(+J96&lt;F125,J96,D126)</f>
        <v>9495.7560975609758</v>
      </c>
      <c r="F126" s="523">
        <f t="shared" si="39"/>
        <v>144379.13915674016</v>
      </c>
      <c r="G126" s="523">
        <f t="shared" si="40"/>
        <v>149127.01720552065</v>
      </c>
      <c r="H126" s="526">
        <f t="shared" si="41"/>
        <v>26423.794086779621</v>
      </c>
      <c r="I126" s="577">
        <f t="shared" si="42"/>
        <v>26423.794086779621</v>
      </c>
      <c r="J126" s="514">
        <f t="shared" si="26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 ht="12.5">
      <c r="B127" s="195" t="str">
        <f t="shared" si="32"/>
        <v/>
      </c>
      <c r="C127" s="507">
        <f>IF(D93="","-",+C126+1)</f>
        <v>2036</v>
      </c>
      <c r="D127" s="374">
        <f>IF(F126+SUM(E$99:E126)=D$92,F126,D$92-SUM(E$99:E126))</f>
        <v>144379.13915674016</v>
      </c>
      <c r="E127" s="522">
        <f>IF(+J96&lt;F126,J96,D127)</f>
        <v>9495.7560975609758</v>
      </c>
      <c r="F127" s="523">
        <f t="shared" si="39"/>
        <v>134883.38305917918</v>
      </c>
      <c r="G127" s="523">
        <f t="shared" si="40"/>
        <v>139631.26110795967</v>
      </c>
      <c r="H127" s="526">
        <f t="shared" si="41"/>
        <v>25345.890679549691</v>
      </c>
      <c r="I127" s="577">
        <f t="shared" si="42"/>
        <v>25345.890679549691</v>
      </c>
      <c r="J127" s="514">
        <f t="shared" si="26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 ht="12.5">
      <c r="B128" s="195" t="str">
        <f t="shared" si="32"/>
        <v/>
      </c>
      <c r="C128" s="507">
        <f>IF(D93="","-",+C127+1)</f>
        <v>2037</v>
      </c>
      <c r="D128" s="374">
        <f>IF(F127+SUM(E$99:E127)=D$92,F127,D$92-SUM(E$99:E127))</f>
        <v>134883.38305917918</v>
      </c>
      <c r="E128" s="522">
        <f>IF(+J96&lt;F127,J96,D128)</f>
        <v>9495.7560975609758</v>
      </c>
      <c r="F128" s="523">
        <f t="shared" si="39"/>
        <v>125387.6269616182</v>
      </c>
      <c r="G128" s="523">
        <f t="shared" si="40"/>
        <v>130135.50501039869</v>
      </c>
      <c r="H128" s="526">
        <f t="shared" si="41"/>
        <v>24267.987272319762</v>
      </c>
      <c r="I128" s="577">
        <f t="shared" si="42"/>
        <v>24267.987272319762</v>
      </c>
      <c r="J128" s="514">
        <f t="shared" si="26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 ht="12.5">
      <c r="B129" s="195" t="str">
        <f t="shared" si="32"/>
        <v/>
      </c>
      <c r="C129" s="507">
        <f>IF(D93="","-",+C128+1)</f>
        <v>2038</v>
      </c>
      <c r="D129" s="374">
        <f>IF(F128+SUM(E$99:E128)=D$92,F128,D$92-SUM(E$99:E128))</f>
        <v>125387.6269616182</v>
      </c>
      <c r="E129" s="522">
        <f>IF(+J96&lt;F128,J96,D129)</f>
        <v>9495.7560975609758</v>
      </c>
      <c r="F129" s="523">
        <f t="shared" si="39"/>
        <v>115891.87086405721</v>
      </c>
      <c r="G129" s="523">
        <f t="shared" si="40"/>
        <v>120639.74891283771</v>
      </c>
      <c r="H129" s="526">
        <f t="shared" si="41"/>
        <v>23190.083865089837</v>
      </c>
      <c r="I129" s="577">
        <f t="shared" si="42"/>
        <v>23190.083865089837</v>
      </c>
      <c r="J129" s="514">
        <f t="shared" si="26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 ht="12.5">
      <c r="B130" s="195" t="str">
        <f t="shared" si="32"/>
        <v/>
      </c>
      <c r="C130" s="507">
        <f>IF(D93="","-",+C129+1)</f>
        <v>2039</v>
      </c>
      <c r="D130" s="374">
        <f>IF(F129+SUM(E$99:E129)=D$92,F129,D$92-SUM(E$99:E129))</f>
        <v>115891.87086405721</v>
      </c>
      <c r="E130" s="522">
        <f>IF(+J96&lt;F129,J96,D130)</f>
        <v>9495.7560975609758</v>
      </c>
      <c r="F130" s="523">
        <f t="shared" si="39"/>
        <v>106396.11476649623</v>
      </c>
      <c r="G130" s="523">
        <f t="shared" si="40"/>
        <v>111143.99281527672</v>
      </c>
      <c r="H130" s="526">
        <f t="shared" si="41"/>
        <v>22112.180457859904</v>
      </c>
      <c r="I130" s="577">
        <f t="shared" si="42"/>
        <v>22112.180457859904</v>
      </c>
      <c r="J130" s="514">
        <f t="shared" si="26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 ht="12.5">
      <c r="B131" s="195" t="str">
        <f t="shared" si="32"/>
        <v/>
      </c>
      <c r="C131" s="507">
        <f>IF(D93="","-",+C130+1)</f>
        <v>2040</v>
      </c>
      <c r="D131" s="374">
        <f>IF(F130+SUM(E$99:E130)=D$92,F130,D$92-SUM(E$99:E130))</f>
        <v>106396.11476649623</v>
      </c>
      <c r="E131" s="522">
        <f>IF(+J96&lt;F130,J96,D131)</f>
        <v>9495.7560975609758</v>
      </c>
      <c r="F131" s="523">
        <f t="shared" ref="F131:F154" si="43">+D131-E131</f>
        <v>96900.358668935252</v>
      </c>
      <c r="G131" s="523">
        <f t="shared" ref="G131:G154" si="44">+(F131+D131)/2</f>
        <v>101648.23671771574</v>
      </c>
      <c r="H131" s="526">
        <f t="shared" si="41"/>
        <v>21034.277050629978</v>
      </c>
      <c r="I131" s="577">
        <f t="shared" si="42"/>
        <v>21034.277050629978</v>
      </c>
      <c r="J131" s="514">
        <f t="shared" ref="J131:J154" si="45">+I131-H131</f>
        <v>0</v>
      </c>
      <c r="K131" s="514"/>
      <c r="L131" s="525"/>
      <c r="M131" s="514">
        <f t="shared" ref="M131:M154" si="46">IF(L131&lt;&gt;0,+H131-L131,0)</f>
        <v>0</v>
      </c>
      <c r="N131" s="525"/>
      <c r="O131" s="514">
        <f t="shared" ref="O131:O154" si="47">IF(N131&lt;&gt;0,+I131-N131,0)</f>
        <v>0</v>
      </c>
      <c r="P131" s="514">
        <f t="shared" ref="P131:P154" si="48">+O131-M131</f>
        <v>0</v>
      </c>
      <c r="Q131" s="269"/>
    </row>
    <row r="132" spans="2:17" ht="12.5">
      <c r="B132" s="195" t="str">
        <f t="shared" si="32"/>
        <v/>
      </c>
      <c r="C132" s="507">
        <f>IF(D93="","-",+C131+1)</f>
        <v>2041</v>
      </c>
      <c r="D132" s="374">
        <f>IF(F131+SUM(E$99:E131)=D$92,F131,D$92-SUM(E$99:E131))</f>
        <v>96900.358668935252</v>
      </c>
      <c r="E132" s="522">
        <f>IF(+J96&lt;F131,J96,D132)</f>
        <v>9495.7560975609758</v>
      </c>
      <c r="F132" s="523">
        <f t="shared" si="43"/>
        <v>87404.602571374271</v>
      </c>
      <c r="G132" s="523">
        <f t="shared" si="44"/>
        <v>92152.480620154762</v>
      </c>
      <c r="H132" s="526">
        <f t="shared" si="41"/>
        <v>19956.373643400049</v>
      </c>
      <c r="I132" s="577">
        <f t="shared" si="42"/>
        <v>19956.373643400049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  <c r="Q132" s="269"/>
    </row>
    <row r="133" spans="2:17" ht="12.5">
      <c r="B133" s="195" t="str">
        <f t="shared" si="32"/>
        <v/>
      </c>
      <c r="C133" s="507">
        <f>IF(D93="","-",+C132+1)</f>
        <v>2042</v>
      </c>
      <c r="D133" s="374">
        <f>IF(F132+SUM(E$99:E132)=D$92,F132,D$92-SUM(E$99:E132))</f>
        <v>87404.602571374271</v>
      </c>
      <c r="E133" s="522">
        <f>IF(+J96&lt;F132,J96,D133)</f>
        <v>9495.7560975609758</v>
      </c>
      <c r="F133" s="523">
        <f t="shared" si="43"/>
        <v>77908.84647381329</v>
      </c>
      <c r="G133" s="523">
        <f t="shared" si="44"/>
        <v>82656.72452259378</v>
      </c>
      <c r="H133" s="526">
        <f t="shared" si="41"/>
        <v>18878.47023617012</v>
      </c>
      <c r="I133" s="577">
        <f t="shared" si="42"/>
        <v>18878.47023617012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  <c r="Q133" s="269"/>
    </row>
    <row r="134" spans="2:17" ht="12.5">
      <c r="B134" s="195" t="str">
        <f t="shared" si="32"/>
        <v/>
      </c>
      <c r="C134" s="507">
        <f>IF(D93="","-",+C133+1)</f>
        <v>2043</v>
      </c>
      <c r="D134" s="374">
        <f>IF(F133+SUM(E$99:E133)=D$92,F133,D$92-SUM(E$99:E133))</f>
        <v>77908.84647381329</v>
      </c>
      <c r="E134" s="522">
        <f>IF(+J96&lt;F133,J96,D134)</f>
        <v>9495.7560975609758</v>
      </c>
      <c r="F134" s="523">
        <f t="shared" si="43"/>
        <v>68413.090376252308</v>
      </c>
      <c r="G134" s="523">
        <f t="shared" si="44"/>
        <v>73160.968425032799</v>
      </c>
      <c r="H134" s="526">
        <f t="shared" si="41"/>
        <v>17800.566828940195</v>
      </c>
      <c r="I134" s="577">
        <f t="shared" si="42"/>
        <v>17800.566828940195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  <c r="Q134" s="269"/>
    </row>
    <row r="135" spans="2:17" ht="12.5">
      <c r="B135" s="195" t="str">
        <f t="shared" si="32"/>
        <v/>
      </c>
      <c r="C135" s="507">
        <f>IF(D93="","-",+C134+1)</f>
        <v>2044</v>
      </c>
      <c r="D135" s="374">
        <f>IF(F134+SUM(E$99:E134)=D$92,F134,D$92-SUM(E$99:E134))</f>
        <v>68413.090376252308</v>
      </c>
      <c r="E135" s="522">
        <f>IF(+J96&lt;F134,J96,D135)</f>
        <v>9495.7560975609758</v>
      </c>
      <c r="F135" s="523">
        <f t="shared" si="43"/>
        <v>58917.334278691334</v>
      </c>
      <c r="G135" s="523">
        <f t="shared" si="44"/>
        <v>63665.212327471818</v>
      </c>
      <c r="H135" s="526">
        <f t="shared" si="41"/>
        <v>16722.663421710262</v>
      </c>
      <c r="I135" s="577">
        <f t="shared" si="42"/>
        <v>16722.663421710262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  <c r="Q135" s="269"/>
    </row>
    <row r="136" spans="2:17" ht="12.5">
      <c r="B136" s="195" t="str">
        <f t="shared" si="32"/>
        <v/>
      </c>
      <c r="C136" s="507">
        <f>IF(D93="","-",+C135+1)</f>
        <v>2045</v>
      </c>
      <c r="D136" s="374">
        <f>IF(F135+SUM(E$99:E135)=D$92,F135,D$92-SUM(E$99:E135))</f>
        <v>58917.334278691334</v>
      </c>
      <c r="E136" s="522">
        <f>IF(+J96&lt;F135,J96,D136)</f>
        <v>9495.7560975609758</v>
      </c>
      <c r="F136" s="523">
        <f t="shared" si="43"/>
        <v>49421.57818113036</v>
      </c>
      <c r="G136" s="523">
        <f t="shared" si="44"/>
        <v>54169.456229910851</v>
      </c>
      <c r="H136" s="526">
        <f t="shared" si="41"/>
        <v>15644.760014480336</v>
      </c>
      <c r="I136" s="577">
        <f t="shared" si="42"/>
        <v>15644.760014480336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  <c r="Q136" s="269"/>
    </row>
    <row r="137" spans="2:17" ht="12.5">
      <c r="B137" s="195" t="str">
        <f t="shared" si="32"/>
        <v/>
      </c>
      <c r="C137" s="507">
        <f>IF(D93="","-",+C136+1)</f>
        <v>2046</v>
      </c>
      <c r="D137" s="374">
        <f>IF(F136+SUM(E$99:E136)=D$92,F136,D$92-SUM(E$99:E136))</f>
        <v>49421.57818113036</v>
      </c>
      <c r="E137" s="522">
        <f>IF(+J96&lt;F136,J96,D137)</f>
        <v>9495.7560975609758</v>
      </c>
      <c r="F137" s="523">
        <f t="shared" si="43"/>
        <v>39925.822083569386</v>
      </c>
      <c r="G137" s="523">
        <f t="shared" si="44"/>
        <v>44673.70013234987</v>
      </c>
      <c r="H137" s="526">
        <f t="shared" si="41"/>
        <v>14566.856607250407</v>
      </c>
      <c r="I137" s="577">
        <f t="shared" si="42"/>
        <v>14566.856607250407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  <c r="Q137" s="269"/>
    </row>
    <row r="138" spans="2:17" ht="12.5">
      <c r="B138" s="195" t="str">
        <f t="shared" si="32"/>
        <v/>
      </c>
      <c r="C138" s="507">
        <f>IF(D93="","-",+C137+1)</f>
        <v>2047</v>
      </c>
      <c r="D138" s="374">
        <f>IF(F137+SUM(E$99:E137)=D$92,F137,D$92-SUM(E$99:E137))</f>
        <v>39925.822083569386</v>
      </c>
      <c r="E138" s="522">
        <f>IF(+J96&lt;F137,J96,D138)</f>
        <v>9495.7560975609758</v>
      </c>
      <c r="F138" s="523">
        <f t="shared" si="43"/>
        <v>30430.065986008412</v>
      </c>
      <c r="G138" s="523">
        <f t="shared" si="44"/>
        <v>35177.944034788903</v>
      </c>
      <c r="H138" s="526">
        <f t="shared" si="41"/>
        <v>13488.953200020482</v>
      </c>
      <c r="I138" s="577">
        <f t="shared" si="42"/>
        <v>13488.953200020482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  <c r="Q138" s="269"/>
    </row>
    <row r="139" spans="2:17" ht="12.5">
      <c r="B139" s="195" t="str">
        <f t="shared" si="32"/>
        <v/>
      </c>
      <c r="C139" s="507">
        <f>IF(D93="","-",+C138+1)</f>
        <v>2048</v>
      </c>
      <c r="D139" s="374">
        <f>IF(F138+SUM(E$99:E138)=D$92,F138,D$92-SUM(E$99:E138))</f>
        <v>30430.065986008412</v>
      </c>
      <c r="E139" s="522">
        <f>IF(+J96&lt;F138,J96,D139)</f>
        <v>9495.7560975609758</v>
      </c>
      <c r="F139" s="523">
        <f t="shared" si="43"/>
        <v>20934.309888447438</v>
      </c>
      <c r="G139" s="523">
        <f t="shared" si="44"/>
        <v>25682.187937227925</v>
      </c>
      <c r="H139" s="526">
        <f t="shared" si="41"/>
        <v>12411.049792790553</v>
      </c>
      <c r="I139" s="577">
        <f t="shared" si="42"/>
        <v>12411.049792790553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  <c r="Q139" s="269"/>
    </row>
    <row r="140" spans="2:17" ht="12.5">
      <c r="B140" s="195" t="str">
        <f t="shared" si="32"/>
        <v/>
      </c>
      <c r="C140" s="507">
        <f>IF(D93="","-",+C139+1)</f>
        <v>2049</v>
      </c>
      <c r="D140" s="374">
        <f>IF(F139+SUM(E$99:E139)=D$92,F139,D$92-SUM(E$99:E139))</f>
        <v>20934.309888447438</v>
      </c>
      <c r="E140" s="522">
        <f>IF(+J96&lt;F139,J96,D140)</f>
        <v>9495.7560975609758</v>
      </c>
      <c r="F140" s="523">
        <f t="shared" si="43"/>
        <v>11438.553790886463</v>
      </c>
      <c r="G140" s="523">
        <f t="shared" si="44"/>
        <v>16186.431839666951</v>
      </c>
      <c r="H140" s="526">
        <f t="shared" si="41"/>
        <v>11333.146385560625</v>
      </c>
      <c r="I140" s="577">
        <f t="shared" si="42"/>
        <v>11333.146385560625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  <c r="Q140" s="269"/>
    </row>
    <row r="141" spans="2:17" ht="12.5">
      <c r="B141" s="195" t="str">
        <f t="shared" si="32"/>
        <v/>
      </c>
      <c r="C141" s="507">
        <f>IF(D93="","-",+C140+1)</f>
        <v>2050</v>
      </c>
      <c r="D141" s="374">
        <f>IF(F140+SUM(E$99:E140)=D$92,F140,D$92-SUM(E$99:E140))</f>
        <v>11438.553790886463</v>
      </c>
      <c r="E141" s="522">
        <f>IF(+J96&lt;F140,J96,D141)</f>
        <v>9495.7560975609758</v>
      </c>
      <c r="F141" s="523">
        <f t="shared" si="43"/>
        <v>1942.7976933254868</v>
      </c>
      <c r="G141" s="523">
        <f t="shared" si="44"/>
        <v>6690.6757421059747</v>
      </c>
      <c r="H141" s="526">
        <f t="shared" si="41"/>
        <v>10255.242978330698</v>
      </c>
      <c r="I141" s="577">
        <f t="shared" si="42"/>
        <v>10255.242978330698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  <c r="Q141" s="269"/>
    </row>
    <row r="142" spans="2:17" ht="12.5">
      <c r="B142" s="195" t="str">
        <f t="shared" si="32"/>
        <v/>
      </c>
      <c r="C142" s="507">
        <f>IF(D93="","-",+C141+1)</f>
        <v>2051</v>
      </c>
      <c r="D142" s="374">
        <f>IF(F141+SUM(E$99:E141)=D$92,F141,D$92-SUM(E$99:E141))</f>
        <v>1942.7976933254868</v>
      </c>
      <c r="E142" s="522">
        <f>IF(+J96&lt;F141,J96,D142)</f>
        <v>1942.7976933254868</v>
      </c>
      <c r="F142" s="523">
        <f t="shared" si="43"/>
        <v>0</v>
      </c>
      <c r="G142" s="523">
        <f t="shared" si="44"/>
        <v>971.39884666274338</v>
      </c>
      <c r="H142" s="526">
        <f t="shared" si="41"/>
        <v>2053.065281902866</v>
      </c>
      <c r="I142" s="577">
        <f t="shared" si="42"/>
        <v>2053.065281902866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  <c r="Q142" s="269"/>
    </row>
    <row r="143" spans="2:17" ht="12.5">
      <c r="B143" s="195" t="str">
        <f t="shared" si="32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3"/>
        <v>0</v>
      </c>
      <c r="G143" s="523">
        <f t="shared" si="44"/>
        <v>0</v>
      </c>
      <c r="H143" s="526">
        <f t="shared" si="41"/>
        <v>0</v>
      </c>
      <c r="I143" s="577">
        <f t="shared" si="42"/>
        <v>0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  <c r="Q143" s="269"/>
    </row>
    <row r="144" spans="2:17" ht="12.5">
      <c r="B144" s="195" t="str">
        <f t="shared" si="32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3"/>
        <v>0</v>
      </c>
      <c r="G144" s="523">
        <f t="shared" si="44"/>
        <v>0</v>
      </c>
      <c r="H144" s="526">
        <f t="shared" si="41"/>
        <v>0</v>
      </c>
      <c r="I144" s="577">
        <f t="shared" si="42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  <c r="Q144" s="269"/>
    </row>
    <row r="145" spans="2:17" ht="12.5">
      <c r="B145" s="195" t="str">
        <f t="shared" si="32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3"/>
        <v>0</v>
      </c>
      <c r="G145" s="523">
        <f t="shared" si="44"/>
        <v>0</v>
      </c>
      <c r="H145" s="526">
        <f t="shared" si="41"/>
        <v>0</v>
      </c>
      <c r="I145" s="577">
        <f t="shared" si="42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  <c r="Q145" s="269"/>
    </row>
    <row r="146" spans="2:17" ht="12.5">
      <c r="B146" s="195" t="str">
        <f t="shared" si="32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3"/>
        <v>0</v>
      </c>
      <c r="G146" s="523">
        <f t="shared" si="44"/>
        <v>0</v>
      </c>
      <c r="H146" s="526">
        <f t="shared" si="41"/>
        <v>0</v>
      </c>
      <c r="I146" s="577">
        <f t="shared" si="42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  <c r="Q146" s="269"/>
    </row>
    <row r="147" spans="2:17" ht="12.5">
      <c r="B147" s="195" t="str">
        <f t="shared" si="32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3"/>
        <v>0</v>
      </c>
      <c r="G147" s="523">
        <f t="shared" si="44"/>
        <v>0</v>
      </c>
      <c r="H147" s="526">
        <f t="shared" si="41"/>
        <v>0</v>
      </c>
      <c r="I147" s="577">
        <f t="shared" si="42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  <c r="Q147" s="269"/>
    </row>
    <row r="148" spans="2:17" ht="12.5">
      <c r="B148" s="195" t="str">
        <f t="shared" si="32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3"/>
        <v>0</v>
      </c>
      <c r="G148" s="523">
        <f t="shared" si="44"/>
        <v>0</v>
      </c>
      <c r="H148" s="526">
        <f t="shared" si="41"/>
        <v>0</v>
      </c>
      <c r="I148" s="577">
        <f t="shared" si="42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  <c r="Q148" s="269"/>
    </row>
    <row r="149" spans="2:17" ht="12.5">
      <c r="B149" s="195" t="str">
        <f t="shared" si="32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3"/>
        <v>0</v>
      </c>
      <c r="G149" s="523">
        <f t="shared" si="44"/>
        <v>0</v>
      </c>
      <c r="H149" s="526">
        <f t="shared" si="41"/>
        <v>0</v>
      </c>
      <c r="I149" s="577">
        <f t="shared" si="42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  <c r="Q149" s="269"/>
    </row>
    <row r="150" spans="2:17" ht="12.5">
      <c r="B150" s="195" t="str">
        <f t="shared" si="32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3"/>
        <v>0</v>
      </c>
      <c r="G150" s="523">
        <f t="shared" si="44"/>
        <v>0</v>
      </c>
      <c r="H150" s="526">
        <f t="shared" si="41"/>
        <v>0</v>
      </c>
      <c r="I150" s="577">
        <f t="shared" si="42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  <c r="Q150" s="269"/>
    </row>
    <row r="151" spans="2:17" ht="12.5">
      <c r="B151" s="195" t="str">
        <f t="shared" si="32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3"/>
        <v>0</v>
      </c>
      <c r="G151" s="523">
        <f t="shared" si="44"/>
        <v>0</v>
      </c>
      <c r="H151" s="526">
        <f t="shared" si="41"/>
        <v>0</v>
      </c>
      <c r="I151" s="577">
        <f t="shared" si="42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  <c r="Q151" s="269"/>
    </row>
    <row r="152" spans="2:17" ht="12.5">
      <c r="B152" s="195" t="str">
        <f t="shared" si="32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3"/>
        <v>0</v>
      </c>
      <c r="G152" s="523">
        <f t="shared" si="44"/>
        <v>0</v>
      </c>
      <c r="H152" s="526">
        <f t="shared" si="41"/>
        <v>0</v>
      </c>
      <c r="I152" s="577">
        <f t="shared" si="42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  <c r="Q152" s="269"/>
    </row>
    <row r="153" spans="2:17" ht="12.5">
      <c r="B153" s="195" t="str">
        <f t="shared" si="32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3"/>
        <v>0</v>
      </c>
      <c r="G153" s="523">
        <f t="shared" si="44"/>
        <v>0</v>
      </c>
      <c r="H153" s="526">
        <f t="shared" si="41"/>
        <v>0</v>
      </c>
      <c r="I153" s="577">
        <f t="shared" si="42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  <c r="Q153" s="269"/>
    </row>
    <row r="154" spans="2:17" ht="13" thickBot="1">
      <c r="B154" s="195" t="str">
        <f t="shared" si="32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3"/>
        <v>0</v>
      </c>
      <c r="G154" s="528">
        <f t="shared" si="44"/>
        <v>0</v>
      </c>
      <c r="H154" s="530">
        <f t="shared" si="41"/>
        <v>0</v>
      </c>
      <c r="I154" s="579">
        <f t="shared" si="42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  <c r="Q154" s="269"/>
    </row>
    <row r="155" spans="2:17" ht="12.5">
      <c r="C155" s="374" t="s">
        <v>78</v>
      </c>
      <c r="D155" s="375"/>
      <c r="E155" s="375">
        <f>SUM(E99:E154)</f>
        <v>389325.99999999988</v>
      </c>
      <c r="F155" s="375"/>
      <c r="G155" s="375"/>
      <c r="H155" s="375">
        <f>SUM(H99:H154)</f>
        <v>1370967.8346386557</v>
      </c>
      <c r="I155" s="375">
        <f>SUM(I99:I154)</f>
        <v>1370967.8346386557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9" priority="1" stopIfTrue="1" operator="equal">
      <formula>$I$10</formula>
    </cfRule>
  </conditionalFormatting>
  <conditionalFormatting sqref="C99:C154">
    <cfRule type="cellIs" dxfId="12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8"/>
  <dimension ref="A1:S137"/>
  <sheetViews>
    <sheetView zoomScale="70" zoomScaleNormal="70" zoomScaleSheetLayoutView="70" workbookViewId="0">
      <selection sqref="A1:J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16.1796875" style="183" customWidth="1"/>
    <col min="10" max="10" width="2.179687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3.54296875" style="183" bestFit="1" customWidth="1"/>
    <col min="17" max="17" width="4.7265625" style="183" customWidth="1"/>
    <col min="18" max="18" width="15.453125" style="183" customWidth="1"/>
    <col min="19" max="19" width="81.81640625" style="183" bestFit="1" customWidth="1"/>
    <col min="20" max="22" width="8.7265625" style="183"/>
    <col min="23" max="23" width="9.1796875" style="183" customWidth="1"/>
    <col min="24" max="16384" width="8.7265625" style="183"/>
  </cols>
  <sheetData>
    <row r="1" spans="1:18" ht="17.5">
      <c r="A1" s="684" t="s">
        <v>110</v>
      </c>
      <c r="B1" s="685"/>
      <c r="C1" s="685"/>
      <c r="D1" s="685"/>
      <c r="E1" s="685"/>
      <c r="F1" s="685"/>
      <c r="G1" s="685"/>
      <c r="H1" s="685"/>
      <c r="I1" s="685"/>
      <c r="J1" s="685"/>
    </row>
    <row r="2" spans="1:18" ht="17.5">
      <c r="A2" s="686" t="str">
        <f>L19&amp;" Cost of Service Formula Rate Projected on "&amp;L19-1&amp;" FF1 Balances"</f>
        <v>2023 Cost of Service Formula Rate Projected on 2022 FF1 Balances</v>
      </c>
      <c r="B2" s="686"/>
      <c r="C2" s="686"/>
      <c r="D2" s="686"/>
      <c r="E2" s="686"/>
      <c r="F2" s="686"/>
      <c r="G2" s="686"/>
      <c r="H2" s="686"/>
      <c r="I2" s="686"/>
      <c r="J2" s="686"/>
    </row>
    <row r="3" spans="1:18" ht="18">
      <c r="A3" s="687" t="s">
        <v>125</v>
      </c>
      <c r="B3" s="686"/>
      <c r="C3" s="686"/>
      <c r="D3" s="686"/>
      <c r="E3" s="686"/>
      <c r="F3" s="686"/>
      <c r="G3" s="686"/>
      <c r="H3" s="686"/>
      <c r="I3" s="686"/>
      <c r="J3" s="686"/>
      <c r="Q3" s="267" t="s">
        <v>111</v>
      </c>
    </row>
    <row r="4" spans="1:18" ht="17.5">
      <c r="A4" s="686" t="str">
        <f>"Based on a Carrying Charge Derived from ""Historic"" "&amp;L19-1&amp;" Data"</f>
        <v>Based on a Carrying Charge Derived from "Historic" 2022 Data</v>
      </c>
      <c r="B4" s="686"/>
      <c r="C4" s="686"/>
      <c r="D4" s="686"/>
      <c r="E4" s="686"/>
      <c r="F4" s="686"/>
      <c r="G4" s="686"/>
      <c r="H4" s="686"/>
      <c r="I4" s="686"/>
      <c r="J4" s="686"/>
    </row>
    <row r="5" spans="1:18" ht="18">
      <c r="A5" s="688" t="s">
        <v>135</v>
      </c>
      <c r="B5" s="689"/>
      <c r="C5" s="689"/>
      <c r="D5" s="689"/>
      <c r="E5" s="689"/>
      <c r="F5" s="689"/>
      <c r="G5" s="689"/>
      <c r="H5" s="689"/>
      <c r="I5" s="689"/>
      <c r="J5" s="689"/>
      <c r="R5" s="268"/>
    </row>
    <row r="6" spans="1:18" ht="12.5">
      <c r="A6" s="269"/>
      <c r="B6" s="269"/>
      <c r="C6" s="269"/>
      <c r="D6" s="270"/>
      <c r="E6" s="269"/>
      <c r="F6" s="269"/>
      <c r="G6" s="269"/>
      <c r="H6" s="271"/>
      <c r="I6" s="269"/>
      <c r="J6" s="272"/>
    </row>
    <row r="7" spans="1:18" ht="12.5">
      <c r="D7" s="195"/>
      <c r="H7" s="247"/>
      <c r="J7" s="233"/>
    </row>
    <row r="8" spans="1:18" ht="17.5">
      <c r="B8" s="273" t="s">
        <v>0</v>
      </c>
      <c r="C8" s="681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82"/>
      <c r="E8" s="682"/>
      <c r="F8" s="682"/>
      <c r="G8" s="682"/>
      <c r="H8" s="682"/>
      <c r="J8" s="233"/>
    </row>
    <row r="9" spans="1:18" ht="12.5">
      <c r="D9" s="195"/>
      <c r="H9" s="247"/>
      <c r="J9" s="233"/>
    </row>
    <row r="10" spans="1:18" ht="15.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H10" s="247"/>
      <c r="J10" s="233"/>
      <c r="K10" s="275"/>
      <c r="L10" s="276"/>
    </row>
    <row r="11" spans="1:18" ht="12.5">
      <c r="D11" s="195"/>
      <c r="H11" s="247"/>
      <c r="J11" s="233"/>
    </row>
    <row r="12" spans="1:18" ht="12.5">
      <c r="C12" s="277" t="str">
        <f>S105</f>
        <v xml:space="preserve">   ROE w/o incentives  (TCOS, ln 143)</v>
      </c>
      <c r="D12" s="195"/>
      <c r="E12" s="278"/>
      <c r="F12" s="279">
        <f>+R105</f>
        <v>0.105</v>
      </c>
      <c r="G12" s="280"/>
      <c r="H12" s="281"/>
      <c r="I12" s="282"/>
      <c r="J12" s="283"/>
      <c r="K12" s="282"/>
      <c r="L12" s="282"/>
      <c r="M12" s="282"/>
      <c r="N12" s="282"/>
      <c r="O12" s="278"/>
      <c r="P12" s="282"/>
      <c r="Q12" s="269"/>
    </row>
    <row r="13" spans="1:18" ht="12.5">
      <c r="C13" s="277" t="s">
        <v>1</v>
      </c>
      <c r="D13" s="195"/>
      <c r="E13" s="278"/>
      <c r="F13" s="284">
        <f>+R106</f>
        <v>0</v>
      </c>
      <c r="G13" s="183" t="s">
        <v>155</v>
      </c>
      <c r="K13" s="282"/>
      <c r="L13" s="282"/>
      <c r="M13" s="282"/>
      <c r="N13" s="282"/>
      <c r="O13" s="278"/>
      <c r="P13" s="282"/>
      <c r="Q13" s="269"/>
    </row>
    <row r="14" spans="1:18" ht="13.5" thickBot="1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H14" s="282"/>
      <c r="I14" s="282"/>
      <c r="J14" s="283"/>
      <c r="K14" s="282"/>
      <c r="L14" s="282"/>
      <c r="M14" s="282"/>
      <c r="N14" s="282"/>
      <c r="O14" s="278"/>
      <c r="P14" s="282"/>
      <c r="Q14" s="269"/>
    </row>
    <row r="15" spans="1:18" ht="12.5">
      <c r="C15" s="277" t="s">
        <v>3</v>
      </c>
      <c r="D15" s="195"/>
      <c r="E15" s="278"/>
      <c r="F15" s="285"/>
      <c r="G15" s="278"/>
      <c r="H15" s="282"/>
      <c r="I15" s="282"/>
      <c r="J15" s="283"/>
      <c r="K15" s="675" t="s">
        <v>4</v>
      </c>
      <c r="L15" s="676"/>
      <c r="M15" s="676"/>
      <c r="N15" s="676"/>
      <c r="O15" s="677"/>
      <c r="P15" s="282"/>
      <c r="Q15" s="269"/>
    </row>
    <row r="16" spans="1:18" ht="12.5">
      <c r="C16" s="283"/>
      <c r="D16" s="287" t="s">
        <v>5</v>
      </c>
      <c r="E16" s="287" t="s">
        <v>6</v>
      </c>
      <c r="F16" s="288" t="s">
        <v>7</v>
      </c>
      <c r="G16" s="278"/>
      <c r="H16" s="282"/>
      <c r="I16" s="282"/>
      <c r="J16" s="283"/>
      <c r="K16" s="678"/>
      <c r="L16" s="679"/>
      <c r="M16" s="679"/>
      <c r="N16" s="679"/>
      <c r="O16" s="680"/>
      <c r="P16" s="282"/>
      <c r="Q16" s="269"/>
    </row>
    <row r="17" spans="3:17" ht="12.5">
      <c r="C17" s="289" t="s">
        <v>8</v>
      </c>
      <c r="D17" s="290">
        <f>+R107</f>
        <v>0.48769222784013588</v>
      </c>
      <c r="E17" s="291">
        <f>+R108</f>
        <v>3.9555503564332538E-2</v>
      </c>
      <c r="F17" s="292">
        <f>E17*D17</f>
        <v>1.929091165662777E-2</v>
      </c>
      <c r="G17" s="278"/>
      <c r="H17" s="282"/>
      <c r="I17" s="293"/>
      <c r="J17" s="294"/>
      <c r="K17" s="295"/>
      <c r="L17" s="296"/>
      <c r="M17" s="283" t="s">
        <v>9</v>
      </c>
      <c r="N17" s="283" t="s">
        <v>10</v>
      </c>
      <c r="O17" s="297" t="s">
        <v>11</v>
      </c>
      <c r="P17" s="282"/>
      <c r="Q17" s="269"/>
    </row>
    <row r="18" spans="3:17" ht="12.5">
      <c r="C18" s="289" t="s">
        <v>12</v>
      </c>
      <c r="D18" s="290">
        <f>+R109</f>
        <v>0</v>
      </c>
      <c r="E18" s="291">
        <f>+R110</f>
        <v>0</v>
      </c>
      <c r="F18" s="292">
        <f>E18*D18</f>
        <v>0</v>
      </c>
      <c r="G18" s="298"/>
      <c r="H18" s="298"/>
      <c r="I18" s="299"/>
      <c r="J18" s="300"/>
      <c r="K18" s="301"/>
      <c r="L18" s="233"/>
      <c r="M18" s="233"/>
      <c r="N18" s="233"/>
      <c r="O18" s="302"/>
      <c r="P18" s="298"/>
      <c r="Q18" s="269"/>
    </row>
    <row r="19" spans="3:17" ht="13" thickBot="1">
      <c r="C19" s="303" t="s">
        <v>13</v>
      </c>
      <c r="D19" s="290">
        <f>+R111</f>
        <v>0.51230777215986412</v>
      </c>
      <c r="E19" s="291">
        <f>+F14</f>
        <v>0.105</v>
      </c>
      <c r="F19" s="304">
        <f>E19*D19</f>
        <v>5.379231607678573E-2</v>
      </c>
      <c r="G19" s="298"/>
      <c r="H19" s="298"/>
      <c r="I19" s="285"/>
      <c r="J19" s="300"/>
      <c r="K19" s="305" t="s">
        <v>14</v>
      </c>
      <c r="L19" s="306">
        <f>R104</f>
        <v>2023</v>
      </c>
      <c r="M19" s="307">
        <f>SUM('S.001:S.xyz - blank'!N5)</f>
        <v>87400207.32980676</v>
      </c>
      <c r="N19" s="307">
        <f>SUM('S.001:S.xyz - blank'!N6)</f>
        <v>87400207.32980676</v>
      </c>
      <c r="O19" s="308">
        <f>+N19-M19</f>
        <v>0</v>
      </c>
      <c r="P19" s="299"/>
      <c r="Q19" s="269"/>
    </row>
    <row r="20" spans="3:17" ht="12.5">
      <c r="C20" s="277"/>
      <c r="D20" s="278"/>
      <c r="E20" s="309" t="s">
        <v>15</v>
      </c>
      <c r="F20" s="292">
        <f>SUM(F17:F19)</f>
        <v>7.3083227733413497E-2</v>
      </c>
      <c r="G20" s="298"/>
      <c r="H20" s="298"/>
      <c r="I20" s="299"/>
      <c r="J20" s="300"/>
      <c r="M20" s="310" t="str">
        <f>IF(M19=SUM('S.001:S.xyz - blank'!N5),"","ERROR")</f>
        <v/>
      </c>
      <c r="N20" s="310" t="str">
        <f>IF(N19=SUM('S.001:S.xyz - blank'!N6),"","ERROR")</f>
        <v/>
      </c>
      <c r="O20" s="310" t="str">
        <f>IF(O19=SUM('S.001:S.xyz - blank'!N7),"","ERROR")</f>
        <v/>
      </c>
      <c r="P20" s="298"/>
      <c r="Q20" s="269"/>
    </row>
    <row r="21" spans="3:17" ht="13">
      <c r="D21" s="311"/>
      <c r="E21" s="311"/>
      <c r="F21" s="298"/>
      <c r="G21" s="298"/>
      <c r="H21" s="298"/>
      <c r="I21" s="298"/>
      <c r="J21" s="312"/>
      <c r="K21" s="212" t="s">
        <v>16</v>
      </c>
      <c r="P21" s="298"/>
      <c r="Q21" s="269"/>
    </row>
    <row r="22" spans="3:17" ht="15.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298"/>
      <c r="H22" s="278"/>
      <c r="I22" s="298"/>
      <c r="J22" s="312"/>
      <c r="K22" s="183" t="s">
        <v>17</v>
      </c>
      <c r="P22" s="298"/>
      <c r="Q22" s="269"/>
    </row>
    <row r="23" spans="3:17" ht="12.5">
      <c r="C23" s="283"/>
      <c r="D23" s="311"/>
      <c r="E23" s="311"/>
      <c r="F23" s="312"/>
      <c r="G23" s="312"/>
      <c r="H23" s="312"/>
      <c r="I23" s="312"/>
      <c r="J23" s="312"/>
      <c r="K23" s="299"/>
      <c r="L23" s="314"/>
      <c r="M23" s="249"/>
      <c r="N23" s="299"/>
      <c r="O23" s="298"/>
      <c r="P23" s="312"/>
      <c r="Q23" s="272"/>
    </row>
    <row r="24" spans="3:17" ht="12.5">
      <c r="C24" s="277" t="str">
        <f>+S112</f>
        <v xml:space="preserve">   Rate Base  (TCOS, ln 63)</v>
      </c>
      <c r="D24" s="278"/>
      <c r="E24" s="315">
        <f>+R112</f>
        <v>1639397420.1065717</v>
      </c>
      <c r="F24" s="316"/>
      <c r="G24" s="312"/>
      <c r="H24" s="312"/>
      <c r="I24" s="312"/>
      <c r="J24" s="312"/>
      <c r="K24" s="312"/>
      <c r="L24" s="312"/>
      <c r="M24" s="312"/>
      <c r="N24" s="312"/>
      <c r="O24" s="312"/>
      <c r="P24" s="316"/>
      <c r="Q24" s="272"/>
    </row>
    <row r="25" spans="3:17" ht="12.5">
      <c r="C25" s="283" t="s">
        <v>18</v>
      </c>
      <c r="D25" s="280"/>
      <c r="E25" s="317">
        <f>F20</f>
        <v>7.3083227733413497E-2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272"/>
    </row>
    <row r="26" spans="3:17" ht="12.5">
      <c r="C26" s="318" t="s">
        <v>19</v>
      </c>
      <c r="D26" s="318"/>
      <c r="E26" s="299">
        <f>E24*E25</f>
        <v>119812454.99921913</v>
      </c>
      <c r="F26" s="312"/>
      <c r="G26" s="312"/>
      <c r="H26" s="312"/>
      <c r="I26" s="300"/>
      <c r="J26" s="300"/>
      <c r="K26" s="300"/>
      <c r="L26" s="300"/>
      <c r="M26" s="300"/>
      <c r="N26" s="300"/>
      <c r="O26" s="312"/>
      <c r="P26" s="312"/>
      <c r="Q26" s="272"/>
    </row>
    <row r="27" spans="3:17" ht="12.5">
      <c r="C27" s="319"/>
      <c r="D27" s="282"/>
      <c r="E27" s="282"/>
      <c r="F27" s="312"/>
      <c r="G27" s="312"/>
      <c r="H27" s="312"/>
      <c r="I27" s="300"/>
      <c r="J27" s="300"/>
      <c r="K27" s="300"/>
      <c r="L27" s="300"/>
      <c r="M27" s="300"/>
      <c r="N27" s="300"/>
      <c r="O27" s="312"/>
      <c r="P27" s="312"/>
      <c r="Q27" s="272"/>
    </row>
    <row r="28" spans="3:17" ht="15.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2"/>
      <c r="J28" s="322"/>
      <c r="K28" s="322"/>
      <c r="L28" s="322"/>
      <c r="M28" s="322"/>
      <c r="N28" s="322"/>
      <c r="O28" s="321"/>
      <c r="P28" s="321"/>
      <c r="Q28" s="272"/>
    </row>
    <row r="29" spans="3:17" ht="12.5">
      <c r="C29" s="277"/>
      <c r="D29" s="282"/>
      <c r="E29" s="282"/>
      <c r="F29" s="312"/>
      <c r="G29" s="312"/>
      <c r="H29" s="312"/>
      <c r="I29" s="300"/>
      <c r="J29" s="300"/>
      <c r="K29" s="300"/>
      <c r="L29" s="300"/>
      <c r="M29" s="300"/>
      <c r="N29" s="300"/>
      <c r="O29" s="312"/>
      <c r="P29" s="312"/>
      <c r="Q29" s="272"/>
    </row>
    <row r="30" spans="3:17" ht="12.5">
      <c r="C30" s="283" t="s">
        <v>20</v>
      </c>
      <c r="D30" s="309"/>
      <c r="E30" s="323">
        <f>E26</f>
        <v>119812454.99921913</v>
      </c>
      <c r="F30" s="312"/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272"/>
    </row>
    <row r="31" spans="3:17" ht="12.5">
      <c r="C31" s="277" t="str">
        <f>+S113</f>
        <v xml:space="preserve">   Tax Rate  (TCOS, ln 99)</v>
      </c>
      <c r="D31" s="309"/>
      <c r="E31" s="324">
        <f>+R113</f>
        <v>0.24317999999999995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272"/>
    </row>
    <row r="32" spans="3:17" ht="12.5">
      <c r="C32" s="283" t="s">
        <v>21</v>
      </c>
      <c r="D32" s="270"/>
      <c r="E32" s="285">
        <f>IF(F17&gt;0,($E31/(1-$E31))*(1-$F17/$F20),0)</f>
        <v>0.23650361183811505</v>
      </c>
      <c r="F32" s="269"/>
      <c r="G32" s="285"/>
      <c r="H32" s="271"/>
      <c r="I32" s="269"/>
      <c r="J32" s="272"/>
      <c r="K32" s="269"/>
      <c r="L32" s="269"/>
      <c r="M32" s="269"/>
      <c r="N32" s="269"/>
      <c r="O32" s="269"/>
      <c r="P32" s="269"/>
      <c r="Q32" s="269"/>
    </row>
    <row r="33" spans="2:19" ht="12.5">
      <c r="C33" s="318" t="s">
        <v>22</v>
      </c>
      <c r="D33" s="325"/>
      <c r="E33" s="326">
        <f>E30*E32</f>
        <v>28336078.35050695</v>
      </c>
      <c r="F33" s="326"/>
      <c r="G33" s="269"/>
      <c r="H33" s="271"/>
      <c r="I33" s="269"/>
      <c r="J33" s="272"/>
      <c r="K33" s="269"/>
      <c r="L33" s="269"/>
      <c r="M33" s="269"/>
      <c r="N33" s="269"/>
      <c r="O33" s="269"/>
      <c r="P33" s="269"/>
      <c r="Q33" s="269"/>
    </row>
    <row r="34" spans="2:19" ht="15.5">
      <c r="C34" s="277" t="str">
        <f>+S114</f>
        <v xml:space="preserve">   ITC Adjustment  (TCOS, ln 108)</v>
      </c>
      <c r="D34" s="327"/>
      <c r="E34" s="328">
        <f>+R114</f>
        <v>-157962.73487154325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</row>
    <row r="35" spans="2:19" ht="15.5">
      <c r="C35" s="277" t="str">
        <f>+S115</f>
        <v xml:space="preserve">   Excess DFIT Adjustment  (TCOS, ln 109)</v>
      </c>
      <c r="D35" s="327"/>
      <c r="E35" s="328">
        <f>+R115</f>
        <v>-787089.81399277528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</row>
    <row r="36" spans="2:19" ht="15.5">
      <c r="C36" s="277" t="str">
        <f>+S116</f>
        <v xml:space="preserve">   Tax Effect of Permanent and Flow Through Differences  (TCOS, ln 110)</v>
      </c>
      <c r="D36" s="327"/>
      <c r="E36" s="328">
        <f>+R116</f>
        <v>281981.36941412755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</row>
    <row r="37" spans="2:19" ht="15.5">
      <c r="C37" s="319" t="s">
        <v>23</v>
      </c>
      <c r="D37" s="327"/>
      <c r="E37" s="328">
        <f>E33+E34+E35+E36</f>
        <v>27673007.171056759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69"/>
      <c r="S38" s="269"/>
    </row>
    <row r="39" spans="2:19" ht="18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69"/>
      <c r="S39" s="269"/>
    </row>
    <row r="40" spans="2:19" ht="15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69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69"/>
      <c r="S41" s="269"/>
    </row>
    <row r="42" spans="2:19" ht="15.5">
      <c r="C42" s="274" t="s">
        <v>25</v>
      </c>
      <c r="D42" s="327"/>
      <c r="E42" s="327"/>
      <c r="F42" s="333"/>
      <c r="G42" s="327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69"/>
      <c r="S42" s="269"/>
    </row>
    <row r="43" spans="2:19" ht="12.5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69"/>
      <c r="S43" s="269"/>
    </row>
    <row r="44" spans="2:19" ht="12.75" customHeight="1">
      <c r="B44" s="269"/>
      <c r="C44" s="277" t="str">
        <f>+S117</f>
        <v xml:space="preserve">   Net Revenue Requirement  (TCOS, ln 117)</v>
      </c>
      <c r="D44" s="335"/>
      <c r="E44" s="335"/>
      <c r="F44" s="328">
        <f>+R117</f>
        <v>288121236.08289659</v>
      </c>
      <c r="G44" s="335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69"/>
      <c r="S44" s="269"/>
    </row>
    <row r="45" spans="2:19" ht="12.5">
      <c r="B45" s="269"/>
      <c r="C45" s="277" t="str">
        <f>+S118</f>
        <v xml:space="preserve">   Return  (TCOS, ln 112)</v>
      </c>
      <c r="D45" s="335"/>
      <c r="E45" s="335"/>
      <c r="F45" s="336">
        <f>+R118</f>
        <v>119812454.99921913</v>
      </c>
      <c r="G45" s="337"/>
      <c r="H45" s="337"/>
      <c r="I45" s="337"/>
      <c r="J45" s="337"/>
      <c r="K45" s="337"/>
      <c r="L45" s="337"/>
      <c r="M45" s="337"/>
      <c r="N45" s="337"/>
      <c r="O45" s="337"/>
      <c r="P45" s="328"/>
      <c r="Q45" s="335"/>
      <c r="R45" s="269"/>
      <c r="S45" s="269"/>
    </row>
    <row r="46" spans="2:19" ht="12.5">
      <c r="B46" s="269"/>
      <c r="C46" s="277" t="str">
        <f>+S119</f>
        <v xml:space="preserve">   Income Taxes  (TCOS, ln 111)</v>
      </c>
      <c r="D46" s="335"/>
      <c r="E46" s="335"/>
      <c r="F46" s="328">
        <f>+R119</f>
        <v>27673007.171056759</v>
      </c>
      <c r="G46" s="335"/>
      <c r="H46" s="335"/>
      <c r="I46" s="338"/>
      <c r="J46" s="338"/>
      <c r="K46" s="338"/>
      <c r="L46" s="338"/>
      <c r="M46" s="338"/>
      <c r="N46" s="338"/>
      <c r="O46" s="335"/>
      <c r="P46" s="335"/>
      <c r="Q46" s="335"/>
      <c r="R46" s="269"/>
      <c r="S46" s="269"/>
    </row>
    <row r="47" spans="2:19" ht="12.5">
      <c r="B47" s="269"/>
      <c r="C47" s="334" t="str">
        <f>+S120</f>
        <v xml:space="preserve">  Gross Margin Taxes  (TCOS, ln 116)</v>
      </c>
      <c r="D47" s="335"/>
      <c r="E47" s="335"/>
      <c r="F47" s="339">
        <f>+R120</f>
        <v>120873.81300210013</v>
      </c>
      <c r="G47" s="335"/>
      <c r="H47" s="335"/>
      <c r="I47" s="338"/>
      <c r="J47" s="338"/>
      <c r="K47" s="338"/>
      <c r="L47" s="338"/>
      <c r="M47" s="338"/>
      <c r="N47" s="338"/>
      <c r="O47" s="335"/>
      <c r="P47" s="335"/>
      <c r="Q47" s="335"/>
      <c r="R47" s="269"/>
      <c r="S47" s="269"/>
    </row>
    <row r="48" spans="2:19" ht="12.5">
      <c r="B48" s="269"/>
      <c r="C48" s="340" t="s">
        <v>26</v>
      </c>
      <c r="D48" s="335"/>
      <c r="E48" s="335"/>
      <c r="F48" s="336">
        <f>F44-F45-F46-F47</f>
        <v>140514900.09961861</v>
      </c>
      <c r="G48" s="341"/>
      <c r="H48" s="335"/>
      <c r="I48" s="341"/>
      <c r="J48" s="341"/>
      <c r="K48" s="341"/>
      <c r="L48" s="341"/>
      <c r="M48" s="341"/>
      <c r="N48" s="341"/>
      <c r="O48" s="335"/>
      <c r="P48" s="341"/>
      <c r="Q48" s="335"/>
      <c r="R48" s="269"/>
      <c r="S48" s="269"/>
    </row>
    <row r="49" spans="2:19" ht="12.5">
      <c r="B49" s="269"/>
      <c r="C49" s="334"/>
      <c r="D49" s="335"/>
      <c r="E49" s="335"/>
      <c r="F49" s="328"/>
      <c r="G49" s="342"/>
      <c r="H49" s="343"/>
      <c r="I49" s="343"/>
      <c r="J49" s="343"/>
      <c r="K49" s="343"/>
      <c r="L49" s="343"/>
      <c r="M49" s="343"/>
      <c r="N49" s="343"/>
      <c r="O49" s="344"/>
      <c r="P49" s="343"/>
      <c r="Q49" s="345"/>
      <c r="R49" s="269"/>
      <c r="S49" s="269"/>
    </row>
    <row r="50" spans="2:19" ht="15.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42"/>
      <c r="H50" s="343"/>
      <c r="I50" s="343"/>
      <c r="J50" s="343"/>
      <c r="K50" s="343"/>
      <c r="L50" s="343"/>
      <c r="M50" s="343"/>
      <c r="N50" s="343"/>
      <c r="O50" s="344"/>
      <c r="P50" s="343"/>
      <c r="Q50" s="335"/>
    </row>
    <row r="51" spans="2:19" ht="12.5">
      <c r="B51" s="269"/>
      <c r="C51" s="334"/>
      <c r="D51" s="344"/>
      <c r="E51" s="344"/>
      <c r="F51" s="328"/>
      <c r="G51" s="342"/>
      <c r="H51" s="343"/>
      <c r="I51" s="343"/>
      <c r="J51" s="343"/>
      <c r="K51" s="343"/>
      <c r="L51" s="343"/>
      <c r="M51" s="343"/>
      <c r="N51" s="343"/>
      <c r="O51" s="344"/>
      <c r="P51" s="343"/>
      <c r="Q51" s="335"/>
    </row>
    <row r="52" spans="2:19" ht="13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140514900.09961861</v>
      </c>
      <c r="G52" s="335"/>
      <c r="H52" s="335"/>
      <c r="I52" s="335"/>
      <c r="J52" s="335"/>
      <c r="K52" s="335"/>
      <c r="L52" s="335"/>
      <c r="M52" s="335"/>
      <c r="N52" s="335"/>
      <c r="O52" s="346"/>
      <c r="P52" s="347"/>
      <c r="Q52" s="348"/>
    </row>
    <row r="53" spans="2:19" ht="13">
      <c r="B53" s="269"/>
      <c r="C53" s="283" t="s">
        <v>93</v>
      </c>
      <c r="D53" s="349"/>
      <c r="E53" s="340"/>
      <c r="F53" s="350">
        <f>E26</f>
        <v>119812454.99921913</v>
      </c>
      <c r="G53" s="340"/>
      <c r="H53" s="351"/>
      <c r="I53" s="340"/>
      <c r="J53" s="340"/>
      <c r="K53" s="340"/>
      <c r="L53" s="340"/>
      <c r="M53" s="340"/>
      <c r="N53" s="340"/>
      <c r="O53" s="340"/>
      <c r="P53" s="340"/>
      <c r="Q53" s="340"/>
    </row>
    <row r="54" spans="2:19" ht="12.75" customHeight="1">
      <c r="B54" s="269"/>
      <c r="C54" s="277" t="s">
        <v>27</v>
      </c>
      <c r="D54" s="335"/>
      <c r="E54" s="335"/>
      <c r="F54" s="352">
        <f>E37</f>
        <v>27673007.171056759</v>
      </c>
      <c r="G54" s="269"/>
      <c r="H54" s="271"/>
      <c r="I54" s="269"/>
      <c r="J54" s="272"/>
      <c r="K54" s="269"/>
      <c r="L54" s="269"/>
      <c r="M54" s="269"/>
      <c r="N54" s="269"/>
      <c r="O54" s="269"/>
      <c r="P54" s="269"/>
      <c r="Q54" s="269"/>
    </row>
    <row r="55" spans="2:19" ht="12.5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288000362.26989448</v>
      </c>
      <c r="G55" s="269"/>
      <c r="H55" s="271"/>
      <c r="I55" s="269"/>
      <c r="J55" s="272"/>
      <c r="K55" s="269"/>
      <c r="L55" s="269"/>
      <c r="M55" s="269"/>
      <c r="N55" s="269"/>
      <c r="O55" s="269"/>
      <c r="P55" s="269"/>
      <c r="Q55" s="269"/>
      <c r="R55" s="269"/>
      <c r="S55" s="269"/>
    </row>
    <row r="56" spans="2:19" ht="12.5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165956.6205690775</v>
      </c>
      <c r="G56" s="269"/>
      <c r="H56" s="271"/>
      <c r="I56" s="269"/>
      <c r="J56" s="272"/>
      <c r="K56" s="269"/>
      <c r="L56" s="269"/>
      <c r="M56" s="269"/>
      <c r="N56" s="269"/>
      <c r="O56" s="269"/>
      <c r="P56" s="269"/>
      <c r="Q56" s="269"/>
      <c r="R56" s="269"/>
      <c r="S56" s="269"/>
    </row>
    <row r="57" spans="2:19" ht="12.5">
      <c r="B57" s="269"/>
      <c r="C57" s="340" t="s">
        <v>28</v>
      </c>
      <c r="D57" s="270"/>
      <c r="E57" s="269"/>
      <c r="F57" s="355">
        <f>+F55+F56</f>
        <v>288166318.89046353</v>
      </c>
      <c r="G57" s="269"/>
      <c r="H57" s="271"/>
      <c r="I57" s="269"/>
      <c r="J57" s="272"/>
      <c r="K57" s="269"/>
      <c r="L57" s="269"/>
      <c r="M57" s="269"/>
      <c r="N57" s="269"/>
      <c r="O57" s="269"/>
      <c r="P57" s="269"/>
      <c r="Q57" s="269"/>
      <c r="R57" s="269"/>
      <c r="S57" s="269"/>
    </row>
    <row r="58" spans="2:19" ht="12.5">
      <c r="B58" s="269"/>
      <c r="C58" s="277" t="str">
        <f>+S121</f>
        <v xml:space="preserve">   Less: Depreciation  (TCOS, ln 86)</v>
      </c>
      <c r="D58" s="270"/>
      <c r="E58" s="269"/>
      <c r="F58" s="356">
        <f>+R121</f>
        <v>59960923.281700134</v>
      </c>
      <c r="G58" s="269"/>
      <c r="H58" s="271"/>
      <c r="I58" s="269"/>
      <c r="J58" s="272"/>
      <c r="K58" s="269"/>
      <c r="L58" s="269"/>
      <c r="M58" s="269"/>
      <c r="N58" s="269"/>
      <c r="O58" s="269"/>
      <c r="P58" s="269"/>
      <c r="Q58" s="269"/>
      <c r="R58" s="269"/>
      <c r="S58" s="269"/>
    </row>
    <row r="59" spans="2:19" ht="12.5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228205395.6087634</v>
      </c>
      <c r="G59" s="269"/>
      <c r="H59" s="271"/>
      <c r="I59" s="269"/>
      <c r="J59" s="272"/>
      <c r="K59" s="269"/>
      <c r="L59" s="269"/>
      <c r="M59" s="269"/>
      <c r="N59" s="269"/>
      <c r="O59" s="269"/>
      <c r="P59" s="269"/>
      <c r="Q59" s="269"/>
      <c r="R59" s="269"/>
      <c r="S59" s="269"/>
    </row>
    <row r="60" spans="2:19" ht="12.5">
      <c r="B60" s="269"/>
      <c r="C60" s="269"/>
      <c r="D60" s="270"/>
      <c r="E60" s="269"/>
      <c r="F60" s="269"/>
      <c r="G60" s="269"/>
      <c r="H60" s="271"/>
      <c r="I60" s="269"/>
      <c r="J60" s="272"/>
      <c r="K60" s="269"/>
      <c r="L60" s="269"/>
      <c r="M60" s="269"/>
      <c r="N60" s="269"/>
      <c r="O60" s="269"/>
      <c r="P60" s="269"/>
      <c r="Q60" s="269" t="str">
        <f>IF(ROUND(Q59,0)=ROUND(SUM(Q18:Q58),0),"","Error -- check allocations above).")</f>
        <v/>
      </c>
      <c r="R60" s="269"/>
      <c r="S60" s="269"/>
    </row>
    <row r="61" spans="2:19" ht="15.5">
      <c r="B61" s="357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57"/>
      <c r="H61" s="361"/>
      <c r="I61" s="357"/>
      <c r="J61" s="272"/>
      <c r="K61" s="269"/>
      <c r="L61" s="269"/>
      <c r="M61" s="269"/>
      <c r="N61" s="269"/>
      <c r="O61" s="269"/>
      <c r="P61" s="269"/>
      <c r="Q61" s="269"/>
      <c r="R61" s="269"/>
      <c r="S61" s="269"/>
    </row>
    <row r="62" spans="2:19" ht="12.5">
      <c r="B62" s="357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288000362.26989448</v>
      </c>
      <c r="G62" s="357"/>
      <c r="H62" s="361"/>
      <c r="I62" s="357"/>
      <c r="J62" s="272"/>
      <c r="K62" s="269"/>
      <c r="L62" s="269"/>
      <c r="M62" s="269"/>
      <c r="N62" s="269"/>
      <c r="O62" s="269"/>
      <c r="P62" s="269"/>
      <c r="Q62" s="269"/>
      <c r="R62" s="269"/>
      <c r="S62" s="269"/>
    </row>
    <row r="63" spans="2:19" ht="12.5">
      <c r="B63" s="357"/>
      <c r="C63" s="353" t="s">
        <v>29</v>
      </c>
      <c r="D63" s="359"/>
      <c r="E63" s="359"/>
      <c r="F63" s="360"/>
      <c r="G63" s="357"/>
      <c r="H63" s="361"/>
      <c r="I63" s="357"/>
      <c r="J63" s="272"/>
      <c r="K63" s="269"/>
      <c r="L63" s="269"/>
      <c r="M63" s="269"/>
      <c r="N63" s="269"/>
      <c r="O63" s="269"/>
      <c r="P63" s="269"/>
      <c r="Q63" s="269"/>
      <c r="R63" s="269"/>
      <c r="S63" s="269"/>
    </row>
    <row r="64" spans="2:19" ht="12.5">
      <c r="B64" s="357"/>
      <c r="C64" s="340" t="str">
        <f>+S122</f>
        <v xml:space="preserve">       Apportionment Factor to Texas (Worksheet K, ln 12)</v>
      </c>
      <c r="D64" s="325"/>
      <c r="E64" s="357"/>
      <c r="F64" s="362">
        <f>+R122</f>
        <v>0.41136014865158921</v>
      </c>
      <c r="G64" s="357"/>
      <c r="H64" s="361"/>
      <c r="I64" s="357"/>
      <c r="J64" s="272"/>
      <c r="K64" s="269"/>
      <c r="L64" s="269"/>
      <c r="M64" s="269"/>
      <c r="N64" s="269"/>
      <c r="O64" s="269"/>
      <c r="P64" s="269"/>
      <c r="Q64" s="269"/>
      <c r="R64" s="269"/>
      <c r="S64" s="269"/>
    </row>
    <row r="65" spans="2:19" ht="12.5">
      <c r="B65" s="357"/>
      <c r="C65" s="340" t="s">
        <v>30</v>
      </c>
      <c r="D65" s="325"/>
      <c r="E65" s="357"/>
      <c r="F65" s="360">
        <f>+F62*F64</f>
        <v>118471871.83505534</v>
      </c>
      <c r="G65" s="357"/>
      <c r="H65" s="361"/>
      <c r="I65" s="357"/>
      <c r="J65" s="272"/>
      <c r="K65" s="269"/>
      <c r="L65" s="269"/>
      <c r="M65" s="269"/>
      <c r="N65" s="269"/>
      <c r="O65" s="269"/>
      <c r="P65" s="269"/>
      <c r="Q65" s="269"/>
      <c r="R65" s="269"/>
      <c r="S65" s="269"/>
    </row>
    <row r="66" spans="2:19" ht="12.5">
      <c r="B66" s="357"/>
      <c r="C66" s="340" t="s">
        <v>393</v>
      </c>
      <c r="D66" s="325"/>
      <c r="E66" s="357"/>
      <c r="F66" s="363">
        <v>0.14000000000000001</v>
      </c>
      <c r="G66" s="357"/>
      <c r="H66" s="361"/>
      <c r="I66" s="357"/>
      <c r="J66" s="272"/>
      <c r="K66" s="269"/>
      <c r="L66" s="269"/>
      <c r="M66" s="269"/>
      <c r="N66" s="269"/>
      <c r="O66" s="269"/>
      <c r="P66" s="269"/>
      <c r="Q66" s="269"/>
      <c r="R66" s="269"/>
      <c r="S66" s="269"/>
    </row>
    <row r="67" spans="2:19" ht="12.5">
      <c r="B67" s="357"/>
      <c r="C67" s="340" t="s">
        <v>31</v>
      </c>
      <c r="D67" s="325"/>
      <c r="E67" s="357"/>
      <c r="F67" s="360">
        <f>+F65*F66</f>
        <v>16586062.056907749</v>
      </c>
      <c r="G67" s="357"/>
      <c r="H67" s="361"/>
      <c r="I67" s="357"/>
      <c r="J67" s="272"/>
      <c r="K67" s="269"/>
      <c r="L67" s="269"/>
      <c r="M67" s="269"/>
      <c r="N67" s="269"/>
      <c r="O67" s="269"/>
      <c r="P67" s="269"/>
      <c r="Q67" s="269"/>
      <c r="R67" s="269"/>
      <c r="S67" s="269"/>
    </row>
    <row r="68" spans="2:19" ht="12.5">
      <c r="B68" s="357"/>
      <c r="C68" s="340" t="s">
        <v>32</v>
      </c>
      <c r="D68" s="325"/>
      <c r="E68" s="357"/>
      <c r="F68" s="363">
        <v>0.01</v>
      </c>
      <c r="G68" s="357"/>
      <c r="H68" s="361"/>
      <c r="I68" s="357"/>
      <c r="J68" s="272"/>
      <c r="K68" s="269"/>
      <c r="L68" s="269"/>
      <c r="M68" s="269"/>
      <c r="N68" s="269"/>
      <c r="O68" s="269"/>
      <c r="P68" s="269"/>
      <c r="Q68" s="269"/>
      <c r="R68" s="269"/>
      <c r="S68" s="269"/>
    </row>
    <row r="69" spans="2:19" ht="12.5">
      <c r="B69" s="357"/>
      <c r="C69" s="340" t="s">
        <v>33</v>
      </c>
      <c r="D69" s="325"/>
      <c r="E69" s="357"/>
      <c r="F69" s="360">
        <f>+F67*F68</f>
        <v>165860.6205690775</v>
      </c>
      <c r="G69" s="357"/>
      <c r="H69" s="361"/>
      <c r="I69" s="357"/>
      <c r="J69" s="272"/>
      <c r="K69" s="269"/>
      <c r="L69" s="269"/>
      <c r="M69" s="269"/>
      <c r="N69" s="269"/>
      <c r="O69" s="269"/>
      <c r="P69" s="269"/>
      <c r="Q69" s="269"/>
      <c r="R69" s="269"/>
      <c r="S69" s="269"/>
    </row>
    <row r="70" spans="2:19" ht="12.5">
      <c r="B70" s="357"/>
      <c r="C70" s="340" t="s">
        <v>34</v>
      </c>
      <c r="D70" s="325"/>
      <c r="E70" s="357"/>
      <c r="F70" s="364">
        <f>+ROUND((F69*F66*F64)/(1-F68)*F68,0)</f>
        <v>96</v>
      </c>
      <c r="G70" s="357"/>
      <c r="H70" s="361"/>
      <c r="I70" s="357"/>
      <c r="J70" s="272"/>
      <c r="K70" s="269"/>
      <c r="L70" s="269"/>
      <c r="M70" s="269"/>
      <c r="N70" s="269"/>
      <c r="O70" s="269"/>
      <c r="P70" s="269"/>
      <c r="Q70" s="269"/>
      <c r="R70" s="269"/>
      <c r="S70" s="269"/>
    </row>
    <row r="71" spans="2:19" ht="12.5">
      <c r="B71" s="357"/>
      <c r="C71" s="340" t="s">
        <v>35</v>
      </c>
      <c r="D71" s="325"/>
      <c r="E71" s="357"/>
      <c r="F71" s="360">
        <f>+F69+F70</f>
        <v>165956.6205690775</v>
      </c>
      <c r="G71" s="357"/>
      <c r="H71" s="361"/>
      <c r="I71" s="357"/>
      <c r="J71" s="272"/>
      <c r="K71" s="269"/>
      <c r="L71" s="269"/>
      <c r="M71" s="269"/>
      <c r="N71" s="269"/>
      <c r="O71" s="269"/>
      <c r="P71" s="269"/>
      <c r="Q71" s="269"/>
      <c r="R71" s="269"/>
      <c r="S71" s="269"/>
    </row>
    <row r="72" spans="2:19" ht="12.5">
      <c r="B72" s="269"/>
      <c r="C72" s="269"/>
      <c r="D72" s="270"/>
      <c r="E72" s="269"/>
      <c r="F72" s="269"/>
      <c r="G72" s="269"/>
      <c r="H72" s="271"/>
      <c r="I72" s="269"/>
      <c r="J72" s="272"/>
      <c r="K72" s="269"/>
      <c r="L72" s="269"/>
      <c r="M72" s="269"/>
      <c r="N72" s="269"/>
      <c r="O72" s="269"/>
      <c r="P72" s="269"/>
      <c r="Q72" s="269"/>
      <c r="R72" s="269"/>
      <c r="S72" s="269"/>
    </row>
    <row r="73" spans="2:19" ht="15.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71"/>
      <c r="I73" s="269"/>
      <c r="J73" s="272"/>
      <c r="K73" s="269"/>
      <c r="L73" s="269"/>
      <c r="M73" s="269"/>
      <c r="N73" s="269"/>
      <c r="O73" s="269"/>
      <c r="P73" s="269"/>
      <c r="Q73" s="269"/>
      <c r="R73" s="269"/>
      <c r="S73" s="269"/>
    </row>
    <row r="74" spans="2:19" ht="12.5">
      <c r="B74" s="269"/>
      <c r="C74" s="269"/>
      <c r="D74" s="270"/>
      <c r="E74" s="269"/>
      <c r="F74" s="269"/>
      <c r="G74" s="269"/>
      <c r="H74" s="271"/>
      <c r="I74" s="269"/>
      <c r="J74" s="272"/>
      <c r="K74" s="269"/>
      <c r="L74" s="269"/>
      <c r="M74" s="269"/>
      <c r="N74" s="269"/>
      <c r="O74" s="269"/>
      <c r="P74" s="269"/>
      <c r="Q74" s="269"/>
      <c r="R74" s="269"/>
      <c r="S74" s="269"/>
    </row>
    <row r="75" spans="2:19" ht="12.5">
      <c r="B75" s="269"/>
      <c r="C75" s="277" t="str">
        <f>+S123</f>
        <v xml:space="preserve">   Net Transmission Plant  (TCOS, ln 37)</v>
      </c>
      <c r="D75" s="270"/>
      <c r="E75" s="269"/>
      <c r="F75" s="326">
        <f>+R123</f>
        <v>1806111882.1290092</v>
      </c>
      <c r="G75" s="275"/>
      <c r="H75" s="247"/>
      <c r="J75" s="233"/>
      <c r="P75" s="269"/>
      <c r="Q75" s="269"/>
      <c r="R75" s="269"/>
      <c r="S75" s="269"/>
    </row>
    <row r="76" spans="2:19" ht="12.5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365">
        <f>F55</f>
        <v>288000362.26989448</v>
      </c>
      <c r="H76" s="247"/>
      <c r="J76" s="233"/>
      <c r="P76" s="269"/>
      <c r="Q76" s="269"/>
      <c r="R76" s="269"/>
      <c r="S76" s="269"/>
    </row>
    <row r="77" spans="2:19" ht="12.5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0.15945876062251765</v>
      </c>
      <c r="H77" s="247"/>
      <c r="J77" s="233"/>
      <c r="P77" s="269"/>
      <c r="Q77" s="269"/>
      <c r="R77" s="269"/>
      <c r="S77" s="269"/>
    </row>
    <row r="78" spans="2:19" ht="12.5">
      <c r="B78" s="269"/>
      <c r="D78" s="270"/>
      <c r="E78" s="269"/>
      <c r="F78" s="357"/>
      <c r="H78" s="247"/>
      <c r="J78" s="233"/>
      <c r="P78" s="269"/>
      <c r="Q78" s="269"/>
      <c r="R78" s="269"/>
      <c r="S78" s="269"/>
    </row>
    <row r="79" spans="2:19" ht="12.5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F59</f>
        <v>228205395.6087634</v>
      </c>
      <c r="G79" s="275"/>
      <c r="H79" s="247"/>
      <c r="J79" s="233"/>
      <c r="P79" s="269"/>
      <c r="Q79" s="269"/>
      <c r="R79" s="269"/>
      <c r="S79" s="269"/>
    </row>
    <row r="80" spans="2:19" ht="12.5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IF(F75=0,0,F79/F75)-0.000064</f>
        <v>0.1262877492281593</v>
      </c>
      <c r="G80" s="366"/>
      <c r="H80" s="247"/>
      <c r="J80" s="233"/>
      <c r="P80" s="269"/>
      <c r="Q80" s="269"/>
      <c r="R80" s="269"/>
      <c r="S80" s="269"/>
    </row>
    <row r="81" spans="2:19" ht="12.5">
      <c r="B81" s="269"/>
      <c r="C81" s="277" t="str">
        <f>+S124</f>
        <v xml:space="preserve">   FCR less Depreciation  (TCOS, ln 10)</v>
      </c>
      <c r="D81" s="270"/>
      <c r="E81" s="269"/>
      <c r="F81" s="367">
        <f>+R124</f>
        <v>0.12632678797962701</v>
      </c>
      <c r="H81" s="247"/>
      <c r="J81" s="233"/>
      <c r="P81" s="269"/>
      <c r="Q81" s="269"/>
      <c r="R81" s="269"/>
      <c r="S81" s="269"/>
    </row>
    <row r="82" spans="2:19" ht="12.5">
      <c r="B82" s="269"/>
      <c r="C82" s="683" t="str">
        <f>"   Incremental FCR with "&amp;F13&amp;" Basis Point ROE increase, less Depreciation"</f>
        <v xml:space="preserve">   Incremental FCR with 0 Basis Point ROE increase, less Depreciation</v>
      </c>
      <c r="D82" s="682"/>
      <c r="E82" s="682"/>
      <c r="F82" s="366">
        <f>F80-F81</f>
        <v>-3.9038751467712629E-5</v>
      </c>
      <c r="H82" s="247"/>
      <c r="J82" s="233"/>
      <c r="P82" s="269"/>
      <c r="Q82" s="269"/>
      <c r="R82" s="269"/>
      <c r="S82" s="269"/>
    </row>
    <row r="83" spans="2:19" ht="12.5">
      <c r="B83" s="269"/>
      <c r="C83" s="682"/>
      <c r="D83" s="682"/>
      <c r="E83" s="682"/>
      <c r="F83" s="366"/>
      <c r="G83" s="269"/>
      <c r="H83" s="271"/>
      <c r="I83" s="269"/>
      <c r="J83" s="272"/>
      <c r="K83" s="269"/>
      <c r="L83" s="269"/>
      <c r="M83" s="269"/>
      <c r="N83" s="269"/>
      <c r="O83" s="269"/>
      <c r="P83" s="269"/>
      <c r="Q83" s="269"/>
      <c r="R83" s="269"/>
      <c r="S83" s="269"/>
    </row>
    <row r="84" spans="2:19" ht="18">
      <c r="B84" s="273" t="s">
        <v>36</v>
      </c>
      <c r="C84" s="332" t="s">
        <v>37</v>
      </c>
      <c r="D84" s="270"/>
      <c r="E84" s="269"/>
      <c r="F84" s="366"/>
      <c r="G84" s="269"/>
      <c r="H84" s="271"/>
      <c r="I84" s="269"/>
      <c r="J84" s="272"/>
      <c r="K84" s="269"/>
      <c r="L84" s="269"/>
      <c r="M84" s="269"/>
      <c r="N84" s="269"/>
      <c r="O84" s="269"/>
      <c r="P84" s="269"/>
      <c r="Q84" s="269"/>
      <c r="R84" s="269"/>
      <c r="S84" s="269"/>
    </row>
    <row r="85" spans="2:19" ht="12.75" customHeight="1">
      <c r="B85" s="273"/>
      <c r="C85" s="332"/>
      <c r="D85" s="270"/>
      <c r="E85" s="269"/>
      <c r="F85" s="366"/>
      <c r="G85" s="269"/>
      <c r="H85" s="271"/>
      <c r="I85" s="269"/>
      <c r="J85" s="272"/>
      <c r="K85" s="269"/>
      <c r="L85" s="269"/>
      <c r="M85" s="269"/>
      <c r="N85" s="269"/>
      <c r="O85" s="269"/>
      <c r="P85" s="269"/>
      <c r="Q85" s="269"/>
      <c r="R85" s="269"/>
      <c r="S85" s="269"/>
    </row>
    <row r="86" spans="2:19" ht="12.75" customHeight="1">
      <c r="B86" s="273"/>
      <c r="C86" s="340" t="s">
        <v>38</v>
      </c>
      <c r="D86" s="270"/>
      <c r="F86" s="361">
        <f>+R125</f>
        <v>2471863296.4749799</v>
      </c>
      <c r="G86" s="269" t="s">
        <v>39</v>
      </c>
      <c r="H86" s="271"/>
      <c r="I86" s="269"/>
      <c r="J86" s="272"/>
      <c r="K86" s="269"/>
      <c r="L86" s="269"/>
      <c r="M86" s="269"/>
      <c r="N86" s="269"/>
      <c r="O86" s="269"/>
      <c r="P86" s="269"/>
      <c r="Q86" s="269"/>
      <c r="R86" s="269"/>
      <c r="S86" s="269"/>
    </row>
    <row r="87" spans="2:19" ht="12.75" customHeight="1">
      <c r="B87" s="273"/>
      <c r="C87" s="340" t="s">
        <v>40</v>
      </c>
      <c r="D87" s="270"/>
      <c r="F87" s="368">
        <f>R126</f>
        <v>2787021289.9825397</v>
      </c>
      <c r="G87" s="269" t="s">
        <v>39</v>
      </c>
      <c r="H87" s="271"/>
      <c r="I87" s="269"/>
      <c r="J87" s="272"/>
      <c r="K87" s="269"/>
      <c r="L87" s="269"/>
      <c r="M87" s="269"/>
      <c r="N87" s="269"/>
      <c r="O87" s="269"/>
      <c r="P87" s="269"/>
      <c r="Q87" s="269"/>
      <c r="R87" s="269"/>
      <c r="S87" s="269"/>
    </row>
    <row r="88" spans="2:19" ht="12.5">
      <c r="B88" s="269"/>
      <c r="C88" s="340"/>
      <c r="D88" s="270"/>
      <c r="F88" s="271">
        <f>+F87+F86</f>
        <v>5258884586.4575195</v>
      </c>
      <c r="G88" s="326"/>
      <c r="H88" s="271"/>
      <c r="I88" s="269"/>
      <c r="J88" s="272"/>
      <c r="K88" s="269"/>
      <c r="L88" s="269"/>
      <c r="M88" s="269"/>
      <c r="N88" s="269"/>
      <c r="O88" s="269"/>
      <c r="P88" s="269"/>
      <c r="Q88" s="269"/>
      <c r="R88" s="269"/>
      <c r="S88" s="269"/>
    </row>
    <row r="89" spans="2:19" ht="12.5">
      <c r="B89" s="269"/>
      <c r="C89" s="340" t="str">
        <f>S127</f>
        <v>Transmission Plant Average Balance for 2023 (WS A-1 Ln 14 Col (d))</v>
      </c>
      <c r="D89" s="325"/>
      <c r="E89" s="191"/>
      <c r="F89" s="351">
        <f>+F88/2</f>
        <v>2629442293.2287598</v>
      </c>
      <c r="G89" s="369"/>
      <c r="H89" s="271"/>
      <c r="I89" s="269"/>
      <c r="J89" s="272"/>
      <c r="K89" s="269"/>
      <c r="L89" s="269"/>
      <c r="M89" s="269"/>
      <c r="N89" s="269"/>
      <c r="O89" s="269"/>
      <c r="P89" s="269"/>
      <c r="Q89" s="269"/>
      <c r="R89" s="269"/>
      <c r="S89" s="269"/>
    </row>
    <row r="90" spans="2:19" ht="12.5">
      <c r="B90" s="269"/>
      <c r="C90" s="277" t="str">
        <f>S128</f>
        <v>Annual Depreciation Expense  (TCOS, ln 86)</v>
      </c>
      <c r="D90" s="325"/>
      <c r="E90" s="357"/>
      <c r="F90" s="351">
        <f>R128</f>
        <v>62826054.754571699</v>
      </c>
      <c r="G90" s="269"/>
      <c r="H90" s="271"/>
      <c r="I90" s="269"/>
      <c r="J90" s="272"/>
      <c r="K90" s="269"/>
      <c r="L90" s="269"/>
      <c r="M90" s="269"/>
      <c r="N90" s="269"/>
      <c r="O90" s="269"/>
      <c r="P90" s="269"/>
      <c r="Q90" s="269"/>
      <c r="R90" s="269"/>
      <c r="S90" s="269"/>
    </row>
    <row r="91" spans="2:19" ht="12.5">
      <c r="B91" s="269"/>
      <c r="C91" s="340" t="s">
        <v>41</v>
      </c>
      <c r="D91" s="270"/>
      <c r="E91" s="269"/>
      <c r="F91" s="366">
        <f>IF(F89=0,0,F90/F89)</f>
        <v>2.3893300460085767E-2</v>
      </c>
      <c r="G91" s="269"/>
      <c r="H91" s="370"/>
      <c r="I91" s="269"/>
      <c r="J91" s="272"/>
      <c r="K91" s="269"/>
      <c r="L91" s="269"/>
      <c r="M91" s="269"/>
      <c r="N91" s="269"/>
      <c r="O91" s="269"/>
      <c r="P91" s="269"/>
      <c r="Q91" s="269"/>
      <c r="R91" s="269"/>
      <c r="S91" s="269"/>
    </row>
    <row r="92" spans="2:19" ht="12.5">
      <c r="B92" s="269"/>
      <c r="C92" s="340" t="s">
        <v>42</v>
      </c>
      <c r="D92" s="270"/>
      <c r="E92" s="269"/>
      <c r="F92" s="371">
        <f>IF(F91=0,0,1/F91)</f>
        <v>41.852736153823528</v>
      </c>
      <c r="H92" s="271"/>
      <c r="I92" s="269"/>
      <c r="J92" s="272"/>
      <c r="K92" s="269"/>
      <c r="L92" s="269"/>
      <c r="M92" s="269"/>
      <c r="N92" s="269"/>
      <c r="O92" s="269"/>
      <c r="P92" s="269"/>
      <c r="Q92" s="269"/>
      <c r="R92" s="269"/>
      <c r="S92" s="269"/>
    </row>
    <row r="93" spans="2:19" ht="12.5">
      <c r="B93" s="269"/>
      <c r="C93" s="340" t="s">
        <v>43</v>
      </c>
      <c r="D93" s="270"/>
      <c r="E93" s="269"/>
      <c r="F93" s="372">
        <f>ROUND(F92,0)</f>
        <v>42</v>
      </c>
      <c r="G93" s="269"/>
      <c r="H93" s="271"/>
      <c r="I93" s="269"/>
      <c r="J93" s="272"/>
      <c r="K93" s="269"/>
      <c r="L93" s="269"/>
      <c r="M93" s="269"/>
      <c r="N93" s="269"/>
      <c r="O93" s="269"/>
      <c r="P93" s="269"/>
      <c r="Q93" s="269"/>
      <c r="R93" s="269"/>
      <c r="S93" s="269"/>
    </row>
    <row r="94" spans="2:19" ht="12.5">
      <c r="C94" s="373"/>
      <c r="D94" s="374"/>
      <c r="E94" s="374"/>
      <c r="F94" s="374"/>
      <c r="G94" s="375"/>
      <c r="H94" s="375"/>
      <c r="I94" s="376"/>
      <c r="J94" s="376"/>
      <c r="K94" s="376"/>
      <c r="L94" s="376"/>
      <c r="M94" s="376"/>
      <c r="N94" s="376"/>
      <c r="O94" s="272"/>
      <c r="P94" s="272"/>
      <c r="Q94" s="269"/>
      <c r="R94" s="269"/>
      <c r="S94" s="269"/>
    </row>
    <row r="95" spans="2:19" ht="12.5">
      <c r="C95" s="373"/>
      <c r="D95" s="374"/>
      <c r="E95" s="374"/>
      <c r="F95" s="374"/>
      <c r="G95" s="375"/>
      <c r="H95" s="375"/>
      <c r="I95" s="376"/>
      <c r="J95" s="376"/>
      <c r="K95" s="376"/>
      <c r="L95" s="376"/>
      <c r="M95" s="376"/>
      <c r="N95" s="376"/>
      <c r="O95" s="272"/>
      <c r="P95" s="272"/>
      <c r="Q95" s="269"/>
      <c r="R95" s="269"/>
      <c r="S95" s="269"/>
    </row>
    <row r="96" spans="2:19" ht="12.5">
      <c r="J96" s="233"/>
      <c r="P96" s="269"/>
      <c r="Q96" s="269"/>
      <c r="R96" s="269"/>
      <c r="S96" s="269"/>
    </row>
    <row r="97" spans="3:19" ht="13">
      <c r="J97" s="233"/>
      <c r="P97" s="269"/>
      <c r="Q97" s="269"/>
      <c r="R97" s="377" t="s">
        <v>112</v>
      </c>
      <c r="S97" s="183" t="s">
        <v>113</v>
      </c>
    </row>
    <row r="98" spans="3:19" ht="12.5">
      <c r="J98" s="233"/>
      <c r="P98" s="269"/>
      <c r="Q98" s="269"/>
    </row>
    <row r="99" spans="3:19" ht="13">
      <c r="C99" s="267" t="s">
        <v>109</v>
      </c>
      <c r="J99" s="233"/>
      <c r="L99" s="267" t="s">
        <v>108</v>
      </c>
      <c r="P99" s="269"/>
      <c r="Q99" s="269"/>
    </row>
    <row r="100" spans="3:19" ht="12.5">
      <c r="J100" s="233"/>
      <c r="P100" s="269"/>
      <c r="Q100" s="269"/>
      <c r="S100" s="262" t="s">
        <v>106</v>
      </c>
    </row>
    <row r="101" spans="3:19" ht="13">
      <c r="J101" s="233"/>
      <c r="P101" s="269"/>
      <c r="Q101" s="269"/>
      <c r="R101" s="377" t="s">
        <v>103</v>
      </c>
      <c r="S101" s="236" t="s">
        <v>107</v>
      </c>
    </row>
    <row r="102" spans="3:19" ht="13.5" thickBot="1">
      <c r="J102" s="233"/>
      <c r="P102" s="269"/>
      <c r="Q102" s="269"/>
      <c r="R102" s="378" t="s">
        <v>137</v>
      </c>
    </row>
    <row r="103" spans="3:19" ht="12.5">
      <c r="J103" s="233"/>
      <c r="P103" s="269"/>
      <c r="Q103" s="269"/>
      <c r="R103" s="379" t="s">
        <v>394</v>
      </c>
      <c r="S103" s="380" t="s">
        <v>127</v>
      </c>
    </row>
    <row r="104" spans="3:19" ht="12.5">
      <c r="J104" s="233"/>
      <c r="P104" s="269"/>
      <c r="Q104" s="269"/>
      <c r="R104" s="381">
        <v>2023</v>
      </c>
      <c r="S104" s="382" t="s">
        <v>509</v>
      </c>
    </row>
    <row r="105" spans="3:19" ht="12.5">
      <c r="J105" s="233"/>
      <c r="P105" s="269"/>
      <c r="Q105" s="269"/>
      <c r="R105" s="383">
        <v>0.105</v>
      </c>
      <c r="S105" s="382" t="s">
        <v>510</v>
      </c>
    </row>
    <row r="106" spans="3:19" ht="12.5">
      <c r="J106" s="233"/>
      <c r="P106" s="269"/>
      <c r="Q106" s="269"/>
      <c r="R106" s="384">
        <v>0</v>
      </c>
      <c r="S106" s="382" t="s">
        <v>1</v>
      </c>
    </row>
    <row r="107" spans="3:19" ht="12.5">
      <c r="J107" s="233"/>
      <c r="P107" s="269"/>
      <c r="Q107" s="269"/>
      <c r="R107" s="383">
        <v>0.48769222784013588</v>
      </c>
      <c r="S107" s="385" t="s">
        <v>98</v>
      </c>
    </row>
    <row r="108" spans="3:19" ht="12.5">
      <c r="J108" s="233"/>
      <c r="P108" s="269"/>
      <c r="Q108" s="269"/>
      <c r="R108" s="386">
        <v>3.9555503564332538E-2</v>
      </c>
      <c r="S108" s="385" t="s">
        <v>99</v>
      </c>
    </row>
    <row r="109" spans="3:19" ht="12.5">
      <c r="J109" s="233"/>
      <c r="P109" s="269"/>
      <c r="Q109" s="269"/>
      <c r="R109" s="383">
        <v>0</v>
      </c>
      <c r="S109" s="385" t="s">
        <v>100</v>
      </c>
    </row>
    <row r="110" spans="3:19" ht="12.5">
      <c r="J110" s="233"/>
      <c r="P110" s="269"/>
      <c r="Q110" s="269"/>
      <c r="R110" s="386">
        <v>0</v>
      </c>
      <c r="S110" s="385" t="s">
        <v>101</v>
      </c>
    </row>
    <row r="111" spans="3:19" ht="12.5">
      <c r="J111" s="233"/>
      <c r="P111" s="269"/>
      <c r="Q111" s="269"/>
      <c r="R111" s="383">
        <v>0.51230777215986412</v>
      </c>
      <c r="S111" s="387" t="s">
        <v>102</v>
      </c>
    </row>
    <row r="112" spans="3:19" ht="12.5">
      <c r="J112" s="233"/>
      <c r="P112" s="269"/>
      <c r="Q112" s="269"/>
      <c r="R112" s="388">
        <v>1639397420.1065717</v>
      </c>
      <c r="S112" s="389" t="s">
        <v>449</v>
      </c>
    </row>
    <row r="113" spans="3:19" ht="12.5">
      <c r="J113" s="233"/>
      <c r="P113" s="269"/>
      <c r="Q113" s="269"/>
      <c r="R113" s="390">
        <v>0.24317999999999995</v>
      </c>
      <c r="S113" s="391" t="s">
        <v>450</v>
      </c>
    </row>
    <row r="114" spans="3:19" ht="12.5">
      <c r="J114" s="233"/>
      <c r="P114" s="269"/>
      <c r="Q114" s="269"/>
      <c r="R114" s="392">
        <v>-157962.73487154325</v>
      </c>
      <c r="S114" s="391" t="s">
        <v>451</v>
      </c>
    </row>
    <row r="115" spans="3:19" ht="12.5">
      <c r="J115" s="233"/>
      <c r="P115" s="269"/>
      <c r="Q115" s="269"/>
      <c r="R115" s="392">
        <v>-787089.81399277528</v>
      </c>
      <c r="S115" s="391" t="s">
        <v>436</v>
      </c>
    </row>
    <row r="116" spans="3:19" ht="12.5">
      <c r="J116" s="233"/>
      <c r="P116" s="269"/>
      <c r="Q116" s="269"/>
      <c r="R116" s="392">
        <v>281981.36941412755</v>
      </c>
      <c r="S116" s="391" t="s">
        <v>511</v>
      </c>
    </row>
    <row r="117" spans="3:19" ht="12.5">
      <c r="C117" s="269"/>
      <c r="D117" s="270"/>
      <c r="E117" s="269"/>
      <c r="F117" s="269"/>
      <c r="G117" s="269"/>
      <c r="H117" s="271"/>
      <c r="I117" s="269"/>
      <c r="J117" s="272"/>
      <c r="K117" s="269"/>
      <c r="L117" s="269"/>
      <c r="M117" s="269"/>
      <c r="N117" s="269"/>
      <c r="P117" s="269"/>
      <c r="Q117" s="269"/>
      <c r="R117" s="392">
        <v>288121236.08289659</v>
      </c>
      <c r="S117" s="391" t="s">
        <v>452</v>
      </c>
    </row>
    <row r="118" spans="3:19" ht="12.5">
      <c r="C118" s="269"/>
      <c r="D118" s="270"/>
      <c r="E118" s="269"/>
      <c r="F118" s="269"/>
      <c r="G118" s="269"/>
      <c r="H118" s="271"/>
      <c r="I118" s="269"/>
      <c r="J118" s="272"/>
      <c r="K118" s="269"/>
      <c r="L118" s="269"/>
      <c r="M118" s="269"/>
      <c r="N118" s="269"/>
      <c r="P118" s="269"/>
      <c r="Q118" s="269"/>
      <c r="R118" s="392">
        <v>119812454.99921913</v>
      </c>
      <c r="S118" s="391" t="s">
        <v>453</v>
      </c>
    </row>
    <row r="119" spans="3:19" ht="12.5">
      <c r="C119" s="269"/>
      <c r="D119" s="270"/>
      <c r="E119" s="269"/>
      <c r="F119" s="269"/>
      <c r="G119" s="269"/>
      <c r="H119" s="271"/>
      <c r="I119" s="269"/>
      <c r="J119" s="272"/>
      <c r="K119" s="269"/>
      <c r="L119" s="269"/>
      <c r="M119" s="269"/>
      <c r="N119" s="269"/>
      <c r="P119" s="269"/>
      <c r="Q119" s="269"/>
      <c r="R119" s="392">
        <v>27673007.171056759</v>
      </c>
      <c r="S119" s="391" t="s">
        <v>454</v>
      </c>
    </row>
    <row r="120" spans="3:19" ht="12.5">
      <c r="C120" s="269"/>
      <c r="D120" s="270"/>
      <c r="E120" s="269"/>
      <c r="F120" s="269"/>
      <c r="G120" s="269"/>
      <c r="H120" s="271"/>
      <c r="I120" s="269"/>
      <c r="J120" s="272"/>
      <c r="K120" s="269"/>
      <c r="L120" s="269"/>
      <c r="M120" s="269"/>
      <c r="N120" s="269"/>
      <c r="P120" s="269"/>
      <c r="Q120" s="269"/>
      <c r="R120" s="392">
        <v>120873.81300210013</v>
      </c>
      <c r="S120" s="391" t="s">
        <v>455</v>
      </c>
    </row>
    <row r="121" spans="3:19" ht="12.5">
      <c r="C121" s="269"/>
      <c r="D121" s="270"/>
      <c r="E121" s="269"/>
      <c r="F121" s="269"/>
      <c r="G121" s="269"/>
      <c r="H121" s="271"/>
      <c r="I121" s="269"/>
      <c r="J121" s="272"/>
      <c r="K121" s="269"/>
      <c r="L121" s="269"/>
      <c r="M121" s="269"/>
      <c r="N121" s="269"/>
      <c r="P121" s="269"/>
      <c r="Q121" s="269"/>
      <c r="R121" s="392">
        <v>59960923.281700134</v>
      </c>
      <c r="S121" s="391" t="s">
        <v>456</v>
      </c>
    </row>
    <row r="122" spans="3:19" ht="12.5">
      <c r="C122" s="269"/>
      <c r="D122" s="270"/>
      <c r="E122" s="269"/>
      <c r="F122" s="269"/>
      <c r="G122" s="269"/>
      <c r="H122" s="271"/>
      <c r="I122" s="269"/>
      <c r="J122" s="272"/>
      <c r="K122" s="269"/>
      <c r="L122" s="269"/>
      <c r="M122" s="269"/>
      <c r="N122" s="269"/>
      <c r="P122" s="269"/>
      <c r="Q122" s="269"/>
      <c r="R122" s="390">
        <v>0.41136014865158921</v>
      </c>
      <c r="S122" s="391" t="s">
        <v>105</v>
      </c>
    </row>
    <row r="123" spans="3:19" ht="12.5">
      <c r="C123" s="269"/>
      <c r="D123" s="270"/>
      <c r="E123" s="269"/>
      <c r="F123" s="269"/>
      <c r="G123" s="269"/>
      <c r="H123" s="271"/>
      <c r="I123" s="269"/>
      <c r="J123" s="272"/>
      <c r="K123" s="269"/>
      <c r="L123" s="269"/>
      <c r="M123" s="269"/>
      <c r="N123" s="269"/>
      <c r="P123" s="269"/>
      <c r="Q123" s="269"/>
      <c r="R123" s="392">
        <v>1806111882.1290092</v>
      </c>
      <c r="S123" s="391" t="s">
        <v>438</v>
      </c>
    </row>
    <row r="124" spans="3:19" ht="12.5">
      <c r="C124" s="269"/>
      <c r="D124" s="270"/>
      <c r="E124" s="269"/>
      <c r="F124" s="269"/>
      <c r="G124" s="269"/>
      <c r="H124" s="271"/>
      <c r="I124" s="269"/>
      <c r="J124" s="272"/>
      <c r="K124" s="269"/>
      <c r="L124" s="269"/>
      <c r="M124" s="269"/>
      <c r="N124" s="269"/>
      <c r="P124" s="269"/>
      <c r="Q124" s="269"/>
      <c r="R124" s="667">
        <v>0.12632678797962701</v>
      </c>
      <c r="S124" s="393" t="s">
        <v>439</v>
      </c>
    </row>
    <row r="125" spans="3:19" ht="12.5">
      <c r="C125" s="269"/>
      <c r="D125" s="270"/>
      <c r="E125" s="269"/>
      <c r="F125" s="269"/>
      <c r="G125" s="269"/>
      <c r="H125" s="271"/>
      <c r="I125" s="269"/>
      <c r="J125" s="272"/>
      <c r="K125" s="269"/>
      <c r="L125" s="269"/>
      <c r="M125" s="269"/>
      <c r="N125" s="269"/>
      <c r="P125" s="269"/>
      <c r="Q125" s="269"/>
      <c r="R125" s="394">
        <v>2471863296.4749799</v>
      </c>
      <c r="S125" s="385" t="s">
        <v>38</v>
      </c>
    </row>
    <row r="126" spans="3:19" ht="12.5">
      <c r="C126" s="269"/>
      <c r="D126" s="270"/>
      <c r="E126" s="269"/>
      <c r="F126" s="269"/>
      <c r="G126" s="269"/>
      <c r="H126" s="271"/>
      <c r="I126" s="269"/>
      <c r="J126" s="272"/>
      <c r="K126" s="269"/>
      <c r="L126" s="269"/>
      <c r="M126" s="269"/>
      <c r="N126" s="269"/>
      <c r="P126" s="269"/>
      <c r="Q126" s="269"/>
      <c r="R126" s="394">
        <v>2787021289.9825397</v>
      </c>
      <c r="S126" s="387" t="s">
        <v>40</v>
      </c>
    </row>
    <row r="127" spans="3:19" ht="12.5">
      <c r="C127" s="269"/>
      <c r="D127" s="270"/>
      <c r="E127" s="269"/>
      <c r="F127" s="269"/>
      <c r="G127" s="269"/>
      <c r="H127" s="271"/>
      <c r="I127" s="269"/>
      <c r="J127" s="272"/>
      <c r="K127" s="269"/>
      <c r="L127" s="269"/>
      <c r="M127" s="269"/>
      <c r="N127" s="269"/>
      <c r="P127" s="269"/>
      <c r="Q127" s="269"/>
      <c r="R127" s="394">
        <v>2549045430.1394444</v>
      </c>
      <c r="S127" s="395" t="s">
        <v>514</v>
      </c>
    </row>
    <row r="128" spans="3:19" ht="13" thickBot="1">
      <c r="C128" s="269"/>
      <c r="D128" s="270"/>
      <c r="E128" s="269"/>
      <c r="F128" s="269"/>
      <c r="G128" s="269"/>
      <c r="H128" s="271"/>
      <c r="I128" s="269"/>
      <c r="J128" s="272"/>
      <c r="K128" s="269"/>
      <c r="L128" s="269"/>
      <c r="M128" s="269"/>
      <c r="N128" s="269"/>
      <c r="P128" s="269"/>
      <c r="Q128" s="269"/>
      <c r="R128" s="396">
        <v>62826054.754571699</v>
      </c>
      <c r="S128" s="397" t="s">
        <v>512</v>
      </c>
    </row>
    <row r="129" spans="3:19" ht="12.5">
      <c r="C129" s="269"/>
      <c r="D129" s="270"/>
      <c r="E129" s="269"/>
      <c r="F129" s="269"/>
      <c r="G129" s="269"/>
      <c r="H129" s="271"/>
      <c r="I129" s="269"/>
      <c r="J129" s="272"/>
      <c r="K129" s="269"/>
      <c r="L129" s="269"/>
      <c r="M129" s="269"/>
      <c r="N129" s="269"/>
      <c r="P129" s="269"/>
      <c r="Q129" s="269"/>
      <c r="R129" s="269"/>
      <c r="S129" s="269"/>
    </row>
    <row r="130" spans="3:19" ht="13">
      <c r="C130" s="269"/>
      <c r="D130" s="270"/>
      <c r="E130" s="269"/>
      <c r="F130" s="269"/>
      <c r="G130" s="269"/>
      <c r="H130" s="271"/>
      <c r="I130" s="269"/>
      <c r="J130" s="272"/>
      <c r="K130" s="269"/>
      <c r="L130" s="269"/>
      <c r="M130" s="269"/>
      <c r="N130" s="269"/>
      <c r="P130" s="269"/>
      <c r="Q130" s="269"/>
      <c r="R130" s="377" t="s">
        <v>104</v>
      </c>
      <c r="S130" s="269" t="s">
        <v>116</v>
      </c>
    </row>
    <row r="131" spans="3:19" ht="13.5" thickBot="1">
      <c r="C131" s="340"/>
      <c r="D131" s="349"/>
      <c r="E131" s="340"/>
      <c r="F131" s="340"/>
      <c r="G131" s="340"/>
      <c r="H131" s="351"/>
      <c r="I131" s="269"/>
      <c r="J131" s="272"/>
      <c r="K131" s="269"/>
      <c r="L131" s="269"/>
      <c r="M131" s="269"/>
      <c r="N131" s="269"/>
      <c r="P131" s="269"/>
      <c r="Q131" s="269"/>
      <c r="R131" s="378" t="s">
        <v>136</v>
      </c>
      <c r="S131" s="269"/>
    </row>
    <row r="132" spans="3:19" ht="12.5">
      <c r="C132" s="340"/>
      <c r="D132" s="349"/>
      <c r="E132" s="340"/>
      <c r="F132" s="340"/>
      <c r="G132" s="340"/>
      <c r="H132" s="351"/>
      <c r="I132" s="269"/>
      <c r="J132" s="272"/>
      <c r="K132" s="269"/>
      <c r="L132" s="269"/>
      <c r="M132" s="269"/>
      <c r="N132" s="269"/>
      <c r="P132" s="269"/>
      <c r="Q132" s="269"/>
      <c r="R132" s="398">
        <f>+M19</f>
        <v>87400207.32980676</v>
      </c>
      <c r="S132" s="269" t="str">
        <f>+K19&amp;" "&amp;M17</f>
        <v>PROJECTED YEAR Rev Require</v>
      </c>
    </row>
    <row r="133" spans="3:19" ht="12.5">
      <c r="C133" s="340"/>
      <c r="D133" s="349"/>
      <c r="E133" s="340"/>
      <c r="F133" s="340"/>
      <c r="G133" s="340"/>
      <c r="H133" s="351"/>
      <c r="I133" s="269"/>
      <c r="J133" s="272"/>
      <c r="K133" s="269"/>
      <c r="L133" s="269"/>
      <c r="M133" s="269"/>
      <c r="N133" s="269"/>
      <c r="O133" s="269"/>
      <c r="P133" s="269"/>
      <c r="Q133" s="269"/>
      <c r="R133" s="399">
        <f>+N19</f>
        <v>87400207.32980676</v>
      </c>
      <c r="S133" s="269" t="str">
        <f>K19&amp;" "&amp;N17</f>
        <v>PROJECTED YEAR  W Incentives</v>
      </c>
    </row>
    <row r="134" spans="3:19" ht="13" thickBot="1">
      <c r="C134" s="340"/>
      <c r="D134" s="349"/>
      <c r="E134" s="340"/>
      <c r="F134" s="340"/>
      <c r="G134" s="340"/>
      <c r="H134" s="351"/>
      <c r="I134" s="269"/>
      <c r="J134" s="272"/>
      <c r="K134" s="269"/>
      <c r="L134" s="269"/>
      <c r="M134" s="269"/>
      <c r="N134" s="269"/>
      <c r="O134" s="269"/>
      <c r="P134" s="269"/>
      <c r="Q134" s="269"/>
      <c r="R134" s="400">
        <f>+O19</f>
        <v>0</v>
      </c>
      <c r="S134" s="269" t="str">
        <f>K19&amp;" "&amp;O17</f>
        <v>PROJECTED YEAR Incentive Amounts</v>
      </c>
    </row>
    <row r="135" spans="3:19" ht="12.5">
      <c r="C135" s="340"/>
      <c r="D135" s="349"/>
      <c r="E135" s="340"/>
      <c r="F135" s="340"/>
      <c r="G135" s="340"/>
      <c r="H135" s="351"/>
      <c r="I135" s="269"/>
      <c r="J135" s="272"/>
      <c r="K135" s="269"/>
      <c r="L135" s="269"/>
      <c r="M135" s="269"/>
      <c r="N135" s="269"/>
      <c r="O135" s="269"/>
      <c r="P135" s="269"/>
      <c r="Q135" s="269"/>
      <c r="R135" s="269"/>
      <c r="S135" s="269"/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115</v>
      </c>
    </row>
  </sheetData>
  <mergeCells count="8">
    <mergeCell ref="K15:O16"/>
    <mergeCell ref="C8:H8"/>
    <mergeCell ref="C82:E83"/>
    <mergeCell ref="A1:J1"/>
    <mergeCell ref="A2:J2"/>
    <mergeCell ref="A3:J3"/>
    <mergeCell ref="A5:J5"/>
    <mergeCell ref="A4:J4"/>
  </mergeCells>
  <phoneticPr fontId="0" type="noConversion"/>
  <printOptions horizontalCentered="1"/>
  <pageMargins left="0.25" right="0.25" top="0.75" bottom="0.25" header="0.25" footer="0.5"/>
  <pageSetup scale="41" fitToHeight="2" orientation="landscape" horizontalDpi="1200" verticalDpi="1200" r:id="rId1"/>
  <headerFooter alignWithMargins="0">
    <oddHeader xml:space="preserve">&amp;R&amp;16AEP - SPP Formula Rate
SWEPCO TCOS - WS F
Page: &amp;P of &amp;N
</oddHeader>
    <oddFooter>&amp;L&amp;A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66"/>
  <dimension ref="A1:Q162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17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205855.1419160036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205855.1419160036</v>
      </c>
      <c r="O6" s="269"/>
      <c r="P6" s="269"/>
    </row>
    <row r="7" spans="1:17" ht="13.5" thickBot="1">
      <c r="C7" s="467" t="s">
        <v>48</v>
      </c>
      <c r="D7" s="468" t="s">
        <v>238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163</v>
      </c>
      <c r="E9" s="666" t="s">
        <v>485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1949836.51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46424.678809523808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508">
        <v>1300389</v>
      </c>
      <c r="E17" s="509">
        <v>17573</v>
      </c>
      <c r="F17" s="508">
        <v>1282816</v>
      </c>
      <c r="G17" s="509">
        <v>132261</v>
      </c>
      <c r="H17" s="510">
        <v>132261</v>
      </c>
      <c r="I17" s="511">
        <f t="shared" ref="I17:I48" si="0">H17-G17</f>
        <v>0</v>
      </c>
      <c r="J17" s="511"/>
      <c r="K17" s="512">
        <v>0</v>
      </c>
      <c r="L17" s="597">
        <f t="shared" ref="L17:L48" si="1">IF(K17&lt;&gt;0,+G17-K17,0)</f>
        <v>0</v>
      </c>
      <c r="M17" s="512">
        <v>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515">
        <v>1282816</v>
      </c>
      <c r="E18" s="516">
        <v>35146</v>
      </c>
      <c r="F18" s="515">
        <v>1247671</v>
      </c>
      <c r="G18" s="516">
        <v>226367</v>
      </c>
      <c r="H18" s="510">
        <v>226367</v>
      </c>
      <c r="I18" s="511">
        <f t="shared" si="0"/>
        <v>0</v>
      </c>
      <c r="J18" s="511"/>
      <c r="K18" s="518">
        <v>226367</v>
      </c>
      <c r="L18" s="514">
        <f t="shared" si="1"/>
        <v>0</v>
      </c>
      <c r="M18" s="518">
        <v>226367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2010</v>
      </c>
      <c r="D19" s="515">
        <v>1897117.51</v>
      </c>
      <c r="E19" s="516">
        <v>51311.487105263157</v>
      </c>
      <c r="F19" s="515">
        <v>1845806.0228947368</v>
      </c>
      <c r="G19" s="516">
        <v>316673.78856446606</v>
      </c>
      <c r="H19" s="510">
        <v>316673.78856446606</v>
      </c>
      <c r="I19" s="517">
        <v>0</v>
      </c>
      <c r="J19" s="511"/>
      <c r="K19" s="518">
        <f t="shared" ref="K19:K24" si="4">G19</f>
        <v>316673.78856446606</v>
      </c>
      <c r="L19" s="519">
        <f t="shared" si="1"/>
        <v>0</v>
      </c>
      <c r="M19" s="518">
        <f t="shared" ref="M19:M24" si="5">H19</f>
        <v>316673.78856446606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2011</v>
      </c>
      <c r="D20" s="515">
        <v>1845806.0228947368</v>
      </c>
      <c r="E20" s="516">
        <v>47556.988048780491</v>
      </c>
      <c r="F20" s="515">
        <v>1798249.0348459564</v>
      </c>
      <c r="G20" s="516">
        <v>328429.43288363499</v>
      </c>
      <c r="H20" s="510">
        <v>328429.43288363499</v>
      </c>
      <c r="I20" s="517">
        <v>0</v>
      </c>
      <c r="J20" s="511"/>
      <c r="K20" s="518">
        <f t="shared" si="4"/>
        <v>328429.43288363499</v>
      </c>
      <c r="L20" s="519">
        <f t="shared" si="1"/>
        <v>0</v>
      </c>
      <c r="M20" s="518">
        <f t="shared" si="5"/>
        <v>328429.43288363499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2012</v>
      </c>
      <c r="D21" s="515">
        <v>1798249.0348459564</v>
      </c>
      <c r="E21" s="520">
        <v>46424.678809523808</v>
      </c>
      <c r="F21" s="515">
        <v>1751824.3560364326</v>
      </c>
      <c r="G21" s="516">
        <v>306956.24241271312</v>
      </c>
      <c r="H21" s="510">
        <v>306956.24241271312</v>
      </c>
      <c r="I21" s="517">
        <v>0</v>
      </c>
      <c r="J21" s="511"/>
      <c r="K21" s="518">
        <f t="shared" si="4"/>
        <v>306956.24241271312</v>
      </c>
      <c r="L21" s="519">
        <f t="shared" si="1"/>
        <v>0</v>
      </c>
      <c r="M21" s="518">
        <f t="shared" si="5"/>
        <v>306956.24241271312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6"/>
        <v/>
      </c>
      <c r="C22" s="507">
        <f>IF(D11="","-",+C21+1)</f>
        <v>2013</v>
      </c>
      <c r="D22" s="608">
        <v>1751824.3560364326</v>
      </c>
      <c r="E22" s="609">
        <v>46424.678809523808</v>
      </c>
      <c r="F22" s="608">
        <v>1705399.6772269087</v>
      </c>
      <c r="G22" s="609">
        <v>285158.60339753365</v>
      </c>
      <c r="H22" s="610">
        <v>285158.60339753365</v>
      </c>
      <c r="I22" s="596">
        <v>0</v>
      </c>
      <c r="J22" s="511"/>
      <c r="K22" s="518">
        <f t="shared" si="4"/>
        <v>285158.60339753365</v>
      </c>
      <c r="L22" s="519">
        <f t="shared" ref="L22:L27" si="7">IF(K22&lt;&gt;0,+G22-K22,0)</f>
        <v>0</v>
      </c>
      <c r="M22" s="518">
        <f t="shared" si="5"/>
        <v>285158.60339753365</v>
      </c>
      <c r="N22" s="514">
        <f t="shared" ref="N22:N27" si="8">IF(M22&lt;&gt;0,+H22-M22,0)</f>
        <v>0</v>
      </c>
      <c r="O22" s="514">
        <f t="shared" ref="O22:O27" si="9">+N22-L22</f>
        <v>0</v>
      </c>
      <c r="P22" s="272"/>
    </row>
    <row r="23" spans="2:16" ht="12.5">
      <c r="B23" s="195" t="str">
        <f t="shared" si="6"/>
        <v/>
      </c>
      <c r="C23" s="507">
        <f>IF(D11="","-",+C22+1)</f>
        <v>2014</v>
      </c>
      <c r="D23" s="608">
        <v>1705399.6772269087</v>
      </c>
      <c r="E23" s="609">
        <v>46424.678809523808</v>
      </c>
      <c r="F23" s="608">
        <v>1658974.9984173849</v>
      </c>
      <c r="G23" s="609">
        <v>270237.83902004722</v>
      </c>
      <c r="H23" s="610">
        <v>270237.83902004722</v>
      </c>
      <c r="I23" s="596">
        <v>0</v>
      </c>
      <c r="J23" s="511"/>
      <c r="K23" s="518">
        <f t="shared" si="4"/>
        <v>270237.83902004722</v>
      </c>
      <c r="L23" s="519">
        <f t="shared" si="7"/>
        <v>0</v>
      </c>
      <c r="M23" s="518">
        <f t="shared" si="5"/>
        <v>270237.83902004722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2015</v>
      </c>
      <c r="D24" s="608">
        <v>1658974.9984173849</v>
      </c>
      <c r="E24" s="609">
        <v>46424.678809523808</v>
      </c>
      <c r="F24" s="608">
        <v>1612550.3196078611</v>
      </c>
      <c r="G24" s="609">
        <v>258805.29771582928</v>
      </c>
      <c r="H24" s="610">
        <v>258805.29771582928</v>
      </c>
      <c r="I24" s="511">
        <v>0</v>
      </c>
      <c r="J24" s="511"/>
      <c r="K24" s="518">
        <f t="shared" si="4"/>
        <v>258805.29771582928</v>
      </c>
      <c r="L24" s="519">
        <f t="shared" si="7"/>
        <v>0</v>
      </c>
      <c r="M24" s="518">
        <f t="shared" si="5"/>
        <v>258805.29771582928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2016</v>
      </c>
      <c r="D25" s="608">
        <v>1612550.3196078611</v>
      </c>
      <c r="E25" s="609">
        <v>46424.678809523808</v>
      </c>
      <c r="F25" s="608">
        <v>1566125.6407983373</v>
      </c>
      <c r="G25" s="609">
        <v>250146.26304105911</v>
      </c>
      <c r="H25" s="610">
        <v>250146.26304105911</v>
      </c>
      <c r="I25" s="511">
        <f t="shared" si="0"/>
        <v>0</v>
      </c>
      <c r="J25" s="511"/>
      <c r="K25" s="518">
        <f t="shared" ref="K25:K30" si="10">G25</f>
        <v>250146.26304105911</v>
      </c>
      <c r="L25" s="519">
        <f t="shared" si="7"/>
        <v>0</v>
      </c>
      <c r="M25" s="518">
        <f t="shared" ref="M25:M30" si="11">H25</f>
        <v>250146.26304105911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2017</v>
      </c>
      <c r="D26" s="608">
        <v>1566125.6407983373</v>
      </c>
      <c r="E26" s="609">
        <v>45345.035116279068</v>
      </c>
      <c r="F26" s="608">
        <v>1520780.6056820583</v>
      </c>
      <c r="G26" s="609">
        <v>236567.35307267582</v>
      </c>
      <c r="H26" s="610">
        <v>236567.35307267582</v>
      </c>
      <c r="I26" s="511">
        <f t="shared" si="0"/>
        <v>0</v>
      </c>
      <c r="J26" s="511"/>
      <c r="K26" s="518">
        <f t="shared" si="10"/>
        <v>236567.35307267582</v>
      </c>
      <c r="L26" s="519">
        <f t="shared" si="7"/>
        <v>0</v>
      </c>
      <c r="M26" s="518">
        <f t="shared" si="11"/>
        <v>236567.35307267582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2018</v>
      </c>
      <c r="D27" s="608">
        <v>1520780.6056820583</v>
      </c>
      <c r="E27" s="609">
        <v>47556.988048780491</v>
      </c>
      <c r="F27" s="608">
        <v>1473223.6176332778</v>
      </c>
      <c r="G27" s="609">
        <v>237817.12252361333</v>
      </c>
      <c r="H27" s="610">
        <v>237817.12252361333</v>
      </c>
      <c r="I27" s="511">
        <f t="shared" si="0"/>
        <v>0</v>
      </c>
      <c r="J27" s="511"/>
      <c r="K27" s="518">
        <f t="shared" si="10"/>
        <v>237817.12252361333</v>
      </c>
      <c r="L27" s="519">
        <f t="shared" si="7"/>
        <v>0</v>
      </c>
      <c r="M27" s="518">
        <f t="shared" si="11"/>
        <v>237817.12252361333</v>
      </c>
      <c r="N27" s="514">
        <f t="shared" si="8"/>
        <v>0</v>
      </c>
      <c r="O27" s="514">
        <f t="shared" si="9"/>
        <v>0</v>
      </c>
      <c r="P27" s="272"/>
    </row>
    <row r="28" spans="2:16" ht="12.5">
      <c r="B28" s="195" t="str">
        <f t="shared" si="6"/>
        <v/>
      </c>
      <c r="C28" s="507">
        <f>IF(D11="","-",+C27+1)</f>
        <v>2019</v>
      </c>
      <c r="D28" s="608">
        <v>1473223.6176332778</v>
      </c>
      <c r="E28" s="609">
        <v>47556.988048780491</v>
      </c>
      <c r="F28" s="608">
        <v>1425666.6295844973</v>
      </c>
      <c r="G28" s="609">
        <v>231772.90997981158</v>
      </c>
      <c r="H28" s="610">
        <v>231772.90997981158</v>
      </c>
      <c r="I28" s="511">
        <f t="shared" si="0"/>
        <v>0</v>
      </c>
      <c r="J28" s="511"/>
      <c r="K28" s="518">
        <f t="shared" si="10"/>
        <v>231772.90997981158</v>
      </c>
      <c r="L28" s="519">
        <f t="shared" ref="L28" si="12">IF(K28&lt;&gt;0,+G28-K28,0)</f>
        <v>0</v>
      </c>
      <c r="M28" s="518">
        <f t="shared" si="11"/>
        <v>231772.90997981158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/>
      </c>
      <c r="C29" s="507">
        <f>IF(D11="","-",+C28+1)</f>
        <v>2020</v>
      </c>
      <c r="D29" s="608">
        <v>1425666.6295844973</v>
      </c>
      <c r="E29" s="609">
        <v>47556.988048780491</v>
      </c>
      <c r="F29" s="608">
        <v>1378109.6415357168</v>
      </c>
      <c r="G29" s="609">
        <v>191019.8486624895</v>
      </c>
      <c r="H29" s="610">
        <v>191019.8486624895</v>
      </c>
      <c r="I29" s="511">
        <f t="shared" si="0"/>
        <v>0</v>
      </c>
      <c r="J29" s="511"/>
      <c r="K29" s="518">
        <f t="shared" si="10"/>
        <v>191019.8486624895</v>
      </c>
      <c r="L29" s="519">
        <f t="shared" ref="L29" si="13">IF(K29&lt;&gt;0,+G29-K29,0)</f>
        <v>0</v>
      </c>
      <c r="M29" s="518">
        <f t="shared" si="11"/>
        <v>191019.8486624895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2021</v>
      </c>
      <c r="D30" s="608">
        <v>1380321.5944682183</v>
      </c>
      <c r="E30" s="609">
        <v>46424.678809523808</v>
      </c>
      <c r="F30" s="608">
        <v>1333896.9156586945</v>
      </c>
      <c r="G30" s="609">
        <v>190284.42796565729</v>
      </c>
      <c r="H30" s="610">
        <v>190284.42796565729</v>
      </c>
      <c r="I30" s="511">
        <f t="shared" si="0"/>
        <v>0</v>
      </c>
      <c r="J30" s="511"/>
      <c r="K30" s="518">
        <f t="shared" si="10"/>
        <v>190284.42796565729</v>
      </c>
      <c r="L30" s="519">
        <f t="shared" ref="L30" si="14">IF(K30&lt;&gt;0,+G30-K30,0)</f>
        <v>0</v>
      </c>
      <c r="M30" s="518">
        <f t="shared" si="11"/>
        <v>190284.42796565729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>IU</v>
      </c>
      <c r="C31" s="507">
        <f>IF(D11="","-",+C30+1)</f>
        <v>2022</v>
      </c>
      <c r="D31" s="608">
        <v>1331684.962726193</v>
      </c>
      <c r="E31" s="609">
        <v>46424.678809523808</v>
      </c>
      <c r="F31" s="608">
        <v>1285260.2839166692</v>
      </c>
      <c r="G31" s="609">
        <v>193554.70123512414</v>
      </c>
      <c r="H31" s="610">
        <v>193554.70123512414</v>
      </c>
      <c r="I31" s="511">
        <f t="shared" si="0"/>
        <v>0</v>
      </c>
      <c r="J31" s="511"/>
      <c r="K31" s="518">
        <f t="shared" ref="K31" si="15">G31</f>
        <v>193554.70123512414</v>
      </c>
      <c r="L31" s="519">
        <f t="shared" ref="L31" si="16">IF(K31&lt;&gt;0,+G31-K31,0)</f>
        <v>0</v>
      </c>
      <c r="M31" s="518">
        <f t="shared" ref="M31" si="17">H31</f>
        <v>193554.70123512414</v>
      </c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2023</v>
      </c>
      <c r="D32" s="523">
        <f>IF(F31+SUM(E$17:E31)=D$10,F31,D$10-SUM(E$17:E31))</f>
        <v>1285260.2839166692</v>
      </c>
      <c r="E32" s="522">
        <f>IF(+I14&lt;F31,I14,D32)</f>
        <v>46424.678809523808</v>
      </c>
      <c r="F32" s="523">
        <f t="shared" ref="F32:F48" si="18">+D32-E32</f>
        <v>1238835.6051071454</v>
      </c>
      <c r="G32" s="524">
        <f t="shared" ref="G32:G72" si="19">+I$12*((D32+F32)/2)+E32</f>
        <v>205855.1419160036</v>
      </c>
      <c r="H32" s="491">
        <f t="shared" ref="H32:H72" si="20">+I$13*((D32+F32)/2)+E32</f>
        <v>205855.1419160036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2024</v>
      </c>
      <c r="D33" s="523">
        <f>IF(F32+SUM(E$17:E32)=D$10,F32,D$10-SUM(E$17:E32))</f>
        <v>1238835.6051071454</v>
      </c>
      <c r="E33" s="522">
        <f>IF(+I14&lt;F32,I14,D33)</f>
        <v>46424.678809523808</v>
      </c>
      <c r="F33" s="523">
        <f t="shared" si="18"/>
        <v>1192410.9262976216</v>
      </c>
      <c r="G33" s="524">
        <f t="shared" si="19"/>
        <v>199990.46135901063</v>
      </c>
      <c r="H33" s="491">
        <f t="shared" si="20"/>
        <v>199990.46135901063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2025</v>
      </c>
      <c r="D34" s="523">
        <f>IF(F33+SUM(E$17:E33)=D$10,F33,D$10-SUM(E$17:E33))</f>
        <v>1192410.9262976216</v>
      </c>
      <c r="E34" s="522">
        <f>IF(+I14&lt;F33,I14,D34)</f>
        <v>46424.678809523808</v>
      </c>
      <c r="F34" s="523">
        <f t="shared" si="18"/>
        <v>1145986.2474880978</v>
      </c>
      <c r="G34" s="524">
        <f t="shared" si="19"/>
        <v>194125.7808020176</v>
      </c>
      <c r="H34" s="491">
        <f t="shared" si="20"/>
        <v>194125.7808020176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2026</v>
      </c>
      <c r="D35" s="523">
        <f>IF(F34+SUM(E$17:E34)=D$10,F34,D$10-SUM(E$17:E34))</f>
        <v>1145986.2474880978</v>
      </c>
      <c r="E35" s="522">
        <f>IF(+I14&lt;F34,I14,D35)</f>
        <v>46424.678809523808</v>
      </c>
      <c r="F35" s="523">
        <f t="shared" si="18"/>
        <v>1099561.5686785739</v>
      </c>
      <c r="G35" s="524">
        <f t="shared" si="19"/>
        <v>188261.10024502463</v>
      </c>
      <c r="H35" s="491">
        <f t="shared" si="20"/>
        <v>188261.10024502463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2027</v>
      </c>
      <c r="D36" s="523">
        <f>IF(F35+SUM(E$17:E35)=D$10,F35,D$10-SUM(E$17:E35))</f>
        <v>1099561.5686785739</v>
      </c>
      <c r="E36" s="522">
        <f>IF(+I14&lt;F35,I14,D36)</f>
        <v>46424.678809523808</v>
      </c>
      <c r="F36" s="523">
        <f t="shared" si="18"/>
        <v>1053136.8898690501</v>
      </c>
      <c r="G36" s="524">
        <f t="shared" si="19"/>
        <v>182396.4196880316</v>
      </c>
      <c r="H36" s="491">
        <f t="shared" si="20"/>
        <v>182396.4196880316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2028</v>
      </c>
      <c r="D37" s="523">
        <f>IF(F36+SUM(E$17:E36)=D$10,F36,D$10-SUM(E$17:E36))</f>
        <v>1053136.8898690501</v>
      </c>
      <c r="E37" s="522">
        <f>IF(+I14&lt;F36,I14,D37)</f>
        <v>46424.678809523808</v>
      </c>
      <c r="F37" s="523">
        <f t="shared" si="18"/>
        <v>1006712.2110595263</v>
      </c>
      <c r="G37" s="524">
        <f t="shared" si="19"/>
        <v>176531.7391310386</v>
      </c>
      <c r="H37" s="491">
        <f t="shared" si="20"/>
        <v>176531.7391310386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2029</v>
      </c>
      <c r="D38" s="523">
        <f>IF(F37+SUM(E$17:E37)=D$10,F37,D$10-SUM(E$17:E37))</f>
        <v>1006712.2110595263</v>
      </c>
      <c r="E38" s="522">
        <f>IF(+I14&lt;F37,I14,D38)</f>
        <v>46424.678809523808</v>
      </c>
      <c r="F38" s="523">
        <f t="shared" si="18"/>
        <v>960287.53225000249</v>
      </c>
      <c r="G38" s="524">
        <f t="shared" si="19"/>
        <v>170667.0585740456</v>
      </c>
      <c r="H38" s="491">
        <f t="shared" si="20"/>
        <v>170667.0585740456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2030</v>
      </c>
      <c r="D39" s="523">
        <f>IF(F38+SUM(E$17:E38)=D$10,F38,D$10-SUM(E$17:E38))</f>
        <v>960287.53225000249</v>
      </c>
      <c r="E39" s="522">
        <f>IF(+I14&lt;F38,I14,D39)</f>
        <v>46424.678809523808</v>
      </c>
      <c r="F39" s="523">
        <f t="shared" si="18"/>
        <v>913862.85344047868</v>
      </c>
      <c r="G39" s="524">
        <f t="shared" si="19"/>
        <v>164802.3780170526</v>
      </c>
      <c r="H39" s="491">
        <f t="shared" si="20"/>
        <v>164802.3780170526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2031</v>
      </c>
      <c r="D40" s="523">
        <f>IF(F39+SUM(E$17:E39)=D$10,F39,D$10-SUM(E$17:E39))</f>
        <v>913862.85344047868</v>
      </c>
      <c r="E40" s="522">
        <f>IF(+I14&lt;F39,I14,D40)</f>
        <v>46424.678809523808</v>
      </c>
      <c r="F40" s="523">
        <f t="shared" si="18"/>
        <v>867438.17463095486</v>
      </c>
      <c r="G40" s="524">
        <f t="shared" si="19"/>
        <v>158937.6974600596</v>
      </c>
      <c r="H40" s="491">
        <f t="shared" si="20"/>
        <v>158937.6974600596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2032</v>
      </c>
      <c r="D41" s="523">
        <f>IF(F40+SUM(E$17:E40)=D$10,F40,D$10-SUM(E$17:E40))</f>
        <v>867438.17463095486</v>
      </c>
      <c r="E41" s="522">
        <f>IF(+I14&lt;F40,I14,D41)</f>
        <v>46424.678809523808</v>
      </c>
      <c r="F41" s="523">
        <f t="shared" si="18"/>
        <v>821013.49582143105</v>
      </c>
      <c r="G41" s="524">
        <f t="shared" si="19"/>
        <v>153073.01690306663</v>
      </c>
      <c r="H41" s="491">
        <f t="shared" si="20"/>
        <v>153073.01690306663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2033</v>
      </c>
      <c r="D42" s="523">
        <f>IF(F41+SUM(E$17:E41)=D$10,F41,D$10-SUM(E$17:E41))</f>
        <v>821013.49582143105</v>
      </c>
      <c r="E42" s="522">
        <f>IF(+I14&lt;F41,I14,D42)</f>
        <v>46424.678809523808</v>
      </c>
      <c r="F42" s="523">
        <f t="shared" si="18"/>
        <v>774588.81701190723</v>
      </c>
      <c r="G42" s="524">
        <f t="shared" si="19"/>
        <v>147208.33634607363</v>
      </c>
      <c r="H42" s="491">
        <f t="shared" si="20"/>
        <v>147208.33634607363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2034</v>
      </c>
      <c r="D43" s="523">
        <f>IF(F42+SUM(E$17:E42)=D$10,F42,D$10-SUM(E$17:E42))</f>
        <v>774588.81701190723</v>
      </c>
      <c r="E43" s="522">
        <f>IF(+I14&lt;F42,I14,D43)</f>
        <v>46424.678809523808</v>
      </c>
      <c r="F43" s="523">
        <f t="shared" si="18"/>
        <v>728164.13820238342</v>
      </c>
      <c r="G43" s="524">
        <f t="shared" si="19"/>
        <v>141343.65578908063</v>
      </c>
      <c r="H43" s="491">
        <f t="shared" si="20"/>
        <v>141343.65578908063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2035</v>
      </c>
      <c r="D44" s="523">
        <f>IF(F43+SUM(E$17:E43)=D$10,F43,D$10-SUM(E$17:E43))</f>
        <v>728164.13820238342</v>
      </c>
      <c r="E44" s="522">
        <f>IF(+I14&lt;F43,I14,D44)</f>
        <v>46424.678809523808</v>
      </c>
      <c r="F44" s="523">
        <f t="shared" si="18"/>
        <v>681739.4593928596</v>
      </c>
      <c r="G44" s="524">
        <f t="shared" si="19"/>
        <v>135478.97523208763</v>
      </c>
      <c r="H44" s="491">
        <f t="shared" si="20"/>
        <v>135478.97523208763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2036</v>
      </c>
      <c r="D45" s="523">
        <f>IF(F44+SUM(E$17:E44)=D$10,F44,D$10-SUM(E$17:E44))</f>
        <v>681739.4593928596</v>
      </c>
      <c r="E45" s="522">
        <f>IF(+I14&lt;F44,I14,D45)</f>
        <v>46424.678809523808</v>
      </c>
      <c r="F45" s="523">
        <f t="shared" si="18"/>
        <v>635314.78058333579</v>
      </c>
      <c r="G45" s="524">
        <f t="shared" si="19"/>
        <v>129614.29467509463</v>
      </c>
      <c r="H45" s="491">
        <f t="shared" si="20"/>
        <v>129614.29467509463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2037</v>
      </c>
      <c r="D46" s="523">
        <f>IF(F45+SUM(E$17:E45)=D$10,F45,D$10-SUM(E$17:E45))</f>
        <v>635314.78058333579</v>
      </c>
      <c r="E46" s="522">
        <f>IF(+I14&lt;F45,I14,D46)</f>
        <v>46424.678809523808</v>
      </c>
      <c r="F46" s="523">
        <f t="shared" si="18"/>
        <v>588890.10177381197</v>
      </c>
      <c r="G46" s="524">
        <f t="shared" si="19"/>
        <v>123749.61411810163</v>
      </c>
      <c r="H46" s="491">
        <f t="shared" si="20"/>
        <v>123749.61411810163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2038</v>
      </c>
      <c r="D47" s="523">
        <f>IF(F46+SUM(E$17:E46)=D$10,F46,D$10-SUM(E$17:E46))</f>
        <v>588890.10177381197</v>
      </c>
      <c r="E47" s="522">
        <f>IF(+I14&lt;F46,I14,D47)</f>
        <v>46424.678809523808</v>
      </c>
      <c r="F47" s="523">
        <f t="shared" si="18"/>
        <v>542465.42296428815</v>
      </c>
      <c r="G47" s="524">
        <f t="shared" si="19"/>
        <v>117884.93356110863</v>
      </c>
      <c r="H47" s="491">
        <f t="shared" si="20"/>
        <v>117884.93356110863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2039</v>
      </c>
      <c r="D48" s="523">
        <f>IF(F47+SUM(E$17:E47)=D$10,F47,D$10-SUM(E$17:E47))</f>
        <v>542465.42296428815</v>
      </c>
      <c r="E48" s="522">
        <f>IF(+I14&lt;F47,I14,D48)</f>
        <v>46424.678809523808</v>
      </c>
      <c r="F48" s="523">
        <f t="shared" si="18"/>
        <v>496040.74415476434</v>
      </c>
      <c r="G48" s="524">
        <f t="shared" si="19"/>
        <v>112020.25300411563</v>
      </c>
      <c r="H48" s="491">
        <f t="shared" si="20"/>
        <v>112020.25300411563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2040</v>
      </c>
      <c r="D49" s="523">
        <f>IF(F48+SUM(E$17:E48)=D$10,F48,D$10-SUM(E$17:E48))</f>
        <v>496040.74415476434</v>
      </c>
      <c r="E49" s="522">
        <f>IF(+I14&lt;F48,I14,D49)</f>
        <v>46424.678809523808</v>
      </c>
      <c r="F49" s="523">
        <f t="shared" ref="F49:F72" si="21">+D49-E49</f>
        <v>449616.06534524052</v>
      </c>
      <c r="G49" s="524">
        <f t="shared" si="19"/>
        <v>106155.57244712263</v>
      </c>
      <c r="H49" s="491">
        <f t="shared" si="20"/>
        <v>106155.57244712263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2041</v>
      </c>
      <c r="D50" s="523">
        <f>IF(F49+SUM(E$17:E49)=D$10,F49,D$10-SUM(E$17:E49))</f>
        <v>449616.06534524052</v>
      </c>
      <c r="E50" s="522">
        <f>IF(+I14&lt;F49,I14,D50)</f>
        <v>46424.678809523808</v>
      </c>
      <c r="F50" s="523">
        <f t="shared" si="21"/>
        <v>403191.38653571671</v>
      </c>
      <c r="G50" s="524">
        <f t="shared" si="19"/>
        <v>100290.89189012963</v>
      </c>
      <c r="H50" s="491">
        <f t="shared" si="20"/>
        <v>100290.89189012963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 ht="12.5">
      <c r="B51" s="195" t="str">
        <f t="shared" si="6"/>
        <v/>
      </c>
      <c r="C51" s="507">
        <f>IF(D11="","-",+C50+1)</f>
        <v>2042</v>
      </c>
      <c r="D51" s="523">
        <f>IF(F50+SUM(E$17:E50)=D$10,F50,D$10-SUM(E$17:E50))</f>
        <v>403191.38653571671</v>
      </c>
      <c r="E51" s="522">
        <f>IF(+I14&lt;F50,I14,D51)</f>
        <v>46424.678809523808</v>
      </c>
      <c r="F51" s="523">
        <f t="shared" si="21"/>
        <v>356766.70772619289</v>
      </c>
      <c r="G51" s="524">
        <f t="shared" si="19"/>
        <v>94426.211333136627</v>
      </c>
      <c r="H51" s="491">
        <f t="shared" si="20"/>
        <v>94426.211333136627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 ht="12.5">
      <c r="B52" s="195" t="str">
        <f t="shared" si="6"/>
        <v/>
      </c>
      <c r="C52" s="507">
        <f>IF(D11="","-",+C51+1)</f>
        <v>2043</v>
      </c>
      <c r="D52" s="523">
        <f>IF(F51+SUM(E$17:E51)=D$10,F51,D$10-SUM(E$17:E51))</f>
        <v>356766.70772619289</v>
      </c>
      <c r="E52" s="522">
        <f>IF(+I14&lt;F51,I14,D52)</f>
        <v>46424.678809523808</v>
      </c>
      <c r="F52" s="523">
        <f t="shared" si="21"/>
        <v>310342.02891666908</v>
      </c>
      <c r="G52" s="524">
        <f t="shared" si="19"/>
        <v>88561.530776143627</v>
      </c>
      <c r="H52" s="491">
        <f t="shared" si="20"/>
        <v>88561.530776143627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 ht="12.5">
      <c r="B53" s="195" t="str">
        <f t="shared" si="6"/>
        <v/>
      </c>
      <c r="C53" s="507">
        <f>IF(D11="","-",+C52+1)</f>
        <v>2044</v>
      </c>
      <c r="D53" s="523">
        <f>IF(F52+SUM(E$17:E52)=D$10,F52,D$10-SUM(E$17:E52))</f>
        <v>310342.02891666908</v>
      </c>
      <c r="E53" s="522">
        <f>IF(+I14&lt;F52,I14,D53)</f>
        <v>46424.678809523808</v>
      </c>
      <c r="F53" s="523">
        <f t="shared" si="21"/>
        <v>263917.35010714526</v>
      </c>
      <c r="G53" s="524">
        <f t="shared" si="19"/>
        <v>82696.850219150641</v>
      </c>
      <c r="H53" s="491">
        <f t="shared" si="20"/>
        <v>82696.850219150641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 ht="12.5">
      <c r="B54" s="195" t="str">
        <f t="shared" si="6"/>
        <v/>
      </c>
      <c r="C54" s="507">
        <f>IF(D11="","-",+C53+1)</f>
        <v>2045</v>
      </c>
      <c r="D54" s="523">
        <f>IF(F53+SUM(E$17:E53)=D$10,F53,D$10-SUM(E$17:E53))</f>
        <v>263917.35010714526</v>
      </c>
      <c r="E54" s="522">
        <f>IF(+I14&lt;F53,I14,D54)</f>
        <v>46424.678809523808</v>
      </c>
      <c r="F54" s="523">
        <f t="shared" si="21"/>
        <v>217492.67129762145</v>
      </c>
      <c r="G54" s="524">
        <f t="shared" si="19"/>
        <v>76832.169662157641</v>
      </c>
      <c r="H54" s="491">
        <f t="shared" si="20"/>
        <v>76832.169662157641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 ht="12.5">
      <c r="B55" s="195" t="str">
        <f t="shared" si="6"/>
        <v/>
      </c>
      <c r="C55" s="507">
        <f>IF(D11="","-",+C54+1)</f>
        <v>2046</v>
      </c>
      <c r="D55" s="523">
        <f>IF(F54+SUM(E$17:E54)=D$10,F54,D$10-SUM(E$17:E54))</f>
        <v>217492.67129762145</v>
      </c>
      <c r="E55" s="522">
        <f>IF(+I14&lt;F54,I14,D55)</f>
        <v>46424.678809523808</v>
      </c>
      <c r="F55" s="523">
        <f t="shared" si="21"/>
        <v>171067.99248809763</v>
      </c>
      <c r="G55" s="524">
        <f t="shared" si="19"/>
        <v>70967.489105164641</v>
      </c>
      <c r="H55" s="491">
        <f t="shared" si="20"/>
        <v>70967.489105164641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 ht="12.5">
      <c r="B56" s="195" t="str">
        <f t="shared" si="6"/>
        <v/>
      </c>
      <c r="C56" s="507">
        <f>IF(D11="","-",+C55+1)</f>
        <v>2047</v>
      </c>
      <c r="D56" s="523">
        <f>IF(F55+SUM(E$17:E55)=D$10,F55,D$10-SUM(E$17:E55))</f>
        <v>171067.99248809763</v>
      </c>
      <c r="E56" s="522">
        <f>IF(+I14&lt;F55,I14,D56)</f>
        <v>46424.678809523808</v>
      </c>
      <c r="F56" s="523">
        <f t="shared" si="21"/>
        <v>124643.31367857382</v>
      </c>
      <c r="G56" s="524">
        <f t="shared" si="19"/>
        <v>65102.808548171641</v>
      </c>
      <c r="H56" s="491">
        <f t="shared" si="20"/>
        <v>65102.808548171641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 ht="12.5">
      <c r="B57" s="195" t="str">
        <f t="shared" si="6"/>
        <v/>
      </c>
      <c r="C57" s="507">
        <f>IF(D11="","-",+C56+1)</f>
        <v>2048</v>
      </c>
      <c r="D57" s="523">
        <f>IF(F56+SUM(E$17:E56)=D$10,F56,D$10-SUM(E$17:E56))</f>
        <v>124643.31367857382</v>
      </c>
      <c r="E57" s="522">
        <f>IF(+I14&lt;F56,I14,D57)</f>
        <v>46424.678809523808</v>
      </c>
      <c r="F57" s="523">
        <f t="shared" si="21"/>
        <v>78218.634869050002</v>
      </c>
      <c r="G57" s="524">
        <f t="shared" si="19"/>
        <v>59238.127991178648</v>
      </c>
      <c r="H57" s="491">
        <f t="shared" si="20"/>
        <v>59238.127991178648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 ht="12.5">
      <c r="B58" s="195" t="str">
        <f t="shared" si="6"/>
        <v/>
      </c>
      <c r="C58" s="507">
        <f>IF(D11="","-",+C57+1)</f>
        <v>2049</v>
      </c>
      <c r="D58" s="523">
        <f>IF(F57+SUM(E$17:E57)=D$10,F57,D$10-SUM(E$17:E57))</f>
        <v>78218.634869050002</v>
      </c>
      <c r="E58" s="522">
        <f>IF(+I14&lt;F57,I14,D58)</f>
        <v>46424.678809523808</v>
      </c>
      <c r="F58" s="523">
        <f t="shared" si="21"/>
        <v>31793.956059526194</v>
      </c>
      <c r="G58" s="524">
        <f t="shared" si="19"/>
        <v>53373.447434185648</v>
      </c>
      <c r="H58" s="491">
        <f t="shared" si="20"/>
        <v>53373.447434185648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2050</v>
      </c>
      <c r="D59" s="523">
        <f>IF(F58+SUM(E$17:E58)=D$10,F58,D$10-SUM(E$17:E58))</f>
        <v>31793.956059526194</v>
      </c>
      <c r="E59" s="522">
        <f>IF(+I14&lt;F58,I14,D59)</f>
        <v>31793.956059526194</v>
      </c>
      <c r="F59" s="523">
        <f t="shared" si="21"/>
        <v>0</v>
      </c>
      <c r="G59" s="524">
        <f t="shared" si="19"/>
        <v>33802.170232608863</v>
      </c>
      <c r="H59" s="491">
        <f t="shared" si="20"/>
        <v>33802.170232608863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 ht="12.5">
      <c r="B60" s="195" t="str">
        <f t="shared" si="6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19"/>
        <v>0</v>
      </c>
      <c r="H60" s="491">
        <f t="shared" si="20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 ht="12.5">
      <c r="B61" s="195" t="str">
        <f t="shared" si="6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19"/>
        <v>0</v>
      </c>
      <c r="H61" s="491">
        <f t="shared" si="20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 ht="12.5">
      <c r="B62" s="195" t="str">
        <f t="shared" si="6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 ht="12.5">
      <c r="B63" s="195" t="str">
        <f t="shared" si="6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 ht="12.5">
      <c r="B64" s="195" t="str">
        <f t="shared" si="6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 ht="12.5">
      <c r="B65" s="195" t="str">
        <f t="shared" si="6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 ht="12.5">
      <c r="B66" s="195" t="str">
        <f t="shared" si="6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 ht="12.5">
      <c r="B67" s="195" t="str">
        <f t="shared" si="6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 ht="12.5">
      <c r="B68" s="195" t="str">
        <f t="shared" si="6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 ht="12.5">
      <c r="B69" s="195" t="str">
        <f t="shared" si="6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 ht="12.5">
      <c r="B70" s="195" t="str">
        <f t="shared" si="6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 ht="12.5">
      <c r="B71" s="195" t="str">
        <f t="shared" si="6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19"/>
        <v>0</v>
      </c>
      <c r="H72" s="47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 ht="12.5">
      <c r="C73" s="374" t="s">
        <v>78</v>
      </c>
      <c r="D73" s="375"/>
      <c r="E73" s="375">
        <f>SUM(E17:E72)</f>
        <v>1949836.51</v>
      </c>
      <c r="F73" s="375"/>
      <c r="G73" s="375">
        <f>SUM(G17:G72)</f>
        <v>7189439.9569348283</v>
      </c>
      <c r="H73" s="375">
        <f>SUM(H17:H72)</f>
        <v>7189439.9569348283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17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190284.42796565729</v>
      </c>
      <c r="N87" s="546">
        <f>IF(J92&lt;D11,0,VLOOKUP(J92,C17:O72,11))</f>
        <v>190284.42796565729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200520.70455071999</v>
      </c>
      <c r="N88" s="550">
        <f>IF(J92&lt;D11,0,VLOOKUP(J92,C99:P154,7))</f>
        <v>200520.70455071999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Linwood-McWillie 138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10236.276585062704</v>
      </c>
      <c r="N89" s="555">
        <f>+N88-N87</f>
        <v>10236.276585062704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TP2007019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1949836.51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47556.988048780491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2008</v>
      </c>
      <c r="D99" s="508">
        <v>0</v>
      </c>
      <c r="E99" s="516">
        <v>17573</v>
      </c>
      <c r="F99" s="515">
        <v>1282816</v>
      </c>
      <c r="G99" s="574">
        <v>641408</v>
      </c>
      <c r="H99" s="575">
        <v>119814</v>
      </c>
      <c r="I99" s="576">
        <v>119814</v>
      </c>
      <c r="J99" s="613">
        <f t="shared" ref="J99:J130" si="26">+I99-H99</f>
        <v>0</v>
      </c>
      <c r="K99" s="514"/>
      <c r="L99" s="512">
        <v>119814</v>
      </c>
      <c r="M99" s="513">
        <f t="shared" ref="M99:M130" si="27">IF(L99&lt;&gt;0,+H99-L99,0)</f>
        <v>0</v>
      </c>
      <c r="N99" s="512">
        <v>119814</v>
      </c>
      <c r="O99" s="513">
        <f t="shared" ref="O99:O130" si="28">IF(N99&lt;&gt;0,+I99-N99,0)</f>
        <v>0</v>
      </c>
      <c r="P99" s="513">
        <f t="shared" ref="P99:P130" si="29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2009</v>
      </c>
      <c r="D100" s="508">
        <v>1932263.51</v>
      </c>
      <c r="E100" s="516">
        <v>51311.487105263157</v>
      </c>
      <c r="F100" s="515">
        <v>1880952.0228947368</v>
      </c>
      <c r="G100" s="515">
        <v>1906607.7664473685</v>
      </c>
      <c r="H100" s="516">
        <v>327269.44030165928</v>
      </c>
      <c r="I100" s="510">
        <v>327269.44030165928</v>
      </c>
      <c r="J100" s="613">
        <f t="shared" si="26"/>
        <v>0</v>
      </c>
      <c r="K100" s="514"/>
      <c r="L100" s="518">
        <f t="shared" ref="L100:L105" si="30">H100</f>
        <v>327269.44030165928</v>
      </c>
      <c r="M100" s="519">
        <f t="shared" si="27"/>
        <v>0</v>
      </c>
      <c r="N100" s="518">
        <f t="shared" ref="N100:N105" si="31">I100</f>
        <v>327269.44030165928</v>
      </c>
      <c r="O100" s="514">
        <f t="shared" si="28"/>
        <v>0</v>
      </c>
      <c r="P100" s="514">
        <f t="shared" si="29"/>
        <v>0</v>
      </c>
      <c r="Q100" s="269"/>
    </row>
    <row r="101" spans="1:17" ht="12.5">
      <c r="B101" s="195" t="str">
        <f t="shared" ref="B101:B154" si="32">IF(D101=F100,"","IU")</f>
        <v/>
      </c>
      <c r="C101" s="507">
        <f>IF(D93="","-",+C100+1)</f>
        <v>2010</v>
      </c>
      <c r="D101" s="508">
        <v>1880952.0228947368</v>
      </c>
      <c r="E101" s="516">
        <v>47556.988048780491</v>
      </c>
      <c r="F101" s="515">
        <v>1833395.0348459564</v>
      </c>
      <c r="G101" s="515">
        <v>1857173.5288703465</v>
      </c>
      <c r="H101" s="516">
        <v>354150.48973333737</v>
      </c>
      <c r="I101" s="510">
        <v>354150.48973333737</v>
      </c>
      <c r="J101" s="613">
        <f t="shared" si="26"/>
        <v>0</v>
      </c>
      <c r="K101" s="514"/>
      <c r="L101" s="518">
        <f t="shared" si="30"/>
        <v>354150.48973333737</v>
      </c>
      <c r="M101" s="519">
        <f t="shared" si="27"/>
        <v>0</v>
      </c>
      <c r="N101" s="518">
        <f t="shared" si="31"/>
        <v>354150.48973333737</v>
      </c>
      <c r="O101" s="514">
        <f t="shared" si="28"/>
        <v>0</v>
      </c>
      <c r="P101" s="514">
        <f t="shared" si="29"/>
        <v>0</v>
      </c>
      <c r="Q101" s="269"/>
    </row>
    <row r="102" spans="1:17" ht="12.5">
      <c r="B102" s="195" t="str">
        <f t="shared" si="32"/>
        <v/>
      </c>
      <c r="C102" s="507">
        <f>IF(D93="","-",+C101+1)</f>
        <v>2011</v>
      </c>
      <c r="D102" s="508">
        <v>1833395.0348459564</v>
      </c>
      <c r="E102" s="520">
        <v>46424.678809523808</v>
      </c>
      <c r="F102" s="515">
        <v>1786970.3560364326</v>
      </c>
      <c r="G102" s="515">
        <v>1810182.6954411943</v>
      </c>
      <c r="H102" s="516">
        <v>318639.77382654941</v>
      </c>
      <c r="I102" s="510">
        <v>318639.77382654941</v>
      </c>
      <c r="J102" s="613">
        <f t="shared" si="26"/>
        <v>0</v>
      </c>
      <c r="K102" s="514"/>
      <c r="L102" s="518">
        <f t="shared" si="30"/>
        <v>318639.77382654941</v>
      </c>
      <c r="M102" s="519">
        <f t="shared" si="27"/>
        <v>0</v>
      </c>
      <c r="N102" s="518">
        <f t="shared" si="31"/>
        <v>318639.77382654941</v>
      </c>
      <c r="O102" s="514">
        <f t="shared" si="28"/>
        <v>0</v>
      </c>
      <c r="P102" s="514">
        <f t="shared" si="29"/>
        <v>0</v>
      </c>
      <c r="Q102" s="269"/>
    </row>
    <row r="103" spans="1:17" ht="12.5">
      <c r="B103" s="195" t="str">
        <f t="shared" si="32"/>
        <v/>
      </c>
      <c r="C103" s="507">
        <f>IF(D93="","-",+C102+1)</f>
        <v>2012</v>
      </c>
      <c r="D103" s="508">
        <v>1786970.3560364326</v>
      </c>
      <c r="E103" s="516">
        <v>46424.678809523808</v>
      </c>
      <c r="F103" s="515">
        <v>1740545.6772269087</v>
      </c>
      <c r="G103" s="515">
        <v>1763758.0166316708</v>
      </c>
      <c r="H103" s="516">
        <v>305968.60569385614</v>
      </c>
      <c r="I103" s="510">
        <v>305968.60569385614</v>
      </c>
      <c r="J103" s="613">
        <f t="shared" si="26"/>
        <v>0</v>
      </c>
      <c r="K103" s="514"/>
      <c r="L103" s="518">
        <f t="shared" si="30"/>
        <v>305968.60569385614</v>
      </c>
      <c r="M103" s="519">
        <f t="shared" si="27"/>
        <v>0</v>
      </c>
      <c r="N103" s="518">
        <f t="shared" si="31"/>
        <v>305968.60569385614</v>
      </c>
      <c r="O103" s="514">
        <f t="shared" si="28"/>
        <v>0</v>
      </c>
      <c r="P103" s="514">
        <f t="shared" si="29"/>
        <v>0</v>
      </c>
      <c r="Q103" s="269"/>
    </row>
    <row r="104" spans="1:17" ht="12.5">
      <c r="B104" s="195" t="str">
        <f t="shared" si="32"/>
        <v/>
      </c>
      <c r="C104" s="507">
        <f>IF(D93="","-",+C103+1)</f>
        <v>2013</v>
      </c>
      <c r="D104" s="508">
        <v>1740545.6772269087</v>
      </c>
      <c r="E104" s="516">
        <v>46424.678809523808</v>
      </c>
      <c r="F104" s="515">
        <v>1694120.9984173849</v>
      </c>
      <c r="G104" s="515">
        <v>1717333.3378221467</v>
      </c>
      <c r="H104" s="516">
        <v>278765.62951624766</v>
      </c>
      <c r="I104" s="510">
        <v>278765.62951624766</v>
      </c>
      <c r="J104" s="613">
        <v>0</v>
      </c>
      <c r="K104" s="514"/>
      <c r="L104" s="518">
        <f t="shared" si="30"/>
        <v>278765.62951624766</v>
      </c>
      <c r="M104" s="519">
        <f t="shared" ref="M104:M109" si="33">IF(L104&lt;&gt;0,+H104-L104,0)</f>
        <v>0</v>
      </c>
      <c r="N104" s="518">
        <f t="shared" si="31"/>
        <v>278765.62951624766</v>
      </c>
      <c r="O104" s="514">
        <f t="shared" ref="O104:O109" si="34">IF(N104&lt;&gt;0,+I104-N104,0)</f>
        <v>0</v>
      </c>
      <c r="P104" s="514">
        <f t="shared" ref="P104:P109" si="35">+O104-M104</f>
        <v>0</v>
      </c>
      <c r="Q104" s="269"/>
    </row>
    <row r="105" spans="1:17" ht="12.5">
      <c r="B105" s="195" t="str">
        <f t="shared" si="32"/>
        <v/>
      </c>
      <c r="C105" s="507">
        <f>IF(D93="","-",+C104+1)</f>
        <v>2014</v>
      </c>
      <c r="D105" s="508">
        <v>1694120.9984173849</v>
      </c>
      <c r="E105" s="516">
        <v>46424.678809523808</v>
      </c>
      <c r="F105" s="515">
        <v>1647696.3196078611</v>
      </c>
      <c r="G105" s="515">
        <v>1670908.6590126231</v>
      </c>
      <c r="H105" s="516">
        <v>273540.36469294201</v>
      </c>
      <c r="I105" s="510">
        <v>273540.36469294201</v>
      </c>
      <c r="J105" s="514">
        <v>0</v>
      </c>
      <c r="K105" s="514"/>
      <c r="L105" s="518">
        <f t="shared" si="30"/>
        <v>273540.36469294201</v>
      </c>
      <c r="M105" s="519">
        <f t="shared" si="33"/>
        <v>0</v>
      </c>
      <c r="N105" s="518">
        <f t="shared" si="31"/>
        <v>273540.36469294201</v>
      </c>
      <c r="O105" s="514">
        <f t="shared" si="34"/>
        <v>0</v>
      </c>
      <c r="P105" s="514">
        <f t="shared" si="35"/>
        <v>0</v>
      </c>
      <c r="Q105" s="269"/>
    </row>
    <row r="106" spans="1:17" ht="12.5">
      <c r="B106" s="195" t="str">
        <f t="shared" si="32"/>
        <v/>
      </c>
      <c r="C106" s="507">
        <f>IF(D93="","-",+C105+1)</f>
        <v>2015</v>
      </c>
      <c r="D106" s="508">
        <v>1647696.3196078611</v>
      </c>
      <c r="E106" s="516">
        <v>46424.678809523808</v>
      </c>
      <c r="F106" s="515">
        <v>1601271.6407983373</v>
      </c>
      <c r="G106" s="515">
        <v>1624483.9802030991</v>
      </c>
      <c r="H106" s="516">
        <v>260481.11000678584</v>
      </c>
      <c r="I106" s="510">
        <v>260481.11000678584</v>
      </c>
      <c r="J106" s="514">
        <f t="shared" si="26"/>
        <v>0</v>
      </c>
      <c r="K106" s="514"/>
      <c r="L106" s="518">
        <f t="shared" ref="L106:L111" si="36">H106</f>
        <v>260481.11000678584</v>
      </c>
      <c r="M106" s="519">
        <f t="shared" si="33"/>
        <v>0</v>
      </c>
      <c r="N106" s="518">
        <f t="shared" ref="N106:N111" si="37">I106</f>
        <v>260481.11000678584</v>
      </c>
      <c r="O106" s="514">
        <f t="shared" si="34"/>
        <v>0</v>
      </c>
      <c r="P106" s="514">
        <f t="shared" si="35"/>
        <v>0</v>
      </c>
      <c r="Q106" s="269"/>
    </row>
    <row r="107" spans="1:17" ht="12.5">
      <c r="B107" s="195" t="str">
        <f t="shared" si="32"/>
        <v/>
      </c>
      <c r="C107" s="507">
        <f>IF(D93="","-",+C106+1)</f>
        <v>2016</v>
      </c>
      <c r="D107" s="508">
        <v>1601271.6407983373</v>
      </c>
      <c r="E107" s="516">
        <v>45345.035116279068</v>
      </c>
      <c r="F107" s="515">
        <v>1555926.6056820583</v>
      </c>
      <c r="G107" s="515">
        <v>1578599.1232401978</v>
      </c>
      <c r="H107" s="516">
        <v>245748.17532364058</v>
      </c>
      <c r="I107" s="510">
        <v>245748.17532364058</v>
      </c>
      <c r="J107" s="514">
        <f t="shared" si="26"/>
        <v>0</v>
      </c>
      <c r="K107" s="514"/>
      <c r="L107" s="518">
        <f t="shared" si="36"/>
        <v>245748.17532364058</v>
      </c>
      <c r="M107" s="519">
        <f t="shared" si="33"/>
        <v>0</v>
      </c>
      <c r="N107" s="518">
        <f t="shared" si="37"/>
        <v>245748.17532364058</v>
      </c>
      <c r="O107" s="514">
        <f t="shared" si="34"/>
        <v>0</v>
      </c>
      <c r="P107" s="514">
        <f t="shared" si="35"/>
        <v>0</v>
      </c>
      <c r="Q107" s="269"/>
    </row>
    <row r="108" spans="1:17" ht="12.5">
      <c r="B108" s="195" t="str">
        <f t="shared" si="32"/>
        <v/>
      </c>
      <c r="C108" s="507">
        <f>IF(D93="","-",+C107+1)</f>
        <v>2017</v>
      </c>
      <c r="D108" s="508">
        <v>1555926.6056820583</v>
      </c>
      <c r="E108" s="516">
        <v>46424.678809523808</v>
      </c>
      <c r="F108" s="515">
        <v>1509501.9268725344</v>
      </c>
      <c r="G108" s="515">
        <v>1532714.2662772965</v>
      </c>
      <c r="H108" s="516">
        <v>232605.71494726205</v>
      </c>
      <c r="I108" s="510">
        <v>232605.71494726205</v>
      </c>
      <c r="J108" s="514">
        <f t="shared" si="26"/>
        <v>0</v>
      </c>
      <c r="K108" s="514"/>
      <c r="L108" s="518">
        <f t="shared" si="36"/>
        <v>232605.71494726205</v>
      </c>
      <c r="M108" s="519">
        <f t="shared" si="33"/>
        <v>0</v>
      </c>
      <c r="N108" s="518">
        <f t="shared" si="37"/>
        <v>232605.71494726205</v>
      </c>
      <c r="O108" s="514">
        <f t="shared" si="34"/>
        <v>0</v>
      </c>
      <c r="P108" s="514">
        <f t="shared" si="35"/>
        <v>0</v>
      </c>
      <c r="Q108" s="269"/>
    </row>
    <row r="109" spans="1:17" ht="12.5">
      <c r="B109" s="195" t="str">
        <f t="shared" si="32"/>
        <v/>
      </c>
      <c r="C109" s="507">
        <f>IF(D93="","-",+C108+1)</f>
        <v>2018</v>
      </c>
      <c r="D109" s="508">
        <v>1509501.9268725344</v>
      </c>
      <c r="E109" s="516">
        <v>46424.678809523808</v>
      </c>
      <c r="F109" s="515">
        <v>1463077.2480630106</v>
      </c>
      <c r="G109" s="515">
        <v>1486289.5874677724</v>
      </c>
      <c r="H109" s="516">
        <v>203383.67510232344</v>
      </c>
      <c r="I109" s="510">
        <v>203383.67510232344</v>
      </c>
      <c r="J109" s="514">
        <f t="shared" si="26"/>
        <v>0</v>
      </c>
      <c r="K109" s="514"/>
      <c r="L109" s="518">
        <f t="shared" si="36"/>
        <v>203383.67510232344</v>
      </c>
      <c r="M109" s="519">
        <f t="shared" si="33"/>
        <v>0</v>
      </c>
      <c r="N109" s="518">
        <f t="shared" si="37"/>
        <v>203383.67510232344</v>
      </c>
      <c r="O109" s="514">
        <f t="shared" si="34"/>
        <v>0</v>
      </c>
      <c r="P109" s="514">
        <f t="shared" si="35"/>
        <v>0</v>
      </c>
      <c r="Q109" s="269"/>
    </row>
    <row r="110" spans="1:17" ht="12.5">
      <c r="B110" s="195" t="str">
        <f t="shared" si="32"/>
        <v/>
      </c>
      <c r="C110" s="507">
        <f>IF(D93="","-",+C109+1)</f>
        <v>2019</v>
      </c>
      <c r="D110" s="508">
        <v>1463077.2480630106</v>
      </c>
      <c r="E110" s="516">
        <v>45345.035116279068</v>
      </c>
      <c r="F110" s="515">
        <v>1417732.2129467316</v>
      </c>
      <c r="G110" s="515">
        <v>1440404.7305048711</v>
      </c>
      <c r="H110" s="516">
        <v>199526.74471129151</v>
      </c>
      <c r="I110" s="510">
        <v>199526.74471129151</v>
      </c>
      <c r="J110" s="514">
        <f t="shared" si="26"/>
        <v>0</v>
      </c>
      <c r="K110" s="514"/>
      <c r="L110" s="518">
        <f t="shared" si="36"/>
        <v>199526.74471129151</v>
      </c>
      <c r="M110" s="519">
        <f t="shared" ref="M110:M111" si="38">IF(L110&lt;&gt;0,+H110-L110,0)</f>
        <v>0</v>
      </c>
      <c r="N110" s="518">
        <f t="shared" si="37"/>
        <v>199526.74471129151</v>
      </c>
      <c r="O110" s="514">
        <f t="shared" si="28"/>
        <v>0</v>
      </c>
      <c r="P110" s="514">
        <f t="shared" si="29"/>
        <v>0</v>
      </c>
      <c r="Q110" s="269"/>
    </row>
    <row r="111" spans="1:17" ht="12.5">
      <c r="B111" s="195" t="str">
        <f t="shared" si="32"/>
        <v/>
      </c>
      <c r="C111" s="507">
        <f>IF(D93="","-",+C110+1)</f>
        <v>2020</v>
      </c>
      <c r="D111" s="508">
        <v>1417732.2129467316</v>
      </c>
      <c r="E111" s="516">
        <v>46424.678809523808</v>
      </c>
      <c r="F111" s="515">
        <v>1371307.5341372078</v>
      </c>
      <c r="G111" s="515">
        <v>1394519.8735419698</v>
      </c>
      <c r="H111" s="516">
        <v>196438.52610487738</v>
      </c>
      <c r="I111" s="510">
        <v>196438.52610487738</v>
      </c>
      <c r="J111" s="514">
        <f t="shared" si="26"/>
        <v>0</v>
      </c>
      <c r="K111" s="514"/>
      <c r="L111" s="518">
        <f t="shared" si="36"/>
        <v>196438.52610487738</v>
      </c>
      <c r="M111" s="519">
        <f t="shared" si="38"/>
        <v>0</v>
      </c>
      <c r="N111" s="518">
        <f t="shared" si="37"/>
        <v>196438.52610487738</v>
      </c>
      <c r="O111" s="514">
        <f t="shared" si="28"/>
        <v>0</v>
      </c>
      <c r="P111" s="514">
        <f t="shared" si="29"/>
        <v>0</v>
      </c>
      <c r="Q111" s="269"/>
    </row>
    <row r="112" spans="1:17" ht="12.5">
      <c r="B112" s="195" t="str">
        <f t="shared" si="32"/>
        <v/>
      </c>
      <c r="C112" s="507">
        <f>IF(D93="","-",+C111+1)</f>
        <v>2021</v>
      </c>
      <c r="D112" s="374">
        <f>IF(F111+SUM(E$99:E111)=D$92,F111,D$92-SUM(E$99:E111))</f>
        <v>1371307.5341372078</v>
      </c>
      <c r="E112" s="522">
        <f>IF(+J96&lt;F111,J96,D112)</f>
        <v>47556.988048780491</v>
      </c>
      <c r="F112" s="523">
        <f t="shared" ref="F112:F130" si="39">+D112-E112</f>
        <v>1323750.5460884273</v>
      </c>
      <c r="G112" s="523">
        <f t="shared" ref="G112:G130" si="40">+(F112+D112)/2</f>
        <v>1347529.0401128177</v>
      </c>
      <c r="H112" s="526">
        <f>+J$94*G112+E112</f>
        <v>200520.70455071999</v>
      </c>
      <c r="I112" s="577">
        <f>+J$95*G112+E112</f>
        <v>200520.70455071999</v>
      </c>
      <c r="J112" s="514">
        <f t="shared" si="26"/>
        <v>0</v>
      </c>
      <c r="K112" s="514"/>
      <c r="L112" s="525"/>
      <c r="M112" s="514">
        <f t="shared" si="27"/>
        <v>0</v>
      </c>
      <c r="N112" s="525"/>
      <c r="O112" s="514">
        <f t="shared" si="28"/>
        <v>0</v>
      </c>
      <c r="P112" s="514">
        <f t="shared" si="29"/>
        <v>0</v>
      </c>
      <c r="Q112" s="269"/>
    </row>
    <row r="113" spans="2:17" ht="12.5">
      <c r="B113" s="195" t="str">
        <f t="shared" si="32"/>
        <v/>
      </c>
      <c r="C113" s="507">
        <f>IF(D93="","-",+C112+1)</f>
        <v>2022</v>
      </c>
      <c r="D113" s="374">
        <f>IF(F112+SUM(E$99:E112)=D$92,F112,D$92-SUM(E$99:E112))</f>
        <v>1323750.5460884273</v>
      </c>
      <c r="E113" s="522">
        <f>IF(+J96&lt;F112,J96,D113)</f>
        <v>47556.988048780491</v>
      </c>
      <c r="F113" s="523">
        <f t="shared" si="39"/>
        <v>1276193.5580396468</v>
      </c>
      <c r="G113" s="523">
        <f t="shared" si="40"/>
        <v>1299972.052064037</v>
      </c>
      <c r="H113" s="526">
        <f t="shared" ref="H113:H154" si="41">+J$94*G113+E113</f>
        <v>195122.30984378973</v>
      </c>
      <c r="I113" s="577">
        <f t="shared" ref="I113:I154" si="42">+J$95*G113+E113</f>
        <v>195122.30984378973</v>
      </c>
      <c r="J113" s="514">
        <f t="shared" si="26"/>
        <v>0</v>
      </c>
      <c r="K113" s="514"/>
      <c r="L113" s="525"/>
      <c r="M113" s="514">
        <f t="shared" si="27"/>
        <v>0</v>
      </c>
      <c r="N113" s="525"/>
      <c r="O113" s="514">
        <f t="shared" si="28"/>
        <v>0</v>
      </c>
      <c r="P113" s="514">
        <f t="shared" si="29"/>
        <v>0</v>
      </c>
      <c r="Q113" s="269"/>
    </row>
    <row r="114" spans="2:17" ht="12.5">
      <c r="B114" s="195" t="str">
        <f t="shared" si="32"/>
        <v/>
      </c>
      <c r="C114" s="507">
        <f>IF(D93="","-",+C113+1)</f>
        <v>2023</v>
      </c>
      <c r="D114" s="374">
        <f>IF(F113+SUM(E$99:E113)=D$92,F113,D$92-SUM(E$99:E113))</f>
        <v>1276193.5580396468</v>
      </c>
      <c r="E114" s="522">
        <f>IF(+J96&lt;F113,J96,D114)</f>
        <v>47556.988048780491</v>
      </c>
      <c r="F114" s="523">
        <f t="shared" si="39"/>
        <v>1228636.5699908664</v>
      </c>
      <c r="G114" s="523">
        <f t="shared" si="40"/>
        <v>1252415.0640152567</v>
      </c>
      <c r="H114" s="526">
        <f t="shared" si="41"/>
        <v>189723.91513685958</v>
      </c>
      <c r="I114" s="577">
        <f t="shared" si="42"/>
        <v>189723.91513685958</v>
      </c>
      <c r="J114" s="514">
        <f t="shared" si="26"/>
        <v>0</v>
      </c>
      <c r="K114" s="514"/>
      <c r="L114" s="525"/>
      <c r="M114" s="514">
        <f t="shared" si="27"/>
        <v>0</v>
      </c>
      <c r="N114" s="525"/>
      <c r="O114" s="514">
        <f t="shared" si="28"/>
        <v>0</v>
      </c>
      <c r="P114" s="514">
        <f t="shared" si="29"/>
        <v>0</v>
      </c>
      <c r="Q114" s="269"/>
    </row>
    <row r="115" spans="2:17" ht="12.5">
      <c r="B115" s="195" t="str">
        <f t="shared" si="32"/>
        <v/>
      </c>
      <c r="C115" s="507">
        <f>IF(D93="","-",+C114+1)</f>
        <v>2024</v>
      </c>
      <c r="D115" s="374">
        <f>IF(F114+SUM(E$99:E114)=D$92,F114,D$92-SUM(E$99:E114))</f>
        <v>1228636.5699908664</v>
      </c>
      <c r="E115" s="522">
        <f>IF(+J96&lt;F114,J96,D115)</f>
        <v>47556.988048780491</v>
      </c>
      <c r="F115" s="523">
        <f t="shared" si="39"/>
        <v>1181079.5819420859</v>
      </c>
      <c r="G115" s="523">
        <f t="shared" si="40"/>
        <v>1204858.075966476</v>
      </c>
      <c r="H115" s="526">
        <f t="shared" si="41"/>
        <v>184325.52042992931</v>
      </c>
      <c r="I115" s="577">
        <f t="shared" si="42"/>
        <v>184325.52042992931</v>
      </c>
      <c r="J115" s="514">
        <f t="shared" si="26"/>
        <v>0</v>
      </c>
      <c r="K115" s="514"/>
      <c r="L115" s="525"/>
      <c r="M115" s="514">
        <f t="shared" si="27"/>
        <v>0</v>
      </c>
      <c r="N115" s="525"/>
      <c r="O115" s="514">
        <f t="shared" si="28"/>
        <v>0</v>
      </c>
      <c r="P115" s="514">
        <f t="shared" si="29"/>
        <v>0</v>
      </c>
      <c r="Q115" s="269"/>
    </row>
    <row r="116" spans="2:17" ht="12.5">
      <c r="B116" s="195" t="str">
        <f t="shared" si="32"/>
        <v/>
      </c>
      <c r="C116" s="507">
        <f>IF(D93="","-",+C115+1)</f>
        <v>2025</v>
      </c>
      <c r="D116" s="374">
        <f>IF(F115+SUM(E$99:E115)=D$92,F115,D$92-SUM(E$99:E115))</f>
        <v>1181079.5819420859</v>
      </c>
      <c r="E116" s="522">
        <f>IF(+J96&lt;F115,J96,D116)</f>
        <v>47556.988048780491</v>
      </c>
      <c r="F116" s="523">
        <f t="shared" si="39"/>
        <v>1133522.5938933054</v>
      </c>
      <c r="G116" s="523">
        <f t="shared" si="40"/>
        <v>1157301.0879176958</v>
      </c>
      <c r="H116" s="526">
        <f t="shared" si="41"/>
        <v>178927.12572299916</v>
      </c>
      <c r="I116" s="577">
        <f t="shared" si="42"/>
        <v>178927.12572299916</v>
      </c>
      <c r="J116" s="514">
        <f t="shared" si="26"/>
        <v>0</v>
      </c>
      <c r="K116" s="514"/>
      <c r="L116" s="525"/>
      <c r="M116" s="514">
        <f t="shared" si="27"/>
        <v>0</v>
      </c>
      <c r="N116" s="525"/>
      <c r="O116" s="514">
        <f t="shared" si="28"/>
        <v>0</v>
      </c>
      <c r="P116" s="514">
        <f t="shared" si="29"/>
        <v>0</v>
      </c>
      <c r="Q116" s="269"/>
    </row>
    <row r="117" spans="2:17" ht="12.5">
      <c r="B117" s="195" t="str">
        <f t="shared" si="32"/>
        <v/>
      </c>
      <c r="C117" s="507">
        <f>IF(D93="","-",+C116+1)</f>
        <v>2026</v>
      </c>
      <c r="D117" s="374">
        <f>IF(F116+SUM(E$99:E116)=D$92,F116,D$92-SUM(E$99:E116))</f>
        <v>1133522.5938933054</v>
      </c>
      <c r="E117" s="522">
        <f>IF(+J96&lt;F116,J96,D117)</f>
        <v>47556.988048780491</v>
      </c>
      <c r="F117" s="523">
        <f t="shared" si="39"/>
        <v>1085965.6058445249</v>
      </c>
      <c r="G117" s="523">
        <f t="shared" si="40"/>
        <v>1109744.099868915</v>
      </c>
      <c r="H117" s="526">
        <f t="shared" si="41"/>
        <v>173528.73101606889</v>
      </c>
      <c r="I117" s="577">
        <f t="shared" si="42"/>
        <v>173528.73101606889</v>
      </c>
      <c r="J117" s="514">
        <f t="shared" si="26"/>
        <v>0</v>
      </c>
      <c r="K117" s="514"/>
      <c r="L117" s="525"/>
      <c r="M117" s="514">
        <f t="shared" si="27"/>
        <v>0</v>
      </c>
      <c r="N117" s="525"/>
      <c r="O117" s="514">
        <f t="shared" si="28"/>
        <v>0</v>
      </c>
      <c r="P117" s="514">
        <f t="shared" si="29"/>
        <v>0</v>
      </c>
      <c r="Q117" s="269"/>
    </row>
    <row r="118" spans="2:17" ht="12.5">
      <c r="B118" s="195" t="str">
        <f t="shared" si="32"/>
        <v/>
      </c>
      <c r="C118" s="507">
        <f>IF(D93="","-",+C117+1)</f>
        <v>2027</v>
      </c>
      <c r="D118" s="374">
        <f>IF(F117+SUM(E$99:E117)=D$92,F117,D$92-SUM(E$99:E117))</f>
        <v>1085965.6058445249</v>
      </c>
      <c r="E118" s="522">
        <f>IF(+J96&lt;F117,J96,D118)</f>
        <v>47556.988048780491</v>
      </c>
      <c r="F118" s="523">
        <f t="shared" si="39"/>
        <v>1038408.6177957444</v>
      </c>
      <c r="G118" s="523">
        <f t="shared" si="40"/>
        <v>1062187.1118201348</v>
      </c>
      <c r="H118" s="526">
        <f t="shared" si="41"/>
        <v>168130.33630913871</v>
      </c>
      <c r="I118" s="577">
        <f t="shared" si="42"/>
        <v>168130.33630913871</v>
      </c>
      <c r="J118" s="514">
        <f t="shared" si="26"/>
        <v>0</v>
      </c>
      <c r="K118" s="514"/>
      <c r="L118" s="525"/>
      <c r="M118" s="514">
        <f t="shared" si="27"/>
        <v>0</v>
      </c>
      <c r="N118" s="525"/>
      <c r="O118" s="514">
        <f t="shared" si="28"/>
        <v>0</v>
      </c>
      <c r="P118" s="514">
        <f t="shared" si="29"/>
        <v>0</v>
      </c>
      <c r="Q118" s="269"/>
    </row>
    <row r="119" spans="2:17" ht="12.5">
      <c r="B119" s="195" t="str">
        <f t="shared" si="32"/>
        <v/>
      </c>
      <c r="C119" s="507">
        <f>IF(D93="","-",+C118+1)</f>
        <v>2028</v>
      </c>
      <c r="D119" s="374">
        <f>IF(F118+SUM(E$99:E118)=D$92,F118,D$92-SUM(E$99:E118))</f>
        <v>1038408.6177957444</v>
      </c>
      <c r="E119" s="522">
        <f>IF(+J96&lt;F118,J96,D119)</f>
        <v>47556.988048780491</v>
      </c>
      <c r="F119" s="523">
        <f t="shared" si="39"/>
        <v>990851.62974696397</v>
      </c>
      <c r="G119" s="523">
        <f t="shared" si="40"/>
        <v>1014630.1237713542</v>
      </c>
      <c r="H119" s="526">
        <f t="shared" si="41"/>
        <v>162731.94160220848</v>
      </c>
      <c r="I119" s="577">
        <f t="shared" si="42"/>
        <v>162731.94160220848</v>
      </c>
      <c r="J119" s="514">
        <f t="shared" si="26"/>
        <v>0</v>
      </c>
      <c r="K119" s="514"/>
      <c r="L119" s="525"/>
      <c r="M119" s="514">
        <f t="shared" si="27"/>
        <v>0</v>
      </c>
      <c r="N119" s="525"/>
      <c r="O119" s="514">
        <f t="shared" si="28"/>
        <v>0</v>
      </c>
      <c r="P119" s="514">
        <f t="shared" si="29"/>
        <v>0</v>
      </c>
      <c r="Q119" s="269"/>
    </row>
    <row r="120" spans="2:17" ht="12.5">
      <c r="B120" s="195" t="str">
        <f t="shared" si="32"/>
        <v/>
      </c>
      <c r="C120" s="507">
        <f>IF(D93="","-",+C119+1)</f>
        <v>2029</v>
      </c>
      <c r="D120" s="374">
        <f>IF(F119+SUM(E$99:E119)=D$92,F119,D$92-SUM(E$99:E119))</f>
        <v>990851.62974696397</v>
      </c>
      <c r="E120" s="522">
        <f>IF(+J96&lt;F119,J96,D120)</f>
        <v>47556.988048780491</v>
      </c>
      <c r="F120" s="523">
        <f t="shared" si="39"/>
        <v>943294.64169818349</v>
      </c>
      <c r="G120" s="523">
        <f t="shared" si="40"/>
        <v>967073.13572257373</v>
      </c>
      <c r="H120" s="526">
        <f t="shared" si="41"/>
        <v>157333.54689527827</v>
      </c>
      <c r="I120" s="577">
        <f t="shared" si="42"/>
        <v>157333.54689527827</v>
      </c>
      <c r="J120" s="514">
        <f t="shared" si="26"/>
        <v>0</v>
      </c>
      <c r="K120" s="514"/>
      <c r="L120" s="525"/>
      <c r="M120" s="514">
        <f t="shared" si="27"/>
        <v>0</v>
      </c>
      <c r="N120" s="525"/>
      <c r="O120" s="514">
        <f t="shared" si="28"/>
        <v>0</v>
      </c>
      <c r="P120" s="514">
        <f t="shared" si="29"/>
        <v>0</v>
      </c>
      <c r="Q120" s="269"/>
    </row>
    <row r="121" spans="2:17" ht="12.5">
      <c r="B121" s="195" t="str">
        <f t="shared" si="32"/>
        <v/>
      </c>
      <c r="C121" s="507">
        <f>IF(D93="","-",+C120+1)</f>
        <v>2030</v>
      </c>
      <c r="D121" s="374">
        <f>IF(F120+SUM(E$99:E120)=D$92,F120,D$92-SUM(E$99:E120))</f>
        <v>943294.64169818349</v>
      </c>
      <c r="E121" s="522">
        <f>IF(+J96&lt;F120,J96,D121)</f>
        <v>47556.988048780491</v>
      </c>
      <c r="F121" s="523">
        <f t="shared" si="39"/>
        <v>895737.65364940302</v>
      </c>
      <c r="G121" s="523">
        <f t="shared" si="40"/>
        <v>919516.14767379325</v>
      </c>
      <c r="H121" s="526">
        <f t="shared" si="41"/>
        <v>151935.15218834806</v>
      </c>
      <c r="I121" s="577">
        <f t="shared" si="42"/>
        <v>151935.15218834806</v>
      </c>
      <c r="J121" s="514">
        <f t="shared" si="26"/>
        <v>0</v>
      </c>
      <c r="K121" s="514"/>
      <c r="L121" s="525"/>
      <c r="M121" s="514">
        <f t="shared" si="27"/>
        <v>0</v>
      </c>
      <c r="N121" s="525"/>
      <c r="O121" s="514">
        <f t="shared" si="28"/>
        <v>0</v>
      </c>
      <c r="P121" s="514">
        <f t="shared" si="29"/>
        <v>0</v>
      </c>
      <c r="Q121" s="269"/>
    </row>
    <row r="122" spans="2:17" ht="12.5">
      <c r="B122" s="195" t="str">
        <f t="shared" si="32"/>
        <v/>
      </c>
      <c r="C122" s="507">
        <f>IF(D93="","-",+C121+1)</f>
        <v>2031</v>
      </c>
      <c r="D122" s="374">
        <f>IF(F121+SUM(E$99:E121)=D$92,F121,D$92-SUM(E$99:E121))</f>
        <v>895737.65364940302</v>
      </c>
      <c r="E122" s="522">
        <f>IF(+J96&lt;F121,J96,D122)</f>
        <v>47556.988048780491</v>
      </c>
      <c r="F122" s="523">
        <f t="shared" si="39"/>
        <v>848180.66560062254</v>
      </c>
      <c r="G122" s="523">
        <f t="shared" si="40"/>
        <v>871959.15962501278</v>
      </c>
      <c r="H122" s="526">
        <f t="shared" si="41"/>
        <v>146536.75748141785</v>
      </c>
      <c r="I122" s="577">
        <f t="shared" si="42"/>
        <v>146536.75748141785</v>
      </c>
      <c r="J122" s="514">
        <f t="shared" si="26"/>
        <v>0</v>
      </c>
      <c r="K122" s="514"/>
      <c r="L122" s="525"/>
      <c r="M122" s="514">
        <f t="shared" si="27"/>
        <v>0</v>
      </c>
      <c r="N122" s="525"/>
      <c r="O122" s="514">
        <f t="shared" si="28"/>
        <v>0</v>
      </c>
      <c r="P122" s="514">
        <f t="shared" si="29"/>
        <v>0</v>
      </c>
      <c r="Q122" s="269"/>
    </row>
    <row r="123" spans="2:17" ht="12.5">
      <c r="B123" s="195" t="str">
        <f t="shared" si="32"/>
        <v/>
      </c>
      <c r="C123" s="507">
        <f>IF(D93="","-",+C122+1)</f>
        <v>2032</v>
      </c>
      <c r="D123" s="374">
        <f>IF(F122+SUM(E$99:E122)=D$92,F122,D$92-SUM(E$99:E122))</f>
        <v>848180.66560062254</v>
      </c>
      <c r="E123" s="522">
        <f>IF(+J96&lt;F122,J96,D123)</f>
        <v>47556.988048780491</v>
      </c>
      <c r="F123" s="523">
        <f t="shared" si="39"/>
        <v>800623.67755184206</v>
      </c>
      <c r="G123" s="523">
        <f t="shared" si="40"/>
        <v>824402.1715762323</v>
      </c>
      <c r="H123" s="526">
        <f t="shared" si="41"/>
        <v>141138.36277448764</v>
      </c>
      <c r="I123" s="577">
        <f t="shared" si="42"/>
        <v>141138.36277448764</v>
      </c>
      <c r="J123" s="514">
        <f t="shared" si="26"/>
        <v>0</v>
      </c>
      <c r="K123" s="514"/>
      <c r="L123" s="525"/>
      <c r="M123" s="514">
        <f t="shared" si="27"/>
        <v>0</v>
      </c>
      <c r="N123" s="525"/>
      <c r="O123" s="514">
        <f t="shared" si="28"/>
        <v>0</v>
      </c>
      <c r="P123" s="514">
        <f t="shared" si="29"/>
        <v>0</v>
      </c>
      <c r="Q123" s="269"/>
    </row>
    <row r="124" spans="2:17" ht="12.5">
      <c r="B124" s="195" t="str">
        <f t="shared" si="32"/>
        <v/>
      </c>
      <c r="C124" s="507">
        <f>IF(D93="","-",+C123+1)</f>
        <v>2033</v>
      </c>
      <c r="D124" s="374">
        <f>IF(F123+SUM(E$99:E123)=D$92,F123,D$92-SUM(E$99:E123))</f>
        <v>800623.67755184206</v>
      </c>
      <c r="E124" s="522">
        <f>IF(+J96&lt;F123,J96,D124)</f>
        <v>47556.988048780491</v>
      </c>
      <c r="F124" s="523">
        <f t="shared" si="39"/>
        <v>753066.68950306159</v>
      </c>
      <c r="G124" s="523">
        <f t="shared" si="40"/>
        <v>776845.18352745182</v>
      </c>
      <c r="H124" s="526">
        <f t="shared" si="41"/>
        <v>135739.96806755743</v>
      </c>
      <c r="I124" s="577">
        <f t="shared" si="42"/>
        <v>135739.96806755743</v>
      </c>
      <c r="J124" s="514">
        <f t="shared" si="26"/>
        <v>0</v>
      </c>
      <c r="K124" s="514"/>
      <c r="L124" s="525"/>
      <c r="M124" s="514">
        <f t="shared" si="27"/>
        <v>0</v>
      </c>
      <c r="N124" s="525"/>
      <c r="O124" s="514">
        <f t="shared" si="28"/>
        <v>0</v>
      </c>
      <c r="P124" s="514">
        <f t="shared" si="29"/>
        <v>0</v>
      </c>
      <c r="Q124" s="269"/>
    </row>
    <row r="125" spans="2:17" ht="12.5">
      <c r="B125" s="195" t="str">
        <f t="shared" si="32"/>
        <v/>
      </c>
      <c r="C125" s="507">
        <f>IF(D93="","-",+C124+1)</f>
        <v>2034</v>
      </c>
      <c r="D125" s="374">
        <f>IF(F124+SUM(E$99:E124)=D$92,F124,D$92-SUM(E$99:E124))</f>
        <v>753066.68950306159</v>
      </c>
      <c r="E125" s="522">
        <f>IF(+J96&lt;F124,J96,D125)</f>
        <v>47556.988048780491</v>
      </c>
      <c r="F125" s="523">
        <f t="shared" si="39"/>
        <v>705509.70145428111</v>
      </c>
      <c r="G125" s="523">
        <f t="shared" si="40"/>
        <v>729288.19547867135</v>
      </c>
      <c r="H125" s="526">
        <f t="shared" si="41"/>
        <v>130341.57336062724</v>
      </c>
      <c r="I125" s="577">
        <f t="shared" si="42"/>
        <v>130341.57336062724</v>
      </c>
      <c r="J125" s="514">
        <f t="shared" si="26"/>
        <v>0</v>
      </c>
      <c r="K125" s="514"/>
      <c r="L125" s="525"/>
      <c r="M125" s="514">
        <f t="shared" si="27"/>
        <v>0</v>
      </c>
      <c r="N125" s="525"/>
      <c r="O125" s="514">
        <f t="shared" si="28"/>
        <v>0</v>
      </c>
      <c r="P125" s="514">
        <f t="shared" si="29"/>
        <v>0</v>
      </c>
      <c r="Q125" s="269"/>
    </row>
    <row r="126" spans="2:17" ht="12.5">
      <c r="B126" s="195" t="str">
        <f t="shared" si="32"/>
        <v/>
      </c>
      <c r="C126" s="507">
        <f>IF(D93="","-",+C125+1)</f>
        <v>2035</v>
      </c>
      <c r="D126" s="374">
        <f>IF(F125+SUM(E$99:E125)=D$92,F125,D$92-SUM(E$99:E125))</f>
        <v>705509.70145428111</v>
      </c>
      <c r="E126" s="522">
        <f>IF(+J96&lt;F125,J96,D126)</f>
        <v>47556.988048780491</v>
      </c>
      <c r="F126" s="523">
        <f t="shared" si="39"/>
        <v>657952.71340550063</v>
      </c>
      <c r="G126" s="523">
        <f t="shared" si="40"/>
        <v>681731.20742989087</v>
      </c>
      <c r="H126" s="526">
        <f t="shared" si="41"/>
        <v>124943.17865369702</v>
      </c>
      <c r="I126" s="577">
        <f t="shared" si="42"/>
        <v>124943.17865369702</v>
      </c>
      <c r="J126" s="514">
        <f t="shared" si="26"/>
        <v>0</v>
      </c>
      <c r="K126" s="514"/>
      <c r="L126" s="525"/>
      <c r="M126" s="514">
        <f t="shared" si="27"/>
        <v>0</v>
      </c>
      <c r="N126" s="525"/>
      <c r="O126" s="514">
        <f t="shared" si="28"/>
        <v>0</v>
      </c>
      <c r="P126" s="514">
        <f t="shared" si="29"/>
        <v>0</v>
      </c>
      <c r="Q126" s="269"/>
    </row>
    <row r="127" spans="2:17" ht="12.5">
      <c r="B127" s="195" t="str">
        <f t="shared" si="32"/>
        <v/>
      </c>
      <c r="C127" s="507">
        <f>IF(D93="","-",+C126+1)</f>
        <v>2036</v>
      </c>
      <c r="D127" s="374">
        <f>IF(F126+SUM(E$99:E126)=D$92,F126,D$92-SUM(E$99:E126))</f>
        <v>657952.71340550063</v>
      </c>
      <c r="E127" s="522">
        <f>IF(+J96&lt;F126,J96,D127)</f>
        <v>47556.988048780491</v>
      </c>
      <c r="F127" s="523">
        <f t="shared" si="39"/>
        <v>610395.72535672016</v>
      </c>
      <c r="G127" s="523">
        <f t="shared" si="40"/>
        <v>634174.21938111039</v>
      </c>
      <c r="H127" s="526">
        <f t="shared" si="41"/>
        <v>119544.78394676681</v>
      </c>
      <c r="I127" s="577">
        <f t="shared" si="42"/>
        <v>119544.78394676681</v>
      </c>
      <c r="J127" s="514">
        <f t="shared" si="26"/>
        <v>0</v>
      </c>
      <c r="K127" s="514"/>
      <c r="L127" s="525"/>
      <c r="M127" s="514">
        <f t="shared" si="27"/>
        <v>0</v>
      </c>
      <c r="N127" s="525"/>
      <c r="O127" s="514">
        <f t="shared" si="28"/>
        <v>0</v>
      </c>
      <c r="P127" s="514">
        <f t="shared" si="29"/>
        <v>0</v>
      </c>
      <c r="Q127" s="269"/>
    </row>
    <row r="128" spans="2:17" ht="12.5">
      <c r="B128" s="195" t="str">
        <f t="shared" si="32"/>
        <v/>
      </c>
      <c r="C128" s="507">
        <f>IF(D93="","-",+C127+1)</f>
        <v>2037</v>
      </c>
      <c r="D128" s="374">
        <f>IF(F127+SUM(E$99:E127)=D$92,F127,D$92-SUM(E$99:E127))</f>
        <v>610395.72535672016</v>
      </c>
      <c r="E128" s="522">
        <f>IF(+J96&lt;F127,J96,D128)</f>
        <v>47556.988048780491</v>
      </c>
      <c r="F128" s="523">
        <f t="shared" si="39"/>
        <v>562838.73730793968</v>
      </c>
      <c r="G128" s="523">
        <f t="shared" si="40"/>
        <v>586617.23133232992</v>
      </c>
      <c r="H128" s="526">
        <f t="shared" si="41"/>
        <v>114146.3892398366</v>
      </c>
      <c r="I128" s="577">
        <f t="shared" si="42"/>
        <v>114146.3892398366</v>
      </c>
      <c r="J128" s="514">
        <f t="shared" si="26"/>
        <v>0</v>
      </c>
      <c r="K128" s="514"/>
      <c r="L128" s="525"/>
      <c r="M128" s="514">
        <f t="shared" si="27"/>
        <v>0</v>
      </c>
      <c r="N128" s="525"/>
      <c r="O128" s="514">
        <f t="shared" si="28"/>
        <v>0</v>
      </c>
      <c r="P128" s="514">
        <f t="shared" si="29"/>
        <v>0</v>
      </c>
      <c r="Q128" s="269"/>
    </row>
    <row r="129" spans="2:17" ht="12.5">
      <c r="B129" s="195" t="str">
        <f t="shared" si="32"/>
        <v/>
      </c>
      <c r="C129" s="507">
        <f>IF(D93="","-",+C128+1)</f>
        <v>2038</v>
      </c>
      <c r="D129" s="374">
        <f>IF(F128+SUM(E$99:E128)=D$92,F128,D$92-SUM(E$99:E128))</f>
        <v>562838.73730793968</v>
      </c>
      <c r="E129" s="522">
        <f>IF(+J96&lt;F128,J96,D129)</f>
        <v>47556.988048780491</v>
      </c>
      <c r="F129" s="523">
        <f t="shared" si="39"/>
        <v>515281.7492591592</v>
      </c>
      <c r="G129" s="523">
        <f t="shared" si="40"/>
        <v>539060.24328354944</v>
      </c>
      <c r="H129" s="526">
        <f t="shared" si="41"/>
        <v>108747.99453290639</v>
      </c>
      <c r="I129" s="577">
        <f t="shared" si="42"/>
        <v>108747.99453290639</v>
      </c>
      <c r="J129" s="514">
        <f t="shared" si="26"/>
        <v>0</v>
      </c>
      <c r="K129" s="514"/>
      <c r="L129" s="525"/>
      <c r="M129" s="514">
        <f t="shared" si="27"/>
        <v>0</v>
      </c>
      <c r="N129" s="525"/>
      <c r="O129" s="514">
        <f t="shared" si="28"/>
        <v>0</v>
      </c>
      <c r="P129" s="514">
        <f t="shared" si="29"/>
        <v>0</v>
      </c>
      <c r="Q129" s="269"/>
    </row>
    <row r="130" spans="2:17" ht="12.5">
      <c r="B130" s="195" t="str">
        <f t="shared" si="32"/>
        <v/>
      </c>
      <c r="C130" s="507">
        <f>IF(D93="","-",+C129+1)</f>
        <v>2039</v>
      </c>
      <c r="D130" s="374">
        <f>IF(F129+SUM(E$99:E129)=D$92,F129,D$92-SUM(E$99:E129))</f>
        <v>515281.7492591592</v>
      </c>
      <c r="E130" s="522">
        <f>IF(+J96&lt;F129,J96,D130)</f>
        <v>47556.988048780491</v>
      </c>
      <c r="F130" s="523">
        <f t="shared" si="39"/>
        <v>467724.76121037873</v>
      </c>
      <c r="G130" s="523">
        <f t="shared" si="40"/>
        <v>491503.25523476896</v>
      </c>
      <c r="H130" s="526">
        <f t="shared" si="41"/>
        <v>103349.59982597618</v>
      </c>
      <c r="I130" s="577">
        <f t="shared" si="42"/>
        <v>103349.59982597618</v>
      </c>
      <c r="J130" s="514">
        <f t="shared" si="26"/>
        <v>0</v>
      </c>
      <c r="K130" s="514"/>
      <c r="L130" s="525"/>
      <c r="M130" s="514">
        <f t="shared" si="27"/>
        <v>0</v>
      </c>
      <c r="N130" s="525"/>
      <c r="O130" s="514">
        <f t="shared" si="28"/>
        <v>0</v>
      </c>
      <c r="P130" s="514">
        <f t="shared" si="29"/>
        <v>0</v>
      </c>
      <c r="Q130" s="269"/>
    </row>
    <row r="131" spans="2:17" ht="12.5">
      <c r="B131" s="195" t="str">
        <f t="shared" si="32"/>
        <v/>
      </c>
      <c r="C131" s="507">
        <f>IF(D93="","-",+C130+1)</f>
        <v>2040</v>
      </c>
      <c r="D131" s="374">
        <f>IF(F130+SUM(E$99:E130)=D$92,F130,D$92-SUM(E$99:E130))</f>
        <v>467724.76121037873</v>
      </c>
      <c r="E131" s="522">
        <f>IF(+J96&lt;F130,J96,D131)</f>
        <v>47556.988048780491</v>
      </c>
      <c r="F131" s="523">
        <f t="shared" ref="F131:F154" si="43">+D131-E131</f>
        <v>420167.77316159825</v>
      </c>
      <c r="G131" s="523">
        <f t="shared" ref="G131:G154" si="44">+(F131+D131)/2</f>
        <v>443946.26718598849</v>
      </c>
      <c r="H131" s="526">
        <f t="shared" si="41"/>
        <v>97951.205119045975</v>
      </c>
      <c r="I131" s="577">
        <f t="shared" si="42"/>
        <v>97951.205119045975</v>
      </c>
      <c r="J131" s="514">
        <f t="shared" ref="J131:J154" si="45">+I131-H131</f>
        <v>0</v>
      </c>
      <c r="K131" s="514"/>
      <c r="L131" s="525"/>
      <c r="M131" s="514">
        <f t="shared" ref="M131:M154" si="46">IF(L131&lt;&gt;0,+H131-L131,0)</f>
        <v>0</v>
      </c>
      <c r="N131" s="525"/>
      <c r="O131" s="514">
        <f t="shared" ref="O131:O154" si="47">IF(N131&lt;&gt;0,+I131-N131,0)</f>
        <v>0</v>
      </c>
      <c r="P131" s="514">
        <f t="shared" ref="P131:P154" si="48">+O131-M131</f>
        <v>0</v>
      </c>
      <c r="Q131" s="269"/>
    </row>
    <row r="132" spans="2:17" ht="12.5">
      <c r="B132" s="195" t="str">
        <f t="shared" si="32"/>
        <v/>
      </c>
      <c r="C132" s="507">
        <f>IF(D93="","-",+C131+1)</f>
        <v>2041</v>
      </c>
      <c r="D132" s="374">
        <f>IF(F131+SUM(E$99:E131)=D$92,F131,D$92-SUM(E$99:E131))</f>
        <v>420167.77316159825</v>
      </c>
      <c r="E132" s="522">
        <f>IF(+J96&lt;F131,J96,D132)</f>
        <v>47556.988048780491</v>
      </c>
      <c r="F132" s="523">
        <f t="shared" si="43"/>
        <v>372610.78511281777</v>
      </c>
      <c r="G132" s="523">
        <f t="shared" si="44"/>
        <v>396389.27913720801</v>
      </c>
      <c r="H132" s="526">
        <f t="shared" si="41"/>
        <v>92552.810412115767</v>
      </c>
      <c r="I132" s="577">
        <f t="shared" si="42"/>
        <v>92552.810412115767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  <c r="Q132" s="269"/>
    </row>
    <row r="133" spans="2:17" ht="12.5">
      <c r="B133" s="195" t="str">
        <f t="shared" si="32"/>
        <v/>
      </c>
      <c r="C133" s="507">
        <f>IF(D93="","-",+C132+1)</f>
        <v>2042</v>
      </c>
      <c r="D133" s="374">
        <f>IF(F132+SUM(E$99:E132)=D$92,F132,D$92-SUM(E$99:E132))</f>
        <v>372610.78511281777</v>
      </c>
      <c r="E133" s="522">
        <f>IF(+J96&lt;F132,J96,D133)</f>
        <v>47556.988048780491</v>
      </c>
      <c r="F133" s="523">
        <f t="shared" si="43"/>
        <v>325053.7970640373</v>
      </c>
      <c r="G133" s="523">
        <f t="shared" si="44"/>
        <v>348832.29108842753</v>
      </c>
      <c r="H133" s="526">
        <f t="shared" si="41"/>
        <v>87154.415705185558</v>
      </c>
      <c r="I133" s="577">
        <f t="shared" si="42"/>
        <v>87154.415705185558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  <c r="Q133" s="269"/>
    </row>
    <row r="134" spans="2:17" ht="12.5">
      <c r="B134" s="195" t="str">
        <f t="shared" si="32"/>
        <v/>
      </c>
      <c r="C134" s="507">
        <f>IF(D93="","-",+C133+1)</f>
        <v>2043</v>
      </c>
      <c r="D134" s="374">
        <f>IF(F133+SUM(E$99:E133)=D$92,F133,D$92-SUM(E$99:E133))</f>
        <v>325053.7970640373</v>
      </c>
      <c r="E134" s="522">
        <f>IF(+J96&lt;F133,J96,D134)</f>
        <v>47556.988048780491</v>
      </c>
      <c r="F134" s="523">
        <f t="shared" si="43"/>
        <v>277496.80901525682</v>
      </c>
      <c r="G134" s="523">
        <f t="shared" si="44"/>
        <v>301275.30303964706</v>
      </c>
      <c r="H134" s="526">
        <f t="shared" si="41"/>
        <v>81756.02099825535</v>
      </c>
      <c r="I134" s="577">
        <f t="shared" si="42"/>
        <v>81756.02099825535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  <c r="Q134" s="269"/>
    </row>
    <row r="135" spans="2:17" ht="12.5">
      <c r="B135" s="195" t="str">
        <f t="shared" si="32"/>
        <v/>
      </c>
      <c r="C135" s="507">
        <f>IF(D93="","-",+C134+1)</f>
        <v>2044</v>
      </c>
      <c r="D135" s="374">
        <f>IF(F134+SUM(E$99:E134)=D$92,F134,D$92-SUM(E$99:E134))</f>
        <v>277496.80901525682</v>
      </c>
      <c r="E135" s="522">
        <f>IF(+J96&lt;F134,J96,D135)</f>
        <v>47556.988048780491</v>
      </c>
      <c r="F135" s="523">
        <f t="shared" si="43"/>
        <v>229939.82096647634</v>
      </c>
      <c r="G135" s="523">
        <f t="shared" si="44"/>
        <v>253718.31499086658</v>
      </c>
      <c r="H135" s="526">
        <f t="shared" si="41"/>
        <v>76357.626291325141</v>
      </c>
      <c r="I135" s="577">
        <f t="shared" si="42"/>
        <v>76357.626291325141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  <c r="Q135" s="269"/>
    </row>
    <row r="136" spans="2:17" ht="12.5">
      <c r="B136" s="195" t="str">
        <f t="shared" si="32"/>
        <v/>
      </c>
      <c r="C136" s="507">
        <f>IF(D93="","-",+C135+1)</f>
        <v>2045</v>
      </c>
      <c r="D136" s="374">
        <f>IF(F135+SUM(E$99:E135)=D$92,F135,D$92-SUM(E$99:E135))</f>
        <v>229939.82096647634</v>
      </c>
      <c r="E136" s="522">
        <f>IF(+J96&lt;F135,J96,D136)</f>
        <v>47556.988048780491</v>
      </c>
      <c r="F136" s="523">
        <f t="shared" si="43"/>
        <v>182382.83291769587</v>
      </c>
      <c r="G136" s="523">
        <f t="shared" si="44"/>
        <v>206161.3269420861</v>
      </c>
      <c r="H136" s="526">
        <f t="shared" si="41"/>
        <v>70959.231584394933</v>
      </c>
      <c r="I136" s="577">
        <f t="shared" si="42"/>
        <v>70959.231584394933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  <c r="Q136" s="269"/>
    </row>
    <row r="137" spans="2:17" ht="12.5">
      <c r="B137" s="195" t="str">
        <f t="shared" si="32"/>
        <v/>
      </c>
      <c r="C137" s="507">
        <f>IF(D93="","-",+C136+1)</f>
        <v>2046</v>
      </c>
      <c r="D137" s="374">
        <f>IF(F136+SUM(E$99:E136)=D$92,F136,D$92-SUM(E$99:E136))</f>
        <v>182382.83291769587</v>
      </c>
      <c r="E137" s="522">
        <f>IF(+J96&lt;F136,J96,D137)</f>
        <v>47556.988048780491</v>
      </c>
      <c r="F137" s="523">
        <f t="shared" si="43"/>
        <v>134825.84486891539</v>
      </c>
      <c r="G137" s="523">
        <f t="shared" si="44"/>
        <v>158604.33889330563</v>
      </c>
      <c r="H137" s="526">
        <f t="shared" si="41"/>
        <v>65560.836877464724</v>
      </c>
      <c r="I137" s="577">
        <f t="shared" si="42"/>
        <v>65560.836877464724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  <c r="Q137" s="269"/>
    </row>
    <row r="138" spans="2:17" ht="12.5">
      <c r="B138" s="195" t="str">
        <f t="shared" si="32"/>
        <v/>
      </c>
      <c r="C138" s="507">
        <f>IF(D93="","-",+C137+1)</f>
        <v>2047</v>
      </c>
      <c r="D138" s="374">
        <f>IF(F137+SUM(E$99:E137)=D$92,F137,D$92-SUM(E$99:E137))</f>
        <v>134825.84486891539</v>
      </c>
      <c r="E138" s="522">
        <f>IF(+J96&lt;F137,J96,D138)</f>
        <v>47556.988048780491</v>
      </c>
      <c r="F138" s="523">
        <f t="shared" si="43"/>
        <v>87268.856820134897</v>
      </c>
      <c r="G138" s="523">
        <f t="shared" si="44"/>
        <v>111047.35084452515</v>
      </c>
      <c r="H138" s="526">
        <f t="shared" si="41"/>
        <v>60162.442170534508</v>
      </c>
      <c r="I138" s="577">
        <f t="shared" si="42"/>
        <v>60162.442170534508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  <c r="Q138" s="269"/>
    </row>
    <row r="139" spans="2:17" ht="12.5">
      <c r="B139" s="195" t="str">
        <f t="shared" si="32"/>
        <v/>
      </c>
      <c r="C139" s="507">
        <f>IF(D93="","-",+C138+1)</f>
        <v>2048</v>
      </c>
      <c r="D139" s="374">
        <f>IF(F138+SUM(E$99:E138)=D$92,F138,D$92-SUM(E$99:E138))</f>
        <v>87268.856820134897</v>
      </c>
      <c r="E139" s="522">
        <f>IF(+J96&lt;F138,J96,D139)</f>
        <v>47556.988048780491</v>
      </c>
      <c r="F139" s="523">
        <f t="shared" si="43"/>
        <v>39711.868771354406</v>
      </c>
      <c r="G139" s="523">
        <f t="shared" si="44"/>
        <v>63490.362795744652</v>
      </c>
      <c r="H139" s="526">
        <f t="shared" si="41"/>
        <v>54764.0474636043</v>
      </c>
      <c r="I139" s="577">
        <f t="shared" si="42"/>
        <v>54764.0474636043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  <c r="Q139" s="269"/>
    </row>
    <row r="140" spans="2:17" ht="12.5">
      <c r="B140" s="195" t="str">
        <f t="shared" si="32"/>
        <v/>
      </c>
      <c r="C140" s="507">
        <f>IF(D93="","-",+C139+1)</f>
        <v>2049</v>
      </c>
      <c r="D140" s="374">
        <f>IF(F139+SUM(E$99:E139)=D$92,F139,D$92-SUM(E$99:E139))</f>
        <v>39711.868771354406</v>
      </c>
      <c r="E140" s="522">
        <f>IF(+J96&lt;F139,J96,D140)</f>
        <v>39711.868771354406</v>
      </c>
      <c r="F140" s="523">
        <f t="shared" si="43"/>
        <v>0</v>
      </c>
      <c r="G140" s="523">
        <f t="shared" si="44"/>
        <v>19855.934385677203</v>
      </c>
      <c r="H140" s="526">
        <f t="shared" si="41"/>
        <v>41965.799802033755</v>
      </c>
      <c r="I140" s="577">
        <f t="shared" si="42"/>
        <v>41965.799802033755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  <c r="Q140" s="269"/>
    </row>
    <row r="141" spans="2:17" ht="12.5">
      <c r="B141" s="195" t="str">
        <f t="shared" si="32"/>
        <v/>
      </c>
      <c r="C141" s="507">
        <f>IF(D93="","-",+C140+1)</f>
        <v>2050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3"/>
        <v>0</v>
      </c>
      <c r="G141" s="523">
        <f t="shared" si="44"/>
        <v>0</v>
      </c>
      <c r="H141" s="526">
        <f t="shared" si="41"/>
        <v>0</v>
      </c>
      <c r="I141" s="577">
        <f t="shared" si="42"/>
        <v>0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  <c r="Q141" s="269"/>
    </row>
    <row r="142" spans="2:17" ht="12.5">
      <c r="B142" s="195" t="str">
        <f t="shared" si="32"/>
        <v/>
      </c>
      <c r="C142" s="507">
        <f>IF(D93="","-",+C141+1)</f>
        <v>2051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3"/>
        <v>0</v>
      </c>
      <c r="G142" s="523">
        <f t="shared" si="44"/>
        <v>0</v>
      </c>
      <c r="H142" s="526">
        <f t="shared" si="41"/>
        <v>0</v>
      </c>
      <c r="I142" s="577">
        <f t="shared" si="42"/>
        <v>0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  <c r="Q142" s="269"/>
    </row>
    <row r="143" spans="2:17" ht="12.5">
      <c r="B143" s="195" t="str">
        <f t="shared" si="32"/>
        <v/>
      </c>
      <c r="C143" s="507">
        <f>IF(D93="","-",+C142+1)</f>
        <v>2052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3"/>
        <v>0</v>
      </c>
      <c r="G143" s="523">
        <f t="shared" si="44"/>
        <v>0</v>
      </c>
      <c r="H143" s="526">
        <f t="shared" si="41"/>
        <v>0</v>
      </c>
      <c r="I143" s="577">
        <f t="shared" si="42"/>
        <v>0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  <c r="Q143" s="269"/>
    </row>
    <row r="144" spans="2:17" ht="12.5">
      <c r="B144" s="195" t="str">
        <f t="shared" si="32"/>
        <v/>
      </c>
      <c r="C144" s="507">
        <f>IF(D93="","-",+C143+1)</f>
        <v>2053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3"/>
        <v>0</v>
      </c>
      <c r="G144" s="523">
        <f t="shared" si="44"/>
        <v>0</v>
      </c>
      <c r="H144" s="526">
        <f t="shared" si="41"/>
        <v>0</v>
      </c>
      <c r="I144" s="577">
        <f t="shared" si="42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  <c r="Q144" s="269"/>
    </row>
    <row r="145" spans="2:17" ht="12.5">
      <c r="B145" s="195" t="str">
        <f t="shared" si="32"/>
        <v/>
      </c>
      <c r="C145" s="507">
        <f>IF(D93="","-",+C144+1)</f>
        <v>2054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3"/>
        <v>0</v>
      </c>
      <c r="G145" s="523">
        <f t="shared" si="44"/>
        <v>0</v>
      </c>
      <c r="H145" s="526">
        <f t="shared" si="41"/>
        <v>0</v>
      </c>
      <c r="I145" s="577">
        <f t="shared" si="42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  <c r="Q145" s="269"/>
    </row>
    <row r="146" spans="2:17" ht="12.5">
      <c r="B146" s="195" t="str">
        <f t="shared" si="32"/>
        <v/>
      </c>
      <c r="C146" s="507">
        <f>IF(D93="","-",+C145+1)</f>
        <v>2055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3"/>
        <v>0</v>
      </c>
      <c r="G146" s="523">
        <f t="shared" si="44"/>
        <v>0</v>
      </c>
      <c r="H146" s="526">
        <f t="shared" si="41"/>
        <v>0</v>
      </c>
      <c r="I146" s="577">
        <f t="shared" si="42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  <c r="Q146" s="269"/>
    </row>
    <row r="147" spans="2:17" ht="12.5">
      <c r="B147" s="195" t="str">
        <f t="shared" si="32"/>
        <v/>
      </c>
      <c r="C147" s="507">
        <f>IF(D93="","-",+C146+1)</f>
        <v>2056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3"/>
        <v>0</v>
      </c>
      <c r="G147" s="523">
        <f t="shared" si="44"/>
        <v>0</v>
      </c>
      <c r="H147" s="526">
        <f t="shared" si="41"/>
        <v>0</v>
      </c>
      <c r="I147" s="577">
        <f t="shared" si="42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  <c r="Q147" s="269"/>
    </row>
    <row r="148" spans="2:17" ht="12.5">
      <c r="B148" s="195" t="str">
        <f t="shared" si="32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3"/>
        <v>0</v>
      </c>
      <c r="G148" s="523">
        <f t="shared" si="44"/>
        <v>0</v>
      </c>
      <c r="H148" s="526">
        <f t="shared" si="41"/>
        <v>0</v>
      </c>
      <c r="I148" s="577">
        <f t="shared" si="42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  <c r="Q148" s="269"/>
    </row>
    <row r="149" spans="2:17" ht="12.5">
      <c r="B149" s="195" t="str">
        <f t="shared" si="32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3"/>
        <v>0</v>
      </c>
      <c r="G149" s="523">
        <f t="shared" si="44"/>
        <v>0</v>
      </c>
      <c r="H149" s="526">
        <f t="shared" si="41"/>
        <v>0</v>
      </c>
      <c r="I149" s="577">
        <f t="shared" si="42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  <c r="Q149" s="269"/>
    </row>
    <row r="150" spans="2:17" ht="12.5">
      <c r="B150" s="195" t="str">
        <f t="shared" si="32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3"/>
        <v>0</v>
      </c>
      <c r="G150" s="523">
        <f t="shared" si="44"/>
        <v>0</v>
      </c>
      <c r="H150" s="526">
        <f t="shared" si="41"/>
        <v>0</v>
      </c>
      <c r="I150" s="577">
        <f t="shared" si="42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  <c r="Q150" s="269"/>
    </row>
    <row r="151" spans="2:17" ht="12.5">
      <c r="B151" s="195" t="str">
        <f t="shared" si="32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3"/>
        <v>0</v>
      </c>
      <c r="G151" s="523">
        <f t="shared" si="44"/>
        <v>0</v>
      </c>
      <c r="H151" s="526">
        <f t="shared" si="41"/>
        <v>0</v>
      </c>
      <c r="I151" s="577">
        <f t="shared" si="42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  <c r="Q151" s="269"/>
    </row>
    <row r="152" spans="2:17" ht="12.5">
      <c r="B152" s="195" t="str">
        <f t="shared" si="32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3"/>
        <v>0</v>
      </c>
      <c r="G152" s="523">
        <f t="shared" si="44"/>
        <v>0</v>
      </c>
      <c r="H152" s="526">
        <f t="shared" si="41"/>
        <v>0</v>
      </c>
      <c r="I152" s="577">
        <f t="shared" si="42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  <c r="Q152" s="269"/>
    </row>
    <row r="153" spans="2:17" ht="12.5">
      <c r="B153" s="195" t="str">
        <f t="shared" si="32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3"/>
        <v>0</v>
      </c>
      <c r="G153" s="523">
        <f t="shared" si="44"/>
        <v>0</v>
      </c>
      <c r="H153" s="526">
        <f t="shared" si="41"/>
        <v>0</v>
      </c>
      <c r="I153" s="577">
        <f t="shared" si="42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  <c r="Q153" s="269"/>
    </row>
    <row r="154" spans="2:17" ht="13" thickBot="1">
      <c r="B154" s="195" t="str">
        <f t="shared" si="32"/>
        <v/>
      </c>
      <c r="C154" s="527">
        <f>IF(D93="","-",+C153+1)</f>
        <v>2063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3"/>
        <v>0</v>
      </c>
      <c r="G154" s="528">
        <f t="shared" si="44"/>
        <v>0</v>
      </c>
      <c r="H154" s="530">
        <f t="shared" si="41"/>
        <v>0</v>
      </c>
      <c r="I154" s="579">
        <f t="shared" si="42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  <c r="Q154" s="269"/>
    </row>
    <row r="155" spans="2:17" ht="12.5">
      <c r="C155" s="374" t="s">
        <v>78</v>
      </c>
      <c r="D155" s="375"/>
      <c r="E155" s="375">
        <f>SUM(E99:E154)</f>
        <v>1949836.5100000002</v>
      </c>
      <c r="F155" s="375"/>
      <c r="G155" s="375"/>
      <c r="H155" s="375">
        <f>SUM(H99:H154)</f>
        <v>6932284.5779633457</v>
      </c>
      <c r="I155" s="375">
        <f>SUM(I99:I154)</f>
        <v>6932284.5779633457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7" priority="1" stopIfTrue="1" operator="equal">
      <formula>$I$10</formula>
    </cfRule>
  </conditionalFormatting>
  <conditionalFormatting sqref="C99:C154">
    <cfRule type="cellIs" dxfId="12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7">
    <tabColor indexed="8"/>
  </sheetPr>
  <dimension ref="A1:Q162"/>
  <sheetViews>
    <sheetView view="pageBreakPreview" zoomScale="72" zoomScaleNormal="100" zoomScaleSheetLayoutView="7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18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0</v>
      </c>
      <c r="P5" s="269"/>
    </row>
    <row r="6" spans="1:17" ht="15.5">
      <c r="C6" s="274"/>
      <c r="D6" s="618" t="s">
        <v>270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0</v>
      </c>
      <c r="O6" s="269"/>
      <c r="P6" s="269"/>
    </row>
    <row r="7" spans="1:17" ht="13.5" thickBot="1">
      <c r="C7" s="467" t="s">
        <v>48</v>
      </c>
      <c r="D7" s="468" t="s">
        <v>265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145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0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0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374">
        <f>D10</f>
        <v>0</v>
      </c>
      <c r="E17" s="601">
        <f>I14/12*(12-D12)</f>
        <v>0</v>
      </c>
      <c r="F17" s="374">
        <f t="shared" ref="F17:F48" si="0">+D17-E17</f>
        <v>0</v>
      </c>
      <c r="G17" s="601">
        <f t="shared" ref="G17:G48" si="1">+I$12*((D17+F17)/2)+E17</f>
        <v>0</v>
      </c>
      <c r="H17" s="491">
        <f t="shared" ref="H17:H48" si="2">+I$13*((D17+F17)/2)+E17</f>
        <v>0</v>
      </c>
      <c r="I17" s="511">
        <f t="shared" ref="I17:I48" si="3">H17-G17</f>
        <v>0</v>
      </c>
      <c r="J17" s="511"/>
      <c r="K17" s="512">
        <v>0</v>
      </c>
      <c r="L17" s="597">
        <f t="shared" ref="L17:L48" si="4">IF(K17&lt;&gt;0,+G17-K17,0)</f>
        <v>0</v>
      </c>
      <c r="M17" s="512">
        <v>0</v>
      </c>
      <c r="N17" s="513">
        <f t="shared" ref="N17:N48" si="5">IF(M17&lt;&gt;0,+H17-M17,0)</f>
        <v>0</v>
      </c>
      <c r="O17" s="514">
        <f t="shared" ref="O17:O48" si="6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2010</v>
      </c>
      <c r="D18" s="523">
        <f t="shared" ref="D18:D24" si="7">F17</f>
        <v>0</v>
      </c>
      <c r="E18" s="522">
        <f>IF(+I14&lt;F17,I14,D18)</f>
        <v>0</v>
      </c>
      <c r="F18" s="523">
        <f t="shared" si="0"/>
        <v>0</v>
      </c>
      <c r="G18" s="524">
        <f t="shared" si="1"/>
        <v>0</v>
      </c>
      <c r="H18" s="491">
        <f t="shared" si="2"/>
        <v>0</v>
      </c>
      <c r="I18" s="511">
        <f t="shared" si="3"/>
        <v>0</v>
      </c>
      <c r="J18" s="511"/>
      <c r="K18" s="525"/>
      <c r="L18" s="514">
        <f t="shared" si="4"/>
        <v>0</v>
      </c>
      <c r="M18" s="525"/>
      <c r="N18" s="514">
        <f t="shared" si="5"/>
        <v>0</v>
      </c>
      <c r="O18" s="514">
        <f t="shared" si="6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2011</v>
      </c>
      <c r="D19" s="523">
        <f t="shared" si="7"/>
        <v>0</v>
      </c>
      <c r="E19" s="522">
        <f>IF(+I14&lt;F18,I14,D19)</f>
        <v>0</v>
      </c>
      <c r="F19" s="523">
        <f t="shared" si="0"/>
        <v>0</v>
      </c>
      <c r="G19" s="524">
        <f t="shared" si="1"/>
        <v>0</v>
      </c>
      <c r="H19" s="491">
        <f t="shared" si="2"/>
        <v>0</v>
      </c>
      <c r="I19" s="511">
        <f t="shared" si="3"/>
        <v>0</v>
      </c>
      <c r="J19" s="511"/>
      <c r="K19" s="525"/>
      <c r="L19" s="514">
        <f t="shared" si="4"/>
        <v>0</v>
      </c>
      <c r="M19" s="525"/>
      <c r="N19" s="514">
        <f t="shared" si="5"/>
        <v>0</v>
      </c>
      <c r="O19" s="514">
        <f t="shared" si="6"/>
        <v>0</v>
      </c>
      <c r="P19" s="272"/>
    </row>
    <row r="20" spans="2:16" ht="12.5">
      <c r="B20" s="195" t="str">
        <f t="shared" ref="B20:B72" si="8">IF(D20=F19,"","IU")</f>
        <v/>
      </c>
      <c r="C20" s="507">
        <f>IF(D11="","-",+C19+1)</f>
        <v>2012</v>
      </c>
      <c r="D20" s="523">
        <f t="shared" si="7"/>
        <v>0</v>
      </c>
      <c r="E20" s="522">
        <f>IF(+I14&lt;F19,I14,D20)</f>
        <v>0</v>
      </c>
      <c r="F20" s="523">
        <f t="shared" si="0"/>
        <v>0</v>
      </c>
      <c r="G20" s="524">
        <f t="shared" si="1"/>
        <v>0</v>
      </c>
      <c r="H20" s="491">
        <f t="shared" si="2"/>
        <v>0</v>
      </c>
      <c r="I20" s="511">
        <f t="shared" si="3"/>
        <v>0</v>
      </c>
      <c r="J20" s="511"/>
      <c r="K20" s="525"/>
      <c r="L20" s="514">
        <f t="shared" si="4"/>
        <v>0</v>
      </c>
      <c r="M20" s="525"/>
      <c r="N20" s="514">
        <f t="shared" si="5"/>
        <v>0</v>
      </c>
      <c r="O20" s="514">
        <f t="shared" si="6"/>
        <v>0</v>
      </c>
      <c r="P20" s="272"/>
    </row>
    <row r="21" spans="2:16" ht="12.5">
      <c r="B21" s="195" t="str">
        <f t="shared" si="8"/>
        <v/>
      </c>
      <c r="C21" s="507">
        <f>IF(D12="","-",+C20+1)</f>
        <v>2013</v>
      </c>
      <c r="D21" s="523">
        <f t="shared" si="7"/>
        <v>0</v>
      </c>
      <c r="E21" s="522">
        <f>IF(+I14&lt;F20,I14,D21)</f>
        <v>0</v>
      </c>
      <c r="F21" s="523">
        <f t="shared" si="0"/>
        <v>0</v>
      </c>
      <c r="G21" s="524">
        <f t="shared" si="1"/>
        <v>0</v>
      </c>
      <c r="H21" s="491">
        <f t="shared" si="2"/>
        <v>0</v>
      </c>
      <c r="I21" s="511">
        <f t="shared" si="3"/>
        <v>0</v>
      </c>
      <c r="J21" s="511"/>
      <c r="K21" s="525"/>
      <c r="L21" s="514">
        <f t="shared" si="4"/>
        <v>0</v>
      </c>
      <c r="M21" s="525"/>
      <c r="N21" s="514">
        <f t="shared" si="5"/>
        <v>0</v>
      </c>
      <c r="O21" s="514">
        <f t="shared" si="6"/>
        <v>0</v>
      </c>
      <c r="P21" s="272"/>
    </row>
    <row r="22" spans="2:16" ht="12.5">
      <c r="B22" s="195" t="str">
        <f t="shared" si="8"/>
        <v/>
      </c>
      <c r="C22" s="507">
        <f>IF(D11="","-",+C21+1)</f>
        <v>2014</v>
      </c>
      <c r="D22" s="523">
        <f t="shared" si="7"/>
        <v>0</v>
      </c>
      <c r="E22" s="522">
        <f>IF(+I14&lt;F21,I14,D22)</f>
        <v>0</v>
      </c>
      <c r="F22" s="523">
        <f t="shared" si="0"/>
        <v>0</v>
      </c>
      <c r="G22" s="524">
        <f t="shared" si="1"/>
        <v>0</v>
      </c>
      <c r="H22" s="491">
        <f t="shared" si="2"/>
        <v>0</v>
      </c>
      <c r="I22" s="511">
        <f t="shared" si="3"/>
        <v>0</v>
      </c>
      <c r="J22" s="511"/>
      <c r="K22" s="525"/>
      <c r="L22" s="514">
        <f t="shared" si="4"/>
        <v>0</v>
      </c>
      <c r="M22" s="525"/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8"/>
        <v/>
      </c>
      <c r="C23" s="507">
        <f>IF(D11="","-",+C22+1)</f>
        <v>2015</v>
      </c>
      <c r="D23" s="523">
        <f t="shared" si="7"/>
        <v>0</v>
      </c>
      <c r="E23" s="522">
        <f>IF(+I14&lt;F22,I14,D23)</f>
        <v>0</v>
      </c>
      <c r="F23" s="523">
        <f t="shared" si="0"/>
        <v>0</v>
      </c>
      <c r="G23" s="524">
        <f t="shared" si="1"/>
        <v>0</v>
      </c>
      <c r="H23" s="491">
        <f t="shared" si="2"/>
        <v>0</v>
      </c>
      <c r="I23" s="511">
        <f t="shared" si="3"/>
        <v>0</v>
      </c>
      <c r="J23" s="511"/>
      <c r="K23" s="525"/>
      <c r="L23" s="514">
        <f t="shared" si="4"/>
        <v>0</v>
      </c>
      <c r="M23" s="525"/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8"/>
        <v/>
      </c>
      <c r="C24" s="507">
        <f>IF(D11="","-",+C23+1)</f>
        <v>2016</v>
      </c>
      <c r="D24" s="523">
        <f t="shared" si="7"/>
        <v>0</v>
      </c>
      <c r="E24" s="522">
        <f>IF(+I14&lt;F23,I14,D24)</f>
        <v>0</v>
      </c>
      <c r="F24" s="523">
        <f t="shared" si="0"/>
        <v>0</v>
      </c>
      <c r="G24" s="524">
        <f t="shared" si="1"/>
        <v>0</v>
      </c>
      <c r="H24" s="491">
        <f t="shared" si="2"/>
        <v>0</v>
      </c>
      <c r="I24" s="511">
        <f t="shared" si="3"/>
        <v>0</v>
      </c>
      <c r="J24" s="511"/>
      <c r="K24" s="525"/>
      <c r="L24" s="514">
        <f t="shared" si="4"/>
        <v>0</v>
      </c>
      <c r="M24" s="525"/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8"/>
        <v/>
      </c>
      <c r="C25" s="507">
        <f>IF(D11="","-",+C24+1)</f>
        <v>2017</v>
      </c>
      <c r="D25" s="523">
        <f>IF(F24+SUM(E$17:E24)=D$10,F24,D$10-SUM(E$17:E24))</f>
        <v>0</v>
      </c>
      <c r="E25" s="522">
        <f>IF(+I14&lt;F24,I14,D25)</f>
        <v>0</v>
      </c>
      <c r="F25" s="523">
        <f t="shared" si="0"/>
        <v>0</v>
      </c>
      <c r="G25" s="524">
        <f t="shared" si="1"/>
        <v>0</v>
      </c>
      <c r="H25" s="491">
        <f t="shared" si="2"/>
        <v>0</v>
      </c>
      <c r="I25" s="511">
        <f t="shared" si="3"/>
        <v>0</v>
      </c>
      <c r="J25" s="511"/>
      <c r="K25" s="525"/>
      <c r="L25" s="514">
        <f t="shared" si="4"/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8"/>
        <v/>
      </c>
      <c r="C26" s="507">
        <f>IF(D11="","-",+C25+1)</f>
        <v>2018</v>
      </c>
      <c r="D26" s="523">
        <f>IF(F25+SUM(E$17:E25)=D$10,F25,D$10-SUM(E$17:E25))</f>
        <v>0</v>
      </c>
      <c r="E26" s="522">
        <f>IF(+I14&lt;F25,I14,D26)</f>
        <v>0</v>
      </c>
      <c r="F26" s="523">
        <f t="shared" si="0"/>
        <v>0</v>
      </c>
      <c r="G26" s="524">
        <f t="shared" si="1"/>
        <v>0</v>
      </c>
      <c r="H26" s="491">
        <f t="shared" si="2"/>
        <v>0</v>
      </c>
      <c r="I26" s="511">
        <f t="shared" si="3"/>
        <v>0</v>
      </c>
      <c r="J26" s="511"/>
      <c r="K26" s="525"/>
      <c r="L26" s="514">
        <f t="shared" si="4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8"/>
        <v/>
      </c>
      <c r="C27" s="507">
        <f>IF(D11="","-",+C26+1)</f>
        <v>2019</v>
      </c>
      <c r="D27" s="521">
        <f>IF(F26+SUM(E$17:E26)=D$10,F26,D$10-SUM(E$17:E26))</f>
        <v>0</v>
      </c>
      <c r="E27" s="522">
        <f>IF(+I14&lt;F26,I14,D27)</f>
        <v>0</v>
      </c>
      <c r="F27" s="523">
        <f t="shared" si="0"/>
        <v>0</v>
      </c>
      <c r="G27" s="524">
        <f t="shared" si="1"/>
        <v>0</v>
      </c>
      <c r="H27" s="491">
        <f t="shared" si="2"/>
        <v>0</v>
      </c>
      <c r="I27" s="511">
        <f t="shared" si="3"/>
        <v>0</v>
      </c>
      <c r="J27" s="511"/>
      <c r="K27" s="525"/>
      <c r="L27" s="514">
        <f t="shared" si="4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8"/>
        <v/>
      </c>
      <c r="C28" s="507">
        <f>IF(D11="","-",+C27+1)</f>
        <v>2020</v>
      </c>
      <c r="D28" s="523">
        <f>IF(F27+SUM(E$17:E27)=D$10,F27,D$10-SUM(E$17:E27))</f>
        <v>0</v>
      </c>
      <c r="E28" s="522">
        <f>IF(+I14&lt;F27,I14,D28)</f>
        <v>0</v>
      </c>
      <c r="F28" s="523">
        <f t="shared" si="0"/>
        <v>0</v>
      </c>
      <c r="G28" s="524">
        <f t="shared" si="1"/>
        <v>0</v>
      </c>
      <c r="H28" s="491">
        <f t="shared" si="2"/>
        <v>0</v>
      </c>
      <c r="I28" s="511">
        <f t="shared" si="3"/>
        <v>0</v>
      </c>
      <c r="J28" s="511"/>
      <c r="K28" s="525"/>
      <c r="L28" s="514">
        <f t="shared" si="4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8"/>
        <v/>
      </c>
      <c r="C29" s="507">
        <f>IF(D11="","-",+C28+1)</f>
        <v>2021</v>
      </c>
      <c r="D29" s="523">
        <f>IF(F28+SUM(E$17:E28)=D$10,F28,D$10-SUM(E$17:E28))</f>
        <v>0</v>
      </c>
      <c r="E29" s="522">
        <f>IF(+I14&lt;F28,I14,D29)</f>
        <v>0</v>
      </c>
      <c r="F29" s="523">
        <f t="shared" si="0"/>
        <v>0</v>
      </c>
      <c r="G29" s="524">
        <f t="shared" si="1"/>
        <v>0</v>
      </c>
      <c r="H29" s="491">
        <f t="shared" si="2"/>
        <v>0</v>
      </c>
      <c r="I29" s="511">
        <f t="shared" si="3"/>
        <v>0</v>
      </c>
      <c r="J29" s="511"/>
      <c r="K29" s="525"/>
      <c r="L29" s="514">
        <f t="shared" si="4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8"/>
        <v/>
      </c>
      <c r="C30" s="507">
        <f>IF(D11="","-",+C29+1)</f>
        <v>2022</v>
      </c>
      <c r="D30" s="523">
        <f>IF(F29+SUM(E$17:E29)=D$10,F29,D$10-SUM(E$17:E29))</f>
        <v>0</v>
      </c>
      <c r="E30" s="522">
        <f>IF(+I14&lt;F29,I14,D30)</f>
        <v>0</v>
      </c>
      <c r="F30" s="523">
        <f t="shared" si="0"/>
        <v>0</v>
      </c>
      <c r="G30" s="524">
        <f t="shared" si="1"/>
        <v>0</v>
      </c>
      <c r="H30" s="491">
        <f t="shared" si="2"/>
        <v>0</v>
      </c>
      <c r="I30" s="511">
        <f t="shared" si="3"/>
        <v>0</v>
      </c>
      <c r="J30" s="511"/>
      <c r="K30" s="525"/>
      <c r="L30" s="514">
        <f t="shared" si="4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8"/>
        <v/>
      </c>
      <c r="C31" s="507">
        <f>IF(D11="","-",+C30+1)</f>
        <v>2023</v>
      </c>
      <c r="D31" s="523">
        <f>IF(F30+SUM(E$17:E30)=D$10,F30,D$10-SUM(E$17:E30))</f>
        <v>0</v>
      </c>
      <c r="E31" s="522">
        <f>IF(+I14&lt;F30,I14,D31)</f>
        <v>0</v>
      </c>
      <c r="F31" s="523">
        <f t="shared" si="0"/>
        <v>0</v>
      </c>
      <c r="G31" s="524">
        <f t="shared" si="1"/>
        <v>0</v>
      </c>
      <c r="H31" s="491">
        <f t="shared" si="2"/>
        <v>0</v>
      </c>
      <c r="I31" s="511">
        <f t="shared" si="3"/>
        <v>0</v>
      </c>
      <c r="J31" s="511"/>
      <c r="K31" s="525"/>
      <c r="L31" s="514">
        <f t="shared" si="4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8"/>
        <v/>
      </c>
      <c r="C32" s="507">
        <f>IF(D11="","-",+C31+1)</f>
        <v>2024</v>
      </c>
      <c r="D32" s="523">
        <f>IF(F31+SUM(E$17:E31)=D$10,F31,D$10-SUM(E$17:E31))</f>
        <v>0</v>
      </c>
      <c r="E32" s="522">
        <f>IF(+I14&lt;F31,I14,D32)</f>
        <v>0</v>
      </c>
      <c r="F32" s="523">
        <f t="shared" si="0"/>
        <v>0</v>
      </c>
      <c r="G32" s="524">
        <f t="shared" si="1"/>
        <v>0</v>
      </c>
      <c r="H32" s="491">
        <f t="shared" si="2"/>
        <v>0</v>
      </c>
      <c r="I32" s="511">
        <f t="shared" si="3"/>
        <v>0</v>
      </c>
      <c r="J32" s="511"/>
      <c r="K32" s="525"/>
      <c r="L32" s="514">
        <f t="shared" si="4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8"/>
        <v/>
      </c>
      <c r="C33" s="507">
        <f>IF(D11="","-",+C32+1)</f>
        <v>2025</v>
      </c>
      <c r="D33" s="523">
        <f>IF(F32+SUM(E$17:E32)=D$10,F32,D$10-SUM(E$17:E32))</f>
        <v>0</v>
      </c>
      <c r="E33" s="522">
        <f>IF(+I14&lt;F32,I14,D33)</f>
        <v>0</v>
      </c>
      <c r="F33" s="523">
        <f t="shared" si="0"/>
        <v>0</v>
      </c>
      <c r="G33" s="524">
        <f t="shared" si="1"/>
        <v>0</v>
      </c>
      <c r="H33" s="491">
        <f t="shared" si="2"/>
        <v>0</v>
      </c>
      <c r="I33" s="511">
        <f t="shared" si="3"/>
        <v>0</v>
      </c>
      <c r="J33" s="511"/>
      <c r="K33" s="525"/>
      <c r="L33" s="514">
        <f t="shared" si="4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8"/>
        <v/>
      </c>
      <c r="C34" s="507">
        <f>IF(D11="","-",+C33+1)</f>
        <v>2026</v>
      </c>
      <c r="D34" s="523">
        <f>IF(F33+SUM(E$17:E33)=D$10,F33,D$10-SUM(E$17:E33))</f>
        <v>0</v>
      </c>
      <c r="E34" s="522">
        <f>IF(+I14&lt;F33,I14,D34)</f>
        <v>0</v>
      </c>
      <c r="F34" s="523">
        <f t="shared" si="0"/>
        <v>0</v>
      </c>
      <c r="G34" s="524">
        <f t="shared" si="1"/>
        <v>0</v>
      </c>
      <c r="H34" s="491">
        <f t="shared" si="2"/>
        <v>0</v>
      </c>
      <c r="I34" s="511">
        <f t="shared" si="3"/>
        <v>0</v>
      </c>
      <c r="J34" s="511"/>
      <c r="K34" s="525"/>
      <c r="L34" s="514">
        <f t="shared" si="4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8"/>
        <v/>
      </c>
      <c r="C35" s="507">
        <f>IF(D11="","-",+C34+1)</f>
        <v>2027</v>
      </c>
      <c r="D35" s="523">
        <f>IF(F34+SUM(E$17:E34)=D$10,F34,D$10-SUM(E$17:E34))</f>
        <v>0</v>
      </c>
      <c r="E35" s="522">
        <f>IF(+I14&lt;F34,I14,D35)</f>
        <v>0</v>
      </c>
      <c r="F35" s="523">
        <f t="shared" si="0"/>
        <v>0</v>
      </c>
      <c r="G35" s="524">
        <f t="shared" si="1"/>
        <v>0</v>
      </c>
      <c r="H35" s="491">
        <f t="shared" si="2"/>
        <v>0</v>
      </c>
      <c r="I35" s="511">
        <f t="shared" si="3"/>
        <v>0</v>
      </c>
      <c r="J35" s="511"/>
      <c r="K35" s="525"/>
      <c r="L35" s="514">
        <f t="shared" si="4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8"/>
        <v/>
      </c>
      <c r="C36" s="507">
        <f>IF(D11="","-",+C35+1)</f>
        <v>2028</v>
      </c>
      <c r="D36" s="523">
        <f>IF(F35+SUM(E$17:E35)=D$10,F35,D$10-SUM(E$17:E35))</f>
        <v>0</v>
      </c>
      <c r="E36" s="522">
        <f>IF(+I14&lt;F35,I14,D36)</f>
        <v>0</v>
      </c>
      <c r="F36" s="523">
        <f t="shared" si="0"/>
        <v>0</v>
      </c>
      <c r="G36" s="524">
        <f t="shared" si="1"/>
        <v>0</v>
      </c>
      <c r="H36" s="491">
        <f t="shared" si="2"/>
        <v>0</v>
      </c>
      <c r="I36" s="511">
        <f t="shared" si="3"/>
        <v>0</v>
      </c>
      <c r="J36" s="511"/>
      <c r="K36" s="525"/>
      <c r="L36" s="514">
        <f t="shared" si="4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8"/>
        <v/>
      </c>
      <c r="C37" s="507">
        <f>IF(D11="","-",+C36+1)</f>
        <v>2029</v>
      </c>
      <c r="D37" s="523">
        <f>IF(F36+SUM(E$17:E36)=D$10,F36,D$10-SUM(E$17:E36))</f>
        <v>0</v>
      </c>
      <c r="E37" s="522">
        <f>IF(+I14&lt;F36,I14,D37)</f>
        <v>0</v>
      </c>
      <c r="F37" s="523">
        <f t="shared" si="0"/>
        <v>0</v>
      </c>
      <c r="G37" s="524">
        <f t="shared" si="1"/>
        <v>0</v>
      </c>
      <c r="H37" s="491">
        <f t="shared" si="2"/>
        <v>0</v>
      </c>
      <c r="I37" s="511">
        <f t="shared" si="3"/>
        <v>0</v>
      </c>
      <c r="J37" s="511"/>
      <c r="K37" s="525"/>
      <c r="L37" s="514">
        <f t="shared" si="4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8"/>
        <v/>
      </c>
      <c r="C38" s="507">
        <f>IF(D11="","-",+C37+1)</f>
        <v>2030</v>
      </c>
      <c r="D38" s="523">
        <f>IF(F37+SUM(E$17:E37)=D$10,F37,D$10-SUM(E$17:E37))</f>
        <v>0</v>
      </c>
      <c r="E38" s="522">
        <f>IF(+I14&lt;F37,I14,D38)</f>
        <v>0</v>
      </c>
      <c r="F38" s="523">
        <f t="shared" si="0"/>
        <v>0</v>
      </c>
      <c r="G38" s="524">
        <f t="shared" si="1"/>
        <v>0</v>
      </c>
      <c r="H38" s="491">
        <f t="shared" si="2"/>
        <v>0</v>
      </c>
      <c r="I38" s="511">
        <f t="shared" si="3"/>
        <v>0</v>
      </c>
      <c r="J38" s="511"/>
      <c r="K38" s="525"/>
      <c r="L38" s="514">
        <f t="shared" si="4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8"/>
        <v/>
      </c>
      <c r="C39" s="507">
        <f>IF(D11="","-",+C38+1)</f>
        <v>2031</v>
      </c>
      <c r="D39" s="523">
        <f>IF(F38+SUM(E$17:E38)=D$10,F38,D$10-SUM(E$17:E38))</f>
        <v>0</v>
      </c>
      <c r="E39" s="522">
        <f>IF(+I14&lt;F38,I14,D39)</f>
        <v>0</v>
      </c>
      <c r="F39" s="523">
        <f t="shared" si="0"/>
        <v>0</v>
      </c>
      <c r="G39" s="524">
        <f t="shared" si="1"/>
        <v>0</v>
      </c>
      <c r="H39" s="491">
        <f t="shared" si="2"/>
        <v>0</v>
      </c>
      <c r="I39" s="511">
        <f t="shared" si="3"/>
        <v>0</v>
      </c>
      <c r="J39" s="511"/>
      <c r="K39" s="525"/>
      <c r="L39" s="514">
        <f t="shared" si="4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8"/>
        <v/>
      </c>
      <c r="C40" s="507">
        <f>IF(D11="","-",+C39+1)</f>
        <v>2032</v>
      </c>
      <c r="D40" s="523">
        <f>IF(F39+SUM(E$17:E39)=D$10,F39,D$10-SUM(E$17:E39))</f>
        <v>0</v>
      </c>
      <c r="E40" s="522">
        <f>IF(+I14&lt;F39,I14,D40)</f>
        <v>0</v>
      </c>
      <c r="F40" s="523">
        <f t="shared" si="0"/>
        <v>0</v>
      </c>
      <c r="G40" s="524">
        <f t="shared" si="1"/>
        <v>0</v>
      </c>
      <c r="H40" s="491">
        <f t="shared" si="2"/>
        <v>0</v>
      </c>
      <c r="I40" s="511">
        <f t="shared" si="3"/>
        <v>0</v>
      </c>
      <c r="J40" s="511"/>
      <c r="K40" s="525"/>
      <c r="L40" s="514">
        <f t="shared" si="4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8"/>
        <v/>
      </c>
      <c r="C41" s="507">
        <f>IF(D11="","-",+C40+1)</f>
        <v>2033</v>
      </c>
      <c r="D41" s="523">
        <f>IF(F40+SUM(E$17:E40)=D$10,F40,D$10-SUM(E$17:E40))</f>
        <v>0</v>
      </c>
      <c r="E41" s="522">
        <f>IF(+I14&lt;F40,I14,D41)</f>
        <v>0</v>
      </c>
      <c r="F41" s="523">
        <f t="shared" si="0"/>
        <v>0</v>
      </c>
      <c r="G41" s="524">
        <f t="shared" si="1"/>
        <v>0</v>
      </c>
      <c r="H41" s="491">
        <f t="shared" si="2"/>
        <v>0</v>
      </c>
      <c r="I41" s="511">
        <f t="shared" si="3"/>
        <v>0</v>
      </c>
      <c r="J41" s="511"/>
      <c r="K41" s="525"/>
      <c r="L41" s="514">
        <f t="shared" si="4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8"/>
        <v/>
      </c>
      <c r="C42" s="507">
        <f>IF(D11="","-",+C41+1)</f>
        <v>2034</v>
      </c>
      <c r="D42" s="523">
        <f>IF(F41+SUM(E$17:E41)=D$10,F41,D$10-SUM(E$17:E41))</f>
        <v>0</v>
      </c>
      <c r="E42" s="522">
        <f>IF(+I14&lt;F41,I14,D42)</f>
        <v>0</v>
      </c>
      <c r="F42" s="523">
        <f t="shared" si="0"/>
        <v>0</v>
      </c>
      <c r="G42" s="524">
        <f t="shared" si="1"/>
        <v>0</v>
      </c>
      <c r="H42" s="491">
        <f t="shared" si="2"/>
        <v>0</v>
      </c>
      <c r="I42" s="511">
        <f t="shared" si="3"/>
        <v>0</v>
      </c>
      <c r="J42" s="511"/>
      <c r="K42" s="525"/>
      <c r="L42" s="514">
        <f t="shared" si="4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8"/>
        <v/>
      </c>
      <c r="C43" s="507">
        <f>IF(D11="","-",+C42+1)</f>
        <v>2035</v>
      </c>
      <c r="D43" s="523">
        <f>IF(F42+SUM(E$17:E42)=D$10,F42,D$10-SUM(E$17:E42))</f>
        <v>0</v>
      </c>
      <c r="E43" s="522">
        <f>IF(+I14&lt;F42,I14,D43)</f>
        <v>0</v>
      </c>
      <c r="F43" s="523">
        <f t="shared" si="0"/>
        <v>0</v>
      </c>
      <c r="G43" s="524">
        <f t="shared" si="1"/>
        <v>0</v>
      </c>
      <c r="H43" s="491">
        <f t="shared" si="2"/>
        <v>0</v>
      </c>
      <c r="I43" s="511">
        <f t="shared" si="3"/>
        <v>0</v>
      </c>
      <c r="J43" s="511"/>
      <c r="K43" s="525"/>
      <c r="L43" s="514">
        <f t="shared" si="4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8"/>
        <v/>
      </c>
      <c r="C44" s="507">
        <f>IF(D11="","-",+C43+1)</f>
        <v>2036</v>
      </c>
      <c r="D44" s="523">
        <f>IF(F43+SUM(E$17:E43)=D$10,F43,D$10-SUM(E$17:E43))</f>
        <v>0</v>
      </c>
      <c r="E44" s="522">
        <f>IF(+I14&lt;F43,I14,D44)</f>
        <v>0</v>
      </c>
      <c r="F44" s="523">
        <f t="shared" si="0"/>
        <v>0</v>
      </c>
      <c r="G44" s="524">
        <f t="shared" si="1"/>
        <v>0</v>
      </c>
      <c r="H44" s="491">
        <f t="shared" si="2"/>
        <v>0</v>
      </c>
      <c r="I44" s="511">
        <f t="shared" si="3"/>
        <v>0</v>
      </c>
      <c r="J44" s="511"/>
      <c r="K44" s="525"/>
      <c r="L44" s="514">
        <f t="shared" si="4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8"/>
        <v/>
      </c>
      <c r="C45" s="507">
        <f>IF(D11="","-",+C44+1)</f>
        <v>2037</v>
      </c>
      <c r="D45" s="523">
        <f>IF(F44+SUM(E$17:E44)=D$10,F44,D$10-SUM(E$17:E44))</f>
        <v>0</v>
      </c>
      <c r="E45" s="522">
        <f>IF(+I14&lt;F44,I14,D45)</f>
        <v>0</v>
      </c>
      <c r="F45" s="523">
        <f t="shared" si="0"/>
        <v>0</v>
      </c>
      <c r="G45" s="524">
        <f t="shared" si="1"/>
        <v>0</v>
      </c>
      <c r="H45" s="491">
        <f t="shared" si="2"/>
        <v>0</v>
      </c>
      <c r="I45" s="511">
        <f t="shared" si="3"/>
        <v>0</v>
      </c>
      <c r="J45" s="511"/>
      <c r="K45" s="525"/>
      <c r="L45" s="514">
        <f t="shared" si="4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8"/>
        <v/>
      </c>
      <c r="C46" s="507">
        <f>IF(D11="","-",+C45+1)</f>
        <v>2038</v>
      </c>
      <c r="D46" s="523">
        <f>IF(F45+SUM(E$17:E45)=D$10,F45,D$10-SUM(E$17:E45))</f>
        <v>0</v>
      </c>
      <c r="E46" s="522">
        <f>IF(+I14&lt;F45,I14,D46)</f>
        <v>0</v>
      </c>
      <c r="F46" s="523">
        <f t="shared" si="0"/>
        <v>0</v>
      </c>
      <c r="G46" s="524">
        <f t="shared" si="1"/>
        <v>0</v>
      </c>
      <c r="H46" s="491">
        <f t="shared" si="2"/>
        <v>0</v>
      </c>
      <c r="I46" s="511">
        <f t="shared" si="3"/>
        <v>0</v>
      </c>
      <c r="J46" s="511"/>
      <c r="K46" s="525"/>
      <c r="L46" s="514">
        <f t="shared" si="4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8"/>
        <v/>
      </c>
      <c r="C47" s="507">
        <f>IF(D11="","-",+C46+1)</f>
        <v>2039</v>
      </c>
      <c r="D47" s="523">
        <f>IF(F46+SUM(E$17:E46)=D$10,F46,D$10-SUM(E$17:E46))</f>
        <v>0</v>
      </c>
      <c r="E47" s="522">
        <f>IF(+I14&lt;F46,I14,D47)</f>
        <v>0</v>
      </c>
      <c r="F47" s="523">
        <f t="shared" si="0"/>
        <v>0</v>
      </c>
      <c r="G47" s="524">
        <f t="shared" si="1"/>
        <v>0</v>
      </c>
      <c r="H47" s="491">
        <f t="shared" si="2"/>
        <v>0</v>
      </c>
      <c r="I47" s="511">
        <f t="shared" si="3"/>
        <v>0</v>
      </c>
      <c r="J47" s="511"/>
      <c r="K47" s="525"/>
      <c r="L47" s="514">
        <f t="shared" si="4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8"/>
        <v/>
      </c>
      <c r="C48" s="507">
        <f>IF(D11="","-",+C47+1)</f>
        <v>2040</v>
      </c>
      <c r="D48" s="523">
        <f>IF(F47+SUM(E$17:E47)=D$10,F47,D$10-SUM(E$17:E47))</f>
        <v>0</v>
      </c>
      <c r="E48" s="522">
        <f>IF(+I14&lt;F47,I14,D48)</f>
        <v>0</v>
      </c>
      <c r="F48" s="523">
        <f t="shared" si="0"/>
        <v>0</v>
      </c>
      <c r="G48" s="524">
        <f t="shared" si="1"/>
        <v>0</v>
      </c>
      <c r="H48" s="491">
        <f t="shared" si="2"/>
        <v>0</v>
      </c>
      <c r="I48" s="511">
        <f t="shared" si="3"/>
        <v>0</v>
      </c>
      <c r="J48" s="511"/>
      <c r="K48" s="525"/>
      <c r="L48" s="514">
        <f t="shared" si="4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7" ht="12.5">
      <c r="B49" s="195" t="str">
        <f t="shared" si="8"/>
        <v/>
      </c>
      <c r="C49" s="507">
        <f>IF(D11="","-",+C48+1)</f>
        <v>2041</v>
      </c>
      <c r="D49" s="523">
        <f>IF(F48+SUM(E$17:E48)=D$10,F48,D$10-SUM(E$17:E48))</f>
        <v>0</v>
      </c>
      <c r="E49" s="522">
        <f>IF(+I14&lt;F48,I14,D49)</f>
        <v>0</v>
      </c>
      <c r="F49" s="523">
        <f t="shared" ref="F49:F72" si="9">+D49-E49</f>
        <v>0</v>
      </c>
      <c r="G49" s="524">
        <f t="shared" ref="G49:G72" si="10">+I$12*((D49+F49)/2)+E49</f>
        <v>0</v>
      </c>
      <c r="H49" s="491">
        <f t="shared" ref="H49:H72" si="11">+I$13*((D49+F49)/2)+E49</f>
        <v>0</v>
      </c>
      <c r="I49" s="511">
        <f t="shared" ref="I49:I72" si="12">H49-G49</f>
        <v>0</v>
      </c>
      <c r="J49" s="511"/>
      <c r="K49" s="525"/>
      <c r="L49" s="514">
        <f t="shared" ref="L49:L72" si="13">IF(K49&lt;&gt;0,+G49-K49,0)</f>
        <v>0</v>
      </c>
      <c r="M49" s="525"/>
      <c r="N49" s="514">
        <f t="shared" ref="N49:N72" si="14">IF(M49&lt;&gt;0,+H49-M49,0)</f>
        <v>0</v>
      </c>
      <c r="O49" s="514">
        <f t="shared" ref="O49:O72" si="15">+N49-L49</f>
        <v>0</v>
      </c>
      <c r="P49" s="272"/>
    </row>
    <row r="50" spans="2:17" ht="12.5">
      <c r="B50" s="195" t="str">
        <f t="shared" si="8"/>
        <v/>
      </c>
      <c r="C50" s="507">
        <f>IF(D11="","-",+C49+1)</f>
        <v>2042</v>
      </c>
      <c r="D50" s="523">
        <f>IF(F49+SUM(E$17:E49)=D$10,F49,D$10-SUM(E$17:E49))</f>
        <v>0</v>
      </c>
      <c r="E50" s="522">
        <f>IF(+I14&lt;F49,I14,D50)</f>
        <v>0</v>
      </c>
      <c r="F50" s="523">
        <f t="shared" si="9"/>
        <v>0</v>
      </c>
      <c r="G50" s="524">
        <f t="shared" si="10"/>
        <v>0</v>
      </c>
      <c r="H50" s="491">
        <f t="shared" si="11"/>
        <v>0</v>
      </c>
      <c r="I50" s="511">
        <f t="shared" si="12"/>
        <v>0</v>
      </c>
      <c r="J50" s="511"/>
      <c r="K50" s="525"/>
      <c r="L50" s="514">
        <f t="shared" si="13"/>
        <v>0</v>
      </c>
      <c r="M50" s="525"/>
      <c r="N50" s="514">
        <f t="shared" si="14"/>
        <v>0</v>
      </c>
      <c r="O50" s="514">
        <f t="shared" si="15"/>
        <v>0</v>
      </c>
      <c r="P50" s="272"/>
    </row>
    <row r="51" spans="2:17" ht="12.5">
      <c r="B51" s="195" t="str">
        <f t="shared" si="8"/>
        <v/>
      </c>
      <c r="C51" s="507">
        <f>IF(D11="","-",+C50+1)</f>
        <v>2043</v>
      </c>
      <c r="D51" s="523">
        <f>IF(F50+SUM(E$17:E50)=D$10,F50,D$10-SUM(E$17:E50))</f>
        <v>0</v>
      </c>
      <c r="E51" s="522">
        <f>IF(+I14&lt;F50,I14,D51)</f>
        <v>0</v>
      </c>
      <c r="F51" s="523">
        <f t="shared" si="9"/>
        <v>0</v>
      </c>
      <c r="G51" s="524">
        <f t="shared" si="10"/>
        <v>0</v>
      </c>
      <c r="H51" s="491">
        <f t="shared" si="11"/>
        <v>0</v>
      </c>
      <c r="I51" s="511">
        <f t="shared" si="12"/>
        <v>0</v>
      </c>
      <c r="J51" s="511"/>
      <c r="K51" s="525"/>
      <c r="L51" s="514">
        <f t="shared" si="13"/>
        <v>0</v>
      </c>
      <c r="M51" s="525"/>
      <c r="N51" s="514">
        <f t="shared" si="14"/>
        <v>0</v>
      </c>
      <c r="O51" s="514">
        <f t="shared" si="15"/>
        <v>0</v>
      </c>
      <c r="P51" s="272"/>
    </row>
    <row r="52" spans="2:17" ht="12.5">
      <c r="B52" s="195" t="str">
        <f t="shared" si="8"/>
        <v/>
      </c>
      <c r="C52" s="507">
        <f>IF(D11="","-",+C51+1)</f>
        <v>2044</v>
      </c>
      <c r="D52" s="523">
        <f>IF(F51+SUM(E$17:E51)=D$10,F51,D$10-SUM(E$17:E51))</f>
        <v>0</v>
      </c>
      <c r="E52" s="522">
        <f>IF(+I14&lt;F51,I14,D52)</f>
        <v>0</v>
      </c>
      <c r="F52" s="523">
        <f t="shared" si="9"/>
        <v>0</v>
      </c>
      <c r="G52" s="524">
        <f t="shared" si="10"/>
        <v>0</v>
      </c>
      <c r="H52" s="491">
        <f t="shared" si="11"/>
        <v>0</v>
      </c>
      <c r="I52" s="511">
        <f t="shared" si="12"/>
        <v>0</v>
      </c>
      <c r="J52" s="511"/>
      <c r="K52" s="525"/>
      <c r="L52" s="514">
        <f t="shared" si="13"/>
        <v>0</v>
      </c>
      <c r="M52" s="525"/>
      <c r="N52" s="514">
        <f t="shared" si="14"/>
        <v>0</v>
      </c>
      <c r="O52" s="514">
        <f t="shared" si="15"/>
        <v>0</v>
      </c>
      <c r="P52" s="272"/>
    </row>
    <row r="53" spans="2:17" ht="12.5">
      <c r="B53" s="195" t="str">
        <f t="shared" si="8"/>
        <v/>
      </c>
      <c r="C53" s="507">
        <f>IF(D11="","-",+C52+1)</f>
        <v>2045</v>
      </c>
      <c r="D53" s="523">
        <f>IF(F52+SUM(E$17:E52)=D$10,F52,D$10-SUM(E$17:E52))</f>
        <v>0</v>
      </c>
      <c r="E53" s="522">
        <f>IF(+I14&lt;F52,I14,D53)</f>
        <v>0</v>
      </c>
      <c r="F53" s="523">
        <f t="shared" si="9"/>
        <v>0</v>
      </c>
      <c r="G53" s="524">
        <f t="shared" si="10"/>
        <v>0</v>
      </c>
      <c r="H53" s="491">
        <f t="shared" si="11"/>
        <v>0</v>
      </c>
      <c r="I53" s="511">
        <f t="shared" si="12"/>
        <v>0</v>
      </c>
      <c r="J53" s="511"/>
      <c r="K53" s="525"/>
      <c r="L53" s="514">
        <f t="shared" si="13"/>
        <v>0</v>
      </c>
      <c r="M53" s="525"/>
      <c r="N53" s="514">
        <f t="shared" si="14"/>
        <v>0</v>
      </c>
      <c r="O53" s="514">
        <f t="shared" si="15"/>
        <v>0</v>
      </c>
      <c r="P53" s="272"/>
    </row>
    <row r="54" spans="2:17" ht="12.5">
      <c r="B54" s="195" t="str">
        <f t="shared" si="8"/>
        <v/>
      </c>
      <c r="C54" s="507">
        <f>IF(D11="","-",+C53+1)</f>
        <v>2046</v>
      </c>
      <c r="D54" s="523">
        <f>IF(F53+SUM(E$17:E53)=D$10,F53,D$10-SUM(E$17:E53))</f>
        <v>0</v>
      </c>
      <c r="E54" s="522">
        <f>IF(+I14&lt;F53,I14,D54)</f>
        <v>0</v>
      </c>
      <c r="F54" s="523">
        <f t="shared" si="9"/>
        <v>0</v>
      </c>
      <c r="G54" s="524">
        <f t="shared" si="10"/>
        <v>0</v>
      </c>
      <c r="H54" s="491">
        <f t="shared" si="11"/>
        <v>0</v>
      </c>
      <c r="I54" s="511">
        <f t="shared" si="12"/>
        <v>0</v>
      </c>
      <c r="J54" s="511"/>
      <c r="K54" s="525"/>
      <c r="L54" s="514">
        <f t="shared" si="13"/>
        <v>0</v>
      </c>
      <c r="M54" s="525"/>
      <c r="N54" s="514">
        <f t="shared" si="14"/>
        <v>0</v>
      </c>
      <c r="O54" s="514">
        <f t="shared" si="15"/>
        <v>0</v>
      </c>
      <c r="P54" s="272"/>
    </row>
    <row r="55" spans="2:17" ht="12.5">
      <c r="B55" s="195" t="str">
        <f t="shared" si="8"/>
        <v/>
      </c>
      <c r="C55" s="507">
        <f>IF(D11="","-",+C54+1)</f>
        <v>2047</v>
      </c>
      <c r="D55" s="523">
        <f>IF(F54+SUM(E$17:E54)=D$10,F54,D$10-SUM(E$17:E54))</f>
        <v>0</v>
      </c>
      <c r="E55" s="522">
        <f>IF(+I14&lt;F54,I14,D55)</f>
        <v>0</v>
      </c>
      <c r="F55" s="523">
        <f t="shared" si="9"/>
        <v>0</v>
      </c>
      <c r="G55" s="524">
        <f t="shared" si="10"/>
        <v>0</v>
      </c>
      <c r="H55" s="491">
        <f t="shared" si="11"/>
        <v>0</v>
      </c>
      <c r="I55" s="511">
        <f t="shared" si="12"/>
        <v>0</v>
      </c>
      <c r="J55" s="511"/>
      <c r="K55" s="525"/>
      <c r="L55" s="514">
        <f t="shared" si="13"/>
        <v>0</v>
      </c>
      <c r="M55" s="525"/>
      <c r="N55" s="514">
        <f t="shared" si="14"/>
        <v>0</v>
      </c>
      <c r="O55" s="514">
        <f t="shared" si="15"/>
        <v>0</v>
      </c>
      <c r="P55" s="272"/>
    </row>
    <row r="56" spans="2:17" ht="12.5">
      <c r="B56" s="195" t="str">
        <f t="shared" si="8"/>
        <v/>
      </c>
      <c r="C56" s="507">
        <f>IF(D11="","-",+C55+1)</f>
        <v>2048</v>
      </c>
      <c r="D56" s="523">
        <f>IF(F55+SUM(E$17:E55)=D$10,F55,D$10-SUM(E$17:E55))</f>
        <v>0</v>
      </c>
      <c r="E56" s="522">
        <f>IF(+I14&lt;F55,I14,D56)</f>
        <v>0</v>
      </c>
      <c r="F56" s="523">
        <f t="shared" si="9"/>
        <v>0</v>
      </c>
      <c r="G56" s="524">
        <f t="shared" si="10"/>
        <v>0</v>
      </c>
      <c r="H56" s="491">
        <f t="shared" si="11"/>
        <v>0</v>
      </c>
      <c r="I56" s="511">
        <f t="shared" si="12"/>
        <v>0</v>
      </c>
      <c r="J56" s="511"/>
      <c r="K56" s="525"/>
      <c r="L56" s="514">
        <f t="shared" si="13"/>
        <v>0</v>
      </c>
      <c r="M56" s="525"/>
      <c r="N56" s="514">
        <f t="shared" si="14"/>
        <v>0</v>
      </c>
      <c r="O56" s="514">
        <f t="shared" si="15"/>
        <v>0</v>
      </c>
      <c r="P56" s="272"/>
    </row>
    <row r="57" spans="2:17" ht="12.5">
      <c r="B57" s="195" t="str">
        <f t="shared" si="8"/>
        <v/>
      </c>
      <c r="C57" s="507">
        <f>IF(D11="","-",+C56+1)</f>
        <v>2049</v>
      </c>
      <c r="D57" s="523">
        <f>IF(F56+SUM(E$17:E56)=D$10,F56,D$10-SUM(E$17:E56))</f>
        <v>0</v>
      </c>
      <c r="E57" s="522">
        <f>IF(+I14&lt;F56,I14,D57)</f>
        <v>0</v>
      </c>
      <c r="F57" s="523">
        <f t="shared" si="9"/>
        <v>0</v>
      </c>
      <c r="G57" s="524">
        <f t="shared" si="10"/>
        <v>0</v>
      </c>
      <c r="H57" s="491">
        <f t="shared" si="11"/>
        <v>0</v>
      </c>
      <c r="I57" s="511">
        <f t="shared" si="12"/>
        <v>0</v>
      </c>
      <c r="J57" s="511"/>
      <c r="K57" s="525"/>
      <c r="L57" s="514">
        <f t="shared" si="13"/>
        <v>0</v>
      </c>
      <c r="M57" s="525"/>
      <c r="N57" s="514">
        <f t="shared" si="14"/>
        <v>0</v>
      </c>
      <c r="O57" s="514">
        <f t="shared" si="15"/>
        <v>0</v>
      </c>
      <c r="P57" s="272"/>
    </row>
    <row r="58" spans="2:17" ht="12.5">
      <c r="B58" s="195" t="str">
        <f t="shared" si="8"/>
        <v/>
      </c>
      <c r="C58" s="507">
        <f>IF(D11="","-",+C57+1)</f>
        <v>2050</v>
      </c>
      <c r="D58" s="523">
        <f>IF(F57+SUM(E$17:E57)=D$10,F57,D$10-SUM(E$17:E57))</f>
        <v>0</v>
      </c>
      <c r="E58" s="522">
        <f>IF(+I14&lt;F57,I14,D58)</f>
        <v>0</v>
      </c>
      <c r="F58" s="523">
        <f t="shared" si="9"/>
        <v>0</v>
      </c>
      <c r="G58" s="524">
        <f t="shared" si="10"/>
        <v>0</v>
      </c>
      <c r="H58" s="491">
        <f t="shared" si="11"/>
        <v>0</v>
      </c>
      <c r="I58" s="511">
        <f t="shared" si="12"/>
        <v>0</v>
      </c>
      <c r="J58" s="511"/>
      <c r="K58" s="525"/>
      <c r="L58" s="514">
        <f t="shared" si="13"/>
        <v>0</v>
      </c>
      <c r="M58" s="525"/>
      <c r="N58" s="514">
        <f t="shared" si="14"/>
        <v>0</v>
      </c>
      <c r="O58" s="514">
        <f t="shared" si="1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8"/>
        <v/>
      </c>
      <c r="C59" s="507">
        <f>IF(D11="","-",+C58+1)</f>
        <v>2051</v>
      </c>
      <c r="D59" s="523">
        <f>IF(F58+SUM(E$17:E58)=D$10,F58,D$10-SUM(E$17:E58))</f>
        <v>0</v>
      </c>
      <c r="E59" s="522">
        <f>IF(+I14&lt;F58,I14,D59)</f>
        <v>0</v>
      </c>
      <c r="F59" s="523">
        <f t="shared" si="9"/>
        <v>0</v>
      </c>
      <c r="G59" s="524">
        <f t="shared" si="10"/>
        <v>0</v>
      </c>
      <c r="H59" s="491">
        <f t="shared" si="11"/>
        <v>0</v>
      </c>
      <c r="I59" s="511">
        <f t="shared" si="12"/>
        <v>0</v>
      </c>
      <c r="J59" s="511"/>
      <c r="K59" s="525"/>
      <c r="L59" s="514">
        <f t="shared" si="13"/>
        <v>0</v>
      </c>
      <c r="M59" s="525"/>
      <c r="N59" s="514">
        <f t="shared" si="14"/>
        <v>0</v>
      </c>
      <c r="O59" s="514">
        <f t="shared" si="15"/>
        <v>0</v>
      </c>
      <c r="P59" s="272"/>
    </row>
    <row r="60" spans="2:17" ht="12.5">
      <c r="B60" s="195" t="str">
        <f t="shared" si="8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10"/>
        <v>0</v>
      </c>
      <c r="H60" s="491">
        <f t="shared" si="11"/>
        <v>0</v>
      </c>
      <c r="I60" s="511">
        <f t="shared" si="12"/>
        <v>0</v>
      </c>
      <c r="J60" s="511"/>
      <c r="K60" s="525"/>
      <c r="L60" s="514">
        <f t="shared" si="13"/>
        <v>0</v>
      </c>
      <c r="M60" s="525"/>
      <c r="N60" s="514">
        <f t="shared" si="14"/>
        <v>0</v>
      </c>
      <c r="O60" s="514">
        <f t="shared" si="15"/>
        <v>0</v>
      </c>
      <c r="P60" s="272"/>
    </row>
    <row r="61" spans="2:17" ht="12.5">
      <c r="B61" s="195" t="str">
        <f t="shared" si="8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10"/>
        <v>0</v>
      </c>
      <c r="H61" s="491">
        <f t="shared" si="11"/>
        <v>0</v>
      </c>
      <c r="I61" s="511">
        <f t="shared" si="12"/>
        <v>0</v>
      </c>
      <c r="J61" s="511"/>
      <c r="K61" s="525"/>
      <c r="L61" s="514">
        <f t="shared" si="13"/>
        <v>0</v>
      </c>
      <c r="M61" s="525"/>
      <c r="N61" s="514">
        <f t="shared" si="14"/>
        <v>0</v>
      </c>
      <c r="O61" s="514">
        <f t="shared" si="15"/>
        <v>0</v>
      </c>
      <c r="P61" s="272"/>
    </row>
    <row r="62" spans="2:17" ht="12.5">
      <c r="B62" s="195" t="str">
        <f t="shared" si="8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10"/>
        <v>0</v>
      </c>
      <c r="H62" s="491">
        <f t="shared" si="11"/>
        <v>0</v>
      </c>
      <c r="I62" s="511">
        <f t="shared" si="12"/>
        <v>0</v>
      </c>
      <c r="J62" s="511"/>
      <c r="K62" s="525"/>
      <c r="L62" s="514">
        <f t="shared" si="13"/>
        <v>0</v>
      </c>
      <c r="M62" s="525"/>
      <c r="N62" s="514">
        <f t="shared" si="14"/>
        <v>0</v>
      </c>
      <c r="O62" s="514">
        <f t="shared" si="15"/>
        <v>0</v>
      </c>
      <c r="P62" s="272"/>
    </row>
    <row r="63" spans="2:17" ht="12.5">
      <c r="B63" s="195" t="str">
        <f t="shared" si="8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10"/>
        <v>0</v>
      </c>
      <c r="H63" s="491">
        <f t="shared" si="11"/>
        <v>0</v>
      </c>
      <c r="I63" s="511">
        <f t="shared" si="12"/>
        <v>0</v>
      </c>
      <c r="J63" s="511"/>
      <c r="K63" s="525"/>
      <c r="L63" s="514">
        <f t="shared" si="13"/>
        <v>0</v>
      </c>
      <c r="M63" s="525"/>
      <c r="N63" s="514">
        <f t="shared" si="14"/>
        <v>0</v>
      </c>
      <c r="O63" s="514">
        <f t="shared" si="15"/>
        <v>0</v>
      </c>
      <c r="P63" s="272"/>
    </row>
    <row r="64" spans="2:17" ht="12.5">
      <c r="B64" s="195" t="str">
        <f t="shared" si="8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10"/>
        <v>0</v>
      </c>
      <c r="H64" s="491">
        <f t="shared" si="11"/>
        <v>0</v>
      </c>
      <c r="I64" s="511">
        <f t="shared" si="12"/>
        <v>0</v>
      </c>
      <c r="J64" s="511"/>
      <c r="K64" s="525"/>
      <c r="L64" s="514">
        <f t="shared" si="13"/>
        <v>0</v>
      </c>
      <c r="M64" s="525"/>
      <c r="N64" s="514">
        <f t="shared" si="14"/>
        <v>0</v>
      </c>
      <c r="O64" s="514">
        <f t="shared" si="15"/>
        <v>0</v>
      </c>
      <c r="P64" s="272"/>
    </row>
    <row r="65" spans="1:16" ht="12.5">
      <c r="B65" s="195" t="str">
        <f t="shared" si="8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10"/>
        <v>0</v>
      </c>
      <c r="H65" s="491">
        <f t="shared" si="11"/>
        <v>0</v>
      </c>
      <c r="I65" s="511">
        <f t="shared" si="12"/>
        <v>0</v>
      </c>
      <c r="J65" s="511"/>
      <c r="K65" s="525"/>
      <c r="L65" s="514">
        <f t="shared" si="13"/>
        <v>0</v>
      </c>
      <c r="M65" s="525"/>
      <c r="N65" s="514">
        <f t="shared" si="14"/>
        <v>0</v>
      </c>
      <c r="O65" s="514">
        <f t="shared" si="15"/>
        <v>0</v>
      </c>
      <c r="P65" s="272"/>
    </row>
    <row r="66" spans="1:16" ht="12.5">
      <c r="B66" s="195" t="str">
        <f t="shared" si="8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10"/>
        <v>0</v>
      </c>
      <c r="H66" s="491">
        <f t="shared" si="11"/>
        <v>0</v>
      </c>
      <c r="I66" s="511">
        <f t="shared" si="12"/>
        <v>0</v>
      </c>
      <c r="J66" s="511"/>
      <c r="K66" s="525"/>
      <c r="L66" s="514">
        <f t="shared" si="13"/>
        <v>0</v>
      </c>
      <c r="M66" s="525"/>
      <c r="N66" s="514">
        <f t="shared" si="14"/>
        <v>0</v>
      </c>
      <c r="O66" s="514">
        <f t="shared" si="15"/>
        <v>0</v>
      </c>
      <c r="P66" s="272"/>
    </row>
    <row r="67" spans="1:16" ht="12.5">
      <c r="B67" s="195" t="str">
        <f t="shared" si="8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10"/>
        <v>0</v>
      </c>
      <c r="H67" s="491">
        <f t="shared" si="11"/>
        <v>0</v>
      </c>
      <c r="I67" s="511">
        <f t="shared" si="12"/>
        <v>0</v>
      </c>
      <c r="J67" s="511"/>
      <c r="K67" s="525"/>
      <c r="L67" s="514">
        <f t="shared" si="13"/>
        <v>0</v>
      </c>
      <c r="M67" s="525"/>
      <c r="N67" s="514">
        <f t="shared" si="14"/>
        <v>0</v>
      </c>
      <c r="O67" s="514">
        <f t="shared" si="15"/>
        <v>0</v>
      </c>
      <c r="P67" s="272"/>
    </row>
    <row r="68" spans="1:16" ht="12.5">
      <c r="B68" s="195" t="str">
        <f t="shared" si="8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10"/>
        <v>0</v>
      </c>
      <c r="H68" s="491">
        <f t="shared" si="11"/>
        <v>0</v>
      </c>
      <c r="I68" s="511">
        <f t="shared" si="12"/>
        <v>0</v>
      </c>
      <c r="J68" s="511"/>
      <c r="K68" s="525"/>
      <c r="L68" s="514">
        <f t="shared" si="13"/>
        <v>0</v>
      </c>
      <c r="M68" s="525"/>
      <c r="N68" s="514">
        <f t="shared" si="14"/>
        <v>0</v>
      </c>
      <c r="O68" s="514">
        <f t="shared" si="15"/>
        <v>0</v>
      </c>
      <c r="P68" s="272"/>
    </row>
    <row r="69" spans="1:16" ht="12.5">
      <c r="B69" s="195" t="str">
        <f t="shared" si="8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10"/>
        <v>0</v>
      </c>
      <c r="H69" s="491">
        <f t="shared" si="11"/>
        <v>0</v>
      </c>
      <c r="I69" s="511">
        <f t="shared" si="12"/>
        <v>0</v>
      </c>
      <c r="J69" s="511"/>
      <c r="K69" s="525"/>
      <c r="L69" s="514">
        <f t="shared" si="13"/>
        <v>0</v>
      </c>
      <c r="M69" s="525"/>
      <c r="N69" s="514">
        <f t="shared" si="14"/>
        <v>0</v>
      </c>
      <c r="O69" s="514">
        <f t="shared" si="15"/>
        <v>0</v>
      </c>
      <c r="P69" s="272"/>
    </row>
    <row r="70" spans="1:16" ht="12.5">
      <c r="B70" s="195" t="str">
        <f t="shared" si="8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10"/>
        <v>0</v>
      </c>
      <c r="H70" s="491">
        <f t="shared" si="11"/>
        <v>0</v>
      </c>
      <c r="I70" s="511">
        <f t="shared" si="12"/>
        <v>0</v>
      </c>
      <c r="J70" s="511"/>
      <c r="K70" s="525"/>
      <c r="L70" s="514">
        <f t="shared" si="13"/>
        <v>0</v>
      </c>
      <c r="M70" s="525"/>
      <c r="N70" s="514">
        <f t="shared" si="14"/>
        <v>0</v>
      </c>
      <c r="O70" s="514">
        <f t="shared" si="15"/>
        <v>0</v>
      </c>
      <c r="P70" s="272"/>
    </row>
    <row r="71" spans="1:16" ht="12.5">
      <c r="B71" s="195" t="str">
        <f t="shared" si="8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10"/>
        <v>0</v>
      </c>
      <c r="H71" s="491">
        <f t="shared" si="11"/>
        <v>0</v>
      </c>
      <c r="I71" s="511">
        <f t="shared" si="12"/>
        <v>0</v>
      </c>
      <c r="J71" s="511"/>
      <c r="K71" s="525"/>
      <c r="L71" s="514">
        <f t="shared" si="13"/>
        <v>0</v>
      </c>
      <c r="M71" s="525"/>
      <c r="N71" s="514">
        <f t="shared" si="14"/>
        <v>0</v>
      </c>
      <c r="O71" s="514">
        <f t="shared" si="15"/>
        <v>0</v>
      </c>
      <c r="P71" s="272"/>
    </row>
    <row r="72" spans="1:16" ht="13" thickBot="1">
      <c r="B72" s="195" t="str">
        <f t="shared" si="8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10"/>
        <v>0</v>
      </c>
      <c r="H72" s="471">
        <f t="shared" si="11"/>
        <v>0</v>
      </c>
      <c r="I72" s="531">
        <f t="shared" si="12"/>
        <v>0</v>
      </c>
      <c r="J72" s="511"/>
      <c r="K72" s="532"/>
      <c r="L72" s="533">
        <f t="shared" si="13"/>
        <v>0</v>
      </c>
      <c r="M72" s="532"/>
      <c r="N72" s="533">
        <f t="shared" si="14"/>
        <v>0</v>
      </c>
      <c r="O72" s="533">
        <f t="shared" si="15"/>
        <v>0</v>
      </c>
      <c r="P72" s="272"/>
    </row>
    <row r="73" spans="1:16" ht="12.5">
      <c r="C73" s="374" t="s">
        <v>78</v>
      </c>
      <c r="D73" s="375"/>
      <c r="E73" s="375">
        <f>SUM(E17:E72)</f>
        <v>0</v>
      </c>
      <c r="F73" s="375"/>
      <c r="G73" s="375">
        <f>SUM(G17:G72)</f>
        <v>0</v>
      </c>
      <c r="H73" s="375">
        <f>SUM(H17:H72)</f>
        <v>0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18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0</v>
      </c>
      <c r="N87" s="546">
        <f>IF(J92&lt;D11,0,VLOOKUP(J92,C17:O72,11))</f>
        <v>0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0</v>
      </c>
      <c r="N88" s="550">
        <f>IF(J92&lt;D11,0,VLOOKUP(J92,C99:P154,7))</f>
        <v>0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Port Robson (SW 138 kV Loop -- 2008)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0</v>
      </c>
      <c r="N89" s="555">
        <f>+N88-N87</f>
        <v>0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TP2007165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564">
        <f>IF(D11=I10,0,D10)</f>
        <v>0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0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374">
        <f>IF(D93=C99,0,D92)</f>
        <v>0</v>
      </c>
      <c r="E99" s="524">
        <f>IF(D11=I10,0,J96/12*(12-D94))</f>
        <v>0</v>
      </c>
      <c r="F99" s="523">
        <f>IF(D93=C99,+D92-E99,+D99-E99)</f>
        <v>0</v>
      </c>
      <c r="G99" s="603">
        <f t="shared" ref="G99:G130" si="16">+(F99+D99)/2</f>
        <v>0</v>
      </c>
      <c r="H99" s="604">
        <f t="shared" ref="H99:H112" si="17">+J$94*G99+E99</f>
        <v>0</v>
      </c>
      <c r="I99" s="605">
        <f t="shared" ref="I99:I112" si="18">+J$95*G99+E99</f>
        <v>0</v>
      </c>
      <c r="J99" s="514">
        <f t="shared" ref="J99:J130" si="19">+I99-H99</f>
        <v>0</v>
      </c>
      <c r="K99" s="514"/>
      <c r="L99" s="619"/>
      <c r="M99" s="513">
        <f t="shared" ref="M99:M130" si="20">IF(L99&lt;&gt;0,+H99-L99,0)</f>
        <v>0</v>
      </c>
      <c r="N99" s="619"/>
      <c r="O99" s="513">
        <f t="shared" ref="O99:O130" si="21">IF(N99&lt;&gt;0,+I99-N99,0)</f>
        <v>0</v>
      </c>
      <c r="P99" s="513">
        <f t="shared" ref="P99:P130" si="22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2010</v>
      </c>
      <c r="D100" s="374">
        <f t="shared" ref="D100:D109" si="23">F99</f>
        <v>0</v>
      </c>
      <c r="E100" s="522">
        <f>IF(+J96&lt;F99,J96,D100)</f>
        <v>0</v>
      </c>
      <c r="F100" s="523">
        <f t="shared" ref="F100:F130" si="24">+D100-E100</f>
        <v>0</v>
      </c>
      <c r="G100" s="523">
        <f t="shared" si="16"/>
        <v>0</v>
      </c>
      <c r="H100" s="526">
        <f t="shared" si="17"/>
        <v>0</v>
      </c>
      <c r="I100" s="577">
        <f t="shared" si="18"/>
        <v>0</v>
      </c>
      <c r="J100" s="514">
        <f t="shared" si="19"/>
        <v>0</v>
      </c>
      <c r="K100" s="514"/>
      <c r="L100" s="525"/>
      <c r="M100" s="514">
        <f t="shared" si="20"/>
        <v>0</v>
      </c>
      <c r="N100" s="525"/>
      <c r="O100" s="514">
        <f t="shared" si="21"/>
        <v>0</v>
      </c>
      <c r="P100" s="514">
        <f t="shared" si="22"/>
        <v>0</v>
      </c>
      <c r="Q100" s="269"/>
    </row>
    <row r="101" spans="1:17" ht="12.5">
      <c r="B101" s="195" t="str">
        <f t="shared" ref="B101:B154" si="25">IF(D101=F100,"","IU")</f>
        <v/>
      </c>
      <c r="C101" s="507">
        <f>IF(D93="","-",+C100+1)</f>
        <v>2011</v>
      </c>
      <c r="D101" s="374">
        <f t="shared" si="23"/>
        <v>0</v>
      </c>
      <c r="E101" s="522">
        <f>IF(+J96&lt;F100,J96,D101)</f>
        <v>0</v>
      </c>
      <c r="F101" s="523">
        <f t="shared" si="24"/>
        <v>0</v>
      </c>
      <c r="G101" s="523">
        <f t="shared" si="16"/>
        <v>0</v>
      </c>
      <c r="H101" s="526">
        <f t="shared" si="17"/>
        <v>0</v>
      </c>
      <c r="I101" s="577">
        <f t="shared" si="18"/>
        <v>0</v>
      </c>
      <c r="J101" s="514">
        <f t="shared" si="19"/>
        <v>0</v>
      </c>
      <c r="K101" s="514"/>
      <c r="L101" s="525"/>
      <c r="M101" s="514">
        <f t="shared" si="20"/>
        <v>0</v>
      </c>
      <c r="N101" s="525"/>
      <c r="O101" s="514">
        <f t="shared" si="21"/>
        <v>0</v>
      </c>
      <c r="P101" s="514">
        <f t="shared" si="22"/>
        <v>0</v>
      </c>
      <c r="Q101" s="269"/>
    </row>
    <row r="102" spans="1:17" ht="12.5">
      <c r="B102" s="195" t="str">
        <f t="shared" si="25"/>
        <v/>
      </c>
      <c r="C102" s="507">
        <f>IF(D93="","-",+C101+1)</f>
        <v>2012</v>
      </c>
      <c r="D102" s="374">
        <f t="shared" si="23"/>
        <v>0</v>
      </c>
      <c r="E102" s="522">
        <f>IF(+J96&lt;F101,J96,D102)</f>
        <v>0</v>
      </c>
      <c r="F102" s="523">
        <f t="shared" si="24"/>
        <v>0</v>
      </c>
      <c r="G102" s="523">
        <f t="shared" si="16"/>
        <v>0</v>
      </c>
      <c r="H102" s="526">
        <f t="shared" si="17"/>
        <v>0</v>
      </c>
      <c r="I102" s="577">
        <f t="shared" si="18"/>
        <v>0</v>
      </c>
      <c r="J102" s="514">
        <f t="shared" si="19"/>
        <v>0</v>
      </c>
      <c r="K102" s="514"/>
      <c r="L102" s="525"/>
      <c r="M102" s="514">
        <f t="shared" si="20"/>
        <v>0</v>
      </c>
      <c r="N102" s="525"/>
      <c r="O102" s="514">
        <f t="shared" si="21"/>
        <v>0</v>
      </c>
      <c r="P102" s="514">
        <f t="shared" si="22"/>
        <v>0</v>
      </c>
      <c r="Q102" s="269"/>
    </row>
    <row r="103" spans="1:17" ht="12.5">
      <c r="B103" s="195" t="str">
        <f t="shared" si="25"/>
        <v/>
      </c>
      <c r="C103" s="507">
        <f>IF(D93="","-",+C102+1)</f>
        <v>2013</v>
      </c>
      <c r="D103" s="374">
        <f t="shared" si="23"/>
        <v>0</v>
      </c>
      <c r="E103" s="522">
        <f>IF(+J96&lt;F102,J96,D103)</f>
        <v>0</v>
      </c>
      <c r="F103" s="523">
        <f t="shared" si="24"/>
        <v>0</v>
      </c>
      <c r="G103" s="523">
        <f t="shared" si="16"/>
        <v>0</v>
      </c>
      <c r="H103" s="526">
        <f t="shared" si="17"/>
        <v>0</v>
      </c>
      <c r="I103" s="577">
        <f t="shared" si="18"/>
        <v>0</v>
      </c>
      <c r="J103" s="514">
        <f t="shared" si="19"/>
        <v>0</v>
      </c>
      <c r="K103" s="514"/>
      <c r="L103" s="525"/>
      <c r="M103" s="514">
        <f t="shared" si="20"/>
        <v>0</v>
      </c>
      <c r="N103" s="525"/>
      <c r="O103" s="514">
        <f t="shared" si="21"/>
        <v>0</v>
      </c>
      <c r="P103" s="514">
        <f t="shared" si="22"/>
        <v>0</v>
      </c>
      <c r="Q103" s="269"/>
    </row>
    <row r="104" spans="1:17" ht="12.5">
      <c r="B104" s="195" t="str">
        <f t="shared" si="25"/>
        <v/>
      </c>
      <c r="C104" s="507">
        <f>IF(D93="","-",+C103+1)</f>
        <v>2014</v>
      </c>
      <c r="D104" s="374">
        <f t="shared" si="23"/>
        <v>0</v>
      </c>
      <c r="E104" s="522">
        <f>IF(+J96&lt;F103,J96,D104)</f>
        <v>0</v>
      </c>
      <c r="F104" s="523">
        <f t="shared" si="24"/>
        <v>0</v>
      </c>
      <c r="G104" s="523">
        <f t="shared" si="16"/>
        <v>0</v>
      </c>
      <c r="H104" s="526">
        <f t="shared" si="17"/>
        <v>0</v>
      </c>
      <c r="I104" s="577">
        <f t="shared" si="18"/>
        <v>0</v>
      </c>
      <c r="J104" s="514">
        <f t="shared" si="19"/>
        <v>0</v>
      </c>
      <c r="K104" s="514"/>
      <c r="L104" s="525"/>
      <c r="M104" s="514">
        <f t="shared" si="20"/>
        <v>0</v>
      </c>
      <c r="N104" s="525"/>
      <c r="O104" s="514">
        <f t="shared" si="21"/>
        <v>0</v>
      </c>
      <c r="P104" s="514">
        <f t="shared" si="22"/>
        <v>0</v>
      </c>
      <c r="Q104" s="269"/>
    </row>
    <row r="105" spans="1:17" ht="12.5">
      <c r="B105" s="195" t="str">
        <f t="shared" si="25"/>
        <v/>
      </c>
      <c r="C105" s="507">
        <f>IF(D93="","-",+C104+1)</f>
        <v>2015</v>
      </c>
      <c r="D105" s="374">
        <f t="shared" si="23"/>
        <v>0</v>
      </c>
      <c r="E105" s="522">
        <f>IF(+J96&lt;F104,J96,D105)</f>
        <v>0</v>
      </c>
      <c r="F105" s="523">
        <f t="shared" si="24"/>
        <v>0</v>
      </c>
      <c r="G105" s="523">
        <f t="shared" si="16"/>
        <v>0</v>
      </c>
      <c r="H105" s="526">
        <f t="shared" si="17"/>
        <v>0</v>
      </c>
      <c r="I105" s="577">
        <f t="shared" si="18"/>
        <v>0</v>
      </c>
      <c r="J105" s="514">
        <f t="shared" si="19"/>
        <v>0</v>
      </c>
      <c r="K105" s="514"/>
      <c r="L105" s="525"/>
      <c r="M105" s="514">
        <f t="shared" si="20"/>
        <v>0</v>
      </c>
      <c r="N105" s="525"/>
      <c r="O105" s="514">
        <f t="shared" si="21"/>
        <v>0</v>
      </c>
      <c r="P105" s="514">
        <f t="shared" si="22"/>
        <v>0</v>
      </c>
      <c r="Q105" s="269"/>
    </row>
    <row r="106" spans="1:17" ht="12.5">
      <c r="B106" s="195" t="str">
        <f t="shared" si="25"/>
        <v/>
      </c>
      <c r="C106" s="507">
        <f>IF(D93="","-",+C105+1)</f>
        <v>2016</v>
      </c>
      <c r="D106" s="374">
        <f t="shared" si="23"/>
        <v>0</v>
      </c>
      <c r="E106" s="522">
        <f>IF(+J96&lt;F105,J96,D106)</f>
        <v>0</v>
      </c>
      <c r="F106" s="523">
        <f t="shared" si="24"/>
        <v>0</v>
      </c>
      <c r="G106" s="523">
        <f t="shared" si="16"/>
        <v>0</v>
      </c>
      <c r="H106" s="526">
        <f t="shared" si="17"/>
        <v>0</v>
      </c>
      <c r="I106" s="577">
        <f t="shared" si="18"/>
        <v>0</v>
      </c>
      <c r="J106" s="514">
        <f t="shared" si="19"/>
        <v>0</v>
      </c>
      <c r="K106" s="514"/>
      <c r="L106" s="525"/>
      <c r="M106" s="514">
        <f t="shared" si="20"/>
        <v>0</v>
      </c>
      <c r="N106" s="525"/>
      <c r="O106" s="514">
        <f t="shared" si="21"/>
        <v>0</v>
      </c>
      <c r="P106" s="514">
        <f t="shared" si="22"/>
        <v>0</v>
      </c>
      <c r="Q106" s="269"/>
    </row>
    <row r="107" spans="1:17" ht="12.5">
      <c r="B107" s="195" t="str">
        <f t="shared" si="25"/>
        <v/>
      </c>
      <c r="C107" s="507">
        <f>IF(D93="","-",+C106+1)</f>
        <v>2017</v>
      </c>
      <c r="D107" s="374">
        <f t="shared" si="23"/>
        <v>0</v>
      </c>
      <c r="E107" s="522">
        <f>IF(+J96&lt;F106,J96,D107)</f>
        <v>0</v>
      </c>
      <c r="F107" s="523">
        <f t="shared" si="24"/>
        <v>0</v>
      </c>
      <c r="G107" s="523">
        <f t="shared" si="16"/>
        <v>0</v>
      </c>
      <c r="H107" s="526">
        <f t="shared" si="17"/>
        <v>0</v>
      </c>
      <c r="I107" s="577">
        <f t="shared" si="18"/>
        <v>0</v>
      </c>
      <c r="J107" s="514">
        <f t="shared" si="19"/>
        <v>0</v>
      </c>
      <c r="K107" s="514"/>
      <c r="L107" s="525"/>
      <c r="M107" s="514">
        <f t="shared" si="20"/>
        <v>0</v>
      </c>
      <c r="N107" s="525"/>
      <c r="O107" s="514">
        <f t="shared" si="21"/>
        <v>0</v>
      </c>
      <c r="P107" s="514">
        <f t="shared" si="22"/>
        <v>0</v>
      </c>
      <c r="Q107" s="269"/>
    </row>
    <row r="108" spans="1:17" ht="12.5">
      <c r="B108" s="195" t="str">
        <f t="shared" si="25"/>
        <v/>
      </c>
      <c r="C108" s="507">
        <f>IF(D93="","-",+C107+1)</f>
        <v>2018</v>
      </c>
      <c r="D108" s="374">
        <f t="shared" si="23"/>
        <v>0</v>
      </c>
      <c r="E108" s="522">
        <f>IF(+J96&lt;F107,J96,D108)</f>
        <v>0</v>
      </c>
      <c r="F108" s="523">
        <f t="shared" si="24"/>
        <v>0</v>
      </c>
      <c r="G108" s="523">
        <f t="shared" si="16"/>
        <v>0</v>
      </c>
      <c r="H108" s="526">
        <f t="shared" si="17"/>
        <v>0</v>
      </c>
      <c r="I108" s="577">
        <f t="shared" si="18"/>
        <v>0</v>
      </c>
      <c r="J108" s="514">
        <f t="shared" si="19"/>
        <v>0</v>
      </c>
      <c r="K108" s="514"/>
      <c r="L108" s="525"/>
      <c r="M108" s="514">
        <f t="shared" si="20"/>
        <v>0</v>
      </c>
      <c r="N108" s="525"/>
      <c r="O108" s="514">
        <f t="shared" si="21"/>
        <v>0</v>
      </c>
      <c r="P108" s="514">
        <f t="shared" si="22"/>
        <v>0</v>
      </c>
      <c r="Q108" s="269"/>
    </row>
    <row r="109" spans="1:17" ht="12.5">
      <c r="B109" s="195" t="str">
        <f t="shared" si="25"/>
        <v/>
      </c>
      <c r="C109" s="507">
        <f>IF(D93="","-",+C108+1)</f>
        <v>2019</v>
      </c>
      <c r="D109" s="374">
        <f t="shared" si="23"/>
        <v>0</v>
      </c>
      <c r="E109" s="522">
        <f>IF(+J96&lt;F108,J96,D109)</f>
        <v>0</v>
      </c>
      <c r="F109" s="523">
        <f t="shared" si="24"/>
        <v>0</v>
      </c>
      <c r="G109" s="523">
        <f t="shared" si="16"/>
        <v>0</v>
      </c>
      <c r="H109" s="526">
        <f t="shared" si="17"/>
        <v>0</v>
      </c>
      <c r="I109" s="577">
        <f t="shared" si="18"/>
        <v>0</v>
      </c>
      <c r="J109" s="514">
        <f t="shared" si="19"/>
        <v>0</v>
      </c>
      <c r="K109" s="514"/>
      <c r="L109" s="525"/>
      <c r="M109" s="514">
        <f t="shared" si="20"/>
        <v>0</v>
      </c>
      <c r="N109" s="525"/>
      <c r="O109" s="514">
        <f t="shared" si="21"/>
        <v>0</v>
      </c>
      <c r="P109" s="514">
        <f t="shared" si="22"/>
        <v>0</v>
      </c>
      <c r="Q109" s="269"/>
    </row>
    <row r="110" spans="1:17" ht="12.5">
      <c r="B110" s="195" t="str">
        <f t="shared" si="25"/>
        <v/>
      </c>
      <c r="C110" s="507">
        <f>IF(D93="","-",+C109+1)</f>
        <v>2020</v>
      </c>
      <c r="D110" s="374">
        <f>IF(F109+SUM(E$99:E109)=D$92,F109,D$92-SUM(E$99:E109))</f>
        <v>0</v>
      </c>
      <c r="E110" s="522">
        <f>IF(+J96&lt;F109,J96,D110)</f>
        <v>0</v>
      </c>
      <c r="F110" s="523">
        <f t="shared" si="24"/>
        <v>0</v>
      </c>
      <c r="G110" s="523">
        <f t="shared" si="16"/>
        <v>0</v>
      </c>
      <c r="H110" s="526">
        <f t="shared" si="17"/>
        <v>0</v>
      </c>
      <c r="I110" s="577">
        <f t="shared" si="18"/>
        <v>0</v>
      </c>
      <c r="J110" s="514">
        <f t="shared" si="19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  <c r="Q110" s="269"/>
    </row>
    <row r="111" spans="1:17" ht="12.5">
      <c r="B111" s="195" t="str">
        <f t="shared" si="25"/>
        <v/>
      </c>
      <c r="C111" s="507">
        <f>IF(D93="","-",+C110+1)</f>
        <v>2021</v>
      </c>
      <c r="D111" s="374">
        <f>IF(F110+SUM(E$99:E110)=D$92,F110,D$92-SUM(E$99:E110))</f>
        <v>0</v>
      </c>
      <c r="E111" s="522">
        <f>IF(+J96&lt;F110,J96,D111)</f>
        <v>0</v>
      </c>
      <c r="F111" s="523">
        <f t="shared" si="24"/>
        <v>0</v>
      </c>
      <c r="G111" s="523">
        <f t="shared" si="16"/>
        <v>0</v>
      </c>
      <c r="H111" s="526">
        <f t="shared" si="17"/>
        <v>0</v>
      </c>
      <c r="I111" s="577">
        <f t="shared" si="18"/>
        <v>0</v>
      </c>
      <c r="J111" s="514">
        <f t="shared" si="19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  <c r="Q111" s="269"/>
    </row>
    <row r="112" spans="1:17" ht="12.5">
      <c r="B112" s="195" t="str">
        <f t="shared" si="25"/>
        <v/>
      </c>
      <c r="C112" s="507">
        <f>IF(D93="","-",+C111+1)</f>
        <v>2022</v>
      </c>
      <c r="D112" s="374">
        <f>IF(F111+SUM(E$99:E111)=D$92,F111,D$92-SUM(E$99:E111))</f>
        <v>0</v>
      </c>
      <c r="E112" s="522">
        <f>IF(+J96&lt;F111,J96,D112)</f>
        <v>0</v>
      </c>
      <c r="F112" s="523">
        <f t="shared" si="24"/>
        <v>0</v>
      </c>
      <c r="G112" s="523">
        <f t="shared" si="16"/>
        <v>0</v>
      </c>
      <c r="H112" s="526">
        <f t="shared" si="17"/>
        <v>0</v>
      </c>
      <c r="I112" s="577">
        <f t="shared" si="18"/>
        <v>0</v>
      </c>
      <c r="J112" s="514">
        <f t="shared" si="19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  <c r="Q112" s="269"/>
    </row>
    <row r="113" spans="2:17" ht="12.5">
      <c r="B113" s="195" t="str">
        <f t="shared" si="25"/>
        <v/>
      </c>
      <c r="C113" s="507">
        <f>IF(D93="","-",+C112+1)</f>
        <v>2023</v>
      </c>
      <c r="D113" s="374">
        <f>IF(F112+SUM(E$99:E112)=D$92,F112,D$92-SUM(E$99:E112))</f>
        <v>0</v>
      </c>
      <c r="E113" s="522">
        <f>IF(+J96&lt;F112,J96,D113)</f>
        <v>0</v>
      </c>
      <c r="F113" s="523">
        <f t="shared" si="24"/>
        <v>0</v>
      </c>
      <c r="G113" s="523">
        <f t="shared" si="16"/>
        <v>0</v>
      </c>
      <c r="H113" s="526">
        <f t="shared" ref="H113:H154" si="26">+J$94*G113+E113</f>
        <v>0</v>
      </c>
      <c r="I113" s="577">
        <f t="shared" ref="I113:I154" si="27">+J$95*G113+E113</f>
        <v>0</v>
      </c>
      <c r="J113" s="514">
        <f t="shared" si="19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  <c r="Q113" s="269"/>
    </row>
    <row r="114" spans="2:17" ht="12.5">
      <c r="B114" s="195" t="str">
        <f t="shared" si="25"/>
        <v/>
      </c>
      <c r="C114" s="507">
        <f>IF(D93="","-",+C113+1)</f>
        <v>2024</v>
      </c>
      <c r="D114" s="374">
        <f>IF(F113+SUM(E$99:E113)=D$92,F113,D$92-SUM(E$99:E113))</f>
        <v>0</v>
      </c>
      <c r="E114" s="522">
        <f>IF(+J96&lt;F113,J96,D114)</f>
        <v>0</v>
      </c>
      <c r="F114" s="523">
        <f t="shared" si="24"/>
        <v>0</v>
      </c>
      <c r="G114" s="523">
        <f t="shared" si="16"/>
        <v>0</v>
      </c>
      <c r="H114" s="526">
        <f t="shared" si="26"/>
        <v>0</v>
      </c>
      <c r="I114" s="577">
        <f t="shared" si="27"/>
        <v>0</v>
      </c>
      <c r="J114" s="514">
        <f t="shared" si="19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  <c r="Q114" s="269"/>
    </row>
    <row r="115" spans="2:17" ht="12.5">
      <c r="B115" s="195" t="str">
        <f t="shared" si="25"/>
        <v/>
      </c>
      <c r="C115" s="507">
        <f>IF(D93="","-",+C114+1)</f>
        <v>2025</v>
      </c>
      <c r="D115" s="374">
        <f>IF(F114+SUM(E$99:E114)=D$92,F114,D$92-SUM(E$99:E114))</f>
        <v>0</v>
      </c>
      <c r="E115" s="522">
        <f>IF(+J96&lt;F114,J96,D115)</f>
        <v>0</v>
      </c>
      <c r="F115" s="523">
        <f t="shared" si="24"/>
        <v>0</v>
      </c>
      <c r="G115" s="523">
        <f t="shared" si="16"/>
        <v>0</v>
      </c>
      <c r="H115" s="526">
        <f t="shared" si="26"/>
        <v>0</v>
      </c>
      <c r="I115" s="577">
        <f t="shared" si="27"/>
        <v>0</v>
      </c>
      <c r="J115" s="514">
        <f t="shared" si="19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  <c r="Q115" s="269"/>
    </row>
    <row r="116" spans="2:17" ht="12.5">
      <c r="B116" s="195" t="str">
        <f t="shared" si="25"/>
        <v/>
      </c>
      <c r="C116" s="507">
        <f>IF(D93="","-",+C115+1)</f>
        <v>2026</v>
      </c>
      <c r="D116" s="374">
        <f>IF(F115+SUM(E$99:E115)=D$92,F115,D$92-SUM(E$99:E115))</f>
        <v>0</v>
      </c>
      <c r="E116" s="522">
        <f>IF(+J96&lt;F115,J96,D116)</f>
        <v>0</v>
      </c>
      <c r="F116" s="523">
        <f t="shared" si="24"/>
        <v>0</v>
      </c>
      <c r="G116" s="523">
        <f t="shared" si="16"/>
        <v>0</v>
      </c>
      <c r="H116" s="526">
        <f t="shared" si="26"/>
        <v>0</v>
      </c>
      <c r="I116" s="577">
        <f t="shared" si="27"/>
        <v>0</v>
      </c>
      <c r="J116" s="514">
        <f t="shared" si="19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  <c r="Q116" s="269"/>
    </row>
    <row r="117" spans="2:17" ht="12.5">
      <c r="B117" s="195" t="str">
        <f t="shared" si="25"/>
        <v/>
      </c>
      <c r="C117" s="507">
        <f>IF(D93="","-",+C116+1)</f>
        <v>2027</v>
      </c>
      <c r="D117" s="374">
        <f>IF(F116+SUM(E$99:E116)=D$92,F116,D$92-SUM(E$99:E116))</f>
        <v>0</v>
      </c>
      <c r="E117" s="522">
        <f>IF(+J96&lt;F116,J96,D117)</f>
        <v>0</v>
      </c>
      <c r="F117" s="523">
        <f t="shared" si="24"/>
        <v>0</v>
      </c>
      <c r="G117" s="523">
        <f t="shared" si="16"/>
        <v>0</v>
      </c>
      <c r="H117" s="526">
        <f t="shared" si="26"/>
        <v>0</v>
      </c>
      <c r="I117" s="577">
        <f t="shared" si="27"/>
        <v>0</v>
      </c>
      <c r="J117" s="514">
        <f t="shared" si="19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  <c r="Q117" s="269"/>
    </row>
    <row r="118" spans="2:17" ht="12.5">
      <c r="B118" s="195" t="str">
        <f t="shared" si="25"/>
        <v/>
      </c>
      <c r="C118" s="507">
        <f>IF(D93="","-",+C117+1)</f>
        <v>2028</v>
      </c>
      <c r="D118" s="374">
        <f>IF(F117+SUM(E$99:E117)=D$92,F117,D$92-SUM(E$99:E117))</f>
        <v>0</v>
      </c>
      <c r="E118" s="522">
        <f>IF(+J96&lt;F117,J96,D118)</f>
        <v>0</v>
      </c>
      <c r="F118" s="523">
        <f t="shared" si="24"/>
        <v>0</v>
      </c>
      <c r="G118" s="523">
        <f t="shared" si="16"/>
        <v>0</v>
      </c>
      <c r="H118" s="526">
        <f t="shared" si="26"/>
        <v>0</v>
      </c>
      <c r="I118" s="577">
        <f t="shared" si="27"/>
        <v>0</v>
      </c>
      <c r="J118" s="514">
        <f t="shared" si="19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  <c r="Q118" s="269"/>
    </row>
    <row r="119" spans="2:17" ht="12.5">
      <c r="B119" s="195" t="str">
        <f t="shared" si="25"/>
        <v/>
      </c>
      <c r="C119" s="507">
        <f>IF(D93="","-",+C118+1)</f>
        <v>2029</v>
      </c>
      <c r="D119" s="374">
        <f>IF(F118+SUM(E$99:E118)=D$92,F118,D$92-SUM(E$99:E118))</f>
        <v>0</v>
      </c>
      <c r="E119" s="522">
        <f>IF(+J96&lt;F118,J96,D119)</f>
        <v>0</v>
      </c>
      <c r="F119" s="523">
        <f t="shared" si="24"/>
        <v>0</v>
      </c>
      <c r="G119" s="523">
        <f t="shared" si="16"/>
        <v>0</v>
      </c>
      <c r="H119" s="526">
        <f t="shared" si="26"/>
        <v>0</v>
      </c>
      <c r="I119" s="577">
        <f t="shared" si="27"/>
        <v>0</v>
      </c>
      <c r="J119" s="514">
        <f t="shared" si="19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  <c r="Q119" s="269"/>
    </row>
    <row r="120" spans="2:17" ht="12.5">
      <c r="B120" s="195" t="str">
        <f t="shared" si="25"/>
        <v/>
      </c>
      <c r="C120" s="507">
        <f>IF(D93="","-",+C119+1)</f>
        <v>2030</v>
      </c>
      <c r="D120" s="374">
        <f>IF(F119+SUM(E$99:E119)=D$92,F119,D$92-SUM(E$99:E119))</f>
        <v>0</v>
      </c>
      <c r="E120" s="522">
        <f>IF(+J96&lt;F119,J96,D120)</f>
        <v>0</v>
      </c>
      <c r="F120" s="523">
        <f t="shared" si="24"/>
        <v>0</v>
      </c>
      <c r="G120" s="523">
        <f t="shared" si="16"/>
        <v>0</v>
      </c>
      <c r="H120" s="526">
        <f t="shared" si="26"/>
        <v>0</v>
      </c>
      <c r="I120" s="577">
        <f t="shared" si="27"/>
        <v>0</v>
      </c>
      <c r="J120" s="514">
        <f t="shared" si="19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  <c r="Q120" s="269"/>
    </row>
    <row r="121" spans="2:17" ht="12.5">
      <c r="B121" s="195" t="str">
        <f t="shared" si="25"/>
        <v/>
      </c>
      <c r="C121" s="507">
        <f>IF(D93="","-",+C120+1)</f>
        <v>2031</v>
      </c>
      <c r="D121" s="374">
        <f>IF(F120+SUM(E$99:E120)=D$92,F120,D$92-SUM(E$99:E120))</f>
        <v>0</v>
      </c>
      <c r="E121" s="522">
        <f>IF(+J96&lt;F120,J96,D121)</f>
        <v>0</v>
      </c>
      <c r="F121" s="523">
        <f t="shared" si="24"/>
        <v>0</v>
      </c>
      <c r="G121" s="523">
        <f t="shared" si="16"/>
        <v>0</v>
      </c>
      <c r="H121" s="526">
        <f t="shared" si="26"/>
        <v>0</v>
      </c>
      <c r="I121" s="577">
        <f t="shared" si="27"/>
        <v>0</v>
      </c>
      <c r="J121" s="514">
        <f t="shared" si="19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  <c r="Q121" s="269"/>
    </row>
    <row r="122" spans="2:17" ht="12.5">
      <c r="B122" s="195" t="str">
        <f t="shared" si="25"/>
        <v/>
      </c>
      <c r="C122" s="507">
        <f>IF(D93="","-",+C121+1)</f>
        <v>2032</v>
      </c>
      <c r="D122" s="374">
        <f>IF(F121+SUM(E$99:E121)=D$92,F121,D$92-SUM(E$99:E121))</f>
        <v>0</v>
      </c>
      <c r="E122" s="522">
        <f>IF(+J96&lt;F121,J96,D122)</f>
        <v>0</v>
      </c>
      <c r="F122" s="523">
        <f t="shared" si="24"/>
        <v>0</v>
      </c>
      <c r="G122" s="523">
        <f t="shared" si="16"/>
        <v>0</v>
      </c>
      <c r="H122" s="526">
        <f t="shared" si="26"/>
        <v>0</v>
      </c>
      <c r="I122" s="577">
        <f t="shared" si="27"/>
        <v>0</v>
      </c>
      <c r="J122" s="514">
        <f t="shared" si="19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  <c r="Q122" s="269"/>
    </row>
    <row r="123" spans="2:17" ht="12.5">
      <c r="B123" s="195" t="str">
        <f t="shared" si="25"/>
        <v/>
      </c>
      <c r="C123" s="507">
        <f>IF(D93="","-",+C122+1)</f>
        <v>2033</v>
      </c>
      <c r="D123" s="374">
        <f>IF(F122+SUM(E$99:E122)=D$92,F122,D$92-SUM(E$99:E122))</f>
        <v>0</v>
      </c>
      <c r="E123" s="522">
        <f>IF(+J96&lt;F122,J96,D123)</f>
        <v>0</v>
      </c>
      <c r="F123" s="523">
        <f t="shared" si="24"/>
        <v>0</v>
      </c>
      <c r="G123" s="523">
        <f t="shared" si="16"/>
        <v>0</v>
      </c>
      <c r="H123" s="526">
        <f t="shared" si="26"/>
        <v>0</v>
      </c>
      <c r="I123" s="577">
        <f t="shared" si="27"/>
        <v>0</v>
      </c>
      <c r="J123" s="514">
        <f t="shared" si="19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  <c r="Q123" s="269"/>
    </row>
    <row r="124" spans="2:17" ht="12.5">
      <c r="B124" s="195" t="str">
        <f t="shared" si="25"/>
        <v/>
      </c>
      <c r="C124" s="507">
        <f>IF(D93="","-",+C123+1)</f>
        <v>2034</v>
      </c>
      <c r="D124" s="374">
        <f>IF(F123+SUM(E$99:E123)=D$92,F123,D$92-SUM(E$99:E123))</f>
        <v>0</v>
      </c>
      <c r="E124" s="522">
        <f>IF(+J96&lt;F123,J96,D124)</f>
        <v>0</v>
      </c>
      <c r="F124" s="523">
        <f t="shared" si="24"/>
        <v>0</v>
      </c>
      <c r="G124" s="523">
        <f t="shared" si="16"/>
        <v>0</v>
      </c>
      <c r="H124" s="526">
        <f t="shared" si="26"/>
        <v>0</v>
      </c>
      <c r="I124" s="577">
        <f t="shared" si="27"/>
        <v>0</v>
      </c>
      <c r="J124" s="514">
        <f t="shared" si="19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  <c r="Q124" s="269"/>
    </row>
    <row r="125" spans="2:17" ht="12.5">
      <c r="B125" s="195" t="str">
        <f t="shared" si="25"/>
        <v/>
      </c>
      <c r="C125" s="507">
        <f>IF(D93="","-",+C124+1)</f>
        <v>2035</v>
      </c>
      <c r="D125" s="374">
        <f>IF(F124+SUM(E$99:E124)=D$92,F124,D$92-SUM(E$99:E124))</f>
        <v>0</v>
      </c>
      <c r="E125" s="522">
        <f>IF(+J96&lt;F124,J96,D125)</f>
        <v>0</v>
      </c>
      <c r="F125" s="523">
        <f t="shared" si="24"/>
        <v>0</v>
      </c>
      <c r="G125" s="523">
        <f t="shared" si="16"/>
        <v>0</v>
      </c>
      <c r="H125" s="526">
        <f t="shared" si="26"/>
        <v>0</v>
      </c>
      <c r="I125" s="577">
        <f t="shared" si="27"/>
        <v>0</v>
      </c>
      <c r="J125" s="514">
        <f t="shared" si="19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  <c r="Q125" s="269"/>
    </row>
    <row r="126" spans="2:17" ht="12.5">
      <c r="B126" s="195" t="str">
        <f t="shared" si="25"/>
        <v/>
      </c>
      <c r="C126" s="507">
        <f>IF(D93="","-",+C125+1)</f>
        <v>2036</v>
      </c>
      <c r="D126" s="374">
        <f>IF(F125+SUM(E$99:E125)=D$92,F125,D$92-SUM(E$99:E125))</f>
        <v>0</v>
      </c>
      <c r="E126" s="522">
        <f>IF(+J96&lt;F125,J96,D126)</f>
        <v>0</v>
      </c>
      <c r="F126" s="523">
        <f t="shared" si="24"/>
        <v>0</v>
      </c>
      <c r="G126" s="523">
        <f t="shared" si="16"/>
        <v>0</v>
      </c>
      <c r="H126" s="526">
        <f t="shared" si="26"/>
        <v>0</v>
      </c>
      <c r="I126" s="577">
        <f t="shared" si="27"/>
        <v>0</v>
      </c>
      <c r="J126" s="514">
        <f t="shared" si="19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  <c r="Q126" s="269"/>
    </row>
    <row r="127" spans="2:17" ht="12.5">
      <c r="B127" s="195" t="str">
        <f t="shared" si="25"/>
        <v/>
      </c>
      <c r="C127" s="507">
        <f>IF(D93="","-",+C126+1)</f>
        <v>2037</v>
      </c>
      <c r="D127" s="374">
        <f>IF(F126+SUM(E$99:E126)=D$92,F126,D$92-SUM(E$99:E126))</f>
        <v>0</v>
      </c>
      <c r="E127" s="522">
        <f>IF(+J96&lt;F126,J96,D127)</f>
        <v>0</v>
      </c>
      <c r="F127" s="523">
        <f t="shared" si="24"/>
        <v>0</v>
      </c>
      <c r="G127" s="523">
        <f t="shared" si="16"/>
        <v>0</v>
      </c>
      <c r="H127" s="526">
        <f t="shared" si="26"/>
        <v>0</v>
      </c>
      <c r="I127" s="577">
        <f t="shared" si="27"/>
        <v>0</v>
      </c>
      <c r="J127" s="514">
        <f t="shared" si="19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  <c r="Q127" s="269"/>
    </row>
    <row r="128" spans="2:17" ht="12.5">
      <c r="B128" s="195" t="str">
        <f t="shared" si="25"/>
        <v/>
      </c>
      <c r="C128" s="507">
        <f>IF(D93="","-",+C127+1)</f>
        <v>2038</v>
      </c>
      <c r="D128" s="374">
        <f>IF(F127+SUM(E$99:E127)=D$92,F127,D$92-SUM(E$99:E127))</f>
        <v>0</v>
      </c>
      <c r="E128" s="522">
        <f>IF(+J96&lt;F127,J96,D128)</f>
        <v>0</v>
      </c>
      <c r="F128" s="523">
        <f t="shared" si="24"/>
        <v>0</v>
      </c>
      <c r="G128" s="523">
        <f t="shared" si="16"/>
        <v>0</v>
      </c>
      <c r="H128" s="526">
        <f t="shared" si="26"/>
        <v>0</v>
      </c>
      <c r="I128" s="577">
        <f t="shared" si="27"/>
        <v>0</v>
      </c>
      <c r="J128" s="514">
        <f t="shared" si="19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  <c r="Q128" s="269"/>
    </row>
    <row r="129" spans="2:17" ht="12.5">
      <c r="B129" s="195" t="str">
        <f t="shared" si="25"/>
        <v/>
      </c>
      <c r="C129" s="507">
        <f>IF(D93="","-",+C128+1)</f>
        <v>2039</v>
      </c>
      <c r="D129" s="374">
        <f>IF(F128+SUM(E$99:E128)=D$92,F128,D$92-SUM(E$99:E128))</f>
        <v>0</v>
      </c>
      <c r="E129" s="522">
        <f>IF(+J96&lt;F128,J96,D129)</f>
        <v>0</v>
      </c>
      <c r="F129" s="523">
        <f t="shared" si="24"/>
        <v>0</v>
      </c>
      <c r="G129" s="523">
        <f t="shared" si="16"/>
        <v>0</v>
      </c>
      <c r="H129" s="526">
        <f t="shared" si="26"/>
        <v>0</v>
      </c>
      <c r="I129" s="577">
        <f t="shared" si="27"/>
        <v>0</v>
      </c>
      <c r="J129" s="514">
        <f t="shared" si="19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  <c r="Q129" s="269"/>
    </row>
    <row r="130" spans="2:17" ht="12.5">
      <c r="B130" s="195" t="str">
        <f t="shared" si="25"/>
        <v/>
      </c>
      <c r="C130" s="507">
        <f>IF(D93="","-",+C129+1)</f>
        <v>2040</v>
      </c>
      <c r="D130" s="374">
        <f>IF(F129+SUM(E$99:E129)=D$92,F129,D$92-SUM(E$99:E129))</f>
        <v>0</v>
      </c>
      <c r="E130" s="522">
        <f>IF(+J96&lt;F129,J96,D130)</f>
        <v>0</v>
      </c>
      <c r="F130" s="523">
        <f t="shared" si="24"/>
        <v>0</v>
      </c>
      <c r="G130" s="523">
        <f t="shared" si="16"/>
        <v>0</v>
      </c>
      <c r="H130" s="526">
        <f t="shared" si="26"/>
        <v>0</v>
      </c>
      <c r="I130" s="577">
        <f t="shared" si="27"/>
        <v>0</v>
      </c>
      <c r="J130" s="514">
        <f t="shared" si="19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  <c r="Q130" s="269"/>
    </row>
    <row r="131" spans="2:17" ht="12.5">
      <c r="B131" s="195" t="str">
        <f t="shared" si="25"/>
        <v/>
      </c>
      <c r="C131" s="507">
        <f>IF(D93="","-",+C130+1)</f>
        <v>2041</v>
      </c>
      <c r="D131" s="374">
        <f>IF(F130+SUM(E$99:E130)=D$92,F130,D$92-SUM(E$99:E130))</f>
        <v>0</v>
      </c>
      <c r="E131" s="522">
        <f>IF(+J96&lt;F130,J96,D131)</f>
        <v>0</v>
      </c>
      <c r="F131" s="523">
        <f t="shared" ref="F131:F154" si="28">+D131-E131</f>
        <v>0</v>
      </c>
      <c r="G131" s="523">
        <f t="shared" ref="G131:G154" si="29">+(F131+D131)/2</f>
        <v>0</v>
      </c>
      <c r="H131" s="526">
        <f t="shared" si="26"/>
        <v>0</v>
      </c>
      <c r="I131" s="577">
        <f t="shared" si="27"/>
        <v>0</v>
      </c>
      <c r="J131" s="514">
        <f t="shared" ref="J131:J154" si="30">+I131-H131</f>
        <v>0</v>
      </c>
      <c r="K131" s="514"/>
      <c r="L131" s="525"/>
      <c r="M131" s="514">
        <f t="shared" ref="M131:M154" si="31">IF(L131&lt;&gt;0,+H131-L131,0)</f>
        <v>0</v>
      </c>
      <c r="N131" s="525"/>
      <c r="O131" s="514">
        <f t="shared" ref="O131:O154" si="32">IF(N131&lt;&gt;0,+I131-N131,0)</f>
        <v>0</v>
      </c>
      <c r="P131" s="514">
        <f t="shared" ref="P131:P154" si="33">+O131-M131</f>
        <v>0</v>
      </c>
      <c r="Q131" s="269"/>
    </row>
    <row r="132" spans="2:17" ht="12.5">
      <c r="B132" s="195" t="str">
        <f t="shared" si="25"/>
        <v/>
      </c>
      <c r="C132" s="507">
        <f>IF(D93="","-",+C131+1)</f>
        <v>2042</v>
      </c>
      <c r="D132" s="374">
        <f>IF(F131+SUM(E$99:E131)=D$92,F131,D$92-SUM(E$99:E131))</f>
        <v>0</v>
      </c>
      <c r="E132" s="522">
        <f>IF(+J96&lt;F131,J96,D132)</f>
        <v>0</v>
      </c>
      <c r="F132" s="523">
        <f t="shared" si="28"/>
        <v>0</v>
      </c>
      <c r="G132" s="523">
        <f t="shared" si="29"/>
        <v>0</v>
      </c>
      <c r="H132" s="526">
        <f t="shared" si="26"/>
        <v>0</v>
      </c>
      <c r="I132" s="577">
        <f t="shared" si="27"/>
        <v>0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  <c r="Q132" s="269"/>
    </row>
    <row r="133" spans="2:17" ht="12.5">
      <c r="B133" s="195" t="str">
        <f t="shared" si="25"/>
        <v/>
      </c>
      <c r="C133" s="507">
        <f>IF(D93="","-",+C132+1)</f>
        <v>2043</v>
      </c>
      <c r="D133" s="374">
        <f>IF(F132+SUM(E$99:E132)=D$92,F132,D$92-SUM(E$99:E132))</f>
        <v>0</v>
      </c>
      <c r="E133" s="522">
        <f>IF(+J96&lt;F132,J96,D133)</f>
        <v>0</v>
      </c>
      <c r="F133" s="523">
        <f t="shared" si="28"/>
        <v>0</v>
      </c>
      <c r="G133" s="523">
        <f t="shared" si="29"/>
        <v>0</v>
      </c>
      <c r="H133" s="526">
        <f t="shared" si="26"/>
        <v>0</v>
      </c>
      <c r="I133" s="577">
        <f t="shared" si="27"/>
        <v>0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  <c r="Q133" s="269"/>
    </row>
    <row r="134" spans="2:17" ht="12.5">
      <c r="B134" s="195" t="str">
        <f t="shared" si="25"/>
        <v/>
      </c>
      <c r="C134" s="507">
        <f>IF(D93="","-",+C133+1)</f>
        <v>2044</v>
      </c>
      <c r="D134" s="374">
        <f>IF(F133+SUM(E$99:E133)=D$92,F133,D$92-SUM(E$99:E133))</f>
        <v>0</v>
      </c>
      <c r="E134" s="522">
        <f>IF(+J96&lt;F133,J96,D134)</f>
        <v>0</v>
      </c>
      <c r="F134" s="523">
        <f t="shared" si="28"/>
        <v>0</v>
      </c>
      <c r="G134" s="523">
        <f t="shared" si="29"/>
        <v>0</v>
      </c>
      <c r="H134" s="526">
        <f t="shared" si="26"/>
        <v>0</v>
      </c>
      <c r="I134" s="577">
        <f t="shared" si="27"/>
        <v>0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  <c r="Q134" s="269"/>
    </row>
    <row r="135" spans="2:17" ht="12.5">
      <c r="B135" s="195" t="str">
        <f t="shared" si="25"/>
        <v/>
      </c>
      <c r="C135" s="507">
        <f>IF(D93="","-",+C134+1)</f>
        <v>2045</v>
      </c>
      <c r="D135" s="374">
        <f>IF(F134+SUM(E$99:E134)=D$92,F134,D$92-SUM(E$99:E134))</f>
        <v>0</v>
      </c>
      <c r="E135" s="522">
        <f>IF(+J96&lt;F134,J96,D135)</f>
        <v>0</v>
      </c>
      <c r="F135" s="523">
        <f t="shared" si="28"/>
        <v>0</v>
      </c>
      <c r="G135" s="523">
        <f t="shared" si="29"/>
        <v>0</v>
      </c>
      <c r="H135" s="526">
        <f t="shared" si="26"/>
        <v>0</v>
      </c>
      <c r="I135" s="577">
        <f t="shared" si="27"/>
        <v>0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  <c r="Q135" s="269"/>
    </row>
    <row r="136" spans="2:17" ht="12.5">
      <c r="B136" s="195" t="str">
        <f t="shared" si="25"/>
        <v/>
      </c>
      <c r="C136" s="507">
        <f>IF(D93="","-",+C135+1)</f>
        <v>2046</v>
      </c>
      <c r="D136" s="374">
        <f>IF(F135+SUM(E$99:E135)=D$92,F135,D$92-SUM(E$99:E135))</f>
        <v>0</v>
      </c>
      <c r="E136" s="522">
        <f>IF(+J96&lt;F135,J96,D136)</f>
        <v>0</v>
      </c>
      <c r="F136" s="523">
        <f t="shared" si="28"/>
        <v>0</v>
      </c>
      <c r="G136" s="523">
        <f t="shared" si="29"/>
        <v>0</v>
      </c>
      <c r="H136" s="526">
        <f t="shared" si="26"/>
        <v>0</v>
      </c>
      <c r="I136" s="577">
        <f t="shared" si="27"/>
        <v>0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  <c r="Q136" s="269"/>
    </row>
    <row r="137" spans="2:17" ht="12.5">
      <c r="B137" s="195" t="str">
        <f t="shared" si="25"/>
        <v/>
      </c>
      <c r="C137" s="507">
        <f>IF(D93="","-",+C136+1)</f>
        <v>2047</v>
      </c>
      <c r="D137" s="374">
        <f>IF(F136+SUM(E$99:E136)=D$92,F136,D$92-SUM(E$99:E136))</f>
        <v>0</v>
      </c>
      <c r="E137" s="522">
        <f>IF(+J96&lt;F136,J96,D137)</f>
        <v>0</v>
      </c>
      <c r="F137" s="523">
        <f t="shared" si="28"/>
        <v>0</v>
      </c>
      <c r="G137" s="523">
        <f t="shared" si="29"/>
        <v>0</v>
      </c>
      <c r="H137" s="526">
        <f t="shared" si="26"/>
        <v>0</v>
      </c>
      <c r="I137" s="577">
        <f t="shared" si="27"/>
        <v>0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  <c r="Q137" s="269"/>
    </row>
    <row r="138" spans="2:17" ht="12.5">
      <c r="B138" s="195" t="str">
        <f t="shared" si="25"/>
        <v/>
      </c>
      <c r="C138" s="507">
        <f>IF(D93="","-",+C137+1)</f>
        <v>2048</v>
      </c>
      <c r="D138" s="374">
        <f>IF(F137+SUM(E$99:E137)=D$92,F137,D$92-SUM(E$99:E137))</f>
        <v>0</v>
      </c>
      <c r="E138" s="522">
        <f>IF(+J96&lt;F137,J96,D138)</f>
        <v>0</v>
      </c>
      <c r="F138" s="523">
        <f t="shared" si="28"/>
        <v>0</v>
      </c>
      <c r="G138" s="523">
        <f t="shared" si="29"/>
        <v>0</v>
      </c>
      <c r="H138" s="526">
        <f t="shared" si="26"/>
        <v>0</v>
      </c>
      <c r="I138" s="577">
        <f t="shared" si="27"/>
        <v>0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  <c r="Q138" s="269"/>
    </row>
    <row r="139" spans="2:17" ht="12.5">
      <c r="B139" s="195" t="str">
        <f t="shared" si="25"/>
        <v/>
      </c>
      <c r="C139" s="507">
        <f>IF(D93="","-",+C138+1)</f>
        <v>2049</v>
      </c>
      <c r="D139" s="374">
        <f>IF(F138+SUM(E$99:E138)=D$92,F138,D$92-SUM(E$99:E138))</f>
        <v>0</v>
      </c>
      <c r="E139" s="522">
        <f>IF(+J96&lt;F138,J96,D139)</f>
        <v>0</v>
      </c>
      <c r="F139" s="523">
        <f t="shared" si="28"/>
        <v>0</v>
      </c>
      <c r="G139" s="523">
        <f t="shared" si="29"/>
        <v>0</v>
      </c>
      <c r="H139" s="526">
        <f t="shared" si="26"/>
        <v>0</v>
      </c>
      <c r="I139" s="577">
        <f t="shared" si="27"/>
        <v>0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  <c r="Q139" s="269"/>
    </row>
    <row r="140" spans="2:17" ht="12.5">
      <c r="B140" s="195" t="str">
        <f t="shared" si="25"/>
        <v/>
      </c>
      <c r="C140" s="507">
        <f>IF(D93="","-",+C139+1)</f>
        <v>2050</v>
      </c>
      <c r="D140" s="374">
        <f>IF(F139+SUM(E$99:E139)=D$92,F139,D$92-SUM(E$99:E139))</f>
        <v>0</v>
      </c>
      <c r="E140" s="522">
        <f>IF(+J96&lt;F139,J96,D140)</f>
        <v>0</v>
      </c>
      <c r="F140" s="523">
        <f t="shared" si="28"/>
        <v>0</v>
      </c>
      <c r="G140" s="523">
        <f t="shared" si="29"/>
        <v>0</v>
      </c>
      <c r="H140" s="526">
        <f t="shared" si="26"/>
        <v>0</v>
      </c>
      <c r="I140" s="577">
        <f t="shared" si="27"/>
        <v>0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  <c r="Q140" s="269"/>
    </row>
    <row r="141" spans="2:17" ht="12.5">
      <c r="B141" s="195" t="str">
        <f t="shared" si="25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  <c r="Q141" s="269"/>
    </row>
    <row r="142" spans="2:17" ht="12.5">
      <c r="B142" s="195" t="str">
        <f t="shared" si="25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  <c r="Q142" s="269"/>
    </row>
    <row r="143" spans="2:17" ht="12.5">
      <c r="B143" s="195" t="str">
        <f t="shared" si="25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  <c r="Q143" s="269"/>
    </row>
    <row r="144" spans="2:17" ht="12.5">
      <c r="B144" s="195" t="str">
        <f t="shared" si="25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  <c r="Q144" s="269"/>
    </row>
    <row r="145" spans="2:17" ht="12.5">
      <c r="B145" s="195" t="str">
        <f t="shared" si="25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  <c r="Q145" s="269"/>
    </row>
    <row r="146" spans="2:17" ht="12.5">
      <c r="B146" s="195" t="str">
        <f t="shared" si="25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  <c r="Q146" s="269"/>
    </row>
    <row r="147" spans="2:17" ht="12.5">
      <c r="B147" s="195" t="str">
        <f t="shared" si="25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  <c r="Q147" s="269"/>
    </row>
    <row r="148" spans="2:17" ht="12.5">
      <c r="B148" s="195" t="str">
        <f t="shared" si="25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  <c r="Q148" s="269"/>
    </row>
    <row r="149" spans="2:17" ht="12.5">
      <c r="B149" s="195" t="str">
        <f t="shared" si="25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  <c r="Q149" s="269"/>
    </row>
    <row r="150" spans="2:17" ht="12.5">
      <c r="B150" s="195" t="str">
        <f t="shared" si="25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  <c r="Q150" s="269"/>
    </row>
    <row r="151" spans="2:17" ht="12.5">
      <c r="B151" s="195" t="str">
        <f t="shared" si="25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  <c r="Q151" s="269"/>
    </row>
    <row r="152" spans="2:17" ht="12.5">
      <c r="B152" s="195" t="str">
        <f t="shared" si="25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  <c r="Q152" s="269"/>
    </row>
    <row r="153" spans="2:17" ht="12.5">
      <c r="B153" s="195" t="str">
        <f t="shared" si="25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  <c r="Q153" s="269"/>
    </row>
    <row r="154" spans="2:17" ht="13" thickBot="1">
      <c r="B154" s="195" t="str">
        <f t="shared" si="25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  <c r="Q154" s="269"/>
    </row>
    <row r="155" spans="2:17" ht="12.5">
      <c r="C155" s="374" t="s">
        <v>78</v>
      </c>
      <c r="D155" s="375"/>
      <c r="E155" s="375">
        <f>SUM(E99:E154)</f>
        <v>0</v>
      </c>
      <c r="F155" s="375"/>
      <c r="G155" s="375"/>
      <c r="H155" s="375">
        <f>SUM(H99:H154)</f>
        <v>0</v>
      </c>
      <c r="I155" s="375">
        <f>SUM(I99:I154)</f>
        <v>0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25" priority="1" stopIfTrue="1" operator="equal">
      <formula>$I$10</formula>
    </cfRule>
  </conditionalFormatting>
  <conditionalFormatting sqref="C99:C154">
    <cfRule type="cellIs" dxfId="12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8"/>
  <dimension ref="A1:Q162"/>
  <sheetViews>
    <sheetView view="pageBreakPreview" zoomScale="75" zoomScaleNormal="100" zoomScaleSheetLayoutView="75" workbookViewId="0">
      <selection activeCell="D11" sqref="D11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18" max="18" width="9.1796875" customWidth="1"/>
    <col min="23" max="23" width="9.1796875" customWidth="1"/>
  </cols>
  <sheetData>
    <row r="1" spans="1:17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19 of 74</v>
      </c>
      <c r="Q1" s="19"/>
    </row>
    <row r="2" spans="1:17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473097.6151571942</v>
      </c>
      <c r="P5" s="1"/>
    </row>
    <row r="6" spans="1:17" ht="15.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473097.6151571942</v>
      </c>
      <c r="O6" s="1"/>
      <c r="P6" s="1"/>
    </row>
    <row r="7" spans="1:17" ht="13.5" thickBot="1">
      <c r="C7" s="32" t="s">
        <v>48</v>
      </c>
      <c r="D7" s="147" t="s">
        <v>240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22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154</v>
      </c>
      <c r="E9" s="666" t="s">
        <v>476</v>
      </c>
      <c r="F9" s="39"/>
      <c r="G9" s="39"/>
      <c r="H9" s="39"/>
      <c r="I9" s="40"/>
      <c r="J9" s="41"/>
      <c r="O9" s="42"/>
      <c r="P9" s="4"/>
    </row>
    <row r="10" spans="1:17" ht="13">
      <c r="C10" s="43" t="s">
        <v>51</v>
      </c>
      <c r="D10" s="44">
        <v>4480168</v>
      </c>
      <c r="E10" s="12" t="s">
        <v>52</v>
      </c>
      <c r="F10" s="42"/>
      <c r="G10" s="45"/>
      <c r="H10" s="45"/>
      <c r="I10" s="46">
        <f>+'SWE.WS.F.BPU.ATRR.Projected'!L19</f>
        <v>2023</v>
      </c>
      <c r="J10" s="41"/>
      <c r="K10" s="22" t="s">
        <v>53</v>
      </c>
      <c r="O10" s="4"/>
      <c r="P10" s="4"/>
    </row>
    <row r="11" spans="1:17" ht="12.5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 ht="12.5">
      <c r="C12" s="47" t="s">
        <v>56</v>
      </c>
      <c r="D12" s="44">
        <v>5</v>
      </c>
      <c r="E12" s="47" t="s">
        <v>57</v>
      </c>
      <c r="F12" s="45"/>
      <c r="G12" s="7"/>
      <c r="H12" s="7"/>
      <c r="I12" s="51">
        <f>'SWE.WS.F.BPU.ATRR.Projected'!$F$81</f>
        <v>0.12632678797962701</v>
      </c>
      <c r="J12" s="52"/>
      <c r="K12" t="s">
        <v>58</v>
      </c>
      <c r="O12" s="4"/>
      <c r="P12" s="4"/>
    </row>
    <row r="13" spans="1:17" ht="12.5">
      <c r="C13" s="47" t="s">
        <v>59</v>
      </c>
      <c r="D13" s="49">
        <f>+'SWE.WS.F.BPU.ATRR.Projected'!F$93</f>
        <v>42</v>
      </c>
      <c r="E13" s="47" t="s">
        <v>60</v>
      </c>
      <c r="F13" s="45"/>
      <c r="G13" s="7"/>
      <c r="H13" s="7"/>
      <c r="I13" s="51">
        <f>IF(G5="",I12,'SWE.WS.F.BPU.ATRR.Projected'!$F$80)</f>
        <v>0.12632678797962701</v>
      </c>
      <c r="J13" s="52"/>
      <c r="K13" s="22" t="s">
        <v>61</v>
      </c>
      <c r="L13" s="11"/>
      <c r="M13" s="11"/>
      <c r="N13" s="11"/>
      <c r="O13" s="4"/>
      <c r="P13" s="4"/>
    </row>
    <row r="14" spans="1:17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106670.66666666667</v>
      </c>
      <c r="J14" s="22"/>
      <c r="K14" s="22"/>
      <c r="L14" s="22"/>
      <c r="M14" s="22"/>
      <c r="N14" s="22"/>
      <c r="O14" s="4"/>
      <c r="P14" s="4"/>
    </row>
    <row r="15" spans="1:17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388</v>
      </c>
      <c r="H15" s="181" t="s">
        <v>389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2008</v>
      </c>
      <c r="D17" s="155">
        <v>2811966</v>
      </c>
      <c r="E17" s="156">
        <v>44333</v>
      </c>
      <c r="F17" s="155">
        <v>2767633</v>
      </c>
      <c r="G17" s="156">
        <v>327116</v>
      </c>
      <c r="H17" s="157">
        <v>327116</v>
      </c>
      <c r="I17" s="175">
        <f t="shared" ref="I17:I48" si="0">H17-G17</f>
        <v>0</v>
      </c>
      <c r="J17" s="67"/>
      <c r="K17" s="131">
        <v>0</v>
      </c>
      <c r="L17" s="82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2009</v>
      </c>
      <c r="D18" s="159">
        <v>2767633</v>
      </c>
      <c r="E18" s="158">
        <v>75999</v>
      </c>
      <c r="F18" s="159">
        <v>2691634</v>
      </c>
      <c r="G18" s="158">
        <v>488525</v>
      </c>
      <c r="H18" s="157">
        <v>488525</v>
      </c>
      <c r="I18" s="175">
        <f t="shared" si="0"/>
        <v>0</v>
      </c>
      <c r="J18" s="67"/>
      <c r="K18" s="133">
        <v>488525</v>
      </c>
      <c r="L18" s="69">
        <f t="shared" si="1"/>
        <v>0</v>
      </c>
      <c r="M18" s="133">
        <v>488525</v>
      </c>
      <c r="N18" s="69">
        <f t="shared" si="2"/>
        <v>0</v>
      </c>
      <c r="O18" s="69">
        <f t="shared" si="3"/>
        <v>0</v>
      </c>
      <c r="P18" s="4"/>
    </row>
    <row r="19" spans="2:16" ht="12.5">
      <c r="B19" s="9" t="str">
        <f>IF(D19=F18,"","IU")</f>
        <v>IU</v>
      </c>
      <c r="C19" s="64">
        <f>IF(D11="","-",+C18+1)</f>
        <v>2010</v>
      </c>
      <c r="D19" s="159">
        <v>4359835.62</v>
      </c>
      <c r="E19" s="158">
        <v>117899.14789473685</v>
      </c>
      <c r="F19" s="159">
        <v>4241936.4721052628</v>
      </c>
      <c r="G19" s="158">
        <v>727741.14153838763</v>
      </c>
      <c r="H19" s="157">
        <v>727741.14153838763</v>
      </c>
      <c r="I19" s="176">
        <v>0</v>
      </c>
      <c r="J19" s="67"/>
      <c r="K19" s="133">
        <f t="shared" ref="K19:K24" si="4">G19</f>
        <v>727741.14153838763</v>
      </c>
      <c r="L19" s="132">
        <f t="shared" si="1"/>
        <v>0</v>
      </c>
      <c r="M19" s="133">
        <f t="shared" ref="M19:M24" si="5">H19</f>
        <v>727741.14153838763</v>
      </c>
      <c r="N19" s="69">
        <f t="shared" si="2"/>
        <v>0</v>
      </c>
      <c r="O19" s="69">
        <f t="shared" si="3"/>
        <v>0</v>
      </c>
      <c r="P19" s="4"/>
    </row>
    <row r="20" spans="2:16" ht="12.5">
      <c r="B20" s="9" t="str">
        <f t="shared" ref="B20:B72" si="6">IF(D20=F19,"","IU")</f>
        <v/>
      </c>
      <c r="C20" s="64">
        <f>IF(D11="","-",+C19+1)</f>
        <v>2011</v>
      </c>
      <c r="D20" s="159">
        <v>4241936.4721052628</v>
      </c>
      <c r="E20" s="158">
        <v>109272.38097560976</v>
      </c>
      <c r="F20" s="159">
        <v>4132664.0911296532</v>
      </c>
      <c r="G20" s="158">
        <v>754762.21273088234</v>
      </c>
      <c r="H20" s="157">
        <v>754762.21273088234</v>
      </c>
      <c r="I20" s="176">
        <v>0</v>
      </c>
      <c r="J20" s="67"/>
      <c r="K20" s="133">
        <f t="shared" si="4"/>
        <v>754762.21273088234</v>
      </c>
      <c r="L20" s="132">
        <f t="shared" si="1"/>
        <v>0</v>
      </c>
      <c r="M20" s="133">
        <f t="shared" si="5"/>
        <v>754762.21273088234</v>
      </c>
      <c r="N20" s="69">
        <f t="shared" si="2"/>
        <v>0</v>
      </c>
      <c r="O20" s="69">
        <f t="shared" si="3"/>
        <v>0</v>
      </c>
      <c r="P20" s="4"/>
    </row>
    <row r="21" spans="2:16" ht="12.5">
      <c r="B21" s="9" t="str">
        <f t="shared" si="6"/>
        <v/>
      </c>
      <c r="C21" s="64">
        <f>IF(D12="","-",+C20+1)</f>
        <v>2012</v>
      </c>
      <c r="D21" s="159">
        <v>4132664.0911296532</v>
      </c>
      <c r="E21" s="166">
        <v>106670.65761904762</v>
      </c>
      <c r="F21" s="159">
        <v>4025993.4335106057</v>
      </c>
      <c r="G21" s="158">
        <v>705416.96496110456</v>
      </c>
      <c r="H21" s="157">
        <v>705416.96496110456</v>
      </c>
      <c r="I21" s="176">
        <v>0</v>
      </c>
      <c r="J21" s="67"/>
      <c r="K21" s="133">
        <f t="shared" si="4"/>
        <v>705416.96496110456</v>
      </c>
      <c r="L21" s="132">
        <f t="shared" si="1"/>
        <v>0</v>
      </c>
      <c r="M21" s="133">
        <f t="shared" si="5"/>
        <v>705416.96496110456</v>
      </c>
      <c r="N21" s="69">
        <f t="shared" si="2"/>
        <v>0</v>
      </c>
      <c r="O21" s="69">
        <f t="shared" si="3"/>
        <v>0</v>
      </c>
      <c r="P21" s="4"/>
    </row>
    <row r="22" spans="2:16" ht="12.5">
      <c r="B22" s="9" t="str">
        <f t="shared" si="6"/>
        <v/>
      </c>
      <c r="C22" s="64">
        <f>IF(D11="","-",+C21+1)</f>
        <v>2013</v>
      </c>
      <c r="D22" s="173">
        <v>4025993.4335106057</v>
      </c>
      <c r="E22" s="174">
        <v>106670.65761904762</v>
      </c>
      <c r="F22" s="173">
        <v>3919322.7758915583</v>
      </c>
      <c r="G22" s="174">
        <v>655325.21672934014</v>
      </c>
      <c r="H22" s="172">
        <v>655325.21672934014</v>
      </c>
      <c r="I22" s="175">
        <v>0</v>
      </c>
      <c r="J22" s="67"/>
      <c r="K22" s="133">
        <f t="shared" si="4"/>
        <v>655325.21672934014</v>
      </c>
      <c r="L22" s="132">
        <f t="shared" ref="L22:L27" si="7">IF(K22&lt;&gt;0,+G22-K22,0)</f>
        <v>0</v>
      </c>
      <c r="M22" s="133">
        <f t="shared" si="5"/>
        <v>655325.21672934014</v>
      </c>
      <c r="N22" s="69">
        <f t="shared" ref="N22:N27" si="8">IF(M22&lt;&gt;0,+H22-M22,0)</f>
        <v>0</v>
      </c>
      <c r="O22" s="69">
        <f t="shared" ref="O22:O27" si="9">+N22-L22</f>
        <v>0</v>
      </c>
      <c r="P22" s="4"/>
    </row>
    <row r="23" spans="2:16" ht="12.5">
      <c r="B23" s="9" t="str">
        <f t="shared" si="6"/>
        <v/>
      </c>
      <c r="C23" s="64">
        <f>IF(D11="","-",+C22+1)</f>
        <v>2014</v>
      </c>
      <c r="D23" s="173">
        <v>3919322.7758915583</v>
      </c>
      <c r="E23" s="174">
        <v>106670.65761904762</v>
      </c>
      <c r="F23" s="173">
        <v>3812652.1182725108</v>
      </c>
      <c r="G23" s="174">
        <v>621037.49267561059</v>
      </c>
      <c r="H23" s="172">
        <v>621037.49267561059</v>
      </c>
      <c r="I23" s="175">
        <v>0</v>
      </c>
      <c r="J23" s="67"/>
      <c r="K23" s="133">
        <f t="shared" si="4"/>
        <v>621037.49267561059</v>
      </c>
      <c r="L23" s="132">
        <f t="shared" si="7"/>
        <v>0</v>
      </c>
      <c r="M23" s="133">
        <f t="shared" si="5"/>
        <v>621037.49267561059</v>
      </c>
      <c r="N23" s="69">
        <f t="shared" si="8"/>
        <v>0</v>
      </c>
      <c r="O23" s="69">
        <f t="shared" si="9"/>
        <v>0</v>
      </c>
      <c r="P23" s="4"/>
    </row>
    <row r="24" spans="2:16" ht="12.5">
      <c r="B24" s="9" t="str">
        <f t="shared" si="6"/>
        <v/>
      </c>
      <c r="C24" s="64">
        <f>IF(D11="","-",+C23+1)</f>
        <v>2015</v>
      </c>
      <c r="D24" s="173">
        <v>3812652.1182725108</v>
      </c>
      <c r="E24" s="174">
        <v>106670.65761904762</v>
      </c>
      <c r="F24" s="173">
        <v>3705981.4606534634</v>
      </c>
      <c r="G24" s="174">
        <v>594766.20831186429</v>
      </c>
      <c r="H24" s="172">
        <v>594766.20831186429</v>
      </c>
      <c r="I24" s="67">
        <v>0</v>
      </c>
      <c r="J24" s="67"/>
      <c r="K24" s="133">
        <f t="shared" si="4"/>
        <v>594766.20831186429</v>
      </c>
      <c r="L24" s="132">
        <f t="shared" si="7"/>
        <v>0</v>
      </c>
      <c r="M24" s="133">
        <f t="shared" si="5"/>
        <v>594766.20831186429</v>
      </c>
      <c r="N24" s="69">
        <f t="shared" si="8"/>
        <v>0</v>
      </c>
      <c r="O24" s="69">
        <f t="shared" si="9"/>
        <v>0</v>
      </c>
      <c r="P24" s="4"/>
    </row>
    <row r="25" spans="2:16" ht="12.5">
      <c r="B25" s="9" t="str">
        <f t="shared" si="6"/>
        <v/>
      </c>
      <c r="C25" s="64">
        <f>IF(D11="","-",+C24+1)</f>
        <v>2016</v>
      </c>
      <c r="D25" s="173">
        <v>3705981.4606534634</v>
      </c>
      <c r="E25" s="174">
        <v>106670.65761904762</v>
      </c>
      <c r="F25" s="173">
        <v>3599310.8030344159</v>
      </c>
      <c r="G25" s="174">
        <v>574868.91696308763</v>
      </c>
      <c r="H25" s="172">
        <v>574868.91696308763</v>
      </c>
      <c r="I25" s="67">
        <f t="shared" si="0"/>
        <v>0</v>
      </c>
      <c r="J25" s="67"/>
      <c r="K25" s="133">
        <f t="shared" ref="K25:K30" si="10">G25</f>
        <v>574868.91696308763</v>
      </c>
      <c r="L25" s="132">
        <f t="shared" si="7"/>
        <v>0</v>
      </c>
      <c r="M25" s="133">
        <f t="shared" ref="M25:M30" si="11">H25</f>
        <v>574868.91696308763</v>
      </c>
      <c r="N25" s="69">
        <f t="shared" si="8"/>
        <v>0</v>
      </c>
      <c r="O25" s="69">
        <f t="shared" si="9"/>
        <v>0</v>
      </c>
      <c r="P25" s="4"/>
    </row>
    <row r="26" spans="2:16" ht="12.5">
      <c r="B26" s="9" t="str">
        <f t="shared" si="6"/>
        <v/>
      </c>
      <c r="C26" s="64">
        <f>IF(D11="","-",+C25+1)</f>
        <v>2017</v>
      </c>
      <c r="D26" s="173">
        <v>3599310.8030344159</v>
      </c>
      <c r="E26" s="174">
        <v>104189.94465116279</v>
      </c>
      <c r="F26" s="173">
        <v>3495120.8583832532</v>
      </c>
      <c r="G26" s="174">
        <v>543663.50120193616</v>
      </c>
      <c r="H26" s="172">
        <v>543663.50120193616</v>
      </c>
      <c r="I26" s="67">
        <f t="shared" si="0"/>
        <v>0</v>
      </c>
      <c r="J26" s="67"/>
      <c r="K26" s="133">
        <f t="shared" si="10"/>
        <v>543663.50120193616</v>
      </c>
      <c r="L26" s="132">
        <f t="shared" si="7"/>
        <v>0</v>
      </c>
      <c r="M26" s="133">
        <f t="shared" si="11"/>
        <v>543663.50120193616</v>
      </c>
      <c r="N26" s="69">
        <f t="shared" si="8"/>
        <v>0</v>
      </c>
      <c r="O26" s="69">
        <f t="shared" si="9"/>
        <v>0</v>
      </c>
      <c r="P26" s="4"/>
    </row>
    <row r="27" spans="2:16" ht="12.5">
      <c r="B27" s="9" t="str">
        <f t="shared" si="6"/>
        <v/>
      </c>
      <c r="C27" s="64">
        <f>IF(D11="","-",+C26+1)</f>
        <v>2018</v>
      </c>
      <c r="D27" s="173">
        <v>3495120.8583832532</v>
      </c>
      <c r="E27" s="174">
        <v>109272.38097560976</v>
      </c>
      <c r="F27" s="173">
        <v>3385848.4774076436</v>
      </c>
      <c r="G27" s="174">
        <v>546537.67971827346</v>
      </c>
      <c r="H27" s="172">
        <v>546537.67971827346</v>
      </c>
      <c r="I27" s="67">
        <f t="shared" si="0"/>
        <v>0</v>
      </c>
      <c r="J27" s="67"/>
      <c r="K27" s="133">
        <f t="shared" si="10"/>
        <v>546537.67971827346</v>
      </c>
      <c r="L27" s="132">
        <f t="shared" si="7"/>
        <v>0</v>
      </c>
      <c r="M27" s="133">
        <f t="shared" si="11"/>
        <v>546537.67971827346</v>
      </c>
      <c r="N27" s="69">
        <f t="shared" si="8"/>
        <v>0</v>
      </c>
      <c r="O27" s="69">
        <f t="shared" si="9"/>
        <v>0</v>
      </c>
      <c r="P27" s="4"/>
    </row>
    <row r="28" spans="2:16" ht="12.5">
      <c r="B28" s="9" t="str">
        <f t="shared" si="6"/>
        <v/>
      </c>
      <c r="C28" s="64">
        <f>IF(D11="","-",+C27+1)</f>
        <v>2019</v>
      </c>
      <c r="D28" s="173">
        <v>3385848.4774076436</v>
      </c>
      <c r="E28" s="174">
        <v>109272.38097560976</v>
      </c>
      <c r="F28" s="173">
        <v>3276576.0964320339</v>
      </c>
      <c r="G28" s="174">
        <v>532649.80492043286</v>
      </c>
      <c r="H28" s="172">
        <v>532649.80492043286</v>
      </c>
      <c r="I28" s="67">
        <f t="shared" si="0"/>
        <v>0</v>
      </c>
      <c r="J28" s="67"/>
      <c r="K28" s="133">
        <f t="shared" si="10"/>
        <v>532649.80492043286</v>
      </c>
      <c r="L28" s="132">
        <f t="shared" ref="L28" si="12">IF(K28&lt;&gt;0,+G28-K28,0)</f>
        <v>0</v>
      </c>
      <c r="M28" s="133">
        <f t="shared" si="11"/>
        <v>532649.80492043286</v>
      </c>
      <c r="N28" s="69">
        <f t="shared" si="2"/>
        <v>0</v>
      </c>
      <c r="O28" s="69">
        <f t="shared" si="3"/>
        <v>0</v>
      </c>
      <c r="P28" s="4"/>
    </row>
    <row r="29" spans="2:16" ht="12.5">
      <c r="B29" s="9" t="str">
        <f t="shared" si="6"/>
        <v/>
      </c>
      <c r="C29" s="64">
        <f>IF(D11="","-",+C28+1)</f>
        <v>2020</v>
      </c>
      <c r="D29" s="173">
        <v>3276576.0964320339</v>
      </c>
      <c r="E29" s="174">
        <v>109272.38097560976</v>
      </c>
      <c r="F29" s="173">
        <v>3167303.7154564243</v>
      </c>
      <c r="G29" s="174">
        <v>438991.06815712724</v>
      </c>
      <c r="H29" s="172">
        <v>438991.06815712724</v>
      </c>
      <c r="I29" s="67">
        <f t="shared" si="0"/>
        <v>0</v>
      </c>
      <c r="J29" s="67"/>
      <c r="K29" s="133">
        <f t="shared" si="10"/>
        <v>438991.06815712724</v>
      </c>
      <c r="L29" s="132">
        <f t="shared" ref="L29" si="13">IF(K29&lt;&gt;0,+G29-K29,0)</f>
        <v>0</v>
      </c>
      <c r="M29" s="133">
        <f t="shared" si="11"/>
        <v>438991.06815712724</v>
      </c>
      <c r="N29" s="69">
        <f t="shared" si="2"/>
        <v>0</v>
      </c>
      <c r="O29" s="69">
        <f t="shared" si="3"/>
        <v>0</v>
      </c>
      <c r="P29" s="4"/>
    </row>
    <row r="30" spans="2:16" ht="12.5">
      <c r="B30" s="9" t="str">
        <f t="shared" si="6"/>
        <v>IU</v>
      </c>
      <c r="C30" s="64">
        <f>IF(D11="","-",+C29+1)</f>
        <v>2021</v>
      </c>
      <c r="D30" s="173">
        <v>3172386.1517808703</v>
      </c>
      <c r="E30" s="174">
        <v>106670.65761904762</v>
      </c>
      <c r="F30" s="173">
        <v>3065715.4941618228</v>
      </c>
      <c r="G30" s="174">
        <v>437304.22107294126</v>
      </c>
      <c r="H30" s="172">
        <v>437304.22107294126</v>
      </c>
      <c r="I30" s="67">
        <f t="shared" si="0"/>
        <v>0</v>
      </c>
      <c r="J30" s="67"/>
      <c r="K30" s="133">
        <f t="shared" si="10"/>
        <v>437304.22107294126</v>
      </c>
      <c r="L30" s="132">
        <f t="shared" ref="L30" si="14">IF(K30&lt;&gt;0,+G30-K30,0)</f>
        <v>0</v>
      </c>
      <c r="M30" s="133">
        <f t="shared" si="11"/>
        <v>437304.22107294126</v>
      </c>
      <c r="N30" s="69">
        <f t="shared" si="2"/>
        <v>0</v>
      </c>
      <c r="O30" s="69">
        <f t="shared" si="3"/>
        <v>0</v>
      </c>
      <c r="P30" s="4"/>
    </row>
    <row r="31" spans="2:16" ht="12.5">
      <c r="B31" s="9" t="str">
        <f t="shared" si="6"/>
        <v>IU</v>
      </c>
      <c r="C31" s="64">
        <f>IF(D11="","-",+C30+1)</f>
        <v>2022</v>
      </c>
      <c r="D31" s="173">
        <v>3060633.0578373754</v>
      </c>
      <c r="E31" s="174">
        <v>106670.65761904762</v>
      </c>
      <c r="F31" s="173">
        <v>2953962.400218328</v>
      </c>
      <c r="G31" s="174">
        <v>444823.534818093</v>
      </c>
      <c r="H31" s="172">
        <v>444823.534818093</v>
      </c>
      <c r="I31" s="67">
        <f t="shared" si="0"/>
        <v>0</v>
      </c>
      <c r="J31" s="67"/>
      <c r="K31" s="133">
        <f t="shared" ref="K31" si="15">G31</f>
        <v>444823.534818093</v>
      </c>
      <c r="L31" s="132">
        <f t="shared" ref="L31" si="16">IF(K31&lt;&gt;0,+G31-K31,0)</f>
        <v>0</v>
      </c>
      <c r="M31" s="133">
        <f t="shared" ref="M31" si="17">H31</f>
        <v>444823.534818093</v>
      </c>
      <c r="N31" s="69">
        <f t="shared" si="2"/>
        <v>0</v>
      </c>
      <c r="O31" s="69">
        <f t="shared" si="3"/>
        <v>0</v>
      </c>
      <c r="P31" s="4"/>
    </row>
    <row r="32" spans="2:16" ht="12.5">
      <c r="B32" s="9" t="str">
        <f t="shared" si="6"/>
        <v>IU</v>
      </c>
      <c r="C32" s="64">
        <f>IF(D11="","-",+C31+1)</f>
        <v>2023</v>
      </c>
      <c r="D32" s="70">
        <f>IF(F31+SUM(E$17:E31)=D$10,F31,D$10-SUM(E$17:E31))</f>
        <v>2953962.7802183279</v>
      </c>
      <c r="E32" s="71">
        <f>IF(+I14&lt;F31,I14,D32)</f>
        <v>106670.66666666667</v>
      </c>
      <c r="F32" s="70">
        <f t="shared" ref="F32:F48" si="18">+D32-E32</f>
        <v>2847292.1135516614</v>
      </c>
      <c r="G32" s="72">
        <f t="shared" ref="G32:G72" si="19">+I$12*((D32+F32)/2)+E32</f>
        <v>473097.6151571942</v>
      </c>
      <c r="H32" s="53">
        <f t="shared" ref="H32:H72" si="20">+I$13*((D32+F32)/2)+E32</f>
        <v>473097.6151571942</v>
      </c>
      <c r="I32" s="67">
        <f t="shared" si="0"/>
        <v>0</v>
      </c>
      <c r="J32" s="67"/>
      <c r="K32" s="150"/>
      <c r="L32" s="69">
        <f t="shared" si="1"/>
        <v>0</v>
      </c>
      <c r="M32" s="150"/>
      <c r="N32" s="69">
        <f t="shared" si="2"/>
        <v>0</v>
      </c>
      <c r="O32" s="69">
        <f t="shared" si="3"/>
        <v>0</v>
      </c>
      <c r="P32" s="4"/>
    </row>
    <row r="33" spans="2:16" ht="12.5">
      <c r="B33" s="9" t="str">
        <f t="shared" si="6"/>
        <v/>
      </c>
      <c r="C33" s="64">
        <f>IF(D11="","-",+C32+1)</f>
        <v>2024</v>
      </c>
      <c r="D33" s="70">
        <f>IF(F32+SUM(E$17:E32)=D$10,F32,D$10-SUM(E$17:E32))</f>
        <v>2847292.1135516614</v>
      </c>
      <c r="E33" s="71">
        <f>IF(+I14&lt;F32,I14,D33)</f>
        <v>106670.66666666667</v>
      </c>
      <c r="F33" s="70">
        <f t="shared" si="18"/>
        <v>2740621.4468849949</v>
      </c>
      <c r="G33" s="72">
        <f t="shared" si="19"/>
        <v>459622.25246554881</v>
      </c>
      <c r="H33" s="53">
        <f t="shared" si="20"/>
        <v>459622.25246554881</v>
      </c>
      <c r="I33" s="67">
        <f t="shared" si="0"/>
        <v>0</v>
      </c>
      <c r="J33" s="67"/>
      <c r="K33" s="150"/>
      <c r="L33" s="69">
        <f t="shared" si="1"/>
        <v>0</v>
      </c>
      <c r="M33" s="150"/>
      <c r="N33" s="69">
        <f t="shared" si="2"/>
        <v>0</v>
      </c>
      <c r="O33" s="69">
        <f t="shared" si="3"/>
        <v>0</v>
      </c>
      <c r="P33" s="4"/>
    </row>
    <row r="34" spans="2:16" ht="12.5">
      <c r="B34" s="9" t="str">
        <f t="shared" si="6"/>
        <v/>
      </c>
      <c r="C34" s="64">
        <f>IF(D11="","-",+C33+1)</f>
        <v>2025</v>
      </c>
      <c r="D34" s="70">
        <f>IF(F33+SUM(E$17:E33)=D$10,F33,D$10-SUM(E$17:E33))</f>
        <v>2740621.4468849949</v>
      </c>
      <c r="E34" s="71">
        <f>IF(+I14&lt;F33,I14,D34)</f>
        <v>106670.66666666667</v>
      </c>
      <c r="F34" s="70">
        <f t="shared" si="18"/>
        <v>2633950.7802183283</v>
      </c>
      <c r="G34" s="72">
        <f t="shared" si="19"/>
        <v>446146.8897739033</v>
      </c>
      <c r="H34" s="53">
        <f t="shared" si="20"/>
        <v>446146.8897739033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 ht="12.5">
      <c r="B35" s="9" t="str">
        <f t="shared" si="6"/>
        <v/>
      </c>
      <c r="C35" s="64">
        <f>IF(D11="","-",+C34+1)</f>
        <v>2026</v>
      </c>
      <c r="D35" s="70">
        <f>IF(F34+SUM(E$17:E34)=D$10,F34,D$10-SUM(E$17:E34))</f>
        <v>2633950.7802183283</v>
      </c>
      <c r="E35" s="71">
        <f>IF(+I14&lt;F34,I14,D35)</f>
        <v>106670.66666666667</v>
      </c>
      <c r="F35" s="70">
        <f t="shared" si="18"/>
        <v>2527280.1135516618</v>
      </c>
      <c r="G35" s="72">
        <f t="shared" si="19"/>
        <v>432671.5270822579</v>
      </c>
      <c r="H35" s="53">
        <f t="shared" si="20"/>
        <v>432671.5270822579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 ht="12.5">
      <c r="B36" s="9" t="str">
        <f t="shared" si="6"/>
        <v/>
      </c>
      <c r="C36" s="64">
        <f>IF(D11="","-",+C35+1)</f>
        <v>2027</v>
      </c>
      <c r="D36" s="70">
        <f>IF(F35+SUM(E$17:E35)=D$10,F35,D$10-SUM(E$17:E35))</f>
        <v>2527280.1135516618</v>
      </c>
      <c r="E36" s="71">
        <f>IF(+I14&lt;F35,I14,D36)</f>
        <v>106670.66666666667</v>
      </c>
      <c r="F36" s="70">
        <f t="shared" si="18"/>
        <v>2420609.4468849953</v>
      </c>
      <c r="G36" s="72">
        <f t="shared" si="19"/>
        <v>419196.16439061239</v>
      </c>
      <c r="H36" s="53">
        <f t="shared" si="20"/>
        <v>419196.16439061239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 ht="12.5">
      <c r="B37" s="9" t="str">
        <f t="shared" si="6"/>
        <v/>
      </c>
      <c r="C37" s="64">
        <f>IF(D11="","-",+C36+1)</f>
        <v>2028</v>
      </c>
      <c r="D37" s="70">
        <f>IF(F36+SUM(E$17:E36)=D$10,F36,D$10-SUM(E$17:E36))</f>
        <v>2420609.4468849953</v>
      </c>
      <c r="E37" s="71">
        <f>IF(+I14&lt;F36,I14,D37)</f>
        <v>106670.66666666667</v>
      </c>
      <c r="F37" s="70">
        <f t="shared" si="18"/>
        <v>2313938.7802183288</v>
      </c>
      <c r="G37" s="72">
        <f t="shared" si="19"/>
        <v>405720.801698967</v>
      </c>
      <c r="H37" s="53">
        <f t="shared" si="20"/>
        <v>405720.801698967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 ht="12.5">
      <c r="B38" s="9" t="str">
        <f t="shared" si="6"/>
        <v/>
      </c>
      <c r="C38" s="64">
        <f>IF(D11="","-",+C37+1)</f>
        <v>2029</v>
      </c>
      <c r="D38" s="70">
        <f>IF(F37+SUM(E$17:E37)=D$10,F37,D$10-SUM(E$17:E37))</f>
        <v>2313938.7802183288</v>
      </c>
      <c r="E38" s="71">
        <f>IF(+I14&lt;F37,I14,D38)</f>
        <v>106670.66666666667</v>
      </c>
      <c r="F38" s="70">
        <f t="shared" si="18"/>
        <v>2207268.1135516623</v>
      </c>
      <c r="G38" s="72">
        <f t="shared" si="19"/>
        <v>392245.43900732149</v>
      </c>
      <c r="H38" s="53">
        <f t="shared" si="20"/>
        <v>392245.43900732149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 ht="12.5">
      <c r="B39" s="9" t="str">
        <f t="shared" si="6"/>
        <v/>
      </c>
      <c r="C39" s="64">
        <f>IF(D11="","-",+C38+1)</f>
        <v>2030</v>
      </c>
      <c r="D39" s="70">
        <f>IF(F38+SUM(E$17:E38)=D$10,F38,D$10-SUM(E$17:E38))</f>
        <v>2207268.1135516623</v>
      </c>
      <c r="E39" s="71">
        <f>IF(+I14&lt;F38,I14,D39)</f>
        <v>106670.66666666667</v>
      </c>
      <c r="F39" s="70">
        <f t="shared" si="18"/>
        <v>2100597.4468849958</v>
      </c>
      <c r="G39" s="72">
        <f t="shared" si="19"/>
        <v>378770.07631567609</v>
      </c>
      <c r="H39" s="53">
        <f t="shared" si="20"/>
        <v>378770.07631567609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 ht="12.5">
      <c r="B40" s="9" t="str">
        <f t="shared" si="6"/>
        <v/>
      </c>
      <c r="C40" s="64">
        <f>IF(D11="","-",+C39+1)</f>
        <v>2031</v>
      </c>
      <c r="D40" s="70">
        <f>IF(F39+SUM(E$17:E39)=D$10,F39,D$10-SUM(E$17:E39))</f>
        <v>2100597.4468849958</v>
      </c>
      <c r="E40" s="71">
        <f>IF(+I14&lt;F39,I14,D40)</f>
        <v>106670.66666666667</v>
      </c>
      <c r="F40" s="70">
        <f t="shared" si="18"/>
        <v>1993926.780218329</v>
      </c>
      <c r="G40" s="72">
        <f t="shared" si="19"/>
        <v>365294.71362403058</v>
      </c>
      <c r="H40" s="53">
        <f t="shared" si="20"/>
        <v>365294.71362403058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 ht="12.5">
      <c r="B41" s="9" t="str">
        <f t="shared" si="6"/>
        <v/>
      </c>
      <c r="C41" s="64">
        <f>IF(D11="","-",+C40+1)</f>
        <v>2032</v>
      </c>
      <c r="D41" s="70">
        <f>IF(F40+SUM(E$17:E40)=D$10,F40,D$10-SUM(E$17:E40))</f>
        <v>1993926.780218329</v>
      </c>
      <c r="E41" s="71">
        <f>IF(+I14&lt;F40,I14,D41)</f>
        <v>106670.66666666667</v>
      </c>
      <c r="F41" s="70">
        <f t="shared" si="18"/>
        <v>1887256.1135516623</v>
      </c>
      <c r="G41" s="72">
        <f t="shared" si="19"/>
        <v>351819.35093238513</v>
      </c>
      <c r="H41" s="53">
        <f t="shared" si="20"/>
        <v>351819.35093238513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 ht="12.5">
      <c r="B42" s="9" t="str">
        <f t="shared" si="6"/>
        <v/>
      </c>
      <c r="C42" s="64">
        <f>IF(D11="","-",+C41+1)</f>
        <v>2033</v>
      </c>
      <c r="D42" s="70">
        <f>IF(F41+SUM(E$17:E41)=D$10,F41,D$10-SUM(E$17:E41))</f>
        <v>1887256.1135516623</v>
      </c>
      <c r="E42" s="71">
        <f>IF(+I14&lt;F41,I14,D42)</f>
        <v>106670.66666666667</v>
      </c>
      <c r="F42" s="70">
        <f t="shared" si="18"/>
        <v>1780585.4468849956</v>
      </c>
      <c r="G42" s="72">
        <f t="shared" si="19"/>
        <v>338343.98824073962</v>
      </c>
      <c r="H42" s="53">
        <f t="shared" si="20"/>
        <v>338343.98824073962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 ht="12.5">
      <c r="B43" s="9" t="str">
        <f t="shared" si="6"/>
        <v/>
      </c>
      <c r="C43" s="64">
        <f>IF(D11="","-",+C42+1)</f>
        <v>2034</v>
      </c>
      <c r="D43" s="70">
        <f>IF(F42+SUM(E$17:E42)=D$10,F42,D$10-SUM(E$17:E42))</f>
        <v>1780585.4468849956</v>
      </c>
      <c r="E43" s="71">
        <f>IF(+I14&lt;F42,I14,D43)</f>
        <v>106670.66666666667</v>
      </c>
      <c r="F43" s="70">
        <f t="shared" si="18"/>
        <v>1673914.7802183288</v>
      </c>
      <c r="G43" s="72">
        <f t="shared" si="19"/>
        <v>324868.62554909423</v>
      </c>
      <c r="H43" s="53">
        <f t="shared" si="20"/>
        <v>324868.62554909423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 ht="12.5">
      <c r="B44" s="9" t="str">
        <f t="shared" si="6"/>
        <v/>
      </c>
      <c r="C44" s="64">
        <f>IF(D11="","-",+C43+1)</f>
        <v>2035</v>
      </c>
      <c r="D44" s="70">
        <f>IF(F43+SUM(E$17:E43)=D$10,F43,D$10-SUM(E$17:E43))</f>
        <v>1673914.7802183288</v>
      </c>
      <c r="E44" s="71">
        <f>IF(+I14&lt;F43,I14,D44)</f>
        <v>106670.66666666667</v>
      </c>
      <c r="F44" s="70">
        <f t="shared" si="18"/>
        <v>1567244.1135516621</v>
      </c>
      <c r="G44" s="72">
        <f t="shared" si="19"/>
        <v>311393.26285744872</v>
      </c>
      <c r="H44" s="53">
        <f t="shared" si="20"/>
        <v>311393.26285744872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 ht="12.5">
      <c r="B45" s="9" t="str">
        <f t="shared" si="6"/>
        <v/>
      </c>
      <c r="C45" s="64">
        <f>IF(D11="","-",+C44+1)</f>
        <v>2036</v>
      </c>
      <c r="D45" s="70">
        <f>IF(F44+SUM(E$17:E44)=D$10,F44,D$10-SUM(E$17:E44))</f>
        <v>1567244.1135516621</v>
      </c>
      <c r="E45" s="71">
        <f>IF(+I14&lt;F44,I14,D45)</f>
        <v>106670.66666666667</v>
      </c>
      <c r="F45" s="70">
        <f t="shared" si="18"/>
        <v>1460573.4468849953</v>
      </c>
      <c r="G45" s="72">
        <f t="shared" si="19"/>
        <v>297917.90016580326</v>
      </c>
      <c r="H45" s="53">
        <f t="shared" si="20"/>
        <v>297917.90016580326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 ht="12.5">
      <c r="B46" s="9" t="str">
        <f t="shared" si="6"/>
        <v/>
      </c>
      <c r="C46" s="64">
        <f>IF(D11="","-",+C45+1)</f>
        <v>2037</v>
      </c>
      <c r="D46" s="70">
        <f>IF(F45+SUM(E$17:E45)=D$10,F45,D$10-SUM(E$17:E45))</f>
        <v>1460573.4468849953</v>
      </c>
      <c r="E46" s="71">
        <f>IF(+I14&lt;F45,I14,D46)</f>
        <v>106670.66666666667</v>
      </c>
      <c r="F46" s="70">
        <f t="shared" si="18"/>
        <v>1353902.7802183286</v>
      </c>
      <c r="G46" s="72">
        <f t="shared" si="19"/>
        <v>284442.53747415775</v>
      </c>
      <c r="H46" s="53">
        <f t="shared" si="20"/>
        <v>284442.53747415775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 ht="12.5">
      <c r="B47" s="9" t="str">
        <f t="shared" si="6"/>
        <v/>
      </c>
      <c r="C47" s="64">
        <f>IF(D11="","-",+C46+1)</f>
        <v>2038</v>
      </c>
      <c r="D47" s="70">
        <f>IF(F46+SUM(E$17:E46)=D$10,F46,D$10-SUM(E$17:E46))</f>
        <v>1353902.7802183286</v>
      </c>
      <c r="E47" s="71">
        <f>IF(+I14&lt;F46,I14,D47)</f>
        <v>106670.66666666667</v>
      </c>
      <c r="F47" s="70">
        <f t="shared" si="18"/>
        <v>1247232.1135516618</v>
      </c>
      <c r="G47" s="72">
        <f t="shared" si="19"/>
        <v>270967.1747825123</v>
      </c>
      <c r="H47" s="53">
        <f t="shared" si="20"/>
        <v>270967.1747825123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 ht="12.5">
      <c r="B48" s="9" t="str">
        <f t="shared" si="6"/>
        <v/>
      </c>
      <c r="C48" s="64">
        <f>IF(D11="","-",+C47+1)</f>
        <v>2039</v>
      </c>
      <c r="D48" s="70">
        <f>IF(F47+SUM(E$17:E47)=D$10,F47,D$10-SUM(E$17:E47))</f>
        <v>1247232.1135516618</v>
      </c>
      <c r="E48" s="71">
        <f>IF(+I14&lt;F47,I14,D48)</f>
        <v>106670.66666666667</v>
      </c>
      <c r="F48" s="70">
        <f t="shared" si="18"/>
        <v>1140561.4468849951</v>
      </c>
      <c r="G48" s="72">
        <f t="shared" si="19"/>
        <v>257491.81209086679</v>
      </c>
      <c r="H48" s="53">
        <f t="shared" si="20"/>
        <v>257491.81209086679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 ht="12.5">
      <c r="B49" s="9" t="str">
        <f t="shared" si="6"/>
        <v/>
      </c>
      <c r="C49" s="64">
        <f>IF(D11="","-",+C48+1)</f>
        <v>2040</v>
      </c>
      <c r="D49" s="70">
        <f>IF(F48+SUM(E$17:E48)=D$10,F48,D$10-SUM(E$17:E48))</f>
        <v>1140561.4468849951</v>
      </c>
      <c r="E49" s="71">
        <f>IF(+I14&lt;F48,I14,D49)</f>
        <v>106670.66666666667</v>
      </c>
      <c r="F49" s="70">
        <f t="shared" ref="F49:F72" si="21">+D49-E49</f>
        <v>1033890.7802183285</v>
      </c>
      <c r="G49" s="72">
        <f t="shared" si="19"/>
        <v>244016.44939922134</v>
      </c>
      <c r="H49" s="53">
        <f t="shared" si="20"/>
        <v>244016.44939922134</v>
      </c>
      <c r="I49" s="67">
        <f t="shared" ref="I49:I72" si="22">H49-G49</f>
        <v>0</v>
      </c>
      <c r="J49" s="67"/>
      <c r="K49" s="150"/>
      <c r="L49" s="69">
        <f t="shared" ref="L49:L72" si="23">IF(K49&lt;&gt;0,+G49-K49,0)</f>
        <v>0</v>
      </c>
      <c r="M49" s="150"/>
      <c r="N49" s="69">
        <f t="shared" ref="N49:N72" si="24">IF(M49&lt;&gt;0,+H49-M49,0)</f>
        <v>0</v>
      </c>
      <c r="O49" s="69">
        <f t="shared" ref="O49:O72" si="25">+N49-L49</f>
        <v>0</v>
      </c>
      <c r="P49" s="4"/>
    </row>
    <row r="50" spans="2:17" ht="12.5">
      <c r="B50" s="9" t="str">
        <f t="shared" si="6"/>
        <v/>
      </c>
      <c r="C50" s="64">
        <f>IF(D11="","-",+C49+1)</f>
        <v>2041</v>
      </c>
      <c r="D50" s="70">
        <f>IF(F49+SUM(E$17:E49)=D$10,F49,D$10-SUM(E$17:E49))</f>
        <v>1033890.7802183285</v>
      </c>
      <c r="E50" s="71">
        <f>IF(+I14&lt;F49,I14,D50)</f>
        <v>106670.66666666667</v>
      </c>
      <c r="F50" s="70">
        <f t="shared" si="21"/>
        <v>927220.11355166184</v>
      </c>
      <c r="G50" s="72">
        <f t="shared" si="19"/>
        <v>230541.08670757586</v>
      </c>
      <c r="H50" s="53">
        <f t="shared" si="20"/>
        <v>230541.08670757586</v>
      </c>
      <c r="I50" s="67">
        <f t="shared" si="22"/>
        <v>0</v>
      </c>
      <c r="J50" s="67"/>
      <c r="K50" s="150"/>
      <c r="L50" s="69">
        <f t="shared" si="23"/>
        <v>0</v>
      </c>
      <c r="M50" s="150"/>
      <c r="N50" s="69">
        <f t="shared" si="24"/>
        <v>0</v>
      </c>
      <c r="O50" s="69">
        <f t="shared" si="25"/>
        <v>0</v>
      </c>
      <c r="P50" s="4"/>
    </row>
    <row r="51" spans="2:17" ht="12.5">
      <c r="B51" s="9" t="str">
        <f t="shared" si="6"/>
        <v/>
      </c>
      <c r="C51" s="64">
        <f>IF(D11="","-",+C50+1)</f>
        <v>2042</v>
      </c>
      <c r="D51" s="70">
        <f>IF(F50+SUM(E$17:E50)=D$10,F50,D$10-SUM(E$17:E50))</f>
        <v>927220.11355166184</v>
      </c>
      <c r="E51" s="71">
        <f>IF(+I14&lt;F50,I14,D51)</f>
        <v>106670.66666666667</v>
      </c>
      <c r="F51" s="70">
        <f t="shared" si="21"/>
        <v>820549.44688499521</v>
      </c>
      <c r="G51" s="72">
        <f t="shared" si="19"/>
        <v>217065.72401593043</v>
      </c>
      <c r="H51" s="53">
        <f t="shared" si="20"/>
        <v>217065.72401593043</v>
      </c>
      <c r="I51" s="67">
        <f t="shared" si="22"/>
        <v>0</v>
      </c>
      <c r="J51" s="67"/>
      <c r="K51" s="150"/>
      <c r="L51" s="69">
        <f t="shared" si="23"/>
        <v>0</v>
      </c>
      <c r="M51" s="150"/>
      <c r="N51" s="69">
        <f t="shared" si="24"/>
        <v>0</v>
      </c>
      <c r="O51" s="69">
        <f t="shared" si="25"/>
        <v>0</v>
      </c>
      <c r="P51" s="4"/>
    </row>
    <row r="52" spans="2:17" ht="12.5">
      <c r="B52" s="9" t="str">
        <f t="shared" si="6"/>
        <v/>
      </c>
      <c r="C52" s="64">
        <f>IF(D11="","-",+C51+1)</f>
        <v>2043</v>
      </c>
      <c r="D52" s="70">
        <f>IF(F51+SUM(E$17:E51)=D$10,F51,D$10-SUM(E$17:E51))</f>
        <v>820549.44688499521</v>
      </c>
      <c r="E52" s="71">
        <f>IF(+I14&lt;F51,I14,D52)</f>
        <v>106670.66666666667</v>
      </c>
      <c r="F52" s="70">
        <f t="shared" si="21"/>
        <v>713878.78021832858</v>
      </c>
      <c r="G52" s="72">
        <f t="shared" si="19"/>
        <v>203590.36132428492</v>
      </c>
      <c r="H52" s="53">
        <f t="shared" si="20"/>
        <v>203590.36132428492</v>
      </c>
      <c r="I52" s="67">
        <f t="shared" si="22"/>
        <v>0</v>
      </c>
      <c r="J52" s="67"/>
      <c r="K52" s="150"/>
      <c r="L52" s="69">
        <f t="shared" si="23"/>
        <v>0</v>
      </c>
      <c r="M52" s="150"/>
      <c r="N52" s="69">
        <f t="shared" si="24"/>
        <v>0</v>
      </c>
      <c r="O52" s="69">
        <f t="shared" si="25"/>
        <v>0</v>
      </c>
      <c r="P52" s="4"/>
    </row>
    <row r="53" spans="2:17" ht="12.5">
      <c r="B53" s="9" t="str">
        <f t="shared" si="6"/>
        <v/>
      </c>
      <c r="C53" s="64">
        <f>IF(D11="","-",+C52+1)</f>
        <v>2044</v>
      </c>
      <c r="D53" s="70">
        <f>IF(F52+SUM(E$17:E52)=D$10,F52,D$10-SUM(E$17:E52))</f>
        <v>713878.78021832858</v>
      </c>
      <c r="E53" s="71">
        <f>IF(+I14&lt;F52,I14,D53)</f>
        <v>106670.66666666667</v>
      </c>
      <c r="F53" s="70">
        <f t="shared" si="21"/>
        <v>607208.11355166195</v>
      </c>
      <c r="G53" s="72">
        <f t="shared" si="19"/>
        <v>190114.9986326395</v>
      </c>
      <c r="H53" s="53">
        <f t="shared" si="20"/>
        <v>190114.9986326395</v>
      </c>
      <c r="I53" s="67">
        <f t="shared" si="22"/>
        <v>0</v>
      </c>
      <c r="J53" s="67"/>
      <c r="K53" s="150"/>
      <c r="L53" s="69">
        <f t="shared" si="23"/>
        <v>0</v>
      </c>
      <c r="M53" s="150"/>
      <c r="N53" s="69">
        <f t="shared" si="24"/>
        <v>0</v>
      </c>
      <c r="O53" s="69">
        <f t="shared" si="25"/>
        <v>0</v>
      </c>
      <c r="P53" s="4"/>
    </row>
    <row r="54" spans="2:17" ht="12.5">
      <c r="B54" s="9" t="str">
        <f t="shared" si="6"/>
        <v/>
      </c>
      <c r="C54" s="64">
        <f>IF(D11="","-",+C53+1)</f>
        <v>2045</v>
      </c>
      <c r="D54" s="70">
        <f>IF(F53+SUM(E$17:E53)=D$10,F53,D$10-SUM(E$17:E53))</f>
        <v>607208.11355166195</v>
      </c>
      <c r="E54" s="71">
        <f>IF(+I14&lt;F53,I14,D54)</f>
        <v>106670.66666666667</v>
      </c>
      <c r="F54" s="70">
        <f t="shared" si="21"/>
        <v>500537.44688499527</v>
      </c>
      <c r="G54" s="72">
        <f t="shared" si="19"/>
        <v>176639.63594099402</v>
      </c>
      <c r="H54" s="53">
        <f t="shared" si="20"/>
        <v>176639.63594099402</v>
      </c>
      <c r="I54" s="67">
        <f t="shared" si="22"/>
        <v>0</v>
      </c>
      <c r="J54" s="67"/>
      <c r="K54" s="150"/>
      <c r="L54" s="69">
        <f t="shared" si="23"/>
        <v>0</v>
      </c>
      <c r="M54" s="150"/>
      <c r="N54" s="69">
        <f t="shared" si="24"/>
        <v>0</v>
      </c>
      <c r="O54" s="69">
        <f t="shared" si="25"/>
        <v>0</v>
      </c>
      <c r="P54" s="4"/>
    </row>
    <row r="55" spans="2:17" ht="12.5">
      <c r="B55" s="9" t="str">
        <f t="shared" si="6"/>
        <v/>
      </c>
      <c r="C55" s="64">
        <f>IF(D11="","-",+C54+1)</f>
        <v>2046</v>
      </c>
      <c r="D55" s="70">
        <f>IF(F54+SUM(E$17:E54)=D$10,F54,D$10-SUM(E$17:E54))</f>
        <v>500537.44688499527</v>
      </c>
      <c r="E55" s="71">
        <f>IF(+I14&lt;F54,I14,D55)</f>
        <v>106670.66666666667</v>
      </c>
      <c r="F55" s="70">
        <f t="shared" si="21"/>
        <v>393866.78021832858</v>
      </c>
      <c r="G55" s="72">
        <f t="shared" si="19"/>
        <v>163164.27324934857</v>
      </c>
      <c r="H55" s="53">
        <f t="shared" si="20"/>
        <v>163164.27324934857</v>
      </c>
      <c r="I55" s="67">
        <f t="shared" si="22"/>
        <v>0</v>
      </c>
      <c r="J55" s="67"/>
      <c r="K55" s="150"/>
      <c r="L55" s="69">
        <f t="shared" si="23"/>
        <v>0</v>
      </c>
      <c r="M55" s="150"/>
      <c r="N55" s="69">
        <f t="shared" si="24"/>
        <v>0</v>
      </c>
      <c r="O55" s="69">
        <f t="shared" si="25"/>
        <v>0</v>
      </c>
      <c r="P55" s="4"/>
    </row>
    <row r="56" spans="2:17" ht="12.5">
      <c r="B56" s="9" t="str">
        <f t="shared" si="6"/>
        <v/>
      </c>
      <c r="C56" s="64">
        <f>IF(D11="","-",+C55+1)</f>
        <v>2047</v>
      </c>
      <c r="D56" s="70">
        <f>IF(F55+SUM(E$17:E55)=D$10,F55,D$10-SUM(E$17:E55))</f>
        <v>393866.78021832858</v>
      </c>
      <c r="E56" s="71">
        <f>IF(+I14&lt;F55,I14,D56)</f>
        <v>106670.66666666667</v>
      </c>
      <c r="F56" s="70">
        <f t="shared" si="21"/>
        <v>287196.1135516619</v>
      </c>
      <c r="G56" s="72">
        <f t="shared" si="19"/>
        <v>149688.91055770309</v>
      </c>
      <c r="H56" s="53">
        <f t="shared" si="20"/>
        <v>149688.91055770309</v>
      </c>
      <c r="I56" s="67">
        <f t="shared" si="22"/>
        <v>0</v>
      </c>
      <c r="J56" s="67"/>
      <c r="K56" s="150"/>
      <c r="L56" s="69">
        <f t="shared" si="23"/>
        <v>0</v>
      </c>
      <c r="M56" s="150"/>
      <c r="N56" s="69">
        <f t="shared" si="24"/>
        <v>0</v>
      </c>
      <c r="O56" s="69">
        <f t="shared" si="25"/>
        <v>0</v>
      </c>
      <c r="P56" s="4"/>
    </row>
    <row r="57" spans="2:17" ht="12.5">
      <c r="B57" s="9" t="str">
        <f t="shared" si="6"/>
        <v/>
      </c>
      <c r="C57" s="64">
        <f>IF(D11="","-",+C56+1)</f>
        <v>2048</v>
      </c>
      <c r="D57" s="70">
        <f>IF(F56+SUM(E$17:E56)=D$10,F56,D$10-SUM(E$17:E56))</f>
        <v>287196.1135516619</v>
      </c>
      <c r="E57" s="71">
        <f>IF(+I14&lt;F56,I14,D57)</f>
        <v>106670.66666666667</v>
      </c>
      <c r="F57" s="70">
        <f t="shared" si="21"/>
        <v>180525.44688499521</v>
      </c>
      <c r="G57" s="72">
        <f t="shared" si="19"/>
        <v>136213.5478660576</v>
      </c>
      <c r="H57" s="53">
        <f t="shared" si="20"/>
        <v>136213.5478660576</v>
      </c>
      <c r="I57" s="67">
        <f t="shared" si="22"/>
        <v>0</v>
      </c>
      <c r="J57" s="67"/>
      <c r="K57" s="150"/>
      <c r="L57" s="69">
        <f t="shared" si="23"/>
        <v>0</v>
      </c>
      <c r="M57" s="150"/>
      <c r="N57" s="69">
        <f t="shared" si="24"/>
        <v>0</v>
      </c>
      <c r="O57" s="69">
        <f t="shared" si="25"/>
        <v>0</v>
      </c>
      <c r="P57" s="4"/>
    </row>
    <row r="58" spans="2:17" ht="12.5">
      <c r="B58" s="9" t="str">
        <f t="shared" si="6"/>
        <v/>
      </c>
      <c r="C58" s="64">
        <f>IF(D11="","-",+C57+1)</f>
        <v>2049</v>
      </c>
      <c r="D58" s="70">
        <f>IF(F57+SUM(E$17:E57)=D$10,F57,D$10-SUM(E$17:E57))</f>
        <v>180525.44688499521</v>
      </c>
      <c r="E58" s="71">
        <f>IF(+I14&lt;F57,I14,D58)</f>
        <v>106670.66666666667</v>
      </c>
      <c r="F58" s="70">
        <f t="shared" si="21"/>
        <v>73854.780218328538</v>
      </c>
      <c r="G58" s="72">
        <f t="shared" si="19"/>
        <v>122738.18517441215</v>
      </c>
      <c r="H58" s="53">
        <f t="shared" si="20"/>
        <v>122738.18517441215</v>
      </c>
      <c r="I58" s="67">
        <f t="shared" si="22"/>
        <v>0</v>
      </c>
      <c r="J58" s="67"/>
      <c r="K58" s="150"/>
      <c r="L58" s="69">
        <f t="shared" si="23"/>
        <v>0</v>
      </c>
      <c r="M58" s="150"/>
      <c r="N58" s="69">
        <f t="shared" si="24"/>
        <v>0</v>
      </c>
      <c r="O58" s="69">
        <f t="shared" si="25"/>
        <v>0</v>
      </c>
      <c r="P58" s="4"/>
      <c r="Q58" t="str">
        <f>IF(ROUND(Q57,0)=ROUND(SUM(Q18:Q56),0),"","Error -- check allocations above).")</f>
        <v/>
      </c>
    </row>
    <row r="59" spans="2:17" ht="12.5">
      <c r="B59" s="9" t="str">
        <f t="shared" si="6"/>
        <v/>
      </c>
      <c r="C59" s="64">
        <f>IF(D11="","-",+C58+1)</f>
        <v>2050</v>
      </c>
      <c r="D59" s="70">
        <f>IF(F58+SUM(E$17:E58)=D$10,F58,D$10-SUM(E$17:E58))</f>
        <v>73854.780218328538</v>
      </c>
      <c r="E59" s="71">
        <f>IF(+I14&lt;F58,I14,D59)</f>
        <v>73854.780218328538</v>
      </c>
      <c r="F59" s="70">
        <f t="shared" si="21"/>
        <v>0</v>
      </c>
      <c r="G59" s="72">
        <f t="shared" si="19"/>
        <v>78519.698799289908</v>
      </c>
      <c r="H59" s="53">
        <f t="shared" si="20"/>
        <v>78519.698799289908</v>
      </c>
      <c r="I59" s="67">
        <f t="shared" si="22"/>
        <v>0</v>
      </c>
      <c r="J59" s="67"/>
      <c r="K59" s="150"/>
      <c r="L59" s="69">
        <f t="shared" si="23"/>
        <v>0</v>
      </c>
      <c r="M59" s="150"/>
      <c r="N59" s="69">
        <f t="shared" si="24"/>
        <v>0</v>
      </c>
      <c r="O59" s="69">
        <f t="shared" si="25"/>
        <v>0</v>
      </c>
      <c r="P59" s="4"/>
    </row>
    <row r="60" spans="2:17" ht="12.5">
      <c r="B60" s="9" t="str">
        <f t="shared" si="6"/>
        <v/>
      </c>
      <c r="C60" s="64">
        <f>IF(D11="","-",+C59+1)</f>
        <v>2051</v>
      </c>
      <c r="D60" s="70">
        <f>IF(F59+SUM(E$17:E59)=D$10,F59,D$10-SUM(E$17:E59))</f>
        <v>0</v>
      </c>
      <c r="E60" s="71">
        <f>IF(+I14&lt;F59,I14,D60)</f>
        <v>0</v>
      </c>
      <c r="F60" s="70">
        <f t="shared" si="21"/>
        <v>0</v>
      </c>
      <c r="G60" s="72">
        <f t="shared" si="19"/>
        <v>0</v>
      </c>
      <c r="H60" s="53">
        <f t="shared" si="20"/>
        <v>0</v>
      </c>
      <c r="I60" s="67">
        <f t="shared" si="22"/>
        <v>0</v>
      </c>
      <c r="J60" s="67"/>
      <c r="K60" s="150"/>
      <c r="L60" s="69">
        <f t="shared" si="23"/>
        <v>0</v>
      </c>
      <c r="M60" s="150"/>
      <c r="N60" s="69">
        <f t="shared" si="24"/>
        <v>0</v>
      </c>
      <c r="O60" s="69">
        <f t="shared" si="25"/>
        <v>0</v>
      </c>
      <c r="P60" s="4"/>
    </row>
    <row r="61" spans="2:17" ht="12.5">
      <c r="B61" s="9" t="str">
        <f t="shared" si="6"/>
        <v/>
      </c>
      <c r="C61" s="64">
        <f>IF(D11="","-",+C60+1)</f>
        <v>2052</v>
      </c>
      <c r="D61" s="70">
        <f>IF(F60+SUM(E$17:E60)=D$10,F60,D$10-SUM(E$17:E60))</f>
        <v>0</v>
      </c>
      <c r="E61" s="71">
        <f>IF(+I14&lt;F60,I14,D61)</f>
        <v>0</v>
      </c>
      <c r="F61" s="70">
        <f t="shared" si="21"/>
        <v>0</v>
      </c>
      <c r="G61" s="73">
        <f t="shared" si="19"/>
        <v>0</v>
      </c>
      <c r="H61" s="53">
        <f t="shared" si="20"/>
        <v>0</v>
      </c>
      <c r="I61" s="67">
        <f t="shared" si="22"/>
        <v>0</v>
      </c>
      <c r="J61" s="67"/>
      <c r="K61" s="150"/>
      <c r="L61" s="69">
        <f t="shared" si="23"/>
        <v>0</v>
      </c>
      <c r="M61" s="150"/>
      <c r="N61" s="69">
        <f t="shared" si="24"/>
        <v>0</v>
      </c>
      <c r="O61" s="69">
        <f t="shared" si="25"/>
        <v>0</v>
      </c>
      <c r="P61" s="4"/>
    </row>
    <row r="62" spans="2:17" ht="12.5">
      <c r="B62" s="9" t="str">
        <f t="shared" si="6"/>
        <v/>
      </c>
      <c r="C62" s="64">
        <f>IF(D11="","-",+C61+1)</f>
        <v>2053</v>
      </c>
      <c r="D62" s="70">
        <f>IF(F61+SUM(E$17:E61)=D$10,F61,D$10-SUM(E$17:E61))</f>
        <v>0</v>
      </c>
      <c r="E62" s="71">
        <f>IF(+I14&lt;F61,I14,D62)</f>
        <v>0</v>
      </c>
      <c r="F62" s="70">
        <f t="shared" si="21"/>
        <v>0</v>
      </c>
      <c r="G62" s="73">
        <f t="shared" si="19"/>
        <v>0</v>
      </c>
      <c r="H62" s="53">
        <f t="shared" si="20"/>
        <v>0</v>
      </c>
      <c r="I62" s="67">
        <f t="shared" si="22"/>
        <v>0</v>
      </c>
      <c r="J62" s="67"/>
      <c r="K62" s="150"/>
      <c r="L62" s="69">
        <f t="shared" si="23"/>
        <v>0</v>
      </c>
      <c r="M62" s="150"/>
      <c r="N62" s="69">
        <f t="shared" si="24"/>
        <v>0</v>
      </c>
      <c r="O62" s="69">
        <f t="shared" si="25"/>
        <v>0</v>
      </c>
      <c r="P62" s="4"/>
    </row>
    <row r="63" spans="2:17" ht="12.5">
      <c r="B63" s="9" t="str">
        <f t="shared" si="6"/>
        <v/>
      </c>
      <c r="C63" s="64">
        <f>IF(D11="","-",+C62+1)</f>
        <v>2054</v>
      </c>
      <c r="D63" s="70">
        <f>IF(F62+SUM(E$17:E62)=D$10,F62,D$10-SUM(E$17:E62))</f>
        <v>0</v>
      </c>
      <c r="E63" s="71">
        <f>IF(+I14&lt;F62,I14,D63)</f>
        <v>0</v>
      </c>
      <c r="F63" s="70">
        <f t="shared" si="21"/>
        <v>0</v>
      </c>
      <c r="G63" s="73">
        <f t="shared" si="19"/>
        <v>0</v>
      </c>
      <c r="H63" s="53">
        <f t="shared" si="20"/>
        <v>0</v>
      </c>
      <c r="I63" s="67">
        <f t="shared" si="22"/>
        <v>0</v>
      </c>
      <c r="J63" s="67"/>
      <c r="K63" s="150"/>
      <c r="L63" s="69">
        <f t="shared" si="23"/>
        <v>0</v>
      </c>
      <c r="M63" s="150"/>
      <c r="N63" s="69">
        <f t="shared" si="24"/>
        <v>0</v>
      </c>
      <c r="O63" s="69">
        <f t="shared" si="25"/>
        <v>0</v>
      </c>
      <c r="P63" s="4"/>
    </row>
    <row r="64" spans="2:17" ht="12.5">
      <c r="B64" s="9" t="str">
        <f t="shared" si="6"/>
        <v/>
      </c>
      <c r="C64" s="64">
        <f>IF(D11="","-",+C63+1)</f>
        <v>2055</v>
      </c>
      <c r="D64" s="70">
        <f>IF(F63+SUM(E$17:E63)=D$10,F63,D$10-SUM(E$17:E63))</f>
        <v>0</v>
      </c>
      <c r="E64" s="71">
        <f>IF(+I14&lt;F63,I14,D64)</f>
        <v>0</v>
      </c>
      <c r="F64" s="70">
        <f t="shared" si="21"/>
        <v>0</v>
      </c>
      <c r="G64" s="73">
        <f t="shared" si="19"/>
        <v>0</v>
      </c>
      <c r="H64" s="53">
        <f t="shared" si="20"/>
        <v>0</v>
      </c>
      <c r="I64" s="67">
        <f t="shared" si="22"/>
        <v>0</v>
      </c>
      <c r="J64" s="67"/>
      <c r="K64" s="150"/>
      <c r="L64" s="69">
        <f t="shared" si="23"/>
        <v>0</v>
      </c>
      <c r="M64" s="150"/>
      <c r="N64" s="69">
        <f t="shared" si="24"/>
        <v>0</v>
      </c>
      <c r="O64" s="69">
        <f t="shared" si="25"/>
        <v>0</v>
      </c>
      <c r="P64" s="4"/>
    </row>
    <row r="65" spans="1:16" ht="12.5">
      <c r="B65" s="9" t="str">
        <f t="shared" si="6"/>
        <v/>
      </c>
      <c r="C65" s="64">
        <f>IF(D11="","-",+C64+1)</f>
        <v>2056</v>
      </c>
      <c r="D65" s="70">
        <f>IF(F64+SUM(E$17:E64)=D$10,F64,D$10-SUM(E$17:E64))</f>
        <v>0</v>
      </c>
      <c r="E65" s="71">
        <f>IF(+I14&lt;F64,I14,D65)</f>
        <v>0</v>
      </c>
      <c r="F65" s="70">
        <f t="shared" si="21"/>
        <v>0</v>
      </c>
      <c r="G65" s="73">
        <f t="shared" si="19"/>
        <v>0</v>
      </c>
      <c r="H65" s="53">
        <f t="shared" si="20"/>
        <v>0</v>
      </c>
      <c r="I65" s="67">
        <f t="shared" si="22"/>
        <v>0</v>
      </c>
      <c r="J65" s="67"/>
      <c r="K65" s="150"/>
      <c r="L65" s="69">
        <f t="shared" si="23"/>
        <v>0</v>
      </c>
      <c r="M65" s="150"/>
      <c r="N65" s="69">
        <f t="shared" si="24"/>
        <v>0</v>
      </c>
      <c r="O65" s="69">
        <f t="shared" si="25"/>
        <v>0</v>
      </c>
      <c r="P65" s="4"/>
    </row>
    <row r="66" spans="1:16" ht="12.5">
      <c r="B66" s="9" t="str">
        <f t="shared" si="6"/>
        <v/>
      </c>
      <c r="C66" s="64">
        <f>IF(D11="","-",+C65+1)</f>
        <v>2057</v>
      </c>
      <c r="D66" s="70">
        <f>IF(F65+SUM(E$17:E65)=D$10,F65,D$10-SUM(E$17:E65))</f>
        <v>0</v>
      </c>
      <c r="E66" s="71">
        <f>IF(+I14&lt;F65,I14,D66)</f>
        <v>0</v>
      </c>
      <c r="F66" s="70">
        <f t="shared" si="21"/>
        <v>0</v>
      </c>
      <c r="G66" s="73">
        <f t="shared" si="19"/>
        <v>0</v>
      </c>
      <c r="H66" s="53">
        <f t="shared" si="20"/>
        <v>0</v>
      </c>
      <c r="I66" s="67">
        <f t="shared" si="22"/>
        <v>0</v>
      </c>
      <c r="J66" s="67"/>
      <c r="K66" s="150"/>
      <c r="L66" s="69">
        <f t="shared" si="23"/>
        <v>0</v>
      </c>
      <c r="M66" s="150"/>
      <c r="N66" s="69">
        <f t="shared" si="24"/>
        <v>0</v>
      </c>
      <c r="O66" s="69">
        <f t="shared" si="25"/>
        <v>0</v>
      </c>
      <c r="P66" s="4"/>
    </row>
    <row r="67" spans="1:16" ht="12.5">
      <c r="B67" s="9" t="str">
        <f t="shared" si="6"/>
        <v/>
      </c>
      <c r="C67" s="64">
        <f>IF(D11="","-",+C66+1)</f>
        <v>2058</v>
      </c>
      <c r="D67" s="70">
        <f>IF(F66+SUM(E$17:E66)=D$10,F66,D$10-SUM(E$17:E66))</f>
        <v>0</v>
      </c>
      <c r="E67" s="71">
        <f>IF(+I14&lt;F66,I14,D67)</f>
        <v>0</v>
      </c>
      <c r="F67" s="70">
        <f t="shared" si="21"/>
        <v>0</v>
      </c>
      <c r="G67" s="73">
        <f t="shared" si="19"/>
        <v>0</v>
      </c>
      <c r="H67" s="53">
        <f t="shared" si="20"/>
        <v>0</v>
      </c>
      <c r="I67" s="67">
        <f t="shared" si="22"/>
        <v>0</v>
      </c>
      <c r="J67" s="67"/>
      <c r="K67" s="150"/>
      <c r="L67" s="69">
        <f t="shared" si="23"/>
        <v>0</v>
      </c>
      <c r="M67" s="150"/>
      <c r="N67" s="69">
        <f t="shared" si="24"/>
        <v>0</v>
      </c>
      <c r="O67" s="69">
        <f t="shared" si="25"/>
        <v>0</v>
      </c>
      <c r="P67" s="4"/>
    </row>
    <row r="68" spans="1:16" ht="12.5">
      <c r="B68" s="9" t="str">
        <f t="shared" si="6"/>
        <v/>
      </c>
      <c r="C68" s="64">
        <f>IF(D11="","-",+C67+1)</f>
        <v>2059</v>
      </c>
      <c r="D68" s="70">
        <f>IF(F67+SUM(E$17:E67)=D$10,F67,D$10-SUM(E$17:E67))</f>
        <v>0</v>
      </c>
      <c r="E68" s="71">
        <f>IF(+I14&lt;F67,I14,D68)</f>
        <v>0</v>
      </c>
      <c r="F68" s="70">
        <f t="shared" si="21"/>
        <v>0</v>
      </c>
      <c r="G68" s="73">
        <f t="shared" si="19"/>
        <v>0</v>
      </c>
      <c r="H68" s="53">
        <f t="shared" si="20"/>
        <v>0</v>
      </c>
      <c r="I68" s="67">
        <f t="shared" si="22"/>
        <v>0</v>
      </c>
      <c r="J68" s="67"/>
      <c r="K68" s="150"/>
      <c r="L68" s="69">
        <f t="shared" si="23"/>
        <v>0</v>
      </c>
      <c r="M68" s="150"/>
      <c r="N68" s="69">
        <f t="shared" si="24"/>
        <v>0</v>
      </c>
      <c r="O68" s="69">
        <f t="shared" si="25"/>
        <v>0</v>
      </c>
      <c r="P68" s="4"/>
    </row>
    <row r="69" spans="1:16" ht="12.5">
      <c r="B69" s="9" t="str">
        <f t="shared" si="6"/>
        <v/>
      </c>
      <c r="C69" s="64">
        <f>IF(D11="","-",+C68+1)</f>
        <v>2060</v>
      </c>
      <c r="D69" s="70">
        <f>IF(F68+SUM(E$17:E68)=D$10,F68,D$10-SUM(E$17:E68))</f>
        <v>0</v>
      </c>
      <c r="E69" s="71">
        <f>IF(+I14&lt;F68,I14,D69)</f>
        <v>0</v>
      </c>
      <c r="F69" s="70">
        <f t="shared" si="21"/>
        <v>0</v>
      </c>
      <c r="G69" s="73">
        <f t="shared" si="19"/>
        <v>0</v>
      </c>
      <c r="H69" s="53">
        <f t="shared" si="20"/>
        <v>0</v>
      </c>
      <c r="I69" s="67">
        <f t="shared" si="22"/>
        <v>0</v>
      </c>
      <c r="J69" s="67"/>
      <c r="K69" s="150"/>
      <c r="L69" s="69">
        <f t="shared" si="23"/>
        <v>0</v>
      </c>
      <c r="M69" s="150"/>
      <c r="N69" s="69">
        <f t="shared" si="24"/>
        <v>0</v>
      </c>
      <c r="O69" s="69">
        <f t="shared" si="25"/>
        <v>0</v>
      </c>
      <c r="P69" s="4"/>
    </row>
    <row r="70" spans="1:16" ht="12.5">
      <c r="B70" s="9" t="str">
        <f t="shared" si="6"/>
        <v/>
      </c>
      <c r="C70" s="64">
        <f>IF(D11="","-",+C69+1)</f>
        <v>2061</v>
      </c>
      <c r="D70" s="70">
        <f>IF(F69+SUM(E$17:E69)=D$10,F69,D$10-SUM(E$17:E69))</f>
        <v>0</v>
      </c>
      <c r="E70" s="71">
        <f>IF(+I14&lt;F69,I14,D70)</f>
        <v>0</v>
      </c>
      <c r="F70" s="70">
        <f t="shared" si="21"/>
        <v>0</v>
      </c>
      <c r="G70" s="73">
        <f t="shared" si="19"/>
        <v>0</v>
      </c>
      <c r="H70" s="53">
        <f t="shared" si="20"/>
        <v>0</v>
      </c>
      <c r="I70" s="67">
        <f t="shared" si="22"/>
        <v>0</v>
      </c>
      <c r="J70" s="67"/>
      <c r="K70" s="150"/>
      <c r="L70" s="69">
        <f t="shared" si="23"/>
        <v>0</v>
      </c>
      <c r="M70" s="150"/>
      <c r="N70" s="69">
        <f t="shared" si="24"/>
        <v>0</v>
      </c>
      <c r="O70" s="69">
        <f t="shared" si="25"/>
        <v>0</v>
      </c>
      <c r="P70" s="4"/>
    </row>
    <row r="71" spans="1:16" ht="12.5">
      <c r="B71" s="9" t="str">
        <f t="shared" si="6"/>
        <v/>
      </c>
      <c r="C71" s="64">
        <f>IF(D11="","-",+C70+1)</f>
        <v>2062</v>
      </c>
      <c r="D71" s="70">
        <f>IF(F70+SUM(E$17:E70)=D$10,F70,D$10-SUM(E$17:E70))</f>
        <v>0</v>
      </c>
      <c r="E71" s="71">
        <f>IF(+I14&lt;F70,I14,D71)</f>
        <v>0</v>
      </c>
      <c r="F71" s="70">
        <f t="shared" si="21"/>
        <v>0</v>
      </c>
      <c r="G71" s="73">
        <f t="shared" si="19"/>
        <v>0</v>
      </c>
      <c r="H71" s="53">
        <f t="shared" si="20"/>
        <v>0</v>
      </c>
      <c r="I71" s="67">
        <f t="shared" si="22"/>
        <v>0</v>
      </c>
      <c r="J71" s="67"/>
      <c r="K71" s="150"/>
      <c r="L71" s="69">
        <f t="shared" si="23"/>
        <v>0</v>
      </c>
      <c r="M71" s="150"/>
      <c r="N71" s="69">
        <f t="shared" si="24"/>
        <v>0</v>
      </c>
      <c r="O71" s="69">
        <f t="shared" si="25"/>
        <v>0</v>
      </c>
      <c r="P71" s="4"/>
    </row>
    <row r="72" spans="1:16" ht="13" thickBot="1">
      <c r="B72" s="9" t="str">
        <f t="shared" si="6"/>
        <v/>
      </c>
      <c r="C72" s="74">
        <f>IF(D11="","-",+C71+1)</f>
        <v>2063</v>
      </c>
      <c r="D72" s="75">
        <f>IF(F71+SUM(E$17:E71)=D$10,F71,D$10-SUM(E$17:E71))</f>
        <v>0</v>
      </c>
      <c r="E72" s="76">
        <f>IF(+I14&lt;F71,I14,D72)</f>
        <v>0</v>
      </c>
      <c r="F72" s="75">
        <f t="shared" si="21"/>
        <v>0</v>
      </c>
      <c r="G72" s="77">
        <f t="shared" si="19"/>
        <v>0</v>
      </c>
      <c r="H72" s="35">
        <f t="shared" si="20"/>
        <v>0</v>
      </c>
      <c r="I72" s="78">
        <f t="shared" si="22"/>
        <v>0</v>
      </c>
      <c r="J72" s="67"/>
      <c r="K72" s="151"/>
      <c r="L72" s="79">
        <f t="shared" si="23"/>
        <v>0</v>
      </c>
      <c r="M72" s="151"/>
      <c r="N72" s="79">
        <f t="shared" si="24"/>
        <v>0</v>
      </c>
      <c r="O72" s="79">
        <f t="shared" si="25"/>
        <v>0</v>
      </c>
      <c r="P72" s="4"/>
    </row>
    <row r="73" spans="1:16" ht="12.5">
      <c r="C73" s="65" t="s">
        <v>78</v>
      </c>
      <c r="D73" s="22"/>
      <c r="E73" s="22">
        <f>SUM(E17:E72)</f>
        <v>4480167.9999999981</v>
      </c>
      <c r="F73" s="22"/>
      <c r="G73" s="22">
        <f>SUM(G17:G72)</f>
        <v>16515831.967075057</v>
      </c>
      <c r="H73" s="22">
        <f>SUM(H17:H72)</f>
        <v>16515831.967075057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7.5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.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 ht="12.5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19 of 74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2021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391</v>
      </c>
      <c r="M87" s="85">
        <f>IF(J92&lt;D11,0,VLOOKUP(J92,C17:O72,9))</f>
        <v>437304.22107294126</v>
      </c>
      <c r="N87" s="85">
        <f>IF(J92&lt;D11,0,VLOOKUP(J92,C17:O72,11))</f>
        <v>437304.22107294126</v>
      </c>
      <c r="O87" s="86">
        <f>+N87-M87</f>
        <v>0</v>
      </c>
      <c r="P87" s="1"/>
      <c r="Q87" s="1"/>
    </row>
    <row r="88" spans="1:17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392</v>
      </c>
      <c r="M88" s="87">
        <f>IF(J92&lt;D11,0,VLOOKUP(J92,C99:P154,6))</f>
        <v>459995.01898038521</v>
      </c>
      <c r="N88" s="87">
        <f>IF(J92&lt;D11,0,VLOOKUP(J92,C99:P154,7))</f>
        <v>459995.01898038521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21" t="str">
        <f>+D7</f>
        <v>Wallace Lake-Prt Robson-Red Point 138 kV Loop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22690.79790744395</v>
      </c>
      <c r="N89" s="90">
        <f>+N88-N87</f>
        <v>22690.79790744395</v>
      </c>
      <c r="O89" s="91">
        <f>+O88-O87</f>
        <v>0</v>
      </c>
      <c r="P89" s="1"/>
      <c r="Q89" s="1"/>
    </row>
    <row r="90" spans="1:17" ht="13.5" thickBot="1">
      <c r="C90" s="80"/>
      <c r="D90" s="83" t="str">
        <f>D8</f>
        <v/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TP2005142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 ht="13">
      <c r="C92" s="47" t="s">
        <v>51</v>
      </c>
      <c r="D92" s="44">
        <v>4480167.62</v>
      </c>
      <c r="E92" s="10" t="s">
        <v>86</v>
      </c>
      <c r="H92" s="45"/>
      <c r="I92" s="45"/>
      <c r="J92" s="46">
        <f>+'SWE.WS.G.BPU.ATRR.True-up'!M16</f>
        <v>2021</v>
      </c>
      <c r="K92" s="41"/>
      <c r="L92" s="22" t="s">
        <v>87</v>
      </c>
      <c r="P92" s="4"/>
      <c r="Q92" s="1"/>
    </row>
    <row r="93" spans="1:17" ht="12.5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 ht="12.5">
      <c r="C94" s="47" t="s">
        <v>56</v>
      </c>
      <c r="D94" s="105">
        <f>IF(D11=I10,"",D12)</f>
        <v>5</v>
      </c>
      <c r="E94" s="47" t="s">
        <v>57</v>
      </c>
      <c r="F94" s="45"/>
      <c r="G94" s="45"/>
      <c r="J94" s="51">
        <f>'SWE.WS.G.BPU.ATRR.True-up'!$F$81</f>
        <v>0.11351422637179906</v>
      </c>
      <c r="K94" s="52"/>
      <c r="L94" t="s">
        <v>88</v>
      </c>
      <c r="P94" s="4"/>
      <c r="Q94" s="1"/>
    </row>
    <row r="95" spans="1:17" ht="12.5">
      <c r="C95" s="47" t="s">
        <v>59</v>
      </c>
      <c r="D95" s="49">
        <f>'SWE.WS.G.BPU.ATRR.True-up'!F$93</f>
        <v>41</v>
      </c>
      <c r="E95" s="47" t="s">
        <v>60</v>
      </c>
      <c r="F95" s="45"/>
      <c r="G95" s="45"/>
      <c r="J95" s="51">
        <f>IF(H87="",J94,'SWE.WS.G.BPU.ATRR.True-up'!$F$80)</f>
        <v>0.11351422637179906</v>
      </c>
      <c r="K95" s="11"/>
      <c r="L95" s="22" t="s">
        <v>61</v>
      </c>
      <c r="M95" s="11"/>
      <c r="N95" s="11"/>
      <c r="O95" s="11"/>
      <c r="P95" s="4"/>
      <c r="Q95" s="1"/>
    </row>
    <row r="96" spans="1:17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109272.38097560976</v>
      </c>
      <c r="K96" s="22"/>
      <c r="L96" s="22"/>
      <c r="M96" s="22"/>
      <c r="N96" s="22"/>
      <c r="O96" s="22"/>
      <c r="P96" s="4"/>
      <c r="Q96" s="1"/>
    </row>
    <row r="97" spans="1:17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388</v>
      </c>
      <c r="I97" s="181" t="s">
        <v>389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 ht="12.5">
      <c r="C99" s="64">
        <f>IF(D93= "","-",D93)</f>
        <v>2008</v>
      </c>
      <c r="D99" s="155">
        <v>0</v>
      </c>
      <c r="E99" s="158">
        <v>44333</v>
      </c>
      <c r="F99" s="159">
        <v>2767633</v>
      </c>
      <c r="G99" s="162">
        <v>1383817</v>
      </c>
      <c r="H99" s="160">
        <v>264915</v>
      </c>
      <c r="I99" s="161">
        <v>264915</v>
      </c>
      <c r="J99" s="177">
        <f t="shared" ref="J99:J130" si="26">+I99-H99</f>
        <v>0</v>
      </c>
      <c r="K99" s="69"/>
      <c r="L99" s="131">
        <v>264915</v>
      </c>
      <c r="M99" s="68">
        <f t="shared" ref="M99:M130" si="27">IF(L99&lt;&gt;0,+H99-L99,0)</f>
        <v>0</v>
      </c>
      <c r="N99" s="131">
        <v>264915</v>
      </c>
      <c r="O99" s="68">
        <f t="shared" ref="O99:O130" si="28">IF(N99&lt;&gt;0,+I99-N99,0)</f>
        <v>0</v>
      </c>
      <c r="P99" s="68">
        <f t="shared" ref="P99:P130" si="29">+O99-M99</f>
        <v>0</v>
      </c>
      <c r="Q99" s="1"/>
    </row>
    <row r="100" spans="1:17" ht="12.5">
      <c r="B100" s="9" t="str">
        <f>IF(D100=F99,"","IU")</f>
        <v>IU</v>
      </c>
      <c r="C100" s="64">
        <f>IF(D93="","-",+C99+1)</f>
        <v>2009</v>
      </c>
      <c r="D100" s="155">
        <v>4435834.62</v>
      </c>
      <c r="E100" s="158">
        <v>117899.14789473685</v>
      </c>
      <c r="F100" s="159">
        <v>4317935.4721052628</v>
      </c>
      <c r="G100" s="159">
        <v>4376885.046052631</v>
      </c>
      <c r="H100" s="158">
        <v>751399.2625697077</v>
      </c>
      <c r="I100" s="157">
        <v>751399.2625697077</v>
      </c>
      <c r="J100" s="177">
        <f t="shared" si="26"/>
        <v>0</v>
      </c>
      <c r="K100" s="69"/>
      <c r="L100" s="133">
        <f t="shared" ref="L100:L105" si="30">H100</f>
        <v>751399.2625697077</v>
      </c>
      <c r="M100" s="132">
        <f t="shared" si="27"/>
        <v>0</v>
      </c>
      <c r="N100" s="133">
        <f t="shared" ref="N100:N105" si="31">I100</f>
        <v>751399.2625697077</v>
      </c>
      <c r="O100" s="69">
        <f t="shared" si="28"/>
        <v>0</v>
      </c>
      <c r="P100" s="69">
        <f t="shared" si="29"/>
        <v>0</v>
      </c>
      <c r="Q100" s="1"/>
    </row>
    <row r="101" spans="1:17" ht="12.5">
      <c r="B101" s="9" t="str">
        <f t="shared" ref="B101:B154" si="32">IF(D101=F100,"","IU")</f>
        <v/>
      </c>
      <c r="C101" s="64">
        <f>IF(D93="","-",+C100+1)</f>
        <v>2010</v>
      </c>
      <c r="D101" s="155">
        <v>4317935.4721052628</v>
      </c>
      <c r="E101" s="158">
        <v>109272.38097560976</v>
      </c>
      <c r="F101" s="159">
        <v>4208663.0911296532</v>
      </c>
      <c r="G101" s="159">
        <v>4263299.281617458</v>
      </c>
      <c r="H101" s="158">
        <v>813083.75625157298</v>
      </c>
      <c r="I101" s="157">
        <v>813083.75625157298</v>
      </c>
      <c r="J101" s="177">
        <f t="shared" si="26"/>
        <v>0</v>
      </c>
      <c r="K101" s="69"/>
      <c r="L101" s="133">
        <f t="shared" si="30"/>
        <v>813083.75625157298</v>
      </c>
      <c r="M101" s="132">
        <f t="shared" si="27"/>
        <v>0</v>
      </c>
      <c r="N101" s="133">
        <f t="shared" si="31"/>
        <v>813083.75625157298</v>
      </c>
      <c r="O101" s="69">
        <f t="shared" si="28"/>
        <v>0</v>
      </c>
      <c r="P101" s="69">
        <f t="shared" si="29"/>
        <v>0</v>
      </c>
      <c r="Q101" s="1"/>
    </row>
    <row r="102" spans="1:17" ht="12.5">
      <c r="B102" s="9" t="str">
        <f t="shared" si="32"/>
        <v/>
      </c>
      <c r="C102" s="64">
        <f>IF(D93="","-",+C101+1)</f>
        <v>2011</v>
      </c>
      <c r="D102" s="155">
        <v>4208663.0911296532</v>
      </c>
      <c r="E102" s="166">
        <v>106670.65761904762</v>
      </c>
      <c r="F102" s="159">
        <v>4101992.4335106057</v>
      </c>
      <c r="G102" s="159">
        <v>4155327.7623201292</v>
      </c>
      <c r="H102" s="158">
        <v>731548.43625186454</v>
      </c>
      <c r="I102" s="157">
        <v>731548.43625186454</v>
      </c>
      <c r="J102" s="177">
        <f t="shared" si="26"/>
        <v>0</v>
      </c>
      <c r="K102" s="69"/>
      <c r="L102" s="133">
        <f t="shared" si="30"/>
        <v>731548.43625186454</v>
      </c>
      <c r="M102" s="132">
        <f t="shared" si="27"/>
        <v>0</v>
      </c>
      <c r="N102" s="133">
        <f t="shared" si="31"/>
        <v>731548.43625186454</v>
      </c>
      <c r="O102" s="69">
        <f t="shared" si="28"/>
        <v>0</v>
      </c>
      <c r="P102" s="69">
        <f t="shared" si="29"/>
        <v>0</v>
      </c>
      <c r="Q102" s="1"/>
    </row>
    <row r="103" spans="1:17" ht="12.5">
      <c r="B103" s="9" t="str">
        <f t="shared" si="32"/>
        <v/>
      </c>
      <c r="C103" s="64">
        <f>IF(D93="","-",+C102+1)</f>
        <v>2012</v>
      </c>
      <c r="D103" s="155">
        <v>4101992.4335106057</v>
      </c>
      <c r="E103" s="158">
        <v>106670.65761904762</v>
      </c>
      <c r="F103" s="159">
        <v>3995321.7758915583</v>
      </c>
      <c r="G103" s="159">
        <v>4048657.1047010822</v>
      </c>
      <c r="H103" s="158">
        <v>702446.4690702348</v>
      </c>
      <c r="I103" s="157">
        <v>702446.4690702348</v>
      </c>
      <c r="J103" s="177">
        <f t="shared" si="26"/>
        <v>0</v>
      </c>
      <c r="K103" s="69"/>
      <c r="L103" s="133">
        <f t="shared" si="30"/>
        <v>702446.4690702348</v>
      </c>
      <c r="M103" s="132">
        <f t="shared" si="27"/>
        <v>0</v>
      </c>
      <c r="N103" s="133">
        <f t="shared" si="31"/>
        <v>702446.4690702348</v>
      </c>
      <c r="O103" s="69">
        <f t="shared" si="28"/>
        <v>0</v>
      </c>
      <c r="P103" s="69">
        <f t="shared" si="29"/>
        <v>0</v>
      </c>
      <c r="Q103" s="1"/>
    </row>
    <row r="104" spans="1:17" ht="12.5">
      <c r="B104" s="9" t="str">
        <f t="shared" si="32"/>
        <v/>
      </c>
      <c r="C104" s="64">
        <f>IF(D93="","-",+C103+1)</f>
        <v>2013</v>
      </c>
      <c r="D104" s="155">
        <f>IF(F103+SUM(E$99:E103)=D$92,F103,D$92-SUM(E$99:E103))</f>
        <v>3995321.7758915583</v>
      </c>
      <c r="E104" s="158">
        <f>IF(+J96&lt;F103,J96,D104)</f>
        <v>109272.38097560976</v>
      </c>
      <c r="F104" s="159">
        <f t="shared" ref="F104:F130" si="33">+D104-E104</f>
        <v>3886049.3949159486</v>
      </c>
      <c r="G104" s="159">
        <f t="shared" ref="G104:G130" si="34">+(F104+D104)/2</f>
        <v>3940685.5854037534</v>
      </c>
      <c r="H104" s="158">
        <f t="shared" ref="H104:H112" si="35">+J$94*G104+E104</f>
        <v>556596.2565772169</v>
      </c>
      <c r="I104" s="157">
        <f t="shared" ref="I104:I112" si="36">+J$95*G104+E104</f>
        <v>556596.2565772169</v>
      </c>
      <c r="J104" s="177">
        <f t="shared" si="26"/>
        <v>0</v>
      </c>
      <c r="K104" s="69"/>
      <c r="L104" s="133">
        <f t="shared" si="30"/>
        <v>556596.2565772169</v>
      </c>
      <c r="M104" s="132">
        <f t="shared" ref="M104:M109" si="37">IF(L104&lt;&gt;0,+H104-L104,0)</f>
        <v>0</v>
      </c>
      <c r="N104" s="133">
        <f t="shared" si="31"/>
        <v>556596.2565772169</v>
      </c>
      <c r="O104" s="69">
        <f t="shared" ref="O104:O109" si="38">IF(N104&lt;&gt;0,+I104-N104,0)</f>
        <v>0</v>
      </c>
      <c r="P104" s="69">
        <f t="shared" ref="P104:P109" si="39">+O104-M104</f>
        <v>0</v>
      </c>
      <c r="Q104" s="1"/>
    </row>
    <row r="105" spans="1:17" ht="12.5">
      <c r="B105" s="9" t="str">
        <f t="shared" si="32"/>
        <v>IU</v>
      </c>
      <c r="C105" s="64">
        <f>IF(D93="","-",+C104+1)</f>
        <v>2014</v>
      </c>
      <c r="D105" s="155">
        <v>3888651.1182725108</v>
      </c>
      <c r="E105" s="158">
        <v>106670.65761904762</v>
      </c>
      <c r="F105" s="159">
        <v>3781980.4606534634</v>
      </c>
      <c r="G105" s="159">
        <v>3835315.7894629873</v>
      </c>
      <c r="H105" s="158">
        <v>627980.04901218251</v>
      </c>
      <c r="I105" s="157">
        <v>627980.04901218251</v>
      </c>
      <c r="J105" s="69">
        <v>0</v>
      </c>
      <c r="K105" s="69"/>
      <c r="L105" s="133">
        <f t="shared" si="30"/>
        <v>627980.04901218251</v>
      </c>
      <c r="M105" s="132">
        <f t="shared" si="37"/>
        <v>0</v>
      </c>
      <c r="N105" s="133">
        <f t="shared" si="31"/>
        <v>627980.04901218251</v>
      </c>
      <c r="O105" s="69">
        <f t="shared" si="38"/>
        <v>0</v>
      </c>
      <c r="P105" s="69">
        <f t="shared" si="39"/>
        <v>0</v>
      </c>
      <c r="Q105" s="1"/>
    </row>
    <row r="106" spans="1:17" ht="12.5">
      <c r="B106" s="9" t="str">
        <f t="shared" si="32"/>
        <v/>
      </c>
      <c r="C106" s="64">
        <f>IF(D93="","-",+C105+1)</f>
        <v>2015</v>
      </c>
      <c r="D106" s="155">
        <v>3781980.4606534634</v>
      </c>
      <c r="E106" s="158">
        <v>106670.65761904762</v>
      </c>
      <c r="F106" s="159">
        <v>3675309.8030344159</v>
      </c>
      <c r="G106" s="159">
        <v>3728645.1318439394</v>
      </c>
      <c r="H106" s="158">
        <v>597990.04263617261</v>
      </c>
      <c r="I106" s="157">
        <v>597990.04263617261</v>
      </c>
      <c r="J106" s="69">
        <f t="shared" si="26"/>
        <v>0</v>
      </c>
      <c r="K106" s="69"/>
      <c r="L106" s="133">
        <f t="shared" ref="L106:L111" si="40">H106</f>
        <v>597990.04263617261</v>
      </c>
      <c r="M106" s="132">
        <f t="shared" si="37"/>
        <v>0</v>
      </c>
      <c r="N106" s="133">
        <f t="shared" ref="N106:N111" si="41">I106</f>
        <v>597990.04263617261</v>
      </c>
      <c r="O106" s="69">
        <f t="shared" si="38"/>
        <v>0</v>
      </c>
      <c r="P106" s="69">
        <f t="shared" si="39"/>
        <v>0</v>
      </c>
      <c r="Q106" s="1"/>
    </row>
    <row r="107" spans="1:17" ht="12.5">
      <c r="B107" s="9" t="str">
        <f t="shared" si="32"/>
        <v>IU</v>
      </c>
      <c r="C107" s="64">
        <f>IF(D93="","-",+C106+1)</f>
        <v>2016</v>
      </c>
      <c r="D107" s="155">
        <v>3677790.5160023002</v>
      </c>
      <c r="E107" s="158">
        <v>104189.94465116279</v>
      </c>
      <c r="F107" s="159">
        <v>3573600.5713511375</v>
      </c>
      <c r="G107" s="159">
        <v>3625695.5436767191</v>
      </c>
      <c r="H107" s="158">
        <v>564471.95145808836</v>
      </c>
      <c r="I107" s="157">
        <v>564471.95145808836</v>
      </c>
      <c r="J107" s="69">
        <f t="shared" si="26"/>
        <v>0</v>
      </c>
      <c r="K107" s="69"/>
      <c r="L107" s="133">
        <f t="shared" si="40"/>
        <v>564471.95145808836</v>
      </c>
      <c r="M107" s="132">
        <f t="shared" si="37"/>
        <v>0</v>
      </c>
      <c r="N107" s="133">
        <f t="shared" si="41"/>
        <v>564471.95145808836</v>
      </c>
      <c r="O107" s="69">
        <f t="shared" si="38"/>
        <v>0</v>
      </c>
      <c r="P107" s="69">
        <f t="shared" si="39"/>
        <v>0</v>
      </c>
      <c r="Q107" s="1"/>
    </row>
    <row r="108" spans="1:17" ht="12.5">
      <c r="B108" s="9" t="str">
        <f t="shared" si="32"/>
        <v>IU</v>
      </c>
      <c r="C108" s="64">
        <f>IF(D93="","-",+C107+1)</f>
        <v>2017</v>
      </c>
      <c r="D108" s="155">
        <v>3571119.8583832523</v>
      </c>
      <c r="E108" s="158">
        <v>106670.65761904762</v>
      </c>
      <c r="F108" s="159">
        <v>3464449.2007642048</v>
      </c>
      <c r="G108" s="159">
        <v>3517784.5295737283</v>
      </c>
      <c r="H108" s="158">
        <v>533981.0722445295</v>
      </c>
      <c r="I108" s="157">
        <v>533981.0722445295</v>
      </c>
      <c r="J108" s="69">
        <f t="shared" si="26"/>
        <v>0</v>
      </c>
      <c r="K108" s="69"/>
      <c r="L108" s="133">
        <f t="shared" si="40"/>
        <v>533981.0722445295</v>
      </c>
      <c r="M108" s="132">
        <f t="shared" si="37"/>
        <v>0</v>
      </c>
      <c r="N108" s="133">
        <f t="shared" si="41"/>
        <v>533981.0722445295</v>
      </c>
      <c r="O108" s="69">
        <f t="shared" si="38"/>
        <v>0</v>
      </c>
      <c r="P108" s="69">
        <f t="shared" si="39"/>
        <v>0</v>
      </c>
      <c r="Q108" s="1"/>
    </row>
    <row r="109" spans="1:17" ht="12.5">
      <c r="B109" s="9" t="str">
        <f t="shared" si="32"/>
        <v/>
      </c>
      <c r="C109" s="64">
        <f>IF(D93="","-",+C108+1)</f>
        <v>2018</v>
      </c>
      <c r="D109" s="155">
        <v>3464449.2007642048</v>
      </c>
      <c r="E109" s="158">
        <v>106670.65761904762</v>
      </c>
      <c r="F109" s="159">
        <v>3357778.5431451574</v>
      </c>
      <c r="G109" s="159">
        <v>3411113.8719546814</v>
      </c>
      <c r="H109" s="158">
        <v>466899.92525095958</v>
      </c>
      <c r="I109" s="157">
        <v>466899.92525095958</v>
      </c>
      <c r="J109" s="69">
        <f t="shared" si="26"/>
        <v>0</v>
      </c>
      <c r="K109" s="69"/>
      <c r="L109" s="133">
        <f t="shared" si="40"/>
        <v>466899.92525095958</v>
      </c>
      <c r="M109" s="132">
        <f t="shared" si="37"/>
        <v>0</v>
      </c>
      <c r="N109" s="133">
        <f t="shared" si="41"/>
        <v>466899.92525095958</v>
      </c>
      <c r="O109" s="69">
        <f t="shared" si="38"/>
        <v>0</v>
      </c>
      <c r="P109" s="69">
        <f t="shared" si="39"/>
        <v>0</v>
      </c>
      <c r="Q109" s="1"/>
    </row>
    <row r="110" spans="1:17" ht="12.5">
      <c r="B110" s="9" t="str">
        <f t="shared" si="32"/>
        <v>IU</v>
      </c>
      <c r="C110" s="64">
        <f>IF(D93="","-",+C109+1)</f>
        <v>2019</v>
      </c>
      <c r="D110" s="155">
        <v>3360259.2561130421</v>
      </c>
      <c r="E110" s="158">
        <v>104189.94465116279</v>
      </c>
      <c r="F110" s="159">
        <v>3256069.3114618794</v>
      </c>
      <c r="G110" s="159">
        <v>3308164.283787461</v>
      </c>
      <c r="H110" s="158">
        <v>458297.65763870062</v>
      </c>
      <c r="I110" s="157">
        <v>458297.65763870062</v>
      </c>
      <c r="J110" s="69">
        <f t="shared" si="26"/>
        <v>0</v>
      </c>
      <c r="K110" s="69"/>
      <c r="L110" s="133">
        <f t="shared" si="40"/>
        <v>458297.65763870062</v>
      </c>
      <c r="M110" s="132">
        <f t="shared" ref="M110:M111" si="42">IF(L110&lt;&gt;0,+H110-L110,0)</f>
        <v>0</v>
      </c>
      <c r="N110" s="133">
        <f t="shared" si="41"/>
        <v>458297.65763870062</v>
      </c>
      <c r="O110" s="69">
        <f t="shared" si="28"/>
        <v>0</v>
      </c>
      <c r="P110" s="69">
        <f t="shared" si="29"/>
        <v>0</v>
      </c>
      <c r="Q110" s="1"/>
    </row>
    <row r="111" spans="1:17" ht="12.5">
      <c r="B111" s="9" t="str">
        <f t="shared" si="32"/>
        <v>IU</v>
      </c>
      <c r="C111" s="64">
        <f>IF(D93="","-",+C110+1)</f>
        <v>2020</v>
      </c>
      <c r="D111" s="155">
        <v>3253588.5984939942</v>
      </c>
      <c r="E111" s="158">
        <v>106670.65761904762</v>
      </c>
      <c r="F111" s="159">
        <v>3146917.9408749468</v>
      </c>
      <c r="G111" s="159">
        <v>3200253.2696844703</v>
      </c>
      <c r="H111" s="158">
        <v>450934.16681202245</v>
      </c>
      <c r="I111" s="157">
        <v>450934.16681202245</v>
      </c>
      <c r="J111" s="69">
        <f t="shared" si="26"/>
        <v>0</v>
      </c>
      <c r="K111" s="69"/>
      <c r="L111" s="133">
        <f t="shared" si="40"/>
        <v>450934.16681202245</v>
      </c>
      <c r="M111" s="132">
        <f t="shared" si="42"/>
        <v>0</v>
      </c>
      <c r="N111" s="133">
        <f t="shared" si="41"/>
        <v>450934.16681202245</v>
      </c>
      <c r="O111" s="69">
        <f t="shared" si="28"/>
        <v>0</v>
      </c>
      <c r="P111" s="69">
        <f t="shared" si="29"/>
        <v>0</v>
      </c>
      <c r="Q111" s="1"/>
    </row>
    <row r="112" spans="1:17" ht="12.5">
      <c r="B112" s="9" t="str">
        <f t="shared" si="32"/>
        <v>IU</v>
      </c>
      <c r="C112" s="64">
        <f>IF(D93="","-",+C111+1)</f>
        <v>2021</v>
      </c>
      <c r="D112" s="65">
        <f>IF(F111+SUM(E$99:E111)=D$92,F111,D$92-SUM(E$99:E111))</f>
        <v>3144316.2175183846</v>
      </c>
      <c r="E112" s="71">
        <f>IF(+J96&lt;F111,J96,D112)</f>
        <v>109272.38097560976</v>
      </c>
      <c r="F112" s="70">
        <f t="shared" si="33"/>
        <v>3035043.8365427749</v>
      </c>
      <c r="G112" s="70">
        <f t="shared" si="34"/>
        <v>3089680.0270305797</v>
      </c>
      <c r="H112" s="73">
        <f t="shared" si="35"/>
        <v>459995.01898038521</v>
      </c>
      <c r="I112" s="127">
        <f t="shared" si="36"/>
        <v>459995.01898038521</v>
      </c>
      <c r="J112" s="69">
        <f t="shared" si="26"/>
        <v>0</v>
      </c>
      <c r="K112" s="69"/>
      <c r="L112" s="150"/>
      <c r="M112" s="69">
        <f t="shared" si="27"/>
        <v>0</v>
      </c>
      <c r="N112" s="150"/>
      <c r="O112" s="69">
        <f t="shared" si="28"/>
        <v>0</v>
      </c>
      <c r="P112" s="69">
        <f t="shared" si="29"/>
        <v>0</v>
      </c>
      <c r="Q112" s="1"/>
    </row>
    <row r="113" spans="2:17" ht="12.5">
      <c r="B113" s="9" t="str">
        <f t="shared" si="32"/>
        <v/>
      </c>
      <c r="C113" s="64">
        <f>IF(D93="","-",+C112+1)</f>
        <v>2022</v>
      </c>
      <c r="D113" s="65">
        <f>IF(F112+SUM(E$99:E112)=D$92,F112,D$92-SUM(E$99:E112))</f>
        <v>3035043.8365427749</v>
      </c>
      <c r="E113" s="71">
        <f>IF(+J96&lt;F112,J96,D113)</f>
        <v>109272.38097560976</v>
      </c>
      <c r="F113" s="70">
        <f t="shared" si="33"/>
        <v>2925771.4555671653</v>
      </c>
      <c r="G113" s="70">
        <f t="shared" si="34"/>
        <v>2980407.6460549701</v>
      </c>
      <c r="H113" s="73">
        <f t="shared" ref="H113:H154" si="43">+J$94*G113+E113</f>
        <v>447591.04919013439</v>
      </c>
      <c r="I113" s="127">
        <f t="shared" ref="I113:I154" si="44">+J$95*G113+E113</f>
        <v>447591.04919013439</v>
      </c>
      <c r="J113" s="69">
        <f t="shared" si="26"/>
        <v>0</v>
      </c>
      <c r="K113" s="69"/>
      <c r="L113" s="150"/>
      <c r="M113" s="69">
        <f t="shared" si="27"/>
        <v>0</v>
      </c>
      <c r="N113" s="150"/>
      <c r="O113" s="69">
        <f t="shared" si="28"/>
        <v>0</v>
      </c>
      <c r="P113" s="69">
        <f t="shared" si="29"/>
        <v>0</v>
      </c>
      <c r="Q113" s="1"/>
    </row>
    <row r="114" spans="2:17" ht="12.5">
      <c r="B114" s="9" t="str">
        <f t="shared" si="32"/>
        <v/>
      </c>
      <c r="C114" s="64">
        <f>IF(D93="","-",+C113+1)</f>
        <v>2023</v>
      </c>
      <c r="D114" s="65">
        <f>IF(F113+SUM(E$99:E113)=D$92,F113,D$92-SUM(E$99:E113))</f>
        <v>2925771.4555671653</v>
      </c>
      <c r="E114" s="71">
        <f>IF(+J96&lt;F113,J96,D114)</f>
        <v>109272.38097560976</v>
      </c>
      <c r="F114" s="70">
        <f t="shared" si="33"/>
        <v>2816499.0745915556</v>
      </c>
      <c r="G114" s="70">
        <f t="shared" si="34"/>
        <v>2871135.2650793605</v>
      </c>
      <c r="H114" s="73">
        <f t="shared" si="43"/>
        <v>435187.07939988357</v>
      </c>
      <c r="I114" s="127">
        <f t="shared" si="44"/>
        <v>435187.07939988357</v>
      </c>
      <c r="J114" s="69">
        <f t="shared" si="26"/>
        <v>0</v>
      </c>
      <c r="K114" s="69"/>
      <c r="L114" s="150"/>
      <c r="M114" s="69">
        <f t="shared" si="27"/>
        <v>0</v>
      </c>
      <c r="N114" s="150"/>
      <c r="O114" s="69">
        <f t="shared" si="28"/>
        <v>0</v>
      </c>
      <c r="P114" s="69">
        <f t="shared" si="29"/>
        <v>0</v>
      </c>
      <c r="Q114" s="1"/>
    </row>
    <row r="115" spans="2:17" ht="12.5">
      <c r="B115" s="9" t="str">
        <f t="shared" si="32"/>
        <v/>
      </c>
      <c r="C115" s="64">
        <f>IF(D93="","-",+C114+1)</f>
        <v>2024</v>
      </c>
      <c r="D115" s="65">
        <f>IF(F114+SUM(E$99:E114)=D$92,F114,D$92-SUM(E$99:E114))</f>
        <v>2816499.0745915556</v>
      </c>
      <c r="E115" s="71">
        <f>IF(+J96&lt;F114,J96,D115)</f>
        <v>109272.38097560976</v>
      </c>
      <c r="F115" s="70">
        <f t="shared" si="33"/>
        <v>2707226.693615946</v>
      </c>
      <c r="G115" s="70">
        <f t="shared" si="34"/>
        <v>2761862.8841037508</v>
      </c>
      <c r="H115" s="73">
        <f t="shared" si="43"/>
        <v>422783.10960963275</v>
      </c>
      <c r="I115" s="127">
        <f t="shared" si="44"/>
        <v>422783.10960963275</v>
      </c>
      <c r="J115" s="69">
        <f t="shared" si="26"/>
        <v>0</v>
      </c>
      <c r="K115" s="69"/>
      <c r="L115" s="150"/>
      <c r="M115" s="69">
        <f t="shared" si="27"/>
        <v>0</v>
      </c>
      <c r="N115" s="150"/>
      <c r="O115" s="69">
        <f t="shared" si="28"/>
        <v>0</v>
      </c>
      <c r="P115" s="69">
        <f t="shared" si="29"/>
        <v>0</v>
      </c>
      <c r="Q115" s="1"/>
    </row>
    <row r="116" spans="2:17" ht="12.5">
      <c r="B116" s="9" t="str">
        <f t="shared" si="32"/>
        <v/>
      </c>
      <c r="C116" s="64">
        <f>IF(D93="","-",+C115+1)</f>
        <v>2025</v>
      </c>
      <c r="D116" s="65">
        <f>IF(F115+SUM(E$99:E115)=D$92,F115,D$92-SUM(E$99:E115))</f>
        <v>2707226.693615946</v>
      </c>
      <c r="E116" s="71">
        <f>IF(+J96&lt;F115,J96,D116)</f>
        <v>109272.38097560976</v>
      </c>
      <c r="F116" s="70">
        <f t="shared" si="33"/>
        <v>2597954.3126403363</v>
      </c>
      <c r="G116" s="70">
        <f t="shared" si="34"/>
        <v>2652590.5031281412</v>
      </c>
      <c r="H116" s="73">
        <f t="shared" si="43"/>
        <v>410379.13981938193</v>
      </c>
      <c r="I116" s="127">
        <f t="shared" si="44"/>
        <v>410379.13981938193</v>
      </c>
      <c r="J116" s="69">
        <f t="shared" si="26"/>
        <v>0</v>
      </c>
      <c r="K116" s="69"/>
      <c r="L116" s="150"/>
      <c r="M116" s="69">
        <f t="shared" si="27"/>
        <v>0</v>
      </c>
      <c r="N116" s="150"/>
      <c r="O116" s="69">
        <f t="shared" si="28"/>
        <v>0</v>
      </c>
      <c r="P116" s="69">
        <f t="shared" si="29"/>
        <v>0</v>
      </c>
      <c r="Q116" s="1"/>
    </row>
    <row r="117" spans="2:17" ht="12.5">
      <c r="B117" s="9" t="str">
        <f t="shared" si="32"/>
        <v/>
      </c>
      <c r="C117" s="64">
        <f>IF(D93="","-",+C116+1)</f>
        <v>2026</v>
      </c>
      <c r="D117" s="65">
        <f>IF(F116+SUM(E$99:E116)=D$92,F116,D$92-SUM(E$99:E116))</f>
        <v>2597954.3126403363</v>
      </c>
      <c r="E117" s="71">
        <f>IF(+J96&lt;F116,J96,D117)</f>
        <v>109272.38097560976</v>
      </c>
      <c r="F117" s="70">
        <f t="shared" si="33"/>
        <v>2488681.9316647267</v>
      </c>
      <c r="G117" s="70">
        <f t="shared" si="34"/>
        <v>2543318.1221525315</v>
      </c>
      <c r="H117" s="73">
        <f t="shared" si="43"/>
        <v>397975.17002913111</v>
      </c>
      <c r="I117" s="127">
        <f t="shared" si="44"/>
        <v>397975.17002913111</v>
      </c>
      <c r="J117" s="69">
        <f t="shared" si="26"/>
        <v>0</v>
      </c>
      <c r="K117" s="69"/>
      <c r="L117" s="150"/>
      <c r="M117" s="69">
        <f t="shared" si="27"/>
        <v>0</v>
      </c>
      <c r="N117" s="150"/>
      <c r="O117" s="69">
        <f t="shared" si="28"/>
        <v>0</v>
      </c>
      <c r="P117" s="69">
        <f t="shared" si="29"/>
        <v>0</v>
      </c>
      <c r="Q117" s="1"/>
    </row>
    <row r="118" spans="2:17" ht="12.5">
      <c r="B118" s="9" t="str">
        <f t="shared" si="32"/>
        <v/>
      </c>
      <c r="C118" s="64">
        <f>IF(D93="","-",+C117+1)</f>
        <v>2027</v>
      </c>
      <c r="D118" s="65">
        <f>IF(F117+SUM(E$99:E117)=D$92,F117,D$92-SUM(E$99:E117))</f>
        <v>2488681.9316647267</v>
      </c>
      <c r="E118" s="71">
        <f>IF(+J96&lt;F117,J96,D118)</f>
        <v>109272.38097560976</v>
      </c>
      <c r="F118" s="70">
        <f t="shared" si="33"/>
        <v>2379409.5506891171</v>
      </c>
      <c r="G118" s="70">
        <f t="shared" si="34"/>
        <v>2434045.7411769219</v>
      </c>
      <c r="H118" s="73">
        <f t="shared" si="43"/>
        <v>385571.20023888029</v>
      </c>
      <c r="I118" s="127">
        <f t="shared" si="44"/>
        <v>385571.20023888029</v>
      </c>
      <c r="J118" s="69">
        <f t="shared" si="26"/>
        <v>0</v>
      </c>
      <c r="K118" s="69"/>
      <c r="L118" s="150"/>
      <c r="M118" s="69">
        <f t="shared" si="27"/>
        <v>0</v>
      </c>
      <c r="N118" s="150"/>
      <c r="O118" s="69">
        <f t="shared" si="28"/>
        <v>0</v>
      </c>
      <c r="P118" s="69">
        <f t="shared" si="29"/>
        <v>0</v>
      </c>
      <c r="Q118" s="1"/>
    </row>
    <row r="119" spans="2:17" ht="12.5">
      <c r="B119" s="9" t="str">
        <f t="shared" si="32"/>
        <v/>
      </c>
      <c r="C119" s="64">
        <f>IF(D93="","-",+C118+1)</f>
        <v>2028</v>
      </c>
      <c r="D119" s="65">
        <f>IF(F118+SUM(E$99:E118)=D$92,F118,D$92-SUM(E$99:E118))</f>
        <v>2379409.5506891171</v>
      </c>
      <c r="E119" s="71">
        <f>IF(+J96&lt;F118,J96,D119)</f>
        <v>109272.38097560976</v>
      </c>
      <c r="F119" s="70">
        <f t="shared" si="33"/>
        <v>2270137.1697135074</v>
      </c>
      <c r="G119" s="70">
        <f t="shared" si="34"/>
        <v>2324773.3602013122</v>
      </c>
      <c r="H119" s="73">
        <f t="shared" si="43"/>
        <v>373167.23044862947</v>
      </c>
      <c r="I119" s="127">
        <f t="shared" si="44"/>
        <v>373167.23044862947</v>
      </c>
      <c r="J119" s="69">
        <f t="shared" si="26"/>
        <v>0</v>
      </c>
      <c r="K119" s="69"/>
      <c r="L119" s="150"/>
      <c r="M119" s="69">
        <f t="shared" si="27"/>
        <v>0</v>
      </c>
      <c r="N119" s="150"/>
      <c r="O119" s="69">
        <f t="shared" si="28"/>
        <v>0</v>
      </c>
      <c r="P119" s="69">
        <f t="shared" si="29"/>
        <v>0</v>
      </c>
      <c r="Q119" s="1"/>
    </row>
    <row r="120" spans="2:17" ht="12.5">
      <c r="B120" s="9" t="str">
        <f t="shared" si="32"/>
        <v/>
      </c>
      <c r="C120" s="64">
        <f>IF(D93="","-",+C119+1)</f>
        <v>2029</v>
      </c>
      <c r="D120" s="65">
        <f>IF(F119+SUM(E$99:E119)=D$92,F119,D$92-SUM(E$99:E119))</f>
        <v>2270137.1697135074</v>
      </c>
      <c r="E120" s="71">
        <f>IF(+J96&lt;F119,J96,D120)</f>
        <v>109272.38097560976</v>
      </c>
      <c r="F120" s="70">
        <f t="shared" si="33"/>
        <v>2160864.7887378978</v>
      </c>
      <c r="G120" s="70">
        <f t="shared" si="34"/>
        <v>2215500.9792257026</v>
      </c>
      <c r="H120" s="73">
        <f t="shared" si="43"/>
        <v>360763.26065837865</v>
      </c>
      <c r="I120" s="127">
        <f t="shared" si="44"/>
        <v>360763.26065837865</v>
      </c>
      <c r="J120" s="69">
        <f t="shared" si="26"/>
        <v>0</v>
      </c>
      <c r="K120" s="69"/>
      <c r="L120" s="150"/>
      <c r="M120" s="69">
        <f t="shared" si="27"/>
        <v>0</v>
      </c>
      <c r="N120" s="150"/>
      <c r="O120" s="69">
        <f t="shared" si="28"/>
        <v>0</v>
      </c>
      <c r="P120" s="69">
        <f t="shared" si="29"/>
        <v>0</v>
      </c>
      <c r="Q120" s="1"/>
    </row>
    <row r="121" spans="2:17" ht="12.5">
      <c r="B121" s="9" t="str">
        <f t="shared" si="32"/>
        <v/>
      </c>
      <c r="C121" s="64">
        <f>IF(D93="","-",+C120+1)</f>
        <v>2030</v>
      </c>
      <c r="D121" s="65">
        <f>IF(F120+SUM(E$99:E120)=D$92,F120,D$92-SUM(E$99:E120))</f>
        <v>2160864.7887378978</v>
      </c>
      <c r="E121" s="71">
        <f>IF(+J96&lt;F120,J96,D121)</f>
        <v>109272.38097560976</v>
      </c>
      <c r="F121" s="70">
        <f t="shared" si="33"/>
        <v>2051592.4077622881</v>
      </c>
      <c r="G121" s="70">
        <f t="shared" si="34"/>
        <v>2106228.5982500929</v>
      </c>
      <c r="H121" s="73">
        <f t="shared" si="43"/>
        <v>348359.29086812783</v>
      </c>
      <c r="I121" s="127">
        <f t="shared" si="44"/>
        <v>348359.29086812783</v>
      </c>
      <c r="J121" s="69">
        <f t="shared" si="26"/>
        <v>0</v>
      </c>
      <c r="K121" s="69"/>
      <c r="L121" s="150"/>
      <c r="M121" s="69">
        <f t="shared" si="27"/>
        <v>0</v>
      </c>
      <c r="N121" s="150"/>
      <c r="O121" s="69">
        <f t="shared" si="28"/>
        <v>0</v>
      </c>
      <c r="P121" s="69">
        <f t="shared" si="29"/>
        <v>0</v>
      </c>
      <c r="Q121" s="1"/>
    </row>
    <row r="122" spans="2:17" ht="12.5">
      <c r="B122" s="9" t="str">
        <f t="shared" si="32"/>
        <v/>
      </c>
      <c r="C122" s="64">
        <f>IF(D93="","-",+C121+1)</f>
        <v>2031</v>
      </c>
      <c r="D122" s="65">
        <f>IF(F121+SUM(E$99:E121)=D$92,F121,D$92-SUM(E$99:E121))</f>
        <v>2051592.4077622881</v>
      </c>
      <c r="E122" s="71">
        <f>IF(+J96&lt;F121,J96,D122)</f>
        <v>109272.38097560976</v>
      </c>
      <c r="F122" s="70">
        <f t="shared" si="33"/>
        <v>1942320.0267866785</v>
      </c>
      <c r="G122" s="70">
        <f t="shared" si="34"/>
        <v>1996956.2172744833</v>
      </c>
      <c r="H122" s="73">
        <f t="shared" si="43"/>
        <v>335955.32107787702</v>
      </c>
      <c r="I122" s="127">
        <f t="shared" si="44"/>
        <v>335955.32107787702</v>
      </c>
      <c r="J122" s="69">
        <f t="shared" si="26"/>
        <v>0</v>
      </c>
      <c r="K122" s="69"/>
      <c r="L122" s="150"/>
      <c r="M122" s="69">
        <f t="shared" si="27"/>
        <v>0</v>
      </c>
      <c r="N122" s="150"/>
      <c r="O122" s="69">
        <f t="shared" si="28"/>
        <v>0</v>
      </c>
      <c r="P122" s="69">
        <f t="shared" si="29"/>
        <v>0</v>
      </c>
      <c r="Q122" s="1"/>
    </row>
    <row r="123" spans="2:17" ht="12.5">
      <c r="B123" s="9" t="str">
        <f t="shared" si="32"/>
        <v/>
      </c>
      <c r="C123" s="64">
        <f>IF(D93="","-",+C122+1)</f>
        <v>2032</v>
      </c>
      <c r="D123" s="65">
        <f>IF(F122+SUM(E$99:E122)=D$92,F122,D$92-SUM(E$99:E122))</f>
        <v>1942320.0267866785</v>
      </c>
      <c r="E123" s="71">
        <f>IF(+J96&lt;F122,J96,D123)</f>
        <v>109272.38097560976</v>
      </c>
      <c r="F123" s="70">
        <f t="shared" si="33"/>
        <v>1833047.6458110688</v>
      </c>
      <c r="G123" s="70">
        <f t="shared" si="34"/>
        <v>1887683.8362988736</v>
      </c>
      <c r="H123" s="73">
        <f t="shared" si="43"/>
        <v>323551.3512876262</v>
      </c>
      <c r="I123" s="127">
        <f t="shared" si="44"/>
        <v>323551.3512876262</v>
      </c>
      <c r="J123" s="69">
        <f t="shared" si="26"/>
        <v>0</v>
      </c>
      <c r="K123" s="69"/>
      <c r="L123" s="150"/>
      <c r="M123" s="69">
        <f t="shared" si="27"/>
        <v>0</v>
      </c>
      <c r="N123" s="150"/>
      <c r="O123" s="69">
        <f t="shared" si="28"/>
        <v>0</v>
      </c>
      <c r="P123" s="69">
        <f t="shared" si="29"/>
        <v>0</v>
      </c>
      <c r="Q123" s="1"/>
    </row>
    <row r="124" spans="2:17" ht="12.5">
      <c r="B124" s="9" t="str">
        <f t="shared" si="32"/>
        <v/>
      </c>
      <c r="C124" s="64">
        <f>IF(D93="","-",+C123+1)</f>
        <v>2033</v>
      </c>
      <c r="D124" s="65">
        <f>IF(F123+SUM(E$99:E123)=D$92,F123,D$92-SUM(E$99:E123))</f>
        <v>1833047.6458110688</v>
      </c>
      <c r="E124" s="71">
        <f>IF(+J96&lt;F123,J96,D124)</f>
        <v>109272.38097560976</v>
      </c>
      <c r="F124" s="70">
        <f t="shared" si="33"/>
        <v>1723775.2648354592</v>
      </c>
      <c r="G124" s="70">
        <f t="shared" si="34"/>
        <v>1778411.455323264</v>
      </c>
      <c r="H124" s="73">
        <f t="shared" si="43"/>
        <v>311147.38149737532</v>
      </c>
      <c r="I124" s="127">
        <f t="shared" si="44"/>
        <v>311147.38149737532</v>
      </c>
      <c r="J124" s="69">
        <f t="shared" si="26"/>
        <v>0</v>
      </c>
      <c r="K124" s="69"/>
      <c r="L124" s="150"/>
      <c r="M124" s="69">
        <f t="shared" si="27"/>
        <v>0</v>
      </c>
      <c r="N124" s="150"/>
      <c r="O124" s="69">
        <f t="shared" si="28"/>
        <v>0</v>
      </c>
      <c r="P124" s="69">
        <f t="shared" si="29"/>
        <v>0</v>
      </c>
      <c r="Q124" s="1"/>
    </row>
    <row r="125" spans="2:17" ht="12.5">
      <c r="B125" s="9" t="str">
        <f t="shared" si="32"/>
        <v/>
      </c>
      <c r="C125" s="64">
        <f>IF(D93="","-",+C124+1)</f>
        <v>2034</v>
      </c>
      <c r="D125" s="65">
        <f>IF(F124+SUM(E$99:E124)=D$92,F124,D$92-SUM(E$99:E124))</f>
        <v>1723775.2648354592</v>
      </c>
      <c r="E125" s="71">
        <f>IF(+J96&lt;F124,J96,D125)</f>
        <v>109272.38097560976</v>
      </c>
      <c r="F125" s="70">
        <f t="shared" si="33"/>
        <v>1614502.8838598495</v>
      </c>
      <c r="G125" s="70">
        <f t="shared" si="34"/>
        <v>1669139.0743476544</v>
      </c>
      <c r="H125" s="73">
        <f t="shared" si="43"/>
        <v>298743.41170712456</v>
      </c>
      <c r="I125" s="127">
        <f t="shared" si="44"/>
        <v>298743.41170712456</v>
      </c>
      <c r="J125" s="69">
        <f t="shared" si="26"/>
        <v>0</v>
      </c>
      <c r="K125" s="69"/>
      <c r="L125" s="150"/>
      <c r="M125" s="69">
        <f t="shared" si="27"/>
        <v>0</v>
      </c>
      <c r="N125" s="150"/>
      <c r="O125" s="69">
        <f t="shared" si="28"/>
        <v>0</v>
      </c>
      <c r="P125" s="69">
        <f t="shared" si="29"/>
        <v>0</v>
      </c>
      <c r="Q125" s="1"/>
    </row>
    <row r="126" spans="2:17" ht="12.5">
      <c r="B126" s="9" t="str">
        <f t="shared" si="32"/>
        <v/>
      </c>
      <c r="C126" s="64">
        <f>IF(D93="","-",+C125+1)</f>
        <v>2035</v>
      </c>
      <c r="D126" s="65">
        <f>IF(F125+SUM(E$99:E125)=D$92,F125,D$92-SUM(E$99:E125))</f>
        <v>1614502.8838598495</v>
      </c>
      <c r="E126" s="71">
        <f>IF(+J96&lt;F125,J96,D126)</f>
        <v>109272.38097560976</v>
      </c>
      <c r="F126" s="70">
        <f t="shared" si="33"/>
        <v>1505230.5028842399</v>
      </c>
      <c r="G126" s="70">
        <f t="shared" si="34"/>
        <v>1559866.6933720447</v>
      </c>
      <c r="H126" s="73">
        <f t="shared" si="43"/>
        <v>286339.44191687368</v>
      </c>
      <c r="I126" s="127">
        <f t="shared" si="44"/>
        <v>286339.44191687368</v>
      </c>
      <c r="J126" s="69">
        <f t="shared" si="26"/>
        <v>0</v>
      </c>
      <c r="K126" s="69"/>
      <c r="L126" s="150"/>
      <c r="M126" s="69">
        <f t="shared" si="27"/>
        <v>0</v>
      </c>
      <c r="N126" s="150"/>
      <c r="O126" s="69">
        <f t="shared" si="28"/>
        <v>0</v>
      </c>
      <c r="P126" s="69">
        <f t="shared" si="29"/>
        <v>0</v>
      </c>
      <c r="Q126" s="1"/>
    </row>
    <row r="127" spans="2:17" ht="12.5">
      <c r="B127" s="9" t="str">
        <f t="shared" si="32"/>
        <v/>
      </c>
      <c r="C127" s="64">
        <f>IF(D93="","-",+C126+1)</f>
        <v>2036</v>
      </c>
      <c r="D127" s="65">
        <f>IF(F126+SUM(E$99:E126)=D$92,F126,D$92-SUM(E$99:E126))</f>
        <v>1505230.5028842399</v>
      </c>
      <c r="E127" s="71">
        <f>IF(+J96&lt;F126,J96,D127)</f>
        <v>109272.38097560976</v>
      </c>
      <c r="F127" s="70">
        <f t="shared" si="33"/>
        <v>1395958.1219086302</v>
      </c>
      <c r="G127" s="70">
        <f t="shared" si="34"/>
        <v>1450594.3123964351</v>
      </c>
      <c r="H127" s="73">
        <f t="shared" si="43"/>
        <v>273935.47212662292</v>
      </c>
      <c r="I127" s="127">
        <f t="shared" si="44"/>
        <v>273935.47212662292</v>
      </c>
      <c r="J127" s="69">
        <f t="shared" si="26"/>
        <v>0</v>
      </c>
      <c r="K127" s="69"/>
      <c r="L127" s="150"/>
      <c r="M127" s="69">
        <f t="shared" si="27"/>
        <v>0</v>
      </c>
      <c r="N127" s="150"/>
      <c r="O127" s="69">
        <f t="shared" si="28"/>
        <v>0</v>
      </c>
      <c r="P127" s="69">
        <f t="shared" si="29"/>
        <v>0</v>
      </c>
      <c r="Q127" s="1"/>
    </row>
    <row r="128" spans="2:17" ht="12.5">
      <c r="B128" s="9" t="str">
        <f t="shared" si="32"/>
        <v/>
      </c>
      <c r="C128" s="64">
        <f>IF(D93="","-",+C127+1)</f>
        <v>2037</v>
      </c>
      <c r="D128" s="65">
        <f>IF(F127+SUM(E$99:E127)=D$92,F127,D$92-SUM(E$99:E127))</f>
        <v>1395958.1219086302</v>
      </c>
      <c r="E128" s="71">
        <f>IF(+J96&lt;F127,J96,D128)</f>
        <v>109272.38097560976</v>
      </c>
      <c r="F128" s="70">
        <f t="shared" si="33"/>
        <v>1286685.7409330206</v>
      </c>
      <c r="G128" s="70">
        <f t="shared" si="34"/>
        <v>1341321.9314208254</v>
      </c>
      <c r="H128" s="73">
        <f t="shared" si="43"/>
        <v>261531.50233637207</v>
      </c>
      <c r="I128" s="127">
        <f t="shared" si="44"/>
        <v>261531.50233637207</v>
      </c>
      <c r="J128" s="69">
        <f t="shared" si="26"/>
        <v>0</v>
      </c>
      <c r="K128" s="69"/>
      <c r="L128" s="150"/>
      <c r="M128" s="69">
        <f t="shared" si="27"/>
        <v>0</v>
      </c>
      <c r="N128" s="150"/>
      <c r="O128" s="69">
        <f t="shared" si="28"/>
        <v>0</v>
      </c>
      <c r="P128" s="69">
        <f t="shared" si="29"/>
        <v>0</v>
      </c>
      <c r="Q128" s="1"/>
    </row>
    <row r="129" spans="2:17" ht="12.5">
      <c r="B129" s="9" t="str">
        <f t="shared" si="32"/>
        <v/>
      </c>
      <c r="C129" s="64">
        <f>IF(D93="","-",+C128+1)</f>
        <v>2038</v>
      </c>
      <c r="D129" s="65">
        <f>IF(F128+SUM(E$99:E128)=D$92,F128,D$92-SUM(E$99:E128))</f>
        <v>1286685.7409330206</v>
      </c>
      <c r="E129" s="71">
        <f>IF(+J96&lt;F128,J96,D129)</f>
        <v>109272.38097560976</v>
      </c>
      <c r="F129" s="70">
        <f t="shared" si="33"/>
        <v>1177413.359957411</v>
      </c>
      <c r="G129" s="70">
        <f t="shared" si="34"/>
        <v>1232049.5504452158</v>
      </c>
      <c r="H129" s="73">
        <f t="shared" si="43"/>
        <v>249127.53254612125</v>
      </c>
      <c r="I129" s="127">
        <f t="shared" si="44"/>
        <v>249127.53254612125</v>
      </c>
      <c r="J129" s="69">
        <f t="shared" si="26"/>
        <v>0</v>
      </c>
      <c r="K129" s="69"/>
      <c r="L129" s="150"/>
      <c r="M129" s="69">
        <f t="shared" si="27"/>
        <v>0</v>
      </c>
      <c r="N129" s="150"/>
      <c r="O129" s="69">
        <f t="shared" si="28"/>
        <v>0</v>
      </c>
      <c r="P129" s="69">
        <f t="shared" si="29"/>
        <v>0</v>
      </c>
      <c r="Q129" s="1"/>
    </row>
    <row r="130" spans="2:17" ht="12.5">
      <c r="B130" s="9" t="str">
        <f t="shared" si="32"/>
        <v/>
      </c>
      <c r="C130" s="64">
        <f>IF(D93="","-",+C129+1)</f>
        <v>2039</v>
      </c>
      <c r="D130" s="65">
        <f>IF(F129+SUM(E$99:E129)=D$92,F129,D$92-SUM(E$99:E129))</f>
        <v>1177413.359957411</v>
      </c>
      <c r="E130" s="71">
        <f>IF(+J96&lt;F129,J96,D130)</f>
        <v>109272.38097560976</v>
      </c>
      <c r="F130" s="70">
        <f t="shared" si="33"/>
        <v>1068140.9789818013</v>
      </c>
      <c r="G130" s="70">
        <f t="shared" si="34"/>
        <v>1122777.1694696061</v>
      </c>
      <c r="H130" s="73">
        <f t="shared" si="43"/>
        <v>236723.56275587043</v>
      </c>
      <c r="I130" s="127">
        <f t="shared" si="44"/>
        <v>236723.56275587043</v>
      </c>
      <c r="J130" s="69">
        <f t="shared" si="26"/>
        <v>0</v>
      </c>
      <c r="K130" s="69"/>
      <c r="L130" s="150"/>
      <c r="M130" s="69">
        <f t="shared" si="27"/>
        <v>0</v>
      </c>
      <c r="N130" s="150"/>
      <c r="O130" s="69">
        <f t="shared" si="28"/>
        <v>0</v>
      </c>
      <c r="P130" s="69">
        <f t="shared" si="29"/>
        <v>0</v>
      </c>
      <c r="Q130" s="1"/>
    </row>
    <row r="131" spans="2:17" ht="12.5">
      <c r="B131" s="9" t="str">
        <f t="shared" si="32"/>
        <v/>
      </c>
      <c r="C131" s="64">
        <f>IF(D93="","-",+C130+1)</f>
        <v>2040</v>
      </c>
      <c r="D131" s="65">
        <f>IF(F130+SUM(E$99:E130)=D$92,F130,D$92-SUM(E$99:E130))</f>
        <v>1068140.9789818013</v>
      </c>
      <c r="E131" s="71">
        <f>IF(+J96&lt;F130,J96,D131)</f>
        <v>109272.38097560976</v>
      </c>
      <c r="F131" s="70">
        <f t="shared" ref="F131:F154" si="45">+D131-E131</f>
        <v>958868.59800619155</v>
      </c>
      <c r="G131" s="70">
        <f t="shared" ref="G131:G154" si="46">+(F131+D131)/2</f>
        <v>1013504.7884939965</v>
      </c>
      <c r="H131" s="73">
        <f t="shared" si="43"/>
        <v>224319.59296561961</v>
      </c>
      <c r="I131" s="127">
        <f t="shared" si="44"/>
        <v>224319.59296561961</v>
      </c>
      <c r="J131" s="69">
        <f t="shared" ref="J131:J154" si="47">+I131-H131</f>
        <v>0</v>
      </c>
      <c r="K131" s="69"/>
      <c r="L131" s="150"/>
      <c r="M131" s="69">
        <f t="shared" ref="M131:M154" si="48">IF(L131&lt;&gt;0,+H131-L131,0)</f>
        <v>0</v>
      </c>
      <c r="N131" s="150"/>
      <c r="O131" s="69">
        <f t="shared" ref="O131:O154" si="49">IF(N131&lt;&gt;0,+I131-N131,0)</f>
        <v>0</v>
      </c>
      <c r="P131" s="69">
        <f t="shared" ref="P131:P154" si="50">+O131-M131</f>
        <v>0</v>
      </c>
      <c r="Q131" s="1"/>
    </row>
    <row r="132" spans="2:17" ht="12.5">
      <c r="B132" s="9" t="str">
        <f t="shared" si="32"/>
        <v/>
      </c>
      <c r="C132" s="64">
        <f>IF(D93="","-",+C131+1)</f>
        <v>2041</v>
      </c>
      <c r="D132" s="65">
        <f>IF(F131+SUM(E$99:E131)=D$92,F131,D$92-SUM(E$99:E131))</f>
        <v>958868.59800619155</v>
      </c>
      <c r="E132" s="71">
        <f>IF(+J96&lt;F131,J96,D132)</f>
        <v>109272.38097560976</v>
      </c>
      <c r="F132" s="70">
        <f t="shared" si="45"/>
        <v>849596.21703058179</v>
      </c>
      <c r="G132" s="70">
        <f t="shared" si="46"/>
        <v>904232.40751838661</v>
      </c>
      <c r="H132" s="73">
        <f t="shared" si="43"/>
        <v>211915.62317536876</v>
      </c>
      <c r="I132" s="127">
        <f t="shared" si="44"/>
        <v>211915.62317536876</v>
      </c>
      <c r="J132" s="69">
        <f t="shared" si="47"/>
        <v>0</v>
      </c>
      <c r="K132" s="69"/>
      <c r="L132" s="150"/>
      <c r="M132" s="69">
        <f t="shared" si="48"/>
        <v>0</v>
      </c>
      <c r="N132" s="150"/>
      <c r="O132" s="69">
        <f t="shared" si="49"/>
        <v>0</v>
      </c>
      <c r="P132" s="69">
        <f t="shared" si="50"/>
        <v>0</v>
      </c>
      <c r="Q132" s="1"/>
    </row>
    <row r="133" spans="2:17" ht="12.5">
      <c r="B133" s="9" t="str">
        <f t="shared" si="32"/>
        <v/>
      </c>
      <c r="C133" s="64">
        <f>IF(D93="","-",+C132+1)</f>
        <v>2042</v>
      </c>
      <c r="D133" s="65">
        <f>IF(F132+SUM(E$99:E132)=D$92,F132,D$92-SUM(E$99:E132))</f>
        <v>849596.21703058179</v>
      </c>
      <c r="E133" s="71">
        <f>IF(+J96&lt;F132,J96,D133)</f>
        <v>109272.38097560976</v>
      </c>
      <c r="F133" s="70">
        <f t="shared" si="45"/>
        <v>740323.83605497202</v>
      </c>
      <c r="G133" s="70">
        <f t="shared" si="46"/>
        <v>794960.02654277696</v>
      </c>
      <c r="H133" s="73">
        <f t="shared" si="43"/>
        <v>199511.65338511794</v>
      </c>
      <c r="I133" s="127">
        <f t="shared" si="44"/>
        <v>199511.65338511794</v>
      </c>
      <c r="J133" s="69">
        <f t="shared" si="47"/>
        <v>0</v>
      </c>
      <c r="K133" s="69"/>
      <c r="L133" s="150"/>
      <c r="M133" s="69">
        <f t="shared" si="48"/>
        <v>0</v>
      </c>
      <c r="N133" s="150"/>
      <c r="O133" s="69">
        <f t="shared" si="49"/>
        <v>0</v>
      </c>
      <c r="P133" s="69">
        <f t="shared" si="50"/>
        <v>0</v>
      </c>
      <c r="Q133" s="1"/>
    </row>
    <row r="134" spans="2:17" ht="12.5">
      <c r="B134" s="9" t="str">
        <f t="shared" si="32"/>
        <v/>
      </c>
      <c r="C134" s="64">
        <f>IF(D93="","-",+C133+1)</f>
        <v>2043</v>
      </c>
      <c r="D134" s="65">
        <f>IF(F133+SUM(E$99:E133)=D$92,F133,D$92-SUM(E$99:E133))</f>
        <v>740323.83605497202</v>
      </c>
      <c r="E134" s="71">
        <f>IF(+J96&lt;F133,J96,D134)</f>
        <v>109272.38097560976</v>
      </c>
      <c r="F134" s="70">
        <f t="shared" si="45"/>
        <v>631051.45507936226</v>
      </c>
      <c r="G134" s="70">
        <f t="shared" si="46"/>
        <v>685687.64556716708</v>
      </c>
      <c r="H134" s="73">
        <f t="shared" si="43"/>
        <v>187107.68359486709</v>
      </c>
      <c r="I134" s="127">
        <f t="shared" si="44"/>
        <v>187107.68359486709</v>
      </c>
      <c r="J134" s="69">
        <f t="shared" si="47"/>
        <v>0</v>
      </c>
      <c r="K134" s="69"/>
      <c r="L134" s="150"/>
      <c r="M134" s="69">
        <f t="shared" si="48"/>
        <v>0</v>
      </c>
      <c r="N134" s="150"/>
      <c r="O134" s="69">
        <f t="shared" si="49"/>
        <v>0</v>
      </c>
      <c r="P134" s="69">
        <f t="shared" si="50"/>
        <v>0</v>
      </c>
      <c r="Q134" s="1"/>
    </row>
    <row r="135" spans="2:17" ht="12.5">
      <c r="B135" s="9" t="str">
        <f t="shared" si="32"/>
        <v/>
      </c>
      <c r="C135" s="64">
        <f>IF(D93="","-",+C134+1)</f>
        <v>2044</v>
      </c>
      <c r="D135" s="65">
        <f>IF(F134+SUM(E$99:E134)=D$92,F134,D$92-SUM(E$99:E134))</f>
        <v>631051.45507936226</v>
      </c>
      <c r="E135" s="71">
        <f>IF(+J96&lt;F134,J96,D135)</f>
        <v>109272.38097560976</v>
      </c>
      <c r="F135" s="70">
        <f t="shared" si="45"/>
        <v>521779.0741037525</v>
      </c>
      <c r="G135" s="70">
        <f t="shared" si="46"/>
        <v>576415.26459155744</v>
      </c>
      <c r="H135" s="73">
        <f t="shared" si="43"/>
        <v>174703.71380461627</v>
      </c>
      <c r="I135" s="127">
        <f t="shared" si="44"/>
        <v>174703.71380461627</v>
      </c>
      <c r="J135" s="69">
        <f t="shared" si="47"/>
        <v>0</v>
      </c>
      <c r="K135" s="69"/>
      <c r="L135" s="150"/>
      <c r="M135" s="69">
        <f t="shared" si="48"/>
        <v>0</v>
      </c>
      <c r="N135" s="150"/>
      <c r="O135" s="69">
        <f t="shared" si="49"/>
        <v>0</v>
      </c>
      <c r="P135" s="69">
        <f t="shared" si="50"/>
        <v>0</v>
      </c>
      <c r="Q135" s="1"/>
    </row>
    <row r="136" spans="2:17" ht="12.5">
      <c r="B136" s="9" t="str">
        <f t="shared" si="32"/>
        <v/>
      </c>
      <c r="C136" s="64">
        <f>IF(D93="","-",+C135+1)</f>
        <v>2045</v>
      </c>
      <c r="D136" s="65">
        <f>IF(F135+SUM(E$99:E135)=D$92,F135,D$92-SUM(E$99:E135))</f>
        <v>521779.0741037525</v>
      </c>
      <c r="E136" s="71">
        <f>IF(+J96&lt;F135,J96,D136)</f>
        <v>109272.38097560976</v>
      </c>
      <c r="F136" s="70">
        <f t="shared" si="45"/>
        <v>412506.69312814274</v>
      </c>
      <c r="G136" s="70">
        <f t="shared" si="46"/>
        <v>467142.88361594762</v>
      </c>
      <c r="H136" s="73">
        <f t="shared" si="43"/>
        <v>162299.74401436542</v>
      </c>
      <c r="I136" s="127">
        <f t="shared" si="44"/>
        <v>162299.74401436542</v>
      </c>
      <c r="J136" s="69">
        <f t="shared" si="47"/>
        <v>0</v>
      </c>
      <c r="K136" s="69"/>
      <c r="L136" s="150"/>
      <c r="M136" s="69">
        <f t="shared" si="48"/>
        <v>0</v>
      </c>
      <c r="N136" s="150"/>
      <c r="O136" s="69">
        <f t="shared" si="49"/>
        <v>0</v>
      </c>
      <c r="P136" s="69">
        <f t="shared" si="50"/>
        <v>0</v>
      </c>
      <c r="Q136" s="1"/>
    </row>
    <row r="137" spans="2:17" ht="12.5">
      <c r="B137" s="9" t="str">
        <f t="shared" si="32"/>
        <v/>
      </c>
      <c r="C137" s="64">
        <f>IF(D93="","-",+C136+1)</f>
        <v>2046</v>
      </c>
      <c r="D137" s="65">
        <f>IF(F136+SUM(E$99:E136)=D$92,F136,D$92-SUM(E$99:E136))</f>
        <v>412506.69312814274</v>
      </c>
      <c r="E137" s="71">
        <f>IF(+J96&lt;F136,J96,D137)</f>
        <v>109272.38097560976</v>
      </c>
      <c r="F137" s="70">
        <f t="shared" si="45"/>
        <v>303234.31215253298</v>
      </c>
      <c r="G137" s="70">
        <f t="shared" si="46"/>
        <v>357870.50264033786</v>
      </c>
      <c r="H137" s="73">
        <f t="shared" si="43"/>
        <v>149895.7742241146</v>
      </c>
      <c r="I137" s="127">
        <f t="shared" si="44"/>
        <v>149895.7742241146</v>
      </c>
      <c r="J137" s="69">
        <f t="shared" si="47"/>
        <v>0</v>
      </c>
      <c r="K137" s="69"/>
      <c r="L137" s="150"/>
      <c r="M137" s="69">
        <f t="shared" si="48"/>
        <v>0</v>
      </c>
      <c r="N137" s="150"/>
      <c r="O137" s="69">
        <f t="shared" si="49"/>
        <v>0</v>
      </c>
      <c r="P137" s="69">
        <f t="shared" si="50"/>
        <v>0</v>
      </c>
      <c r="Q137" s="1"/>
    </row>
    <row r="138" spans="2:17" ht="12.5">
      <c r="B138" s="9" t="str">
        <f t="shared" si="32"/>
        <v/>
      </c>
      <c r="C138" s="64">
        <f>IF(D93="","-",+C137+1)</f>
        <v>2047</v>
      </c>
      <c r="D138" s="65">
        <f>IF(F137+SUM(E$99:E137)=D$92,F137,D$92-SUM(E$99:E137))</f>
        <v>303234.31215253298</v>
      </c>
      <c r="E138" s="71">
        <f>IF(+J96&lt;F137,J96,D138)</f>
        <v>109272.38097560976</v>
      </c>
      <c r="F138" s="70">
        <f t="shared" si="45"/>
        <v>193961.93117692322</v>
      </c>
      <c r="G138" s="70">
        <f t="shared" si="46"/>
        <v>248598.1216647281</v>
      </c>
      <c r="H138" s="73">
        <f t="shared" si="43"/>
        <v>137491.80443386376</v>
      </c>
      <c r="I138" s="127">
        <f t="shared" si="44"/>
        <v>137491.80443386376</v>
      </c>
      <c r="J138" s="69">
        <f t="shared" si="47"/>
        <v>0</v>
      </c>
      <c r="K138" s="69"/>
      <c r="L138" s="150"/>
      <c r="M138" s="69">
        <f t="shared" si="48"/>
        <v>0</v>
      </c>
      <c r="N138" s="150"/>
      <c r="O138" s="69">
        <f t="shared" si="49"/>
        <v>0</v>
      </c>
      <c r="P138" s="69">
        <f t="shared" si="50"/>
        <v>0</v>
      </c>
      <c r="Q138" s="1"/>
    </row>
    <row r="139" spans="2:17" ht="12.5">
      <c r="B139" s="9" t="str">
        <f t="shared" si="32"/>
        <v/>
      </c>
      <c r="C139" s="64">
        <f>IF(D93="","-",+C138+1)</f>
        <v>2048</v>
      </c>
      <c r="D139" s="65">
        <f>IF(F138+SUM(E$99:E138)=D$92,F138,D$92-SUM(E$99:E138))</f>
        <v>193961.93117692322</v>
      </c>
      <c r="E139" s="71">
        <f>IF(+J96&lt;F138,J96,D139)</f>
        <v>109272.38097560976</v>
      </c>
      <c r="F139" s="70">
        <f t="shared" si="45"/>
        <v>84689.550201313454</v>
      </c>
      <c r="G139" s="70">
        <f t="shared" si="46"/>
        <v>139325.74068911833</v>
      </c>
      <c r="H139" s="73">
        <f t="shared" si="43"/>
        <v>125087.83464361292</v>
      </c>
      <c r="I139" s="127">
        <f t="shared" si="44"/>
        <v>125087.83464361292</v>
      </c>
      <c r="J139" s="69">
        <f t="shared" si="47"/>
        <v>0</v>
      </c>
      <c r="K139" s="69"/>
      <c r="L139" s="150"/>
      <c r="M139" s="69">
        <f t="shared" si="48"/>
        <v>0</v>
      </c>
      <c r="N139" s="150"/>
      <c r="O139" s="69">
        <f t="shared" si="49"/>
        <v>0</v>
      </c>
      <c r="P139" s="69">
        <f t="shared" si="50"/>
        <v>0</v>
      </c>
      <c r="Q139" s="1"/>
    </row>
    <row r="140" spans="2:17" ht="12.5">
      <c r="B140" s="9" t="str">
        <f t="shared" si="32"/>
        <v/>
      </c>
      <c r="C140" s="64">
        <f>IF(D93="","-",+C139+1)</f>
        <v>2049</v>
      </c>
      <c r="D140" s="65">
        <f>IF(F139+SUM(E$99:E139)=D$92,F139,D$92-SUM(E$99:E139))</f>
        <v>84689.550201313454</v>
      </c>
      <c r="E140" s="71">
        <f>IF(+J96&lt;F139,J96,D140)</f>
        <v>84689.550201313454</v>
      </c>
      <c r="F140" s="70">
        <f t="shared" si="45"/>
        <v>0</v>
      </c>
      <c r="G140" s="70">
        <f t="shared" si="46"/>
        <v>42344.775100656727</v>
      </c>
      <c r="H140" s="73">
        <f t="shared" si="43"/>
        <v>89496.284587752321</v>
      </c>
      <c r="I140" s="127">
        <f t="shared" si="44"/>
        <v>89496.284587752321</v>
      </c>
      <c r="J140" s="69">
        <f t="shared" si="47"/>
        <v>0</v>
      </c>
      <c r="K140" s="69"/>
      <c r="L140" s="150"/>
      <c r="M140" s="69">
        <f t="shared" si="48"/>
        <v>0</v>
      </c>
      <c r="N140" s="150"/>
      <c r="O140" s="69">
        <f t="shared" si="49"/>
        <v>0</v>
      </c>
      <c r="P140" s="69">
        <f t="shared" si="50"/>
        <v>0</v>
      </c>
      <c r="Q140" s="1"/>
    </row>
    <row r="141" spans="2:17" ht="12.5">
      <c r="B141" s="9" t="str">
        <f t="shared" si="32"/>
        <v/>
      </c>
      <c r="C141" s="64">
        <f>IF(D93="","-",+C140+1)</f>
        <v>2050</v>
      </c>
      <c r="D141" s="65">
        <f>IF(F140+SUM(E$99:E140)=D$92,F140,D$92-SUM(E$99:E140))</f>
        <v>0</v>
      </c>
      <c r="E141" s="71">
        <f>IF(+J96&lt;F140,J96,D141)</f>
        <v>0</v>
      </c>
      <c r="F141" s="70">
        <f t="shared" si="45"/>
        <v>0</v>
      </c>
      <c r="G141" s="70">
        <f t="shared" si="46"/>
        <v>0</v>
      </c>
      <c r="H141" s="73">
        <f t="shared" si="43"/>
        <v>0</v>
      </c>
      <c r="I141" s="127">
        <f t="shared" si="44"/>
        <v>0</v>
      </c>
      <c r="J141" s="69">
        <f t="shared" si="47"/>
        <v>0</v>
      </c>
      <c r="K141" s="69"/>
      <c r="L141" s="150"/>
      <c r="M141" s="69">
        <f t="shared" si="48"/>
        <v>0</v>
      </c>
      <c r="N141" s="150"/>
      <c r="O141" s="69">
        <f t="shared" si="49"/>
        <v>0</v>
      </c>
      <c r="P141" s="69">
        <f t="shared" si="50"/>
        <v>0</v>
      </c>
      <c r="Q141" s="1"/>
    </row>
    <row r="142" spans="2:17" ht="12.5">
      <c r="B142" s="9" t="str">
        <f t="shared" si="32"/>
        <v/>
      </c>
      <c r="C142" s="64">
        <f>IF(D93="","-",+C141+1)</f>
        <v>2051</v>
      </c>
      <c r="D142" s="65">
        <f>IF(F141+SUM(E$99:E141)=D$92,F141,D$92-SUM(E$99:E141))</f>
        <v>0</v>
      </c>
      <c r="E142" s="71">
        <f>IF(+J96&lt;F141,J96,D142)</f>
        <v>0</v>
      </c>
      <c r="F142" s="70">
        <f t="shared" si="45"/>
        <v>0</v>
      </c>
      <c r="G142" s="70">
        <f t="shared" si="46"/>
        <v>0</v>
      </c>
      <c r="H142" s="73">
        <f t="shared" si="43"/>
        <v>0</v>
      </c>
      <c r="I142" s="127">
        <f t="shared" si="44"/>
        <v>0</v>
      </c>
      <c r="J142" s="69">
        <f t="shared" si="47"/>
        <v>0</v>
      </c>
      <c r="K142" s="69"/>
      <c r="L142" s="150"/>
      <c r="M142" s="69">
        <f t="shared" si="48"/>
        <v>0</v>
      </c>
      <c r="N142" s="150"/>
      <c r="O142" s="69">
        <f t="shared" si="49"/>
        <v>0</v>
      </c>
      <c r="P142" s="69">
        <f t="shared" si="50"/>
        <v>0</v>
      </c>
      <c r="Q142" s="1"/>
    </row>
    <row r="143" spans="2:17" ht="12.5">
      <c r="B143" s="9" t="str">
        <f t="shared" si="32"/>
        <v/>
      </c>
      <c r="C143" s="64">
        <f>IF(D93="","-",+C142+1)</f>
        <v>2052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45"/>
        <v>0</v>
      </c>
      <c r="G143" s="70">
        <f t="shared" si="46"/>
        <v>0</v>
      </c>
      <c r="H143" s="73">
        <f t="shared" si="43"/>
        <v>0</v>
      </c>
      <c r="I143" s="127">
        <f t="shared" si="44"/>
        <v>0</v>
      </c>
      <c r="J143" s="69">
        <f t="shared" si="47"/>
        <v>0</v>
      </c>
      <c r="K143" s="69"/>
      <c r="L143" s="150"/>
      <c r="M143" s="69">
        <f t="shared" si="48"/>
        <v>0</v>
      </c>
      <c r="N143" s="150"/>
      <c r="O143" s="69">
        <f t="shared" si="49"/>
        <v>0</v>
      </c>
      <c r="P143" s="69">
        <f t="shared" si="50"/>
        <v>0</v>
      </c>
      <c r="Q143" s="1"/>
    </row>
    <row r="144" spans="2:17" ht="12.5">
      <c r="B144" s="9" t="str">
        <f t="shared" si="32"/>
        <v/>
      </c>
      <c r="C144" s="64">
        <f>IF(D93="","-",+C143+1)</f>
        <v>2053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45"/>
        <v>0</v>
      </c>
      <c r="G144" s="70">
        <f t="shared" si="46"/>
        <v>0</v>
      </c>
      <c r="H144" s="73">
        <f t="shared" si="43"/>
        <v>0</v>
      </c>
      <c r="I144" s="127">
        <f t="shared" si="44"/>
        <v>0</v>
      </c>
      <c r="J144" s="69">
        <f t="shared" si="47"/>
        <v>0</v>
      </c>
      <c r="K144" s="69"/>
      <c r="L144" s="150"/>
      <c r="M144" s="69">
        <f t="shared" si="48"/>
        <v>0</v>
      </c>
      <c r="N144" s="150"/>
      <c r="O144" s="69">
        <f t="shared" si="49"/>
        <v>0</v>
      </c>
      <c r="P144" s="69">
        <f t="shared" si="50"/>
        <v>0</v>
      </c>
      <c r="Q144" s="1"/>
    </row>
    <row r="145" spans="2:17" ht="12.5">
      <c r="B145" s="9" t="str">
        <f t="shared" si="32"/>
        <v/>
      </c>
      <c r="C145" s="64">
        <f>IF(D93="","-",+C144+1)</f>
        <v>2054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45"/>
        <v>0</v>
      </c>
      <c r="G145" s="70">
        <f t="shared" si="46"/>
        <v>0</v>
      </c>
      <c r="H145" s="73">
        <f t="shared" si="43"/>
        <v>0</v>
      </c>
      <c r="I145" s="127">
        <f t="shared" si="44"/>
        <v>0</v>
      </c>
      <c r="J145" s="69">
        <f t="shared" si="47"/>
        <v>0</v>
      </c>
      <c r="K145" s="69"/>
      <c r="L145" s="150"/>
      <c r="M145" s="69">
        <f t="shared" si="48"/>
        <v>0</v>
      </c>
      <c r="N145" s="150"/>
      <c r="O145" s="69">
        <f t="shared" si="49"/>
        <v>0</v>
      </c>
      <c r="P145" s="69">
        <f t="shared" si="50"/>
        <v>0</v>
      </c>
      <c r="Q145" s="1"/>
    </row>
    <row r="146" spans="2:17" ht="12.5">
      <c r="B146" s="9" t="str">
        <f t="shared" si="32"/>
        <v/>
      </c>
      <c r="C146" s="64">
        <f>IF(D93="","-",+C145+1)</f>
        <v>2055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45"/>
        <v>0</v>
      </c>
      <c r="G146" s="70">
        <f t="shared" si="46"/>
        <v>0</v>
      </c>
      <c r="H146" s="73">
        <f t="shared" si="43"/>
        <v>0</v>
      </c>
      <c r="I146" s="127">
        <f t="shared" si="44"/>
        <v>0</v>
      </c>
      <c r="J146" s="69">
        <f t="shared" si="47"/>
        <v>0</v>
      </c>
      <c r="K146" s="69"/>
      <c r="L146" s="150"/>
      <c r="M146" s="69">
        <f t="shared" si="48"/>
        <v>0</v>
      </c>
      <c r="N146" s="150"/>
      <c r="O146" s="69">
        <f t="shared" si="49"/>
        <v>0</v>
      </c>
      <c r="P146" s="69">
        <f t="shared" si="50"/>
        <v>0</v>
      </c>
      <c r="Q146" s="1"/>
    </row>
    <row r="147" spans="2:17" ht="12.5">
      <c r="B147" s="9" t="str">
        <f t="shared" si="32"/>
        <v/>
      </c>
      <c r="C147" s="64">
        <f>IF(D93="","-",+C146+1)</f>
        <v>2056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45"/>
        <v>0</v>
      </c>
      <c r="G147" s="70">
        <f t="shared" si="46"/>
        <v>0</v>
      </c>
      <c r="H147" s="73">
        <f t="shared" si="43"/>
        <v>0</v>
      </c>
      <c r="I147" s="127">
        <f t="shared" si="44"/>
        <v>0</v>
      </c>
      <c r="J147" s="69">
        <f t="shared" si="47"/>
        <v>0</v>
      </c>
      <c r="K147" s="69"/>
      <c r="L147" s="150"/>
      <c r="M147" s="69">
        <f t="shared" si="48"/>
        <v>0</v>
      </c>
      <c r="N147" s="150"/>
      <c r="O147" s="69">
        <f t="shared" si="49"/>
        <v>0</v>
      </c>
      <c r="P147" s="69">
        <f t="shared" si="50"/>
        <v>0</v>
      </c>
      <c r="Q147" s="1"/>
    </row>
    <row r="148" spans="2:17" ht="12.5">
      <c r="B148" s="9" t="str">
        <f t="shared" si="32"/>
        <v/>
      </c>
      <c r="C148" s="64">
        <f>IF(D93="","-",+C147+1)</f>
        <v>2057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45"/>
        <v>0</v>
      </c>
      <c r="G148" s="70">
        <f t="shared" si="46"/>
        <v>0</v>
      </c>
      <c r="H148" s="73">
        <f t="shared" si="43"/>
        <v>0</v>
      </c>
      <c r="I148" s="127">
        <f t="shared" si="44"/>
        <v>0</v>
      </c>
      <c r="J148" s="69">
        <f t="shared" si="47"/>
        <v>0</v>
      </c>
      <c r="K148" s="69"/>
      <c r="L148" s="150"/>
      <c r="M148" s="69">
        <f t="shared" si="48"/>
        <v>0</v>
      </c>
      <c r="N148" s="150"/>
      <c r="O148" s="69">
        <f t="shared" si="49"/>
        <v>0</v>
      </c>
      <c r="P148" s="69">
        <f t="shared" si="50"/>
        <v>0</v>
      </c>
      <c r="Q148" s="1"/>
    </row>
    <row r="149" spans="2:17" ht="12.5">
      <c r="B149" s="9" t="str">
        <f t="shared" si="32"/>
        <v/>
      </c>
      <c r="C149" s="64">
        <f>IF(D93="","-",+C148+1)</f>
        <v>2058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45"/>
        <v>0</v>
      </c>
      <c r="G149" s="70">
        <f t="shared" si="46"/>
        <v>0</v>
      </c>
      <c r="H149" s="73">
        <f t="shared" si="43"/>
        <v>0</v>
      </c>
      <c r="I149" s="127">
        <f t="shared" si="44"/>
        <v>0</v>
      </c>
      <c r="J149" s="69">
        <f t="shared" si="47"/>
        <v>0</v>
      </c>
      <c r="K149" s="69"/>
      <c r="L149" s="150"/>
      <c r="M149" s="69">
        <f t="shared" si="48"/>
        <v>0</v>
      </c>
      <c r="N149" s="150"/>
      <c r="O149" s="69">
        <f t="shared" si="49"/>
        <v>0</v>
      </c>
      <c r="P149" s="69">
        <f t="shared" si="50"/>
        <v>0</v>
      </c>
      <c r="Q149" s="1"/>
    </row>
    <row r="150" spans="2:17" ht="12.5">
      <c r="B150" s="9" t="str">
        <f t="shared" si="32"/>
        <v/>
      </c>
      <c r="C150" s="64">
        <f>IF(D93="","-",+C149+1)</f>
        <v>2059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45"/>
        <v>0</v>
      </c>
      <c r="G150" s="70">
        <f t="shared" si="46"/>
        <v>0</v>
      </c>
      <c r="H150" s="73">
        <f t="shared" si="43"/>
        <v>0</v>
      </c>
      <c r="I150" s="127">
        <f t="shared" si="44"/>
        <v>0</v>
      </c>
      <c r="J150" s="69">
        <f t="shared" si="47"/>
        <v>0</v>
      </c>
      <c r="K150" s="69"/>
      <c r="L150" s="150"/>
      <c r="M150" s="69">
        <f t="shared" si="48"/>
        <v>0</v>
      </c>
      <c r="N150" s="150"/>
      <c r="O150" s="69">
        <f t="shared" si="49"/>
        <v>0</v>
      </c>
      <c r="P150" s="69">
        <f t="shared" si="50"/>
        <v>0</v>
      </c>
      <c r="Q150" s="1"/>
    </row>
    <row r="151" spans="2:17" ht="12.5">
      <c r="B151" s="9" t="str">
        <f t="shared" si="32"/>
        <v/>
      </c>
      <c r="C151" s="64">
        <f>IF(D93="","-",+C150+1)</f>
        <v>2060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45"/>
        <v>0</v>
      </c>
      <c r="G151" s="70">
        <f t="shared" si="46"/>
        <v>0</v>
      </c>
      <c r="H151" s="73">
        <f t="shared" si="43"/>
        <v>0</v>
      </c>
      <c r="I151" s="127">
        <f t="shared" si="44"/>
        <v>0</v>
      </c>
      <c r="J151" s="69">
        <f t="shared" si="47"/>
        <v>0</v>
      </c>
      <c r="K151" s="69"/>
      <c r="L151" s="150"/>
      <c r="M151" s="69">
        <f t="shared" si="48"/>
        <v>0</v>
      </c>
      <c r="N151" s="150"/>
      <c r="O151" s="69">
        <f t="shared" si="49"/>
        <v>0</v>
      </c>
      <c r="P151" s="69">
        <f t="shared" si="50"/>
        <v>0</v>
      </c>
      <c r="Q151" s="1"/>
    </row>
    <row r="152" spans="2:17" ht="12.5">
      <c r="B152" s="9" t="str">
        <f t="shared" si="32"/>
        <v/>
      </c>
      <c r="C152" s="64">
        <f>IF(D93="","-",+C151+1)</f>
        <v>2061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45"/>
        <v>0</v>
      </c>
      <c r="G152" s="70">
        <f t="shared" si="46"/>
        <v>0</v>
      </c>
      <c r="H152" s="73">
        <f t="shared" si="43"/>
        <v>0</v>
      </c>
      <c r="I152" s="127">
        <f t="shared" si="44"/>
        <v>0</v>
      </c>
      <c r="J152" s="69">
        <f t="shared" si="47"/>
        <v>0</v>
      </c>
      <c r="K152" s="69"/>
      <c r="L152" s="150"/>
      <c r="M152" s="69">
        <f t="shared" si="48"/>
        <v>0</v>
      </c>
      <c r="N152" s="150"/>
      <c r="O152" s="69">
        <f t="shared" si="49"/>
        <v>0</v>
      </c>
      <c r="P152" s="69">
        <f t="shared" si="50"/>
        <v>0</v>
      </c>
      <c r="Q152" s="1"/>
    </row>
    <row r="153" spans="2:17" ht="12.5">
      <c r="B153" s="9" t="str">
        <f t="shared" si="32"/>
        <v/>
      </c>
      <c r="C153" s="64">
        <f>IF(D93="","-",+C152+1)</f>
        <v>2062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45"/>
        <v>0</v>
      </c>
      <c r="G153" s="70">
        <f t="shared" si="46"/>
        <v>0</v>
      </c>
      <c r="H153" s="73">
        <f t="shared" si="43"/>
        <v>0</v>
      </c>
      <c r="I153" s="127">
        <f t="shared" si="44"/>
        <v>0</v>
      </c>
      <c r="J153" s="69">
        <f t="shared" si="47"/>
        <v>0</v>
      </c>
      <c r="K153" s="69"/>
      <c r="L153" s="150"/>
      <c r="M153" s="69">
        <f t="shared" si="48"/>
        <v>0</v>
      </c>
      <c r="N153" s="150"/>
      <c r="O153" s="69">
        <f t="shared" si="49"/>
        <v>0</v>
      </c>
      <c r="P153" s="69">
        <f t="shared" si="50"/>
        <v>0</v>
      </c>
      <c r="Q153" s="1"/>
    </row>
    <row r="154" spans="2:17" ht="13" thickBot="1">
      <c r="B154" s="9" t="str">
        <f t="shared" si="32"/>
        <v/>
      </c>
      <c r="C154" s="74">
        <f>IF(D93="","-",+C153+1)</f>
        <v>2063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45"/>
        <v>0</v>
      </c>
      <c r="G154" s="75">
        <f t="shared" si="46"/>
        <v>0</v>
      </c>
      <c r="H154" s="77">
        <f t="shared" si="43"/>
        <v>0</v>
      </c>
      <c r="I154" s="128">
        <f t="shared" si="44"/>
        <v>0</v>
      </c>
      <c r="J154" s="79">
        <f t="shared" si="47"/>
        <v>0</v>
      </c>
      <c r="K154" s="69"/>
      <c r="L154" s="151"/>
      <c r="M154" s="79">
        <f t="shared" si="48"/>
        <v>0</v>
      </c>
      <c r="N154" s="151"/>
      <c r="O154" s="79">
        <f t="shared" si="49"/>
        <v>0</v>
      </c>
      <c r="P154" s="79">
        <f t="shared" si="50"/>
        <v>0</v>
      </c>
      <c r="Q154" s="1"/>
    </row>
    <row r="155" spans="2:17" ht="12.5">
      <c r="C155" s="65" t="s">
        <v>78</v>
      </c>
      <c r="D155" s="22"/>
      <c r="E155" s="22">
        <f>SUM(E99:E154)</f>
        <v>4480167.6199999992</v>
      </c>
      <c r="F155" s="22"/>
      <c r="G155" s="22"/>
      <c r="H155" s="22">
        <f>SUM(H99:H154)</f>
        <v>15801200.28109698</v>
      </c>
      <c r="I155" s="22">
        <f>SUM(I99:I154)</f>
        <v>15801200.28109698</v>
      </c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 ht="12.5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 ht="12.5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 ht="12.5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 ht="13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 ht="13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 ht="13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23" priority="1" stopIfTrue="1" operator="equal">
      <formula>$I$10</formula>
    </cfRule>
  </conditionalFormatting>
  <conditionalFormatting sqref="C99:C154">
    <cfRule type="cellIs" dxfId="12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9">
    <tabColor indexed="8"/>
  </sheetPr>
  <dimension ref="A1:Q162"/>
  <sheetViews>
    <sheetView view="pageBreakPreview" zoomScale="75" zoomScaleNormal="100" zoomScaleSheetLayoutView="75" workbookViewId="0">
      <selection activeCell="D11" sqref="D11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1796875" customWidth="1"/>
    <col min="15" max="15" width="16.81640625" customWidth="1"/>
    <col min="16" max="16" width="24.453125" customWidth="1"/>
    <col min="17" max="17" width="4.7265625" customWidth="1"/>
    <col min="23" max="23" width="9.1796875" customWidth="1"/>
  </cols>
  <sheetData>
    <row r="1" spans="1:17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20 of 74</v>
      </c>
      <c r="Q1" s="19"/>
    </row>
    <row r="2" spans="1:17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2" t="s">
        <v>129</v>
      </c>
    </row>
    <row r="3" spans="1:17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 t="str">
        <f>RIGHT(N3,3)</f>
        <v/>
      </c>
      <c r="P3" s="114">
        <v>1</v>
      </c>
    </row>
    <row r="4" spans="1:17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7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7" ht="15.5">
      <c r="C6" s="8"/>
      <c r="D6" s="154" t="s">
        <v>276</v>
      </c>
      <c r="E6" s="103"/>
      <c r="F6" s="103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7" ht="13.5" thickBot="1">
      <c r="C7" s="32" t="s">
        <v>48</v>
      </c>
      <c r="D7" s="148" t="s">
        <v>241</v>
      </c>
      <c r="E7" s="1"/>
      <c r="F7" s="1"/>
      <c r="G7" s="80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7" ht="13.5" thickBot="1">
      <c r="C8" s="36"/>
      <c r="D8" s="164" t="s">
        <v>275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7" ht="13.5" thickBot="1">
      <c r="A9" s="17"/>
      <c r="C9" s="38" t="s">
        <v>50</v>
      </c>
      <c r="D9" s="110" t="s">
        <v>142</v>
      </c>
      <c r="E9" s="39"/>
      <c r="F9" s="39"/>
      <c r="G9" s="39"/>
      <c r="H9" s="39"/>
      <c r="I9" s="40"/>
      <c r="J9" s="41"/>
      <c r="O9" s="42"/>
      <c r="P9" s="4"/>
    </row>
    <row r="10" spans="1:17" ht="13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+'SWE.WS.F.BPU.ATRR.Projected'!L19</f>
        <v>2023</v>
      </c>
      <c r="J10" s="41"/>
      <c r="K10" s="22" t="s">
        <v>53</v>
      </c>
      <c r="O10" s="4"/>
      <c r="P10" s="4"/>
    </row>
    <row r="11" spans="1:17" ht="12.5">
      <c r="C11" s="47" t="s">
        <v>54</v>
      </c>
      <c r="D11" s="48">
        <v>2008</v>
      </c>
      <c r="E11" s="47" t="s">
        <v>55</v>
      </c>
      <c r="F11" s="45"/>
      <c r="G11" s="7"/>
      <c r="H11" s="7"/>
      <c r="I11" s="49"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7" ht="12.5">
      <c r="C12" s="47" t="s">
        <v>56</v>
      </c>
      <c r="D12" s="44">
        <v>11</v>
      </c>
      <c r="E12" s="47" t="s">
        <v>57</v>
      </c>
      <c r="F12" s="45"/>
      <c r="G12" s="7"/>
      <c r="H12" s="7"/>
      <c r="I12" s="51">
        <f>'SWE.WS.F.BPU.ATRR.Projected'!$F$81</f>
        <v>0.12632678797962701</v>
      </c>
      <c r="J12" s="52"/>
      <c r="K12" t="s">
        <v>58</v>
      </c>
      <c r="O12" s="4"/>
      <c r="P12" s="4"/>
    </row>
    <row r="13" spans="1:17" ht="12.5">
      <c r="C13" s="47" t="s">
        <v>59</v>
      </c>
      <c r="D13" s="49">
        <f>+'SWE.WS.F.BPU.ATRR.Projected'!F$93</f>
        <v>42</v>
      </c>
      <c r="E13" s="47" t="s">
        <v>60</v>
      </c>
      <c r="F13" s="45"/>
      <c r="G13" s="7"/>
      <c r="H13" s="7"/>
      <c r="I13" s="51">
        <f>IF(G5="",I12,'SWE.WS.F.BPU.ATRR.Projected'!$F$80)</f>
        <v>0.12632678797962701</v>
      </c>
      <c r="J13" s="52"/>
      <c r="K13" s="22" t="s">
        <v>61</v>
      </c>
      <c r="L13" s="11"/>
      <c r="M13" s="11"/>
      <c r="N13" s="11"/>
      <c r="O13" s="4"/>
      <c r="P13" s="4"/>
    </row>
    <row r="14" spans="1:17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7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388</v>
      </c>
      <c r="H15" s="181" t="s">
        <v>389</v>
      </c>
      <c r="I15" s="152" t="s">
        <v>260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7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79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2008</v>
      </c>
      <c r="D17" s="162">
        <v>1165466</v>
      </c>
      <c r="E17" s="162">
        <v>2625</v>
      </c>
      <c r="F17" s="162">
        <v>1162841</v>
      </c>
      <c r="G17" s="162">
        <v>32328</v>
      </c>
      <c r="H17" s="162">
        <v>32328</v>
      </c>
      <c r="I17" s="67">
        <f t="shared" ref="I17:I48" si="0">H17-G17</f>
        <v>0</v>
      </c>
      <c r="J17" s="67"/>
      <c r="K17" s="131">
        <v>0</v>
      </c>
      <c r="L17" s="68">
        <f t="shared" ref="L17:L48" si="1">IF(K17&lt;&gt;0,+G17-K17,0)</f>
        <v>0</v>
      </c>
      <c r="M17" s="131">
        <v>0</v>
      </c>
      <c r="N17" s="68">
        <f t="shared" ref="N17:N48" si="2">IF(M17&lt;&gt;0,+H17-M17,0)</f>
        <v>0</v>
      </c>
      <c r="O17" s="69">
        <f t="shared" ref="O17:O48" si="3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2009</v>
      </c>
      <c r="D18" s="159">
        <v>1162841</v>
      </c>
      <c r="E18" s="159">
        <v>31499</v>
      </c>
      <c r="F18" s="159">
        <v>1131342</v>
      </c>
      <c r="G18" s="159">
        <v>204891</v>
      </c>
      <c r="H18" s="159">
        <v>204891</v>
      </c>
      <c r="I18" s="67">
        <f t="shared" si="0"/>
        <v>0</v>
      </c>
      <c r="J18" s="67"/>
      <c r="K18" s="133">
        <v>204891</v>
      </c>
      <c r="L18" s="69">
        <f t="shared" si="1"/>
        <v>0</v>
      </c>
      <c r="M18" s="133">
        <v>204891</v>
      </c>
      <c r="N18" s="69">
        <f t="shared" si="2"/>
        <v>0</v>
      </c>
      <c r="O18" s="69">
        <f t="shared" si="3"/>
        <v>0</v>
      </c>
      <c r="P18" s="4"/>
    </row>
    <row r="19" spans="2:16" ht="12.5">
      <c r="B19" s="9" t="str">
        <f>IF(D19=F18,"","IU")</f>
        <v/>
      </c>
      <c r="C19" s="64">
        <f>IF(D11="","-",+C18+1)</f>
        <v>2010</v>
      </c>
      <c r="D19" s="159">
        <v>1131342</v>
      </c>
      <c r="E19" s="158">
        <v>30670.157894736843</v>
      </c>
      <c r="F19" s="159">
        <v>1100671.8421052631</v>
      </c>
      <c r="G19" s="158">
        <v>188908.24442689336</v>
      </c>
      <c r="H19" s="157">
        <v>188908.24442689336</v>
      </c>
      <c r="I19" s="163">
        <v>0</v>
      </c>
      <c r="J19" s="67"/>
      <c r="K19" s="133">
        <f>G19</f>
        <v>188908.24442689336</v>
      </c>
      <c r="L19" s="132">
        <f t="shared" si="1"/>
        <v>0</v>
      </c>
      <c r="M19" s="133">
        <f>H19</f>
        <v>188908.24442689336</v>
      </c>
      <c r="N19" s="69">
        <f t="shared" si="2"/>
        <v>0</v>
      </c>
      <c r="O19" s="69">
        <f t="shared" si="3"/>
        <v>0</v>
      </c>
      <c r="P19" s="4"/>
    </row>
    <row r="20" spans="2:16" ht="12.5">
      <c r="B20" s="9" t="str">
        <f t="shared" ref="B20:B72" si="4">IF(D20=F19,"","IU")</f>
        <v>IU</v>
      </c>
      <c r="C20" s="64">
        <f>IF(D11="","-",+C19+1)</f>
        <v>2011</v>
      </c>
      <c r="D20" s="159">
        <v>0</v>
      </c>
      <c r="E20" s="158">
        <v>0</v>
      </c>
      <c r="F20" s="159">
        <v>0</v>
      </c>
      <c r="G20" s="158">
        <v>0</v>
      </c>
      <c r="H20" s="157">
        <v>0</v>
      </c>
      <c r="I20" s="163">
        <v>0</v>
      </c>
      <c r="J20" s="67"/>
      <c r="K20" s="133">
        <f>G20</f>
        <v>0</v>
      </c>
      <c r="L20" s="132">
        <f t="shared" si="1"/>
        <v>0</v>
      </c>
      <c r="M20" s="133">
        <f>H20</f>
        <v>0</v>
      </c>
      <c r="N20" s="69">
        <f t="shared" si="2"/>
        <v>0</v>
      </c>
      <c r="O20" s="69">
        <f t="shared" si="3"/>
        <v>0</v>
      </c>
      <c r="P20" s="4"/>
    </row>
    <row r="21" spans="2:16" ht="12.5">
      <c r="B21" s="9" t="str">
        <f t="shared" si="4"/>
        <v/>
      </c>
      <c r="C21" s="64">
        <f>IF(D12="","-",+C20+1)</f>
        <v>2012</v>
      </c>
      <c r="D21" s="169">
        <v>0</v>
      </c>
      <c r="E21" s="168">
        <f>IF(+I14&lt;F20,I14,D21)</f>
        <v>0</v>
      </c>
      <c r="F21" s="169">
        <f t="shared" ref="F21:F48" si="5">+D21-E21</f>
        <v>0</v>
      </c>
      <c r="G21" s="170">
        <f>+I12*F21+E21</f>
        <v>0</v>
      </c>
      <c r="H21" s="171">
        <f>+I13*F21+E21</f>
        <v>0</v>
      </c>
      <c r="I21" s="67">
        <f t="shared" si="0"/>
        <v>0</v>
      </c>
      <c r="J21" s="67"/>
      <c r="K21" s="133"/>
      <c r="L21" s="132">
        <f t="shared" si="1"/>
        <v>0</v>
      </c>
      <c r="M21" s="133"/>
      <c r="N21" s="69">
        <f t="shared" si="2"/>
        <v>0</v>
      </c>
      <c r="O21" s="69">
        <f t="shared" si="3"/>
        <v>0</v>
      </c>
      <c r="P21" s="4"/>
    </row>
    <row r="22" spans="2:16" ht="12.5">
      <c r="B22" s="9" t="str">
        <f t="shared" si="4"/>
        <v/>
      </c>
      <c r="C22" s="64">
        <f>IF(D11="","-",+C21+1)</f>
        <v>2013</v>
      </c>
      <c r="D22" s="70">
        <v>0</v>
      </c>
      <c r="E22" s="71">
        <f>IF(+I14&lt;F21,I14,D22)</f>
        <v>0</v>
      </c>
      <c r="F22" s="70">
        <f t="shared" si="5"/>
        <v>0</v>
      </c>
      <c r="G22" s="72">
        <f t="shared" ref="G22:G53" si="6">+I$12*((D22+F22)/2)+E22</f>
        <v>0</v>
      </c>
      <c r="H22" s="53">
        <f t="shared" ref="H22:H53" si="7">+I$13*((D22+F22)/2)+E22</f>
        <v>0</v>
      </c>
      <c r="I22" s="67">
        <f t="shared" si="0"/>
        <v>0</v>
      </c>
      <c r="J22" s="67"/>
      <c r="K22" s="150"/>
      <c r="L22" s="69">
        <f t="shared" si="1"/>
        <v>0</v>
      </c>
      <c r="M22" s="150"/>
      <c r="N22" s="69">
        <f t="shared" si="2"/>
        <v>0</v>
      </c>
      <c r="O22" s="69">
        <f t="shared" si="3"/>
        <v>0</v>
      </c>
      <c r="P22" s="4"/>
    </row>
    <row r="23" spans="2:16" ht="12.5">
      <c r="B23" s="9" t="str">
        <f t="shared" si="4"/>
        <v/>
      </c>
      <c r="C23" s="64">
        <f>IF(D11="","-",+C22+1)</f>
        <v>2014</v>
      </c>
      <c r="D23" s="70">
        <v>0</v>
      </c>
      <c r="E23" s="71">
        <f>IF(+I14&lt;F22,I14,D23)</f>
        <v>0</v>
      </c>
      <c r="F23" s="70">
        <f t="shared" si="5"/>
        <v>0</v>
      </c>
      <c r="G23" s="72">
        <f t="shared" si="6"/>
        <v>0</v>
      </c>
      <c r="H23" s="53">
        <f t="shared" si="7"/>
        <v>0</v>
      </c>
      <c r="I23" s="67">
        <f t="shared" si="0"/>
        <v>0</v>
      </c>
      <c r="J23" s="67"/>
      <c r="K23" s="150"/>
      <c r="L23" s="69">
        <f t="shared" si="1"/>
        <v>0</v>
      </c>
      <c r="M23" s="150"/>
      <c r="N23" s="69">
        <f t="shared" si="2"/>
        <v>0</v>
      </c>
      <c r="O23" s="69">
        <f t="shared" si="3"/>
        <v>0</v>
      </c>
      <c r="P23" s="4"/>
    </row>
    <row r="24" spans="2:16" ht="12.5">
      <c r="B24" s="9" t="str">
        <f t="shared" si="4"/>
        <v/>
      </c>
      <c r="C24" s="64">
        <f>IF(D11="","-",+C23+1)</f>
        <v>2015</v>
      </c>
      <c r="D24" s="70">
        <v>0</v>
      </c>
      <c r="E24" s="71">
        <f>IF(+I14&lt;F23,I14,D24)</f>
        <v>0</v>
      </c>
      <c r="F24" s="70">
        <f t="shared" si="5"/>
        <v>0</v>
      </c>
      <c r="G24" s="72">
        <f t="shared" si="6"/>
        <v>0</v>
      </c>
      <c r="H24" s="53">
        <f t="shared" si="7"/>
        <v>0</v>
      </c>
      <c r="I24" s="67">
        <f t="shared" si="0"/>
        <v>0</v>
      </c>
      <c r="J24" s="67"/>
      <c r="K24" s="150"/>
      <c r="L24" s="69">
        <f t="shared" si="1"/>
        <v>0</v>
      </c>
      <c r="M24" s="150"/>
      <c r="N24" s="69">
        <f t="shared" si="2"/>
        <v>0</v>
      </c>
      <c r="O24" s="69">
        <f t="shared" si="3"/>
        <v>0</v>
      </c>
      <c r="P24" s="4"/>
    </row>
    <row r="25" spans="2:16" ht="12.5">
      <c r="B25" s="9" t="str">
        <f t="shared" si="4"/>
        <v/>
      </c>
      <c r="C25" s="64">
        <f>IF(D11="","-",+C24+1)</f>
        <v>2016</v>
      </c>
      <c r="D25" s="70">
        <v>0</v>
      </c>
      <c r="E25" s="71">
        <f>IF(+I14&lt;F24,I14,D25)</f>
        <v>0</v>
      </c>
      <c r="F25" s="70">
        <f t="shared" si="5"/>
        <v>0</v>
      </c>
      <c r="G25" s="72">
        <f t="shared" si="6"/>
        <v>0</v>
      </c>
      <c r="H25" s="53">
        <f t="shared" si="7"/>
        <v>0</v>
      </c>
      <c r="I25" s="67">
        <f t="shared" si="0"/>
        <v>0</v>
      </c>
      <c r="J25" s="67"/>
      <c r="K25" s="150"/>
      <c r="L25" s="69">
        <f t="shared" si="1"/>
        <v>0</v>
      </c>
      <c r="M25" s="150"/>
      <c r="N25" s="69">
        <f t="shared" si="2"/>
        <v>0</v>
      </c>
      <c r="O25" s="69">
        <f t="shared" si="3"/>
        <v>0</v>
      </c>
      <c r="P25" s="4"/>
    </row>
    <row r="26" spans="2:16" ht="12.5">
      <c r="B26" s="9" t="str">
        <f t="shared" si="4"/>
        <v/>
      </c>
      <c r="C26" s="64">
        <f>IF(D11="","-",+C25+1)</f>
        <v>2017</v>
      </c>
      <c r="D26" s="70">
        <v>0</v>
      </c>
      <c r="E26" s="71">
        <f>IF(+I14&lt;F25,I14,D26)</f>
        <v>0</v>
      </c>
      <c r="F26" s="70">
        <f t="shared" si="5"/>
        <v>0</v>
      </c>
      <c r="G26" s="72">
        <f t="shared" si="6"/>
        <v>0</v>
      </c>
      <c r="H26" s="53">
        <f t="shared" si="7"/>
        <v>0</v>
      </c>
      <c r="I26" s="67">
        <f t="shared" si="0"/>
        <v>0</v>
      </c>
      <c r="J26" s="67"/>
      <c r="K26" s="150"/>
      <c r="L26" s="69">
        <f t="shared" si="1"/>
        <v>0</v>
      </c>
      <c r="M26" s="150"/>
      <c r="N26" s="69">
        <f t="shared" si="2"/>
        <v>0</v>
      </c>
      <c r="O26" s="69">
        <f t="shared" si="3"/>
        <v>0</v>
      </c>
      <c r="P26" s="4"/>
    </row>
    <row r="27" spans="2:16" ht="12.5">
      <c r="B27" s="9" t="str">
        <f t="shared" si="4"/>
        <v/>
      </c>
      <c r="C27" s="64">
        <f>IF(D11="","-",+C26+1)</f>
        <v>2018</v>
      </c>
      <c r="D27" s="70">
        <v>0</v>
      </c>
      <c r="E27" s="71">
        <f>IF(+I14&lt;F26,I14,D27)</f>
        <v>0</v>
      </c>
      <c r="F27" s="70">
        <f t="shared" si="5"/>
        <v>0</v>
      </c>
      <c r="G27" s="72">
        <f t="shared" si="6"/>
        <v>0</v>
      </c>
      <c r="H27" s="53">
        <f t="shared" si="7"/>
        <v>0</v>
      </c>
      <c r="I27" s="67">
        <f t="shared" si="0"/>
        <v>0</v>
      </c>
      <c r="J27" s="67"/>
      <c r="K27" s="150"/>
      <c r="L27" s="69">
        <f t="shared" si="1"/>
        <v>0</v>
      </c>
      <c r="M27" s="150"/>
      <c r="N27" s="69">
        <f t="shared" si="2"/>
        <v>0</v>
      </c>
      <c r="O27" s="69">
        <f t="shared" si="3"/>
        <v>0</v>
      </c>
      <c r="P27" s="4"/>
    </row>
    <row r="28" spans="2:16" ht="12.5">
      <c r="B28" s="9" t="str">
        <f t="shared" si="4"/>
        <v/>
      </c>
      <c r="C28" s="64">
        <f>IF(D11="","-",+C27+1)</f>
        <v>2019</v>
      </c>
      <c r="D28" s="70">
        <v>0</v>
      </c>
      <c r="E28" s="71">
        <f>IF(+I14&lt;F27,I14,D28)</f>
        <v>0</v>
      </c>
      <c r="F28" s="70">
        <f t="shared" si="5"/>
        <v>0</v>
      </c>
      <c r="G28" s="72">
        <f t="shared" si="6"/>
        <v>0</v>
      </c>
      <c r="H28" s="53">
        <f t="shared" si="7"/>
        <v>0</v>
      </c>
      <c r="I28" s="67">
        <f t="shared" si="0"/>
        <v>0</v>
      </c>
      <c r="J28" s="67"/>
      <c r="K28" s="150"/>
      <c r="L28" s="69">
        <f t="shared" si="1"/>
        <v>0</v>
      </c>
      <c r="M28" s="150"/>
      <c r="N28" s="69">
        <f t="shared" si="2"/>
        <v>0</v>
      </c>
      <c r="O28" s="69">
        <f t="shared" si="3"/>
        <v>0</v>
      </c>
      <c r="P28" s="4"/>
    </row>
    <row r="29" spans="2:16" ht="12.5">
      <c r="B29" s="9" t="str">
        <f t="shared" si="4"/>
        <v/>
      </c>
      <c r="C29" s="64">
        <f>IF(D11="","-",+C28+1)</f>
        <v>2020</v>
      </c>
      <c r="D29" s="70">
        <v>0</v>
      </c>
      <c r="E29" s="71">
        <f>IF(+I14&lt;F28,I14,D29)</f>
        <v>0</v>
      </c>
      <c r="F29" s="70">
        <f t="shared" si="5"/>
        <v>0</v>
      </c>
      <c r="G29" s="72">
        <f t="shared" si="6"/>
        <v>0</v>
      </c>
      <c r="H29" s="53">
        <f t="shared" si="7"/>
        <v>0</v>
      </c>
      <c r="I29" s="67">
        <f t="shared" si="0"/>
        <v>0</v>
      </c>
      <c r="J29" s="67"/>
      <c r="K29" s="150"/>
      <c r="L29" s="69">
        <f t="shared" si="1"/>
        <v>0</v>
      </c>
      <c r="M29" s="150"/>
      <c r="N29" s="69">
        <f t="shared" si="2"/>
        <v>0</v>
      </c>
      <c r="O29" s="69">
        <f t="shared" si="3"/>
        <v>0</v>
      </c>
      <c r="P29" s="4"/>
    </row>
    <row r="30" spans="2:16" ht="12.5">
      <c r="B30" s="9" t="str">
        <f t="shared" si="4"/>
        <v/>
      </c>
      <c r="C30" s="64">
        <f>IF(D11="","-",+C29+1)</f>
        <v>2021</v>
      </c>
      <c r="D30" s="70">
        <v>0</v>
      </c>
      <c r="E30" s="71">
        <f>IF(+I14&lt;F29,I14,D30)</f>
        <v>0</v>
      </c>
      <c r="F30" s="70">
        <f t="shared" si="5"/>
        <v>0</v>
      </c>
      <c r="G30" s="72">
        <f t="shared" si="6"/>
        <v>0</v>
      </c>
      <c r="H30" s="53">
        <f t="shared" si="7"/>
        <v>0</v>
      </c>
      <c r="I30" s="67">
        <f t="shared" si="0"/>
        <v>0</v>
      </c>
      <c r="J30" s="67"/>
      <c r="K30" s="150"/>
      <c r="L30" s="69">
        <f t="shared" si="1"/>
        <v>0</v>
      </c>
      <c r="M30" s="150"/>
      <c r="N30" s="69">
        <f t="shared" si="2"/>
        <v>0</v>
      </c>
      <c r="O30" s="69">
        <f t="shared" si="3"/>
        <v>0</v>
      </c>
      <c r="P30" s="4"/>
    </row>
    <row r="31" spans="2:16" ht="12.5">
      <c r="B31" s="9" t="str">
        <f t="shared" si="4"/>
        <v/>
      </c>
      <c r="C31" s="64">
        <f>IF(D11="","-",+C30+1)</f>
        <v>2022</v>
      </c>
      <c r="D31" s="70">
        <v>0</v>
      </c>
      <c r="E31" s="71">
        <f>IF(+I14&lt;F30,I14,D31)</f>
        <v>0</v>
      </c>
      <c r="F31" s="70">
        <f t="shared" si="5"/>
        <v>0</v>
      </c>
      <c r="G31" s="72">
        <f t="shared" si="6"/>
        <v>0</v>
      </c>
      <c r="H31" s="53">
        <f t="shared" si="7"/>
        <v>0</v>
      </c>
      <c r="I31" s="67">
        <f t="shared" si="0"/>
        <v>0</v>
      </c>
      <c r="J31" s="67"/>
      <c r="K31" s="150"/>
      <c r="L31" s="69">
        <f t="shared" si="1"/>
        <v>0</v>
      </c>
      <c r="M31" s="150"/>
      <c r="N31" s="69">
        <f t="shared" si="2"/>
        <v>0</v>
      </c>
      <c r="O31" s="69">
        <f t="shared" si="3"/>
        <v>0</v>
      </c>
      <c r="P31" s="4"/>
    </row>
    <row r="32" spans="2:16" ht="12.5">
      <c r="B32" s="9" t="str">
        <f t="shared" si="4"/>
        <v/>
      </c>
      <c r="C32" s="64">
        <f>IF(D11="","-",+C31+1)</f>
        <v>2023</v>
      </c>
      <c r="D32" s="70">
        <v>0</v>
      </c>
      <c r="E32" s="71">
        <f>IF(+I14&lt;F31,I14,D32)</f>
        <v>0</v>
      </c>
      <c r="F32" s="70">
        <f t="shared" si="5"/>
        <v>0</v>
      </c>
      <c r="G32" s="72">
        <f t="shared" si="6"/>
        <v>0</v>
      </c>
      <c r="H32" s="53">
        <f t="shared" si="7"/>
        <v>0</v>
      </c>
      <c r="I32" s="67">
        <f t="shared" si="0"/>
        <v>0</v>
      </c>
      <c r="J32" s="67"/>
      <c r="K32" s="150"/>
      <c r="L32" s="69">
        <f t="shared" si="1"/>
        <v>0</v>
      </c>
      <c r="M32" s="150"/>
      <c r="N32" s="69">
        <f t="shared" si="2"/>
        <v>0</v>
      </c>
      <c r="O32" s="69">
        <f t="shared" si="3"/>
        <v>0</v>
      </c>
      <c r="P32" s="4"/>
    </row>
    <row r="33" spans="2:16" ht="12.5">
      <c r="B33" s="9" t="str">
        <f t="shared" si="4"/>
        <v/>
      </c>
      <c r="C33" s="64">
        <f>IF(D11="","-",+C32+1)</f>
        <v>2024</v>
      </c>
      <c r="D33" s="70">
        <v>0</v>
      </c>
      <c r="E33" s="71">
        <f>IF(+I14&lt;F32,I14,D33)</f>
        <v>0</v>
      </c>
      <c r="F33" s="70">
        <f t="shared" si="5"/>
        <v>0</v>
      </c>
      <c r="G33" s="72">
        <f t="shared" si="6"/>
        <v>0</v>
      </c>
      <c r="H33" s="53">
        <f t="shared" si="7"/>
        <v>0</v>
      </c>
      <c r="I33" s="67">
        <f t="shared" si="0"/>
        <v>0</v>
      </c>
      <c r="J33" s="67"/>
      <c r="K33" s="150"/>
      <c r="L33" s="69">
        <f t="shared" si="1"/>
        <v>0</v>
      </c>
      <c r="M33" s="150"/>
      <c r="N33" s="69">
        <f t="shared" si="2"/>
        <v>0</v>
      </c>
      <c r="O33" s="69">
        <f t="shared" si="3"/>
        <v>0</v>
      </c>
      <c r="P33" s="4"/>
    </row>
    <row r="34" spans="2:16" ht="12.5">
      <c r="B34" s="9" t="str">
        <f t="shared" si="4"/>
        <v/>
      </c>
      <c r="C34" s="64">
        <f>IF(D11="","-",+C33+1)</f>
        <v>2025</v>
      </c>
      <c r="D34" s="70">
        <v>0</v>
      </c>
      <c r="E34" s="71">
        <f>IF(+I14&lt;F33,I14,D34)</f>
        <v>0</v>
      </c>
      <c r="F34" s="70">
        <f t="shared" si="5"/>
        <v>0</v>
      </c>
      <c r="G34" s="72">
        <f t="shared" si="6"/>
        <v>0</v>
      </c>
      <c r="H34" s="53">
        <f t="shared" si="7"/>
        <v>0</v>
      </c>
      <c r="I34" s="67">
        <f t="shared" si="0"/>
        <v>0</v>
      </c>
      <c r="J34" s="67"/>
      <c r="K34" s="150"/>
      <c r="L34" s="69">
        <f t="shared" si="1"/>
        <v>0</v>
      </c>
      <c r="M34" s="150"/>
      <c r="N34" s="69">
        <f t="shared" si="2"/>
        <v>0</v>
      </c>
      <c r="O34" s="69">
        <f t="shared" si="3"/>
        <v>0</v>
      </c>
      <c r="P34" s="4"/>
    </row>
    <row r="35" spans="2:16" ht="12.5">
      <c r="B35" s="9" t="str">
        <f t="shared" si="4"/>
        <v/>
      </c>
      <c r="C35" s="64">
        <f>IF(D11="","-",+C34+1)</f>
        <v>2026</v>
      </c>
      <c r="D35" s="70">
        <v>0</v>
      </c>
      <c r="E35" s="71">
        <f>IF(+I14&lt;F34,I14,D35)</f>
        <v>0</v>
      </c>
      <c r="F35" s="70">
        <f t="shared" si="5"/>
        <v>0</v>
      </c>
      <c r="G35" s="72">
        <f t="shared" si="6"/>
        <v>0</v>
      </c>
      <c r="H35" s="53">
        <f t="shared" si="7"/>
        <v>0</v>
      </c>
      <c r="I35" s="67">
        <f t="shared" si="0"/>
        <v>0</v>
      </c>
      <c r="J35" s="67"/>
      <c r="K35" s="150"/>
      <c r="L35" s="69">
        <f t="shared" si="1"/>
        <v>0</v>
      </c>
      <c r="M35" s="150"/>
      <c r="N35" s="69">
        <f t="shared" si="2"/>
        <v>0</v>
      </c>
      <c r="O35" s="69">
        <f t="shared" si="3"/>
        <v>0</v>
      </c>
      <c r="P35" s="4"/>
    </row>
    <row r="36" spans="2:16" ht="12.5">
      <c r="B36" s="9" t="str">
        <f t="shared" si="4"/>
        <v/>
      </c>
      <c r="C36" s="64">
        <f>IF(D11="","-",+C35+1)</f>
        <v>2027</v>
      </c>
      <c r="D36" s="70">
        <v>0</v>
      </c>
      <c r="E36" s="71">
        <f>IF(+I14&lt;F35,I14,D36)</f>
        <v>0</v>
      </c>
      <c r="F36" s="70">
        <f t="shared" si="5"/>
        <v>0</v>
      </c>
      <c r="G36" s="72">
        <f t="shared" si="6"/>
        <v>0</v>
      </c>
      <c r="H36" s="53">
        <f t="shared" si="7"/>
        <v>0</v>
      </c>
      <c r="I36" s="67">
        <f t="shared" si="0"/>
        <v>0</v>
      </c>
      <c r="J36" s="67"/>
      <c r="K36" s="150"/>
      <c r="L36" s="69">
        <f t="shared" si="1"/>
        <v>0</v>
      </c>
      <c r="M36" s="150"/>
      <c r="N36" s="69">
        <f t="shared" si="2"/>
        <v>0</v>
      </c>
      <c r="O36" s="69">
        <f t="shared" si="3"/>
        <v>0</v>
      </c>
      <c r="P36" s="4"/>
    </row>
    <row r="37" spans="2:16" ht="12.5">
      <c r="B37" s="9" t="str">
        <f t="shared" si="4"/>
        <v/>
      </c>
      <c r="C37" s="64">
        <f>IF(D11="","-",+C36+1)</f>
        <v>2028</v>
      </c>
      <c r="D37" s="70">
        <v>0</v>
      </c>
      <c r="E37" s="71">
        <f>IF(+I14&lt;F36,I14,D37)</f>
        <v>0</v>
      </c>
      <c r="F37" s="70">
        <f t="shared" si="5"/>
        <v>0</v>
      </c>
      <c r="G37" s="72">
        <f t="shared" si="6"/>
        <v>0</v>
      </c>
      <c r="H37" s="53">
        <f t="shared" si="7"/>
        <v>0</v>
      </c>
      <c r="I37" s="67">
        <f t="shared" si="0"/>
        <v>0</v>
      </c>
      <c r="J37" s="67"/>
      <c r="K37" s="150"/>
      <c r="L37" s="69">
        <f t="shared" si="1"/>
        <v>0</v>
      </c>
      <c r="M37" s="150"/>
      <c r="N37" s="69">
        <f t="shared" si="2"/>
        <v>0</v>
      </c>
      <c r="O37" s="69">
        <f t="shared" si="3"/>
        <v>0</v>
      </c>
      <c r="P37" s="4"/>
    </row>
    <row r="38" spans="2:16" ht="12.5">
      <c r="B38" s="9" t="str">
        <f t="shared" si="4"/>
        <v/>
      </c>
      <c r="C38" s="64">
        <f>IF(D11="","-",+C37+1)</f>
        <v>2029</v>
      </c>
      <c r="D38" s="70">
        <v>0</v>
      </c>
      <c r="E38" s="71">
        <f>IF(+I14&lt;F37,I14,D38)</f>
        <v>0</v>
      </c>
      <c r="F38" s="70">
        <f t="shared" si="5"/>
        <v>0</v>
      </c>
      <c r="G38" s="72">
        <f t="shared" si="6"/>
        <v>0</v>
      </c>
      <c r="H38" s="53">
        <f t="shared" si="7"/>
        <v>0</v>
      </c>
      <c r="I38" s="67">
        <f t="shared" si="0"/>
        <v>0</v>
      </c>
      <c r="J38" s="67"/>
      <c r="K38" s="150"/>
      <c r="L38" s="69">
        <f t="shared" si="1"/>
        <v>0</v>
      </c>
      <c r="M38" s="150"/>
      <c r="N38" s="69">
        <f t="shared" si="2"/>
        <v>0</v>
      </c>
      <c r="O38" s="69">
        <f t="shared" si="3"/>
        <v>0</v>
      </c>
      <c r="P38" s="4"/>
    </row>
    <row r="39" spans="2:16" ht="12.5">
      <c r="B39" s="9" t="str">
        <f t="shared" si="4"/>
        <v/>
      </c>
      <c r="C39" s="64">
        <f>IF(D11="","-",+C38+1)</f>
        <v>2030</v>
      </c>
      <c r="D39" s="70">
        <v>0</v>
      </c>
      <c r="E39" s="71">
        <f>IF(+I14&lt;F38,I14,D39)</f>
        <v>0</v>
      </c>
      <c r="F39" s="70">
        <f t="shared" si="5"/>
        <v>0</v>
      </c>
      <c r="G39" s="72">
        <f t="shared" si="6"/>
        <v>0</v>
      </c>
      <c r="H39" s="53">
        <f t="shared" si="7"/>
        <v>0</v>
      </c>
      <c r="I39" s="67">
        <f t="shared" si="0"/>
        <v>0</v>
      </c>
      <c r="J39" s="67"/>
      <c r="K39" s="150"/>
      <c r="L39" s="69">
        <f t="shared" si="1"/>
        <v>0</v>
      </c>
      <c r="M39" s="150"/>
      <c r="N39" s="69">
        <f t="shared" si="2"/>
        <v>0</v>
      </c>
      <c r="O39" s="69">
        <f t="shared" si="3"/>
        <v>0</v>
      </c>
      <c r="P39" s="4"/>
    </row>
    <row r="40" spans="2:16" ht="12.5">
      <c r="B40" s="9" t="str">
        <f t="shared" si="4"/>
        <v/>
      </c>
      <c r="C40" s="64">
        <f>IF(D11="","-",+C39+1)</f>
        <v>2031</v>
      </c>
      <c r="D40" s="70">
        <v>0</v>
      </c>
      <c r="E40" s="71">
        <f>IF(+I14&lt;F39,I14,D40)</f>
        <v>0</v>
      </c>
      <c r="F40" s="70">
        <f t="shared" si="5"/>
        <v>0</v>
      </c>
      <c r="G40" s="72">
        <f t="shared" si="6"/>
        <v>0</v>
      </c>
      <c r="H40" s="53">
        <f t="shared" si="7"/>
        <v>0</v>
      </c>
      <c r="I40" s="67">
        <f t="shared" si="0"/>
        <v>0</v>
      </c>
      <c r="J40" s="67"/>
      <c r="K40" s="150"/>
      <c r="L40" s="69">
        <f t="shared" si="1"/>
        <v>0</v>
      </c>
      <c r="M40" s="150"/>
      <c r="N40" s="69">
        <f t="shared" si="2"/>
        <v>0</v>
      </c>
      <c r="O40" s="69">
        <f t="shared" si="3"/>
        <v>0</v>
      </c>
      <c r="P40" s="4"/>
    </row>
    <row r="41" spans="2:16" ht="12.5">
      <c r="B41" s="9" t="str">
        <f t="shared" si="4"/>
        <v/>
      </c>
      <c r="C41" s="64">
        <f>IF(D11="","-",+C40+1)</f>
        <v>2032</v>
      </c>
      <c r="D41" s="70">
        <v>0</v>
      </c>
      <c r="E41" s="71">
        <f>IF(+I14&lt;F40,I14,D41)</f>
        <v>0</v>
      </c>
      <c r="F41" s="70">
        <f t="shared" si="5"/>
        <v>0</v>
      </c>
      <c r="G41" s="72">
        <f t="shared" si="6"/>
        <v>0</v>
      </c>
      <c r="H41" s="53">
        <f t="shared" si="7"/>
        <v>0</v>
      </c>
      <c r="I41" s="67">
        <f t="shared" si="0"/>
        <v>0</v>
      </c>
      <c r="J41" s="67"/>
      <c r="K41" s="150"/>
      <c r="L41" s="69">
        <f t="shared" si="1"/>
        <v>0</v>
      </c>
      <c r="M41" s="150"/>
      <c r="N41" s="69">
        <f t="shared" si="2"/>
        <v>0</v>
      </c>
      <c r="O41" s="69">
        <f t="shared" si="3"/>
        <v>0</v>
      </c>
      <c r="P41" s="4"/>
    </row>
    <row r="42" spans="2:16" ht="12.5">
      <c r="B42" s="9" t="str">
        <f t="shared" si="4"/>
        <v/>
      </c>
      <c r="C42" s="64">
        <f>IF(D11="","-",+C41+1)</f>
        <v>2033</v>
      </c>
      <c r="D42" s="70">
        <v>0</v>
      </c>
      <c r="E42" s="71">
        <f>IF(+I14&lt;F41,I14,D42)</f>
        <v>0</v>
      </c>
      <c r="F42" s="70">
        <f t="shared" si="5"/>
        <v>0</v>
      </c>
      <c r="G42" s="72">
        <f t="shared" si="6"/>
        <v>0</v>
      </c>
      <c r="H42" s="53">
        <f t="shared" si="7"/>
        <v>0</v>
      </c>
      <c r="I42" s="67">
        <f t="shared" si="0"/>
        <v>0</v>
      </c>
      <c r="J42" s="67"/>
      <c r="K42" s="150"/>
      <c r="L42" s="69">
        <f t="shared" si="1"/>
        <v>0</v>
      </c>
      <c r="M42" s="150"/>
      <c r="N42" s="69">
        <f t="shared" si="2"/>
        <v>0</v>
      </c>
      <c r="O42" s="69">
        <f t="shared" si="3"/>
        <v>0</v>
      </c>
      <c r="P42" s="4"/>
    </row>
    <row r="43" spans="2:16" ht="12.5">
      <c r="B43" s="9" t="str">
        <f t="shared" si="4"/>
        <v/>
      </c>
      <c r="C43" s="64">
        <f>IF(D11="","-",+C42+1)</f>
        <v>2034</v>
      </c>
      <c r="D43" s="70">
        <v>0</v>
      </c>
      <c r="E43" s="71">
        <f>IF(+I14&lt;F42,I14,D43)</f>
        <v>0</v>
      </c>
      <c r="F43" s="70">
        <f t="shared" si="5"/>
        <v>0</v>
      </c>
      <c r="G43" s="72">
        <f t="shared" si="6"/>
        <v>0</v>
      </c>
      <c r="H43" s="53">
        <f t="shared" si="7"/>
        <v>0</v>
      </c>
      <c r="I43" s="67">
        <f t="shared" si="0"/>
        <v>0</v>
      </c>
      <c r="J43" s="67"/>
      <c r="K43" s="150"/>
      <c r="L43" s="69">
        <f t="shared" si="1"/>
        <v>0</v>
      </c>
      <c r="M43" s="150"/>
      <c r="N43" s="69">
        <f t="shared" si="2"/>
        <v>0</v>
      </c>
      <c r="O43" s="69">
        <f t="shared" si="3"/>
        <v>0</v>
      </c>
      <c r="P43" s="4"/>
    </row>
    <row r="44" spans="2:16" ht="12.5">
      <c r="B44" s="9" t="str">
        <f t="shared" si="4"/>
        <v/>
      </c>
      <c r="C44" s="64">
        <f>IF(D11="","-",+C43+1)</f>
        <v>2035</v>
      </c>
      <c r="D44" s="70">
        <v>0</v>
      </c>
      <c r="E44" s="71">
        <f>IF(+I14&lt;F43,I14,D44)</f>
        <v>0</v>
      </c>
      <c r="F44" s="70">
        <f t="shared" si="5"/>
        <v>0</v>
      </c>
      <c r="G44" s="72">
        <f t="shared" si="6"/>
        <v>0</v>
      </c>
      <c r="H44" s="53">
        <f t="shared" si="7"/>
        <v>0</v>
      </c>
      <c r="I44" s="67">
        <f t="shared" si="0"/>
        <v>0</v>
      </c>
      <c r="J44" s="67"/>
      <c r="K44" s="150"/>
      <c r="L44" s="69">
        <f t="shared" si="1"/>
        <v>0</v>
      </c>
      <c r="M44" s="150"/>
      <c r="N44" s="69">
        <f t="shared" si="2"/>
        <v>0</v>
      </c>
      <c r="O44" s="69">
        <f t="shared" si="3"/>
        <v>0</v>
      </c>
      <c r="P44" s="4"/>
    </row>
    <row r="45" spans="2:16" ht="12.5">
      <c r="B45" s="9" t="str">
        <f t="shared" si="4"/>
        <v/>
      </c>
      <c r="C45" s="64">
        <f>IF(D11="","-",+C44+1)</f>
        <v>2036</v>
      </c>
      <c r="D45" s="70">
        <v>0</v>
      </c>
      <c r="E45" s="71">
        <f>IF(+I14&lt;F44,I14,D45)</f>
        <v>0</v>
      </c>
      <c r="F45" s="70">
        <f t="shared" si="5"/>
        <v>0</v>
      </c>
      <c r="G45" s="72">
        <f t="shared" si="6"/>
        <v>0</v>
      </c>
      <c r="H45" s="53">
        <f t="shared" si="7"/>
        <v>0</v>
      </c>
      <c r="I45" s="67">
        <f t="shared" si="0"/>
        <v>0</v>
      </c>
      <c r="J45" s="67"/>
      <c r="K45" s="150"/>
      <c r="L45" s="69">
        <f t="shared" si="1"/>
        <v>0</v>
      </c>
      <c r="M45" s="150"/>
      <c r="N45" s="69">
        <f t="shared" si="2"/>
        <v>0</v>
      </c>
      <c r="O45" s="69">
        <f t="shared" si="3"/>
        <v>0</v>
      </c>
      <c r="P45" s="4"/>
    </row>
    <row r="46" spans="2:16" ht="12.5">
      <c r="B46" s="9" t="str">
        <f t="shared" si="4"/>
        <v/>
      </c>
      <c r="C46" s="64">
        <f>IF(D11="","-",+C45+1)</f>
        <v>2037</v>
      </c>
      <c r="D46" s="70">
        <v>0</v>
      </c>
      <c r="E46" s="71">
        <f>IF(+I14&lt;F45,I14,D46)</f>
        <v>0</v>
      </c>
      <c r="F46" s="70">
        <f t="shared" si="5"/>
        <v>0</v>
      </c>
      <c r="G46" s="72">
        <f t="shared" si="6"/>
        <v>0</v>
      </c>
      <c r="H46" s="53">
        <f t="shared" si="7"/>
        <v>0</v>
      </c>
      <c r="I46" s="67">
        <f t="shared" si="0"/>
        <v>0</v>
      </c>
      <c r="J46" s="67"/>
      <c r="K46" s="150"/>
      <c r="L46" s="69">
        <f t="shared" si="1"/>
        <v>0</v>
      </c>
      <c r="M46" s="150"/>
      <c r="N46" s="69">
        <f t="shared" si="2"/>
        <v>0</v>
      </c>
      <c r="O46" s="69">
        <f t="shared" si="3"/>
        <v>0</v>
      </c>
      <c r="P46" s="4"/>
    </row>
    <row r="47" spans="2:16" ht="12.5">
      <c r="B47" s="9" t="str">
        <f t="shared" si="4"/>
        <v/>
      </c>
      <c r="C47" s="64">
        <f>IF(D11="","-",+C46+1)</f>
        <v>2038</v>
      </c>
      <c r="D47" s="70">
        <v>0</v>
      </c>
      <c r="E47" s="71">
        <f>IF(+I14&lt;F46,I14,D47)</f>
        <v>0</v>
      </c>
      <c r="F47" s="70">
        <f t="shared" si="5"/>
        <v>0</v>
      </c>
      <c r="G47" s="72">
        <f t="shared" si="6"/>
        <v>0</v>
      </c>
      <c r="H47" s="53">
        <f t="shared" si="7"/>
        <v>0</v>
      </c>
      <c r="I47" s="67">
        <f t="shared" si="0"/>
        <v>0</v>
      </c>
      <c r="J47" s="67"/>
      <c r="K47" s="150"/>
      <c r="L47" s="69">
        <f t="shared" si="1"/>
        <v>0</v>
      </c>
      <c r="M47" s="150"/>
      <c r="N47" s="69">
        <f t="shared" si="2"/>
        <v>0</v>
      </c>
      <c r="O47" s="69">
        <f t="shared" si="3"/>
        <v>0</v>
      </c>
      <c r="P47" s="4"/>
    </row>
    <row r="48" spans="2:16" ht="12.5">
      <c r="B48" s="9" t="str">
        <f t="shared" si="4"/>
        <v/>
      </c>
      <c r="C48" s="64">
        <f>IF(D11="","-",+C47+1)</f>
        <v>2039</v>
      </c>
      <c r="D48" s="70">
        <v>0</v>
      </c>
      <c r="E48" s="71">
        <f>IF(+I14&lt;F47,I14,D48)</f>
        <v>0</v>
      </c>
      <c r="F48" s="70">
        <f t="shared" si="5"/>
        <v>0</v>
      </c>
      <c r="G48" s="72">
        <f t="shared" si="6"/>
        <v>0</v>
      </c>
      <c r="H48" s="53">
        <f t="shared" si="7"/>
        <v>0</v>
      </c>
      <c r="I48" s="67">
        <f t="shared" si="0"/>
        <v>0</v>
      </c>
      <c r="J48" s="67"/>
      <c r="K48" s="150"/>
      <c r="L48" s="69">
        <f t="shared" si="1"/>
        <v>0</v>
      </c>
      <c r="M48" s="150"/>
      <c r="N48" s="69">
        <f t="shared" si="2"/>
        <v>0</v>
      </c>
      <c r="O48" s="69">
        <f t="shared" si="3"/>
        <v>0</v>
      </c>
      <c r="P48" s="4"/>
    </row>
    <row r="49" spans="2:17" ht="12.5">
      <c r="B49" s="9" t="str">
        <f t="shared" si="4"/>
        <v/>
      </c>
      <c r="C49" s="64">
        <f>IF(D11="","-",+C48+1)</f>
        <v>2040</v>
      </c>
      <c r="D49" s="70">
        <v>0</v>
      </c>
      <c r="E49" s="71">
        <f>IF(+I14&lt;F48,I14,D49)</f>
        <v>0</v>
      </c>
      <c r="F49" s="70">
        <f t="shared" ref="F49:F72" si="8">+D49-E49</f>
        <v>0</v>
      </c>
      <c r="G49" s="72">
        <f t="shared" si="6"/>
        <v>0</v>
      </c>
      <c r="H49" s="53">
        <f t="shared" si="7"/>
        <v>0</v>
      </c>
      <c r="I49" s="67">
        <f t="shared" ref="I49:I72" si="9">H49-G49</f>
        <v>0</v>
      </c>
      <c r="J49" s="67"/>
      <c r="K49" s="150"/>
      <c r="L49" s="69">
        <f t="shared" ref="L49:L72" si="10">IF(K49&lt;&gt;0,+G49-K49,0)</f>
        <v>0</v>
      </c>
      <c r="M49" s="150"/>
      <c r="N49" s="69">
        <f t="shared" ref="N49:N72" si="11">IF(M49&lt;&gt;0,+H49-M49,0)</f>
        <v>0</v>
      </c>
      <c r="O49" s="69">
        <f t="shared" ref="O49:O72" si="12">+N49-L49</f>
        <v>0</v>
      </c>
      <c r="P49" s="4"/>
    </row>
    <row r="50" spans="2:17" ht="12.5">
      <c r="B50" s="9" t="str">
        <f t="shared" si="4"/>
        <v/>
      </c>
      <c r="C50" s="64">
        <f>IF(D11="","-",+C49+1)</f>
        <v>2041</v>
      </c>
      <c r="D50" s="70">
        <v>0</v>
      </c>
      <c r="E50" s="71">
        <f>IF(+I14&lt;F49,I14,D50)</f>
        <v>0</v>
      </c>
      <c r="F50" s="70">
        <f t="shared" si="8"/>
        <v>0</v>
      </c>
      <c r="G50" s="72">
        <f t="shared" si="6"/>
        <v>0</v>
      </c>
      <c r="H50" s="53">
        <f t="shared" si="7"/>
        <v>0</v>
      </c>
      <c r="I50" s="67">
        <f t="shared" si="9"/>
        <v>0</v>
      </c>
      <c r="J50" s="67"/>
      <c r="K50" s="150"/>
      <c r="L50" s="69">
        <f t="shared" si="10"/>
        <v>0</v>
      </c>
      <c r="M50" s="150"/>
      <c r="N50" s="69">
        <f t="shared" si="11"/>
        <v>0</v>
      </c>
      <c r="O50" s="69">
        <f t="shared" si="12"/>
        <v>0</v>
      </c>
      <c r="P50" s="4"/>
    </row>
    <row r="51" spans="2:17" ht="12.5">
      <c r="B51" s="9" t="str">
        <f t="shared" si="4"/>
        <v/>
      </c>
      <c r="C51" s="64">
        <f>IF(D11="","-",+C50+1)</f>
        <v>2042</v>
      </c>
      <c r="D51" s="70">
        <v>0</v>
      </c>
      <c r="E51" s="71">
        <f>IF(+I14&lt;F50,I14,D51)</f>
        <v>0</v>
      </c>
      <c r="F51" s="70">
        <f t="shared" si="8"/>
        <v>0</v>
      </c>
      <c r="G51" s="72">
        <f t="shared" si="6"/>
        <v>0</v>
      </c>
      <c r="H51" s="53">
        <f t="shared" si="7"/>
        <v>0</v>
      </c>
      <c r="I51" s="67">
        <f t="shared" si="9"/>
        <v>0</v>
      </c>
      <c r="J51" s="67"/>
      <c r="K51" s="150"/>
      <c r="L51" s="69">
        <f t="shared" si="10"/>
        <v>0</v>
      </c>
      <c r="M51" s="150"/>
      <c r="N51" s="69">
        <f t="shared" si="11"/>
        <v>0</v>
      </c>
      <c r="O51" s="69">
        <f t="shared" si="12"/>
        <v>0</v>
      </c>
      <c r="P51" s="4"/>
    </row>
    <row r="52" spans="2:17" ht="12.5">
      <c r="B52" s="9" t="str">
        <f t="shared" si="4"/>
        <v/>
      </c>
      <c r="C52" s="64">
        <f>IF(D11="","-",+C51+1)</f>
        <v>2043</v>
      </c>
      <c r="D52" s="70">
        <v>0</v>
      </c>
      <c r="E52" s="71">
        <f>IF(+I14&lt;F51,I14,D52)</f>
        <v>0</v>
      </c>
      <c r="F52" s="70">
        <f t="shared" si="8"/>
        <v>0</v>
      </c>
      <c r="G52" s="72">
        <f t="shared" si="6"/>
        <v>0</v>
      </c>
      <c r="H52" s="53">
        <f t="shared" si="7"/>
        <v>0</v>
      </c>
      <c r="I52" s="67">
        <f t="shared" si="9"/>
        <v>0</v>
      </c>
      <c r="J52" s="67"/>
      <c r="K52" s="150"/>
      <c r="L52" s="69">
        <f t="shared" si="10"/>
        <v>0</v>
      </c>
      <c r="M52" s="150"/>
      <c r="N52" s="69">
        <f t="shared" si="11"/>
        <v>0</v>
      </c>
      <c r="O52" s="69">
        <f t="shared" si="12"/>
        <v>0</v>
      </c>
      <c r="P52" s="4"/>
    </row>
    <row r="53" spans="2:17" ht="12.5">
      <c r="B53" s="9" t="str">
        <f t="shared" si="4"/>
        <v/>
      </c>
      <c r="C53" s="64">
        <f>IF(D11="","-",+C52+1)</f>
        <v>2044</v>
      </c>
      <c r="D53" s="70">
        <v>0</v>
      </c>
      <c r="E53" s="71">
        <f>IF(+I14&lt;F52,I14,D53)</f>
        <v>0</v>
      </c>
      <c r="F53" s="70">
        <f t="shared" si="8"/>
        <v>0</v>
      </c>
      <c r="G53" s="72">
        <f t="shared" si="6"/>
        <v>0</v>
      </c>
      <c r="H53" s="53">
        <f t="shared" si="7"/>
        <v>0</v>
      </c>
      <c r="I53" s="67">
        <f t="shared" si="9"/>
        <v>0</v>
      </c>
      <c r="J53" s="67"/>
      <c r="K53" s="150"/>
      <c r="L53" s="69">
        <f t="shared" si="10"/>
        <v>0</v>
      </c>
      <c r="M53" s="150"/>
      <c r="N53" s="69">
        <f t="shared" si="11"/>
        <v>0</v>
      </c>
      <c r="O53" s="69">
        <f t="shared" si="12"/>
        <v>0</v>
      </c>
      <c r="P53" s="4"/>
    </row>
    <row r="54" spans="2:17" ht="12.5">
      <c r="B54" s="9" t="str">
        <f t="shared" si="4"/>
        <v/>
      </c>
      <c r="C54" s="64">
        <f>IF(D11="","-",+C53+1)</f>
        <v>2045</v>
      </c>
      <c r="D54" s="70">
        <v>0</v>
      </c>
      <c r="E54" s="71">
        <f>IF(+I14&lt;F53,I14,D54)</f>
        <v>0</v>
      </c>
      <c r="F54" s="70">
        <f t="shared" si="8"/>
        <v>0</v>
      </c>
      <c r="G54" s="72">
        <f t="shared" ref="G54:G72" si="13">+I$12*((D54+F54)/2)+E54</f>
        <v>0</v>
      </c>
      <c r="H54" s="53">
        <f t="shared" ref="H54:H72" si="14">+I$13*((D54+F54)/2)+E54</f>
        <v>0</v>
      </c>
      <c r="I54" s="67">
        <f t="shared" si="9"/>
        <v>0</v>
      </c>
      <c r="J54" s="67"/>
      <c r="K54" s="150"/>
      <c r="L54" s="69">
        <f t="shared" si="10"/>
        <v>0</v>
      </c>
      <c r="M54" s="150"/>
      <c r="N54" s="69">
        <f t="shared" si="11"/>
        <v>0</v>
      </c>
      <c r="O54" s="69">
        <f t="shared" si="12"/>
        <v>0</v>
      </c>
      <c r="P54" s="4"/>
    </row>
    <row r="55" spans="2:17" ht="12.5">
      <c r="B55" s="9" t="str">
        <f t="shared" si="4"/>
        <v/>
      </c>
      <c r="C55" s="64">
        <f>IF(D11="","-",+C54+1)</f>
        <v>2046</v>
      </c>
      <c r="D55" s="70">
        <v>0</v>
      </c>
      <c r="E55" s="71">
        <f>IF(+I14&lt;F54,I14,D55)</f>
        <v>0</v>
      </c>
      <c r="F55" s="70">
        <f t="shared" si="8"/>
        <v>0</v>
      </c>
      <c r="G55" s="72">
        <f t="shared" si="13"/>
        <v>0</v>
      </c>
      <c r="H55" s="53">
        <f t="shared" si="14"/>
        <v>0</v>
      </c>
      <c r="I55" s="67">
        <f t="shared" si="9"/>
        <v>0</v>
      </c>
      <c r="J55" s="67"/>
      <c r="K55" s="150"/>
      <c r="L55" s="69">
        <f t="shared" si="10"/>
        <v>0</v>
      </c>
      <c r="M55" s="150"/>
      <c r="N55" s="69">
        <f t="shared" si="11"/>
        <v>0</v>
      </c>
      <c r="O55" s="69">
        <f t="shared" si="12"/>
        <v>0</v>
      </c>
      <c r="P55" s="4"/>
    </row>
    <row r="56" spans="2:17" ht="12.5">
      <c r="B56" s="9" t="str">
        <f t="shared" si="4"/>
        <v/>
      </c>
      <c r="C56" s="64">
        <f>IF(D11="","-",+C55+1)</f>
        <v>2047</v>
      </c>
      <c r="D56" s="70">
        <v>0</v>
      </c>
      <c r="E56" s="71">
        <f>IF(+I14&lt;F55,I14,D56)</f>
        <v>0</v>
      </c>
      <c r="F56" s="70">
        <f t="shared" si="8"/>
        <v>0</v>
      </c>
      <c r="G56" s="72">
        <f t="shared" si="13"/>
        <v>0</v>
      </c>
      <c r="H56" s="53">
        <f t="shared" si="14"/>
        <v>0</v>
      </c>
      <c r="I56" s="67">
        <f t="shared" si="9"/>
        <v>0</v>
      </c>
      <c r="J56" s="67"/>
      <c r="K56" s="150"/>
      <c r="L56" s="69">
        <f t="shared" si="10"/>
        <v>0</v>
      </c>
      <c r="M56" s="150"/>
      <c r="N56" s="69">
        <f t="shared" si="11"/>
        <v>0</v>
      </c>
      <c r="O56" s="69">
        <f t="shared" si="12"/>
        <v>0</v>
      </c>
      <c r="P56" s="4"/>
    </row>
    <row r="57" spans="2:17" ht="12.5">
      <c r="B57" s="9" t="str">
        <f t="shared" si="4"/>
        <v/>
      </c>
      <c r="C57" s="64">
        <f>IF(D11="","-",+C56+1)</f>
        <v>2048</v>
      </c>
      <c r="D57" s="70">
        <v>0</v>
      </c>
      <c r="E57" s="71">
        <f>IF(+I14&lt;F56,I14,D57)</f>
        <v>0</v>
      </c>
      <c r="F57" s="70">
        <f t="shared" si="8"/>
        <v>0</v>
      </c>
      <c r="G57" s="72">
        <f t="shared" si="13"/>
        <v>0</v>
      </c>
      <c r="H57" s="53">
        <f t="shared" si="14"/>
        <v>0</v>
      </c>
      <c r="I57" s="67">
        <f t="shared" si="9"/>
        <v>0</v>
      </c>
      <c r="J57" s="67"/>
      <c r="K57" s="150"/>
      <c r="L57" s="69">
        <f t="shared" si="10"/>
        <v>0</v>
      </c>
      <c r="M57" s="150"/>
      <c r="N57" s="69">
        <f t="shared" si="11"/>
        <v>0</v>
      </c>
      <c r="O57" s="69">
        <f t="shared" si="12"/>
        <v>0</v>
      </c>
      <c r="P57" s="4"/>
    </row>
    <row r="58" spans="2:17" ht="12.5">
      <c r="B58" s="9" t="str">
        <f t="shared" si="4"/>
        <v/>
      </c>
      <c r="C58" s="64">
        <f>IF(D11="","-",+C57+1)</f>
        <v>2049</v>
      </c>
      <c r="D58" s="70">
        <v>0</v>
      </c>
      <c r="E58" s="71">
        <f>IF(+I14&lt;F57,I14,D58)</f>
        <v>0</v>
      </c>
      <c r="F58" s="70">
        <f t="shared" si="8"/>
        <v>0</v>
      </c>
      <c r="G58" s="72">
        <f t="shared" si="13"/>
        <v>0</v>
      </c>
      <c r="H58" s="53">
        <f t="shared" si="14"/>
        <v>0</v>
      </c>
      <c r="I58" s="67">
        <f t="shared" si="9"/>
        <v>0</v>
      </c>
      <c r="J58" s="67"/>
      <c r="K58" s="150"/>
      <c r="L58" s="69">
        <f t="shared" si="10"/>
        <v>0</v>
      </c>
      <c r="M58" s="150"/>
      <c r="N58" s="69">
        <f t="shared" si="11"/>
        <v>0</v>
      </c>
      <c r="O58" s="69">
        <f t="shared" si="12"/>
        <v>0</v>
      </c>
      <c r="P58" s="4"/>
      <c r="Q58" t="str">
        <f>IF(ROUND(Q57,0)=ROUND(SUM(Q18:Q56),0),"","Error -- check allocations above).")</f>
        <v/>
      </c>
    </row>
    <row r="59" spans="2:17" ht="12.5">
      <c r="B59" s="9" t="str">
        <f t="shared" si="4"/>
        <v/>
      </c>
      <c r="C59" s="64">
        <f>IF(D11="","-",+C58+1)</f>
        <v>2050</v>
      </c>
      <c r="D59" s="70">
        <v>0</v>
      </c>
      <c r="E59" s="71">
        <f>IF(+I14&lt;F58,I14,D59)</f>
        <v>0</v>
      </c>
      <c r="F59" s="70">
        <f t="shared" si="8"/>
        <v>0</v>
      </c>
      <c r="G59" s="72">
        <f t="shared" si="13"/>
        <v>0</v>
      </c>
      <c r="H59" s="53">
        <f t="shared" si="14"/>
        <v>0</v>
      </c>
      <c r="I59" s="67">
        <f t="shared" si="9"/>
        <v>0</v>
      </c>
      <c r="J59" s="67"/>
      <c r="K59" s="150"/>
      <c r="L59" s="69">
        <f t="shared" si="10"/>
        <v>0</v>
      </c>
      <c r="M59" s="150"/>
      <c r="N59" s="69">
        <f t="shared" si="11"/>
        <v>0</v>
      </c>
      <c r="O59" s="69">
        <f t="shared" si="12"/>
        <v>0</v>
      </c>
      <c r="P59" s="4"/>
    </row>
    <row r="60" spans="2:17" ht="12.5">
      <c r="B60" s="9" t="str">
        <f t="shared" si="4"/>
        <v/>
      </c>
      <c r="C60" s="64">
        <f>IF(D11="","-",+C59+1)</f>
        <v>2051</v>
      </c>
      <c r="D60" s="70">
        <v>0</v>
      </c>
      <c r="E60" s="71">
        <f>IF(+I14&lt;F59,I14,D60)</f>
        <v>0</v>
      </c>
      <c r="F60" s="70">
        <f t="shared" si="8"/>
        <v>0</v>
      </c>
      <c r="G60" s="72">
        <f t="shared" si="13"/>
        <v>0</v>
      </c>
      <c r="H60" s="53">
        <f t="shared" si="14"/>
        <v>0</v>
      </c>
      <c r="I60" s="67">
        <f t="shared" si="9"/>
        <v>0</v>
      </c>
      <c r="J60" s="67"/>
      <c r="K60" s="150"/>
      <c r="L60" s="69">
        <f t="shared" si="10"/>
        <v>0</v>
      </c>
      <c r="M60" s="150"/>
      <c r="N60" s="69">
        <f t="shared" si="11"/>
        <v>0</v>
      </c>
      <c r="O60" s="69">
        <f t="shared" si="12"/>
        <v>0</v>
      </c>
      <c r="P60" s="4"/>
    </row>
    <row r="61" spans="2:17" ht="12.5">
      <c r="B61" s="9" t="str">
        <f t="shared" si="4"/>
        <v/>
      </c>
      <c r="C61" s="64">
        <f>IF(D11="","-",+C60+1)</f>
        <v>2052</v>
      </c>
      <c r="D61" s="70">
        <v>0</v>
      </c>
      <c r="E61" s="71">
        <f>IF(+I14&lt;F60,I14,D61)</f>
        <v>0</v>
      </c>
      <c r="F61" s="70">
        <f t="shared" si="8"/>
        <v>0</v>
      </c>
      <c r="G61" s="73">
        <f t="shared" si="13"/>
        <v>0</v>
      </c>
      <c r="H61" s="53">
        <f t="shared" si="14"/>
        <v>0</v>
      </c>
      <c r="I61" s="67">
        <f t="shared" si="9"/>
        <v>0</v>
      </c>
      <c r="J61" s="67"/>
      <c r="K61" s="150"/>
      <c r="L61" s="69">
        <f t="shared" si="10"/>
        <v>0</v>
      </c>
      <c r="M61" s="150"/>
      <c r="N61" s="69">
        <f t="shared" si="11"/>
        <v>0</v>
      </c>
      <c r="O61" s="69">
        <f t="shared" si="12"/>
        <v>0</v>
      </c>
      <c r="P61" s="4"/>
    </row>
    <row r="62" spans="2:17" ht="12.5">
      <c r="B62" s="9" t="str">
        <f t="shared" si="4"/>
        <v/>
      </c>
      <c r="C62" s="64">
        <f>IF(D11="","-",+C61+1)</f>
        <v>2053</v>
      </c>
      <c r="D62" s="70">
        <v>0</v>
      </c>
      <c r="E62" s="71">
        <f>IF(+I14&lt;F61,I14,D62)</f>
        <v>0</v>
      </c>
      <c r="F62" s="70">
        <f t="shared" si="8"/>
        <v>0</v>
      </c>
      <c r="G62" s="73">
        <f t="shared" si="13"/>
        <v>0</v>
      </c>
      <c r="H62" s="53">
        <f t="shared" si="14"/>
        <v>0</v>
      </c>
      <c r="I62" s="67">
        <f t="shared" si="9"/>
        <v>0</v>
      </c>
      <c r="J62" s="67"/>
      <c r="K62" s="150"/>
      <c r="L62" s="69">
        <f t="shared" si="10"/>
        <v>0</v>
      </c>
      <c r="M62" s="150"/>
      <c r="N62" s="69">
        <f t="shared" si="11"/>
        <v>0</v>
      </c>
      <c r="O62" s="69">
        <f t="shared" si="12"/>
        <v>0</v>
      </c>
      <c r="P62" s="4"/>
    </row>
    <row r="63" spans="2:17" ht="12.5">
      <c r="B63" s="9" t="str">
        <f t="shared" si="4"/>
        <v/>
      </c>
      <c r="C63" s="64">
        <f>IF(D11="","-",+C62+1)</f>
        <v>2054</v>
      </c>
      <c r="D63" s="70">
        <v>0</v>
      </c>
      <c r="E63" s="71">
        <f>IF(+I14&lt;F62,I14,D63)</f>
        <v>0</v>
      </c>
      <c r="F63" s="70">
        <f t="shared" si="8"/>
        <v>0</v>
      </c>
      <c r="G63" s="73">
        <f t="shared" si="13"/>
        <v>0</v>
      </c>
      <c r="H63" s="53">
        <f t="shared" si="14"/>
        <v>0</v>
      </c>
      <c r="I63" s="67">
        <f t="shared" si="9"/>
        <v>0</v>
      </c>
      <c r="J63" s="67"/>
      <c r="K63" s="150"/>
      <c r="L63" s="69">
        <f t="shared" si="10"/>
        <v>0</v>
      </c>
      <c r="M63" s="150"/>
      <c r="N63" s="69">
        <f t="shared" si="11"/>
        <v>0</v>
      </c>
      <c r="O63" s="69">
        <f t="shared" si="12"/>
        <v>0</v>
      </c>
      <c r="P63" s="4"/>
    </row>
    <row r="64" spans="2:17" ht="12.5">
      <c r="B64" s="9" t="str">
        <f t="shared" si="4"/>
        <v/>
      </c>
      <c r="C64" s="64">
        <f>IF(D11="","-",+C63+1)</f>
        <v>2055</v>
      </c>
      <c r="D64" s="70">
        <v>0</v>
      </c>
      <c r="E64" s="71">
        <f>IF(+I14&lt;F63,I14,D64)</f>
        <v>0</v>
      </c>
      <c r="F64" s="70">
        <f t="shared" si="8"/>
        <v>0</v>
      </c>
      <c r="G64" s="73">
        <f t="shared" si="13"/>
        <v>0</v>
      </c>
      <c r="H64" s="53">
        <f t="shared" si="14"/>
        <v>0</v>
      </c>
      <c r="I64" s="67">
        <f t="shared" si="9"/>
        <v>0</v>
      </c>
      <c r="J64" s="67"/>
      <c r="K64" s="150"/>
      <c r="L64" s="69">
        <f t="shared" si="10"/>
        <v>0</v>
      </c>
      <c r="M64" s="150"/>
      <c r="N64" s="69">
        <f t="shared" si="11"/>
        <v>0</v>
      </c>
      <c r="O64" s="69">
        <f t="shared" si="12"/>
        <v>0</v>
      </c>
      <c r="P64" s="4"/>
    </row>
    <row r="65" spans="1:16" ht="12.5">
      <c r="B65" s="9" t="str">
        <f t="shared" si="4"/>
        <v/>
      </c>
      <c r="C65" s="64">
        <f>IF(D11="","-",+C64+1)</f>
        <v>2056</v>
      </c>
      <c r="D65" s="70">
        <v>0</v>
      </c>
      <c r="E65" s="71">
        <f>IF(+I14&lt;F64,I14,D65)</f>
        <v>0</v>
      </c>
      <c r="F65" s="70">
        <f t="shared" si="8"/>
        <v>0</v>
      </c>
      <c r="G65" s="73">
        <f t="shared" si="13"/>
        <v>0</v>
      </c>
      <c r="H65" s="53">
        <f t="shared" si="14"/>
        <v>0</v>
      </c>
      <c r="I65" s="67">
        <f t="shared" si="9"/>
        <v>0</v>
      </c>
      <c r="J65" s="67"/>
      <c r="K65" s="150"/>
      <c r="L65" s="69">
        <f t="shared" si="10"/>
        <v>0</v>
      </c>
      <c r="M65" s="150"/>
      <c r="N65" s="69">
        <f t="shared" si="11"/>
        <v>0</v>
      </c>
      <c r="O65" s="69">
        <f t="shared" si="12"/>
        <v>0</v>
      </c>
      <c r="P65" s="4"/>
    </row>
    <row r="66" spans="1:16" ht="12.5">
      <c r="B66" s="9" t="str">
        <f t="shared" si="4"/>
        <v/>
      </c>
      <c r="C66" s="64">
        <f>IF(D11="","-",+C65+1)</f>
        <v>2057</v>
      </c>
      <c r="D66" s="70">
        <v>0</v>
      </c>
      <c r="E66" s="71">
        <f>IF(+I14&lt;F65,I14,D66)</f>
        <v>0</v>
      </c>
      <c r="F66" s="70">
        <f t="shared" si="8"/>
        <v>0</v>
      </c>
      <c r="G66" s="73">
        <f t="shared" si="13"/>
        <v>0</v>
      </c>
      <c r="H66" s="53">
        <f t="shared" si="14"/>
        <v>0</v>
      </c>
      <c r="I66" s="67">
        <f t="shared" si="9"/>
        <v>0</v>
      </c>
      <c r="J66" s="67"/>
      <c r="K66" s="150"/>
      <c r="L66" s="69">
        <f t="shared" si="10"/>
        <v>0</v>
      </c>
      <c r="M66" s="150"/>
      <c r="N66" s="69">
        <f t="shared" si="11"/>
        <v>0</v>
      </c>
      <c r="O66" s="69">
        <f t="shared" si="12"/>
        <v>0</v>
      </c>
      <c r="P66" s="4"/>
    </row>
    <row r="67" spans="1:16" ht="12.5">
      <c r="B67" s="9" t="str">
        <f t="shared" si="4"/>
        <v/>
      </c>
      <c r="C67" s="64">
        <f>IF(D11="","-",+C66+1)</f>
        <v>2058</v>
      </c>
      <c r="D67" s="70">
        <v>0</v>
      </c>
      <c r="E67" s="71">
        <f>IF(+I14&lt;F66,I14,D67)</f>
        <v>0</v>
      </c>
      <c r="F67" s="70">
        <f t="shared" si="8"/>
        <v>0</v>
      </c>
      <c r="G67" s="73">
        <f t="shared" si="13"/>
        <v>0</v>
      </c>
      <c r="H67" s="53">
        <f t="shared" si="14"/>
        <v>0</v>
      </c>
      <c r="I67" s="67">
        <f t="shared" si="9"/>
        <v>0</v>
      </c>
      <c r="J67" s="67"/>
      <c r="K67" s="150"/>
      <c r="L67" s="69">
        <f t="shared" si="10"/>
        <v>0</v>
      </c>
      <c r="M67" s="150"/>
      <c r="N67" s="69">
        <f t="shared" si="11"/>
        <v>0</v>
      </c>
      <c r="O67" s="69">
        <f t="shared" si="12"/>
        <v>0</v>
      </c>
      <c r="P67" s="4"/>
    </row>
    <row r="68" spans="1:16" ht="12.5">
      <c r="B68" s="9" t="str">
        <f t="shared" si="4"/>
        <v/>
      </c>
      <c r="C68" s="64">
        <f>IF(D11="","-",+C67+1)</f>
        <v>2059</v>
      </c>
      <c r="D68" s="70">
        <v>0</v>
      </c>
      <c r="E68" s="71">
        <f>IF(+I14&lt;F67,I14,D68)</f>
        <v>0</v>
      </c>
      <c r="F68" s="70">
        <f t="shared" si="8"/>
        <v>0</v>
      </c>
      <c r="G68" s="73">
        <f t="shared" si="13"/>
        <v>0</v>
      </c>
      <c r="H68" s="53">
        <f t="shared" si="14"/>
        <v>0</v>
      </c>
      <c r="I68" s="67">
        <f t="shared" si="9"/>
        <v>0</v>
      </c>
      <c r="J68" s="67"/>
      <c r="K68" s="150"/>
      <c r="L68" s="69">
        <f t="shared" si="10"/>
        <v>0</v>
      </c>
      <c r="M68" s="150"/>
      <c r="N68" s="69">
        <f t="shared" si="11"/>
        <v>0</v>
      </c>
      <c r="O68" s="69">
        <f t="shared" si="12"/>
        <v>0</v>
      </c>
      <c r="P68" s="4"/>
    </row>
    <row r="69" spans="1:16" ht="12.5">
      <c r="B69" s="9" t="str">
        <f t="shared" si="4"/>
        <v/>
      </c>
      <c r="C69" s="64">
        <f>IF(D11="","-",+C68+1)</f>
        <v>2060</v>
      </c>
      <c r="D69" s="70">
        <v>0</v>
      </c>
      <c r="E69" s="71">
        <f>IF(+I14&lt;F68,I14,D69)</f>
        <v>0</v>
      </c>
      <c r="F69" s="70">
        <f t="shared" si="8"/>
        <v>0</v>
      </c>
      <c r="G69" s="73">
        <f t="shared" si="13"/>
        <v>0</v>
      </c>
      <c r="H69" s="53">
        <f t="shared" si="14"/>
        <v>0</v>
      </c>
      <c r="I69" s="67">
        <f t="shared" si="9"/>
        <v>0</v>
      </c>
      <c r="J69" s="67"/>
      <c r="K69" s="150"/>
      <c r="L69" s="69">
        <f t="shared" si="10"/>
        <v>0</v>
      </c>
      <c r="M69" s="150"/>
      <c r="N69" s="69">
        <f t="shared" si="11"/>
        <v>0</v>
      </c>
      <c r="O69" s="69">
        <f t="shared" si="12"/>
        <v>0</v>
      </c>
      <c r="P69" s="4"/>
    </row>
    <row r="70" spans="1:16" ht="12.5">
      <c r="B70" s="9" t="str">
        <f t="shared" si="4"/>
        <v/>
      </c>
      <c r="C70" s="64">
        <f>IF(D11="","-",+C69+1)</f>
        <v>2061</v>
      </c>
      <c r="D70" s="70">
        <v>0</v>
      </c>
      <c r="E70" s="71">
        <f>IF(+I14&lt;F69,I14,D70)</f>
        <v>0</v>
      </c>
      <c r="F70" s="70">
        <f t="shared" si="8"/>
        <v>0</v>
      </c>
      <c r="G70" s="73">
        <f t="shared" si="13"/>
        <v>0</v>
      </c>
      <c r="H70" s="53">
        <f t="shared" si="14"/>
        <v>0</v>
      </c>
      <c r="I70" s="67">
        <f t="shared" si="9"/>
        <v>0</v>
      </c>
      <c r="J70" s="67"/>
      <c r="K70" s="150"/>
      <c r="L70" s="69">
        <f t="shared" si="10"/>
        <v>0</v>
      </c>
      <c r="M70" s="150"/>
      <c r="N70" s="69">
        <f t="shared" si="11"/>
        <v>0</v>
      </c>
      <c r="O70" s="69">
        <f t="shared" si="12"/>
        <v>0</v>
      </c>
      <c r="P70" s="4"/>
    </row>
    <row r="71" spans="1:16" ht="12.5">
      <c r="B71" s="9" t="str">
        <f t="shared" si="4"/>
        <v/>
      </c>
      <c r="C71" s="64">
        <f>IF(D11="","-",+C70+1)</f>
        <v>2062</v>
      </c>
      <c r="D71" s="70">
        <v>0</v>
      </c>
      <c r="E71" s="71">
        <f>IF(+I14&lt;F70,I14,D71)</f>
        <v>0</v>
      </c>
      <c r="F71" s="70">
        <f t="shared" si="8"/>
        <v>0</v>
      </c>
      <c r="G71" s="73">
        <f t="shared" si="13"/>
        <v>0</v>
      </c>
      <c r="H71" s="53">
        <f t="shared" si="14"/>
        <v>0</v>
      </c>
      <c r="I71" s="67">
        <f t="shared" si="9"/>
        <v>0</v>
      </c>
      <c r="J71" s="67"/>
      <c r="K71" s="150"/>
      <c r="L71" s="69">
        <f t="shared" si="10"/>
        <v>0</v>
      </c>
      <c r="M71" s="150"/>
      <c r="N71" s="69">
        <f t="shared" si="11"/>
        <v>0</v>
      </c>
      <c r="O71" s="69">
        <f t="shared" si="12"/>
        <v>0</v>
      </c>
      <c r="P71" s="4"/>
    </row>
    <row r="72" spans="1:16" ht="13" thickBot="1">
      <c r="B72" s="9" t="str">
        <f t="shared" si="4"/>
        <v/>
      </c>
      <c r="C72" s="74">
        <f>IF(D11="","-",+C71+1)</f>
        <v>2063</v>
      </c>
      <c r="D72" s="75">
        <v>0</v>
      </c>
      <c r="E72" s="76">
        <f>IF(+I14&lt;F71,I14,D72)</f>
        <v>0</v>
      </c>
      <c r="F72" s="75">
        <f t="shared" si="8"/>
        <v>0</v>
      </c>
      <c r="G72" s="77">
        <f t="shared" si="13"/>
        <v>0</v>
      </c>
      <c r="H72" s="35">
        <f t="shared" si="14"/>
        <v>0</v>
      </c>
      <c r="I72" s="78">
        <f t="shared" si="9"/>
        <v>0</v>
      </c>
      <c r="J72" s="67"/>
      <c r="K72" s="151"/>
      <c r="L72" s="79">
        <f t="shared" si="10"/>
        <v>0</v>
      </c>
      <c r="M72" s="151"/>
      <c r="N72" s="79">
        <f t="shared" si="11"/>
        <v>0</v>
      </c>
      <c r="O72" s="79">
        <f t="shared" si="12"/>
        <v>0</v>
      </c>
      <c r="P72" s="4"/>
    </row>
    <row r="73" spans="1:16" ht="12.5">
      <c r="C73" s="65" t="s">
        <v>78</v>
      </c>
      <c r="D73" s="22"/>
      <c r="E73" s="22"/>
      <c r="F73" s="22"/>
      <c r="G73" s="22"/>
      <c r="H73" s="22"/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1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1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1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1:16" ht="17.5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21"/>
      <c r="P77" s="4"/>
    </row>
    <row r="78" spans="1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1:16" ht="15.5">
      <c r="A79" s="116"/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</row>
    <row r="80" spans="1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7" ht="12.5">
      <c r="B81" s="1"/>
      <c r="C81" s="117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7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  <c r="Q82" s="1"/>
    </row>
    <row r="83" spans="1:17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1" t="str">
        <f ca="1">P1</f>
        <v>SWEPCO Project 20 of 74</v>
      </c>
      <c r="Q83" s="1"/>
    </row>
    <row r="84" spans="1:17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2" t="s">
        <v>128</v>
      </c>
      <c r="Q84" s="1"/>
    </row>
    <row r="85" spans="1:17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  <c r="Q85" s="1"/>
    </row>
    <row r="86" spans="1:17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2021</v>
      </c>
      <c r="M86" s="141" t="s">
        <v>9</v>
      </c>
      <c r="N86" s="145" t="s">
        <v>159</v>
      </c>
      <c r="O86" s="142" t="s">
        <v>11</v>
      </c>
      <c r="P86" s="1"/>
      <c r="Q86" s="1"/>
    </row>
    <row r="87" spans="1:17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391</v>
      </c>
      <c r="M87" s="85">
        <v>0</v>
      </c>
      <c r="N87" s="85">
        <v>0</v>
      </c>
      <c r="O87" s="86">
        <f>+N87-M87</f>
        <v>0</v>
      </c>
      <c r="P87" s="1"/>
      <c r="Q87" s="1"/>
    </row>
    <row r="88" spans="1:17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392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  <c r="Q88" s="1"/>
    </row>
    <row r="89" spans="1:17" ht="13.5" thickBot="1">
      <c r="C89" s="32" t="s">
        <v>84</v>
      </c>
      <c r="D89" s="148" t="str">
        <f>D7</f>
        <v>[NW Ark Area Improve - 2008]  Elm Springs, East Rogers, Shipe Road Stations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  <c r="Q89" s="1"/>
    </row>
    <row r="90" spans="1:17" ht="13.5" thickBot="1">
      <c r="C90" s="80"/>
      <c r="D90" s="165" t="str">
        <f>D8</f>
        <v>***2008 INVESTMENT NOW INCLUDED IN PROJECT S.003 ABOVE***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  <c r="Q90" s="1"/>
    </row>
    <row r="91" spans="1:17" ht="13.5" thickBot="1">
      <c r="A91" s="17"/>
      <c r="C91" s="92" t="s">
        <v>85</v>
      </c>
      <c r="D91" s="109" t="str">
        <f>+D9</f>
        <v>TP2007103</v>
      </c>
      <c r="E91" s="93"/>
      <c r="F91" s="93"/>
      <c r="G91" s="93"/>
      <c r="H91" s="93"/>
      <c r="I91" s="93"/>
      <c r="J91" s="113"/>
      <c r="K91" s="94"/>
      <c r="P91" s="42"/>
      <c r="Q91" s="1"/>
    </row>
    <row r="92" spans="1:17" ht="13">
      <c r="C92" s="47" t="s">
        <v>51</v>
      </c>
      <c r="D92" s="44">
        <v>0</v>
      </c>
      <c r="E92" s="10" t="s">
        <v>86</v>
      </c>
      <c r="H92" s="45"/>
      <c r="I92" s="45"/>
      <c r="J92" s="46">
        <f>+'SWE.WS.G.BPU.ATRR.True-up'!M16</f>
        <v>2021</v>
      </c>
      <c r="K92" s="41"/>
      <c r="L92" s="22" t="s">
        <v>87</v>
      </c>
      <c r="P92" s="4"/>
      <c r="Q92" s="1"/>
    </row>
    <row r="93" spans="1:17" ht="12.5">
      <c r="C93" s="47" t="s">
        <v>54</v>
      </c>
      <c r="D93" s="106">
        <f>IF(D11=I10,"",D11)</f>
        <v>2008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  <c r="Q93" s="1"/>
    </row>
    <row r="94" spans="1:17" ht="12.5">
      <c r="C94" s="47" t="s">
        <v>56</v>
      </c>
      <c r="D94" s="105">
        <f>IF(D11=I10,"",D12)</f>
        <v>11</v>
      </c>
      <c r="E94" s="47" t="s">
        <v>57</v>
      </c>
      <c r="F94" s="45"/>
      <c r="G94" s="45"/>
      <c r="J94" s="51">
        <f>'SWE.WS.G.BPU.ATRR.True-up'!$F$81</f>
        <v>0.11351422637179906</v>
      </c>
      <c r="K94" s="52"/>
      <c r="L94" t="s">
        <v>88</v>
      </c>
      <c r="P94" s="4"/>
      <c r="Q94" s="1"/>
    </row>
    <row r="95" spans="1:17" ht="12.5">
      <c r="C95" s="47" t="s">
        <v>59</v>
      </c>
      <c r="D95" s="49">
        <f>'SWE.WS.G.BPU.ATRR.True-up'!F$93</f>
        <v>41</v>
      </c>
      <c r="E95" s="47" t="s">
        <v>60</v>
      </c>
      <c r="F95" s="45"/>
      <c r="G95" s="45"/>
      <c r="J95" s="51">
        <f>IF(H87="",J94,'SWE.WS.G.BPU.ATRR.True-up'!$F$80)</f>
        <v>0.11351422637179906</v>
      </c>
      <c r="K95" s="11"/>
      <c r="L95" s="22" t="s">
        <v>61</v>
      </c>
      <c r="M95" s="11"/>
      <c r="N95" s="11"/>
      <c r="O95" s="11"/>
      <c r="P95" s="4"/>
      <c r="Q95" s="1"/>
    </row>
    <row r="96" spans="1:17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  <c r="Q96" s="1"/>
    </row>
    <row r="97" spans="1:17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388</v>
      </c>
      <c r="I97" s="181" t="s">
        <v>389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  <c r="Q97" s="1"/>
    </row>
    <row r="98" spans="1:17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78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  <c r="Q98" s="1"/>
    </row>
    <row r="99" spans="1:17" ht="12.5">
      <c r="C99" s="64">
        <f>IF(D93= "","-",D93)</f>
        <v>2008</v>
      </c>
      <c r="D99" s="155">
        <v>0</v>
      </c>
      <c r="E99" s="158">
        <v>2625</v>
      </c>
      <c r="F99" s="159">
        <v>1162841</v>
      </c>
      <c r="G99" s="162">
        <v>581421</v>
      </c>
      <c r="H99" s="160">
        <v>95304</v>
      </c>
      <c r="I99" s="161">
        <v>95304</v>
      </c>
      <c r="J99" s="69">
        <f t="shared" ref="J99:J130" si="15">+I99-H99</f>
        <v>0</v>
      </c>
      <c r="K99" s="69"/>
      <c r="L99" s="131">
        <v>95304</v>
      </c>
      <c r="M99" s="82">
        <f t="shared" ref="M99:M130" si="16">IF(L99&lt;&gt;0,+H99-L99,0)</f>
        <v>0</v>
      </c>
      <c r="N99" s="131">
        <v>95304</v>
      </c>
      <c r="O99" s="68">
        <f t="shared" ref="O99:O130" si="17">IF(N99&lt;&gt;0,+I99-N99,0)</f>
        <v>0</v>
      </c>
      <c r="P99" s="68">
        <f t="shared" ref="P99:P130" si="18">+O99-M99</f>
        <v>0</v>
      </c>
      <c r="Q99" s="1"/>
    </row>
    <row r="100" spans="1:17" ht="12.5">
      <c r="B100" s="9" t="str">
        <f>IF(D100=F99,"","IU")</f>
        <v/>
      </c>
      <c r="C100" s="64">
        <f>IF(D93="","-",+C99+1)</f>
        <v>2009</v>
      </c>
      <c r="D100" s="155">
        <v>1162841</v>
      </c>
      <c r="E100" s="158">
        <v>30670.157894736843</v>
      </c>
      <c r="F100" s="159">
        <v>1132170.8421052631</v>
      </c>
      <c r="G100" s="159">
        <v>1147505.9210526315</v>
      </c>
      <c r="H100" s="158">
        <v>196757.48368197863</v>
      </c>
      <c r="I100" s="157">
        <v>196757.48368197863</v>
      </c>
      <c r="J100" s="69">
        <f t="shared" si="15"/>
        <v>0</v>
      </c>
      <c r="K100" s="69"/>
      <c r="L100" s="133">
        <f>H100</f>
        <v>196757.48368197863</v>
      </c>
      <c r="M100" s="132">
        <f t="shared" si="16"/>
        <v>0</v>
      </c>
      <c r="N100" s="133">
        <f>I100</f>
        <v>196757.48368197863</v>
      </c>
      <c r="O100" s="69">
        <f t="shared" si="17"/>
        <v>0</v>
      </c>
      <c r="P100" s="69">
        <f t="shared" si="18"/>
        <v>0</v>
      </c>
      <c r="Q100" s="1"/>
    </row>
    <row r="101" spans="1:17" ht="12.5">
      <c r="B101" s="9" t="str">
        <f t="shared" ref="B101:B154" si="19">IF(D101=F100,"","IU")</f>
        <v>IU</v>
      </c>
      <c r="C101" s="64">
        <f>IF(D93="","-",+C100+1)</f>
        <v>2010</v>
      </c>
      <c r="D101" s="167">
        <v>0</v>
      </c>
      <c r="E101" s="168">
        <f>IF(+J96&lt;F100,J96,D101)</f>
        <v>0</v>
      </c>
      <c r="F101" s="169">
        <f t="shared" ref="F101:F130" si="20">+D101-E101</f>
        <v>0</v>
      </c>
      <c r="G101" s="169">
        <f t="shared" ref="G101:G130" si="21">+(F101+D101)/2</f>
        <v>0</v>
      </c>
      <c r="H101" s="170">
        <f t="shared" ref="H101:H130" si="22">+J$94*G101+E101</f>
        <v>0</v>
      </c>
      <c r="I101" s="171">
        <f t="shared" ref="I101:I130" si="23">+J$95*G101+E101</f>
        <v>0</v>
      </c>
      <c r="J101" s="69">
        <f t="shared" si="15"/>
        <v>0</v>
      </c>
      <c r="K101" s="69"/>
      <c r="L101" s="133"/>
      <c r="M101" s="69">
        <f t="shared" si="16"/>
        <v>0</v>
      </c>
      <c r="N101" s="133"/>
      <c r="O101" s="69">
        <f t="shared" si="17"/>
        <v>0</v>
      </c>
      <c r="P101" s="69">
        <f t="shared" si="18"/>
        <v>0</v>
      </c>
      <c r="Q101" s="1"/>
    </row>
    <row r="102" spans="1:17" ht="12.5">
      <c r="B102" s="9" t="str">
        <f t="shared" si="19"/>
        <v/>
      </c>
      <c r="C102" s="64">
        <f>IF(D93="","-",+C101+1)</f>
        <v>2011</v>
      </c>
      <c r="D102" s="167">
        <v>0</v>
      </c>
      <c r="E102" s="168">
        <f>IF(+J96&lt;F101,J96,D102)</f>
        <v>0</v>
      </c>
      <c r="F102" s="169">
        <f t="shared" si="20"/>
        <v>0</v>
      </c>
      <c r="G102" s="169">
        <f t="shared" si="21"/>
        <v>0</v>
      </c>
      <c r="H102" s="170">
        <f t="shared" si="22"/>
        <v>0</v>
      </c>
      <c r="I102" s="171">
        <f t="shared" si="23"/>
        <v>0</v>
      </c>
      <c r="J102" s="69">
        <f t="shared" si="15"/>
        <v>0</v>
      </c>
      <c r="K102" s="69"/>
      <c r="L102" s="133"/>
      <c r="M102" s="69">
        <f t="shared" si="16"/>
        <v>0</v>
      </c>
      <c r="N102" s="133"/>
      <c r="O102" s="69">
        <f t="shared" si="17"/>
        <v>0</v>
      </c>
      <c r="P102" s="69">
        <f t="shared" si="18"/>
        <v>0</v>
      </c>
      <c r="Q102" s="1"/>
    </row>
    <row r="103" spans="1:17" ht="12.5">
      <c r="B103" s="9" t="str">
        <f t="shared" si="19"/>
        <v/>
      </c>
      <c r="C103" s="64">
        <f>IF(D93="","-",+C102+1)</f>
        <v>2012</v>
      </c>
      <c r="D103" s="155">
        <v>0</v>
      </c>
      <c r="E103" s="158">
        <v>0</v>
      </c>
      <c r="F103" s="159">
        <v>0</v>
      </c>
      <c r="G103" s="159">
        <v>0</v>
      </c>
      <c r="H103" s="158">
        <v>0</v>
      </c>
      <c r="I103" s="157">
        <v>0</v>
      </c>
      <c r="J103" s="69">
        <f t="shared" si="15"/>
        <v>0</v>
      </c>
      <c r="K103" s="69"/>
      <c r="L103" s="133">
        <f>H103</f>
        <v>0</v>
      </c>
      <c r="M103" s="132">
        <f t="shared" si="16"/>
        <v>0</v>
      </c>
      <c r="N103" s="133">
        <f>I103</f>
        <v>0</v>
      </c>
      <c r="O103" s="69">
        <f t="shared" si="17"/>
        <v>0</v>
      </c>
      <c r="P103" s="69">
        <f t="shared" si="18"/>
        <v>0</v>
      </c>
      <c r="Q103" s="1"/>
    </row>
    <row r="104" spans="1:17" ht="12.5">
      <c r="B104" s="9" t="str">
        <f t="shared" si="19"/>
        <v/>
      </c>
      <c r="C104" s="64">
        <f>IF(D93="","-",+C103+1)</f>
        <v>2013</v>
      </c>
      <c r="D104" s="65">
        <v>0</v>
      </c>
      <c r="E104" s="71">
        <f>IF(+J96&lt;F103,J96,D104)</f>
        <v>0</v>
      </c>
      <c r="F104" s="70">
        <f t="shared" si="20"/>
        <v>0</v>
      </c>
      <c r="G104" s="70">
        <f t="shared" si="21"/>
        <v>0</v>
      </c>
      <c r="H104" s="73">
        <f t="shared" si="22"/>
        <v>0</v>
      </c>
      <c r="I104" s="127">
        <f t="shared" si="23"/>
        <v>0</v>
      </c>
      <c r="J104" s="69">
        <f t="shared" si="15"/>
        <v>0</v>
      </c>
      <c r="K104" s="69"/>
      <c r="L104" s="150"/>
      <c r="M104" s="69">
        <f t="shared" si="16"/>
        <v>0</v>
      </c>
      <c r="N104" s="150"/>
      <c r="O104" s="69">
        <f t="shared" si="17"/>
        <v>0</v>
      </c>
      <c r="P104" s="69">
        <f t="shared" si="18"/>
        <v>0</v>
      </c>
      <c r="Q104" s="1"/>
    </row>
    <row r="105" spans="1:17" ht="12.5">
      <c r="B105" s="9" t="str">
        <f t="shared" si="19"/>
        <v/>
      </c>
      <c r="C105" s="64">
        <f>IF(D93="","-",+C104+1)</f>
        <v>2014</v>
      </c>
      <c r="D105" s="65">
        <v>0</v>
      </c>
      <c r="E105" s="71">
        <f>IF(+J96&lt;F104,J96,D105)</f>
        <v>0</v>
      </c>
      <c r="F105" s="70">
        <f t="shared" si="20"/>
        <v>0</v>
      </c>
      <c r="G105" s="70">
        <f t="shared" si="21"/>
        <v>0</v>
      </c>
      <c r="H105" s="73">
        <f t="shared" si="22"/>
        <v>0</v>
      </c>
      <c r="I105" s="127">
        <f t="shared" si="23"/>
        <v>0</v>
      </c>
      <c r="J105" s="69">
        <f t="shared" si="15"/>
        <v>0</v>
      </c>
      <c r="K105" s="69"/>
      <c r="L105" s="150"/>
      <c r="M105" s="69">
        <f t="shared" si="16"/>
        <v>0</v>
      </c>
      <c r="N105" s="150"/>
      <c r="O105" s="69">
        <f t="shared" si="17"/>
        <v>0</v>
      </c>
      <c r="P105" s="69">
        <f t="shared" si="18"/>
        <v>0</v>
      </c>
      <c r="Q105" s="1"/>
    </row>
    <row r="106" spans="1:17" ht="12.5">
      <c r="B106" s="9" t="str">
        <f t="shared" si="19"/>
        <v/>
      </c>
      <c r="C106" s="64">
        <f>IF(D93="","-",+C105+1)</f>
        <v>2015</v>
      </c>
      <c r="D106" s="65">
        <v>0</v>
      </c>
      <c r="E106" s="71">
        <f>IF(+J96&lt;F105,J96,D106)</f>
        <v>0</v>
      </c>
      <c r="F106" s="70">
        <f t="shared" si="20"/>
        <v>0</v>
      </c>
      <c r="G106" s="70">
        <f t="shared" si="21"/>
        <v>0</v>
      </c>
      <c r="H106" s="73">
        <f t="shared" si="22"/>
        <v>0</v>
      </c>
      <c r="I106" s="127">
        <f t="shared" si="23"/>
        <v>0</v>
      </c>
      <c r="J106" s="69">
        <f t="shared" si="15"/>
        <v>0</v>
      </c>
      <c r="K106" s="69"/>
      <c r="L106" s="150"/>
      <c r="M106" s="69">
        <f t="shared" si="16"/>
        <v>0</v>
      </c>
      <c r="N106" s="150"/>
      <c r="O106" s="69">
        <f t="shared" si="17"/>
        <v>0</v>
      </c>
      <c r="P106" s="69">
        <f t="shared" si="18"/>
        <v>0</v>
      </c>
      <c r="Q106" s="1"/>
    </row>
    <row r="107" spans="1:17" ht="12.5">
      <c r="B107" s="9" t="str">
        <f t="shared" si="19"/>
        <v/>
      </c>
      <c r="C107" s="64">
        <f>IF(D93="","-",+C106+1)</f>
        <v>2016</v>
      </c>
      <c r="D107" s="65">
        <v>0</v>
      </c>
      <c r="E107" s="71">
        <f>IF(+J96&lt;F106,J96,D107)</f>
        <v>0</v>
      </c>
      <c r="F107" s="70">
        <f t="shared" si="20"/>
        <v>0</v>
      </c>
      <c r="G107" s="70">
        <f t="shared" si="21"/>
        <v>0</v>
      </c>
      <c r="H107" s="73">
        <f t="shared" si="22"/>
        <v>0</v>
      </c>
      <c r="I107" s="127">
        <f t="shared" si="23"/>
        <v>0</v>
      </c>
      <c r="J107" s="69">
        <f t="shared" si="15"/>
        <v>0</v>
      </c>
      <c r="K107" s="69"/>
      <c r="L107" s="150"/>
      <c r="M107" s="69">
        <f t="shared" si="16"/>
        <v>0</v>
      </c>
      <c r="N107" s="150"/>
      <c r="O107" s="69">
        <f t="shared" si="17"/>
        <v>0</v>
      </c>
      <c r="P107" s="69">
        <f t="shared" si="18"/>
        <v>0</v>
      </c>
      <c r="Q107" s="1"/>
    </row>
    <row r="108" spans="1:17" ht="12.5">
      <c r="B108" s="9" t="str">
        <f t="shared" si="19"/>
        <v/>
      </c>
      <c r="C108" s="64">
        <f>IF(D93="","-",+C107+1)</f>
        <v>2017</v>
      </c>
      <c r="D108" s="65">
        <v>0</v>
      </c>
      <c r="E108" s="71">
        <f>IF(+J96&lt;F107,J96,D108)</f>
        <v>0</v>
      </c>
      <c r="F108" s="70">
        <f t="shared" si="20"/>
        <v>0</v>
      </c>
      <c r="G108" s="70">
        <f t="shared" si="21"/>
        <v>0</v>
      </c>
      <c r="H108" s="73">
        <f t="shared" si="22"/>
        <v>0</v>
      </c>
      <c r="I108" s="127">
        <f t="shared" si="23"/>
        <v>0</v>
      </c>
      <c r="J108" s="69">
        <f t="shared" si="15"/>
        <v>0</v>
      </c>
      <c r="K108" s="69"/>
      <c r="L108" s="150"/>
      <c r="M108" s="69">
        <f t="shared" si="16"/>
        <v>0</v>
      </c>
      <c r="N108" s="150"/>
      <c r="O108" s="69">
        <f t="shared" si="17"/>
        <v>0</v>
      </c>
      <c r="P108" s="69">
        <f t="shared" si="18"/>
        <v>0</v>
      </c>
      <c r="Q108" s="1"/>
    </row>
    <row r="109" spans="1:17" ht="12.5">
      <c r="B109" s="9" t="str">
        <f t="shared" si="19"/>
        <v/>
      </c>
      <c r="C109" s="64">
        <f>IF(D93="","-",+C108+1)</f>
        <v>2018</v>
      </c>
      <c r="D109" s="65">
        <v>0</v>
      </c>
      <c r="E109" s="71">
        <f>IF(+J96&lt;F108,J96,D109)</f>
        <v>0</v>
      </c>
      <c r="F109" s="70">
        <f t="shared" si="20"/>
        <v>0</v>
      </c>
      <c r="G109" s="70">
        <f t="shared" si="21"/>
        <v>0</v>
      </c>
      <c r="H109" s="73">
        <f t="shared" si="22"/>
        <v>0</v>
      </c>
      <c r="I109" s="127">
        <f t="shared" si="23"/>
        <v>0</v>
      </c>
      <c r="J109" s="69">
        <f t="shared" si="15"/>
        <v>0</v>
      </c>
      <c r="K109" s="69"/>
      <c r="L109" s="150"/>
      <c r="M109" s="69">
        <f t="shared" si="16"/>
        <v>0</v>
      </c>
      <c r="N109" s="150"/>
      <c r="O109" s="69">
        <f t="shared" si="17"/>
        <v>0</v>
      </c>
      <c r="P109" s="69">
        <f t="shared" si="18"/>
        <v>0</v>
      </c>
      <c r="Q109" s="1"/>
    </row>
    <row r="110" spans="1:17" ht="12.5">
      <c r="B110" s="9" t="str">
        <f t="shared" si="19"/>
        <v/>
      </c>
      <c r="C110" s="64">
        <f>IF(D93="","-",+C109+1)</f>
        <v>2019</v>
      </c>
      <c r="D110" s="65">
        <v>0</v>
      </c>
      <c r="E110" s="71">
        <f>IF(+J96&lt;F109,J96,D110)</f>
        <v>0</v>
      </c>
      <c r="F110" s="70">
        <f t="shared" si="20"/>
        <v>0</v>
      </c>
      <c r="G110" s="70">
        <f t="shared" si="21"/>
        <v>0</v>
      </c>
      <c r="H110" s="73">
        <f t="shared" si="22"/>
        <v>0</v>
      </c>
      <c r="I110" s="127">
        <f t="shared" si="23"/>
        <v>0</v>
      </c>
      <c r="J110" s="69">
        <f t="shared" si="15"/>
        <v>0</v>
      </c>
      <c r="K110" s="69"/>
      <c r="L110" s="150"/>
      <c r="M110" s="69">
        <f t="shared" si="16"/>
        <v>0</v>
      </c>
      <c r="N110" s="150"/>
      <c r="O110" s="69">
        <f t="shared" si="17"/>
        <v>0</v>
      </c>
      <c r="P110" s="69">
        <f t="shared" si="18"/>
        <v>0</v>
      </c>
      <c r="Q110" s="1"/>
    </row>
    <row r="111" spans="1:17" ht="12.5">
      <c r="B111" s="9" t="str">
        <f t="shared" si="19"/>
        <v/>
      </c>
      <c r="C111" s="64">
        <f>IF(D93="","-",+C110+1)</f>
        <v>2020</v>
      </c>
      <c r="D111" s="65">
        <v>0</v>
      </c>
      <c r="E111" s="71">
        <f>IF(+J96&lt;F110,J96,D111)</f>
        <v>0</v>
      </c>
      <c r="F111" s="70">
        <f t="shared" si="20"/>
        <v>0</v>
      </c>
      <c r="G111" s="70">
        <f t="shared" si="21"/>
        <v>0</v>
      </c>
      <c r="H111" s="73">
        <f t="shared" si="22"/>
        <v>0</v>
      </c>
      <c r="I111" s="127">
        <f t="shared" si="23"/>
        <v>0</v>
      </c>
      <c r="J111" s="69">
        <f t="shared" si="15"/>
        <v>0</v>
      </c>
      <c r="K111" s="69"/>
      <c r="L111" s="150"/>
      <c r="M111" s="69">
        <f t="shared" si="16"/>
        <v>0</v>
      </c>
      <c r="N111" s="150"/>
      <c r="O111" s="69">
        <f t="shared" si="17"/>
        <v>0</v>
      </c>
      <c r="P111" s="69">
        <f t="shared" si="18"/>
        <v>0</v>
      </c>
      <c r="Q111" s="1"/>
    </row>
    <row r="112" spans="1:17" ht="12.5">
      <c r="B112" s="9" t="str">
        <f t="shared" si="19"/>
        <v/>
      </c>
      <c r="C112" s="64">
        <f>IF(D93="","-",+C111+1)</f>
        <v>2021</v>
      </c>
      <c r="D112" s="65">
        <v>0</v>
      </c>
      <c r="E112" s="71">
        <f>IF(+J96&lt;F111,J96,D112)</f>
        <v>0</v>
      </c>
      <c r="F112" s="70">
        <f t="shared" si="20"/>
        <v>0</v>
      </c>
      <c r="G112" s="70">
        <f t="shared" si="21"/>
        <v>0</v>
      </c>
      <c r="H112" s="73">
        <f t="shared" si="22"/>
        <v>0</v>
      </c>
      <c r="I112" s="127">
        <f t="shared" si="23"/>
        <v>0</v>
      </c>
      <c r="J112" s="69">
        <f t="shared" si="15"/>
        <v>0</v>
      </c>
      <c r="K112" s="69"/>
      <c r="L112" s="150"/>
      <c r="M112" s="69">
        <f t="shared" si="16"/>
        <v>0</v>
      </c>
      <c r="N112" s="150"/>
      <c r="O112" s="69">
        <f t="shared" si="17"/>
        <v>0</v>
      </c>
      <c r="P112" s="69">
        <f t="shared" si="18"/>
        <v>0</v>
      </c>
      <c r="Q112" s="1"/>
    </row>
    <row r="113" spans="2:17" ht="12.5">
      <c r="B113" s="9" t="str">
        <f t="shared" si="19"/>
        <v/>
      </c>
      <c r="C113" s="64">
        <f>IF(D93="","-",+C112+1)</f>
        <v>2022</v>
      </c>
      <c r="D113" s="65">
        <v>0</v>
      </c>
      <c r="E113" s="71">
        <f>IF(+J96&lt;F112,J96,D113)</f>
        <v>0</v>
      </c>
      <c r="F113" s="70">
        <f t="shared" si="20"/>
        <v>0</v>
      </c>
      <c r="G113" s="70">
        <f t="shared" si="21"/>
        <v>0</v>
      </c>
      <c r="H113" s="73">
        <f t="shared" si="22"/>
        <v>0</v>
      </c>
      <c r="I113" s="127">
        <f t="shared" si="23"/>
        <v>0</v>
      </c>
      <c r="J113" s="69">
        <f t="shared" si="15"/>
        <v>0</v>
      </c>
      <c r="K113" s="69"/>
      <c r="L113" s="150"/>
      <c r="M113" s="69">
        <f t="shared" si="16"/>
        <v>0</v>
      </c>
      <c r="N113" s="150"/>
      <c r="O113" s="69">
        <f t="shared" si="17"/>
        <v>0</v>
      </c>
      <c r="P113" s="69">
        <f t="shared" si="18"/>
        <v>0</v>
      </c>
      <c r="Q113" s="1"/>
    </row>
    <row r="114" spans="2:17" ht="12.5">
      <c r="B114" s="9" t="str">
        <f t="shared" si="19"/>
        <v/>
      </c>
      <c r="C114" s="64">
        <f>IF(D93="","-",+C113+1)</f>
        <v>2023</v>
      </c>
      <c r="D114" s="65">
        <v>0</v>
      </c>
      <c r="E114" s="71">
        <f>IF(+J96&lt;F113,J96,D114)</f>
        <v>0</v>
      </c>
      <c r="F114" s="70">
        <f t="shared" si="20"/>
        <v>0</v>
      </c>
      <c r="G114" s="70">
        <f t="shared" si="21"/>
        <v>0</v>
      </c>
      <c r="H114" s="73">
        <f t="shared" si="22"/>
        <v>0</v>
      </c>
      <c r="I114" s="127">
        <f t="shared" si="23"/>
        <v>0</v>
      </c>
      <c r="J114" s="69">
        <f t="shared" si="15"/>
        <v>0</v>
      </c>
      <c r="K114" s="69"/>
      <c r="L114" s="150"/>
      <c r="M114" s="69">
        <f t="shared" si="16"/>
        <v>0</v>
      </c>
      <c r="N114" s="150"/>
      <c r="O114" s="69">
        <f t="shared" si="17"/>
        <v>0</v>
      </c>
      <c r="P114" s="69">
        <f t="shared" si="18"/>
        <v>0</v>
      </c>
      <c r="Q114" s="1"/>
    </row>
    <row r="115" spans="2:17" ht="12.5">
      <c r="B115" s="9" t="str">
        <f t="shared" si="19"/>
        <v/>
      </c>
      <c r="C115" s="64">
        <f>IF(D93="","-",+C114+1)</f>
        <v>2024</v>
      </c>
      <c r="D115" s="65">
        <v>0</v>
      </c>
      <c r="E115" s="71">
        <f>IF(+J96&lt;F114,J96,D115)</f>
        <v>0</v>
      </c>
      <c r="F115" s="70">
        <f t="shared" si="20"/>
        <v>0</v>
      </c>
      <c r="G115" s="70">
        <f t="shared" si="21"/>
        <v>0</v>
      </c>
      <c r="H115" s="73">
        <f t="shared" si="22"/>
        <v>0</v>
      </c>
      <c r="I115" s="127">
        <f t="shared" si="23"/>
        <v>0</v>
      </c>
      <c r="J115" s="69">
        <f t="shared" si="15"/>
        <v>0</v>
      </c>
      <c r="K115" s="69"/>
      <c r="L115" s="150"/>
      <c r="M115" s="69">
        <f t="shared" si="16"/>
        <v>0</v>
      </c>
      <c r="N115" s="150"/>
      <c r="O115" s="69">
        <f t="shared" si="17"/>
        <v>0</v>
      </c>
      <c r="P115" s="69">
        <f t="shared" si="18"/>
        <v>0</v>
      </c>
      <c r="Q115" s="1"/>
    </row>
    <row r="116" spans="2:17" ht="12.5">
      <c r="B116" s="9" t="str">
        <f t="shared" si="19"/>
        <v/>
      </c>
      <c r="C116" s="64">
        <f>IF(D93="","-",+C115+1)</f>
        <v>2025</v>
      </c>
      <c r="D116" s="65">
        <v>0</v>
      </c>
      <c r="E116" s="71">
        <f>IF(+J96&lt;F115,J96,D116)</f>
        <v>0</v>
      </c>
      <c r="F116" s="70">
        <f t="shared" si="20"/>
        <v>0</v>
      </c>
      <c r="G116" s="70">
        <f t="shared" si="21"/>
        <v>0</v>
      </c>
      <c r="H116" s="73">
        <f t="shared" si="22"/>
        <v>0</v>
      </c>
      <c r="I116" s="127">
        <f t="shared" si="23"/>
        <v>0</v>
      </c>
      <c r="J116" s="69">
        <f t="shared" si="15"/>
        <v>0</v>
      </c>
      <c r="K116" s="69"/>
      <c r="L116" s="150"/>
      <c r="M116" s="69">
        <f t="shared" si="16"/>
        <v>0</v>
      </c>
      <c r="N116" s="150"/>
      <c r="O116" s="69">
        <f t="shared" si="17"/>
        <v>0</v>
      </c>
      <c r="P116" s="69">
        <f t="shared" si="18"/>
        <v>0</v>
      </c>
      <c r="Q116" s="1"/>
    </row>
    <row r="117" spans="2:17" ht="12.5">
      <c r="B117" s="9" t="str">
        <f t="shared" si="19"/>
        <v/>
      </c>
      <c r="C117" s="64">
        <f>IF(D93="","-",+C116+1)</f>
        <v>2026</v>
      </c>
      <c r="D117" s="65">
        <v>0</v>
      </c>
      <c r="E117" s="71">
        <f>IF(+J96&lt;F116,J96,D117)</f>
        <v>0</v>
      </c>
      <c r="F117" s="70">
        <f t="shared" si="20"/>
        <v>0</v>
      </c>
      <c r="G117" s="70">
        <f t="shared" si="21"/>
        <v>0</v>
      </c>
      <c r="H117" s="73">
        <f t="shared" si="22"/>
        <v>0</v>
      </c>
      <c r="I117" s="127">
        <f t="shared" si="23"/>
        <v>0</v>
      </c>
      <c r="J117" s="69">
        <f t="shared" si="15"/>
        <v>0</v>
      </c>
      <c r="K117" s="69"/>
      <c r="L117" s="150"/>
      <c r="M117" s="69">
        <f t="shared" si="16"/>
        <v>0</v>
      </c>
      <c r="N117" s="150"/>
      <c r="O117" s="69">
        <f t="shared" si="17"/>
        <v>0</v>
      </c>
      <c r="P117" s="69">
        <f t="shared" si="18"/>
        <v>0</v>
      </c>
      <c r="Q117" s="1"/>
    </row>
    <row r="118" spans="2:17" ht="12.5">
      <c r="B118" s="9" t="str">
        <f t="shared" si="19"/>
        <v/>
      </c>
      <c r="C118" s="64">
        <f>IF(D93="","-",+C117+1)</f>
        <v>2027</v>
      </c>
      <c r="D118" s="65">
        <v>0</v>
      </c>
      <c r="E118" s="71">
        <f>IF(+J96&lt;F117,J96,D118)</f>
        <v>0</v>
      </c>
      <c r="F118" s="70">
        <f t="shared" si="20"/>
        <v>0</v>
      </c>
      <c r="G118" s="70">
        <f t="shared" si="21"/>
        <v>0</v>
      </c>
      <c r="H118" s="73">
        <f t="shared" si="22"/>
        <v>0</v>
      </c>
      <c r="I118" s="127">
        <f t="shared" si="23"/>
        <v>0</v>
      </c>
      <c r="J118" s="69">
        <f t="shared" si="15"/>
        <v>0</v>
      </c>
      <c r="K118" s="69"/>
      <c r="L118" s="150"/>
      <c r="M118" s="69">
        <f t="shared" si="16"/>
        <v>0</v>
      </c>
      <c r="N118" s="150"/>
      <c r="O118" s="69">
        <f t="shared" si="17"/>
        <v>0</v>
      </c>
      <c r="P118" s="69">
        <f t="shared" si="18"/>
        <v>0</v>
      </c>
      <c r="Q118" s="1"/>
    </row>
    <row r="119" spans="2:17" ht="12.5">
      <c r="B119" s="9" t="str">
        <f t="shared" si="19"/>
        <v/>
      </c>
      <c r="C119" s="64">
        <f>IF(D93="","-",+C118+1)</f>
        <v>2028</v>
      </c>
      <c r="D119" s="65">
        <v>0</v>
      </c>
      <c r="E119" s="71">
        <f>IF(+J96&lt;F118,J96,D119)</f>
        <v>0</v>
      </c>
      <c r="F119" s="70">
        <f t="shared" si="20"/>
        <v>0</v>
      </c>
      <c r="G119" s="70">
        <f t="shared" si="21"/>
        <v>0</v>
      </c>
      <c r="H119" s="73">
        <f t="shared" si="22"/>
        <v>0</v>
      </c>
      <c r="I119" s="127">
        <f t="shared" si="23"/>
        <v>0</v>
      </c>
      <c r="J119" s="69">
        <f t="shared" si="15"/>
        <v>0</v>
      </c>
      <c r="K119" s="69"/>
      <c r="L119" s="150"/>
      <c r="M119" s="69">
        <f t="shared" si="16"/>
        <v>0</v>
      </c>
      <c r="N119" s="150"/>
      <c r="O119" s="69">
        <f t="shared" si="17"/>
        <v>0</v>
      </c>
      <c r="P119" s="69">
        <f t="shared" si="18"/>
        <v>0</v>
      </c>
      <c r="Q119" s="1"/>
    </row>
    <row r="120" spans="2:17" ht="12.5">
      <c r="B120" s="9" t="str">
        <f t="shared" si="19"/>
        <v/>
      </c>
      <c r="C120" s="64">
        <f>IF(D93="","-",+C119+1)</f>
        <v>2029</v>
      </c>
      <c r="D120" s="65">
        <v>0</v>
      </c>
      <c r="E120" s="71">
        <f>IF(+J96&lt;F119,J96,D120)</f>
        <v>0</v>
      </c>
      <c r="F120" s="70">
        <f t="shared" si="20"/>
        <v>0</v>
      </c>
      <c r="G120" s="70">
        <f t="shared" si="21"/>
        <v>0</v>
      </c>
      <c r="H120" s="73">
        <f t="shared" si="22"/>
        <v>0</v>
      </c>
      <c r="I120" s="127">
        <f t="shared" si="23"/>
        <v>0</v>
      </c>
      <c r="J120" s="69">
        <f t="shared" si="15"/>
        <v>0</v>
      </c>
      <c r="K120" s="69"/>
      <c r="L120" s="150"/>
      <c r="M120" s="69">
        <f t="shared" si="16"/>
        <v>0</v>
      </c>
      <c r="N120" s="150"/>
      <c r="O120" s="69">
        <f t="shared" si="17"/>
        <v>0</v>
      </c>
      <c r="P120" s="69">
        <f t="shared" si="18"/>
        <v>0</v>
      </c>
      <c r="Q120" s="1"/>
    </row>
    <row r="121" spans="2:17" ht="12.5">
      <c r="B121" s="9" t="str">
        <f t="shared" si="19"/>
        <v/>
      </c>
      <c r="C121" s="64">
        <f>IF(D93="","-",+C120+1)</f>
        <v>2030</v>
      </c>
      <c r="D121" s="65">
        <v>0</v>
      </c>
      <c r="E121" s="71">
        <f>IF(+J96&lt;F120,J96,D121)</f>
        <v>0</v>
      </c>
      <c r="F121" s="70">
        <f t="shared" si="20"/>
        <v>0</v>
      </c>
      <c r="G121" s="70">
        <f t="shared" si="21"/>
        <v>0</v>
      </c>
      <c r="H121" s="73">
        <f t="shared" si="22"/>
        <v>0</v>
      </c>
      <c r="I121" s="127">
        <f t="shared" si="23"/>
        <v>0</v>
      </c>
      <c r="J121" s="69">
        <f t="shared" si="15"/>
        <v>0</v>
      </c>
      <c r="K121" s="69"/>
      <c r="L121" s="150"/>
      <c r="M121" s="69">
        <f t="shared" si="16"/>
        <v>0</v>
      </c>
      <c r="N121" s="150"/>
      <c r="O121" s="69">
        <f t="shared" si="17"/>
        <v>0</v>
      </c>
      <c r="P121" s="69">
        <f t="shared" si="18"/>
        <v>0</v>
      </c>
      <c r="Q121" s="1"/>
    </row>
    <row r="122" spans="2:17" ht="12.5">
      <c r="B122" s="9" t="str">
        <f t="shared" si="19"/>
        <v/>
      </c>
      <c r="C122" s="64">
        <f>IF(D93="","-",+C121+1)</f>
        <v>2031</v>
      </c>
      <c r="D122" s="65">
        <v>0</v>
      </c>
      <c r="E122" s="71">
        <f>IF(+J96&lt;F121,J96,D122)</f>
        <v>0</v>
      </c>
      <c r="F122" s="70">
        <f t="shared" si="20"/>
        <v>0</v>
      </c>
      <c r="G122" s="70">
        <f t="shared" si="21"/>
        <v>0</v>
      </c>
      <c r="H122" s="73">
        <f t="shared" si="22"/>
        <v>0</v>
      </c>
      <c r="I122" s="127">
        <f t="shared" si="23"/>
        <v>0</v>
      </c>
      <c r="J122" s="69">
        <f t="shared" si="15"/>
        <v>0</v>
      </c>
      <c r="K122" s="69"/>
      <c r="L122" s="150"/>
      <c r="M122" s="69">
        <f t="shared" si="16"/>
        <v>0</v>
      </c>
      <c r="N122" s="150"/>
      <c r="O122" s="69">
        <f t="shared" si="17"/>
        <v>0</v>
      </c>
      <c r="P122" s="69">
        <f t="shared" si="18"/>
        <v>0</v>
      </c>
      <c r="Q122" s="1"/>
    </row>
    <row r="123" spans="2:17" ht="12.5">
      <c r="B123" s="9" t="str">
        <f t="shared" si="19"/>
        <v/>
      </c>
      <c r="C123" s="64">
        <f>IF(D93="","-",+C122+1)</f>
        <v>2032</v>
      </c>
      <c r="D123" s="65">
        <v>0</v>
      </c>
      <c r="E123" s="71">
        <f>IF(+J96&lt;F122,J96,D123)</f>
        <v>0</v>
      </c>
      <c r="F123" s="70">
        <f t="shared" si="20"/>
        <v>0</v>
      </c>
      <c r="G123" s="70">
        <f t="shared" si="21"/>
        <v>0</v>
      </c>
      <c r="H123" s="73">
        <f t="shared" si="22"/>
        <v>0</v>
      </c>
      <c r="I123" s="127">
        <f t="shared" si="23"/>
        <v>0</v>
      </c>
      <c r="J123" s="69">
        <f t="shared" si="15"/>
        <v>0</v>
      </c>
      <c r="K123" s="69"/>
      <c r="L123" s="150"/>
      <c r="M123" s="69">
        <f t="shared" si="16"/>
        <v>0</v>
      </c>
      <c r="N123" s="150"/>
      <c r="O123" s="69">
        <f t="shared" si="17"/>
        <v>0</v>
      </c>
      <c r="P123" s="69">
        <f t="shared" si="18"/>
        <v>0</v>
      </c>
      <c r="Q123" s="1"/>
    </row>
    <row r="124" spans="2:17" ht="12.5">
      <c r="B124" s="9" t="str">
        <f t="shared" si="19"/>
        <v/>
      </c>
      <c r="C124" s="64">
        <f>IF(D93="","-",+C123+1)</f>
        <v>2033</v>
      </c>
      <c r="D124" s="65">
        <v>0</v>
      </c>
      <c r="E124" s="71">
        <f>IF(+J96&lt;F123,J96,D124)</f>
        <v>0</v>
      </c>
      <c r="F124" s="70">
        <f t="shared" si="20"/>
        <v>0</v>
      </c>
      <c r="G124" s="70">
        <f t="shared" si="21"/>
        <v>0</v>
      </c>
      <c r="H124" s="73">
        <f t="shared" si="22"/>
        <v>0</v>
      </c>
      <c r="I124" s="127">
        <f t="shared" si="23"/>
        <v>0</v>
      </c>
      <c r="J124" s="69">
        <f t="shared" si="15"/>
        <v>0</v>
      </c>
      <c r="K124" s="69"/>
      <c r="L124" s="150"/>
      <c r="M124" s="69">
        <f t="shared" si="16"/>
        <v>0</v>
      </c>
      <c r="N124" s="150"/>
      <c r="O124" s="69">
        <f t="shared" si="17"/>
        <v>0</v>
      </c>
      <c r="P124" s="69">
        <f t="shared" si="18"/>
        <v>0</v>
      </c>
      <c r="Q124" s="1"/>
    </row>
    <row r="125" spans="2:17" ht="12.5">
      <c r="B125" s="9" t="str">
        <f t="shared" si="19"/>
        <v/>
      </c>
      <c r="C125" s="64">
        <f>IF(D93="","-",+C124+1)</f>
        <v>2034</v>
      </c>
      <c r="D125" s="65">
        <v>0</v>
      </c>
      <c r="E125" s="71">
        <f>IF(+J96&lt;F124,J96,D125)</f>
        <v>0</v>
      </c>
      <c r="F125" s="70">
        <f t="shared" si="20"/>
        <v>0</v>
      </c>
      <c r="G125" s="70">
        <f t="shared" si="21"/>
        <v>0</v>
      </c>
      <c r="H125" s="73">
        <f t="shared" si="22"/>
        <v>0</v>
      </c>
      <c r="I125" s="127">
        <f t="shared" si="23"/>
        <v>0</v>
      </c>
      <c r="J125" s="69">
        <f t="shared" si="15"/>
        <v>0</v>
      </c>
      <c r="K125" s="69"/>
      <c r="L125" s="150"/>
      <c r="M125" s="69">
        <f t="shared" si="16"/>
        <v>0</v>
      </c>
      <c r="N125" s="150"/>
      <c r="O125" s="69">
        <f t="shared" si="17"/>
        <v>0</v>
      </c>
      <c r="P125" s="69">
        <f t="shared" si="18"/>
        <v>0</v>
      </c>
      <c r="Q125" s="1"/>
    </row>
    <row r="126" spans="2:17" ht="12.5">
      <c r="B126" s="9" t="str">
        <f t="shared" si="19"/>
        <v/>
      </c>
      <c r="C126" s="64">
        <f>IF(D93="","-",+C125+1)</f>
        <v>2035</v>
      </c>
      <c r="D126" s="65">
        <v>0</v>
      </c>
      <c r="E126" s="71">
        <f>IF(+J96&lt;F125,J96,D126)</f>
        <v>0</v>
      </c>
      <c r="F126" s="70">
        <f t="shared" si="20"/>
        <v>0</v>
      </c>
      <c r="G126" s="70">
        <f t="shared" si="21"/>
        <v>0</v>
      </c>
      <c r="H126" s="73">
        <f t="shared" si="22"/>
        <v>0</v>
      </c>
      <c r="I126" s="127">
        <f t="shared" si="23"/>
        <v>0</v>
      </c>
      <c r="J126" s="69">
        <f t="shared" si="15"/>
        <v>0</v>
      </c>
      <c r="K126" s="69"/>
      <c r="L126" s="150"/>
      <c r="M126" s="69">
        <f t="shared" si="16"/>
        <v>0</v>
      </c>
      <c r="N126" s="150"/>
      <c r="O126" s="69">
        <f t="shared" si="17"/>
        <v>0</v>
      </c>
      <c r="P126" s="69">
        <f t="shared" si="18"/>
        <v>0</v>
      </c>
      <c r="Q126" s="1"/>
    </row>
    <row r="127" spans="2:17" ht="12.5">
      <c r="B127" s="9" t="str">
        <f t="shared" si="19"/>
        <v/>
      </c>
      <c r="C127" s="64">
        <f>IF(D93="","-",+C126+1)</f>
        <v>2036</v>
      </c>
      <c r="D127" s="65">
        <v>0</v>
      </c>
      <c r="E127" s="71">
        <f>IF(+J96&lt;F126,J96,D127)</f>
        <v>0</v>
      </c>
      <c r="F127" s="70">
        <f t="shared" si="20"/>
        <v>0</v>
      </c>
      <c r="G127" s="70">
        <f t="shared" si="21"/>
        <v>0</v>
      </c>
      <c r="H127" s="73">
        <f t="shared" si="22"/>
        <v>0</v>
      </c>
      <c r="I127" s="127">
        <f t="shared" si="23"/>
        <v>0</v>
      </c>
      <c r="J127" s="69">
        <f t="shared" si="15"/>
        <v>0</v>
      </c>
      <c r="K127" s="69"/>
      <c r="L127" s="150"/>
      <c r="M127" s="69">
        <f t="shared" si="16"/>
        <v>0</v>
      </c>
      <c r="N127" s="150"/>
      <c r="O127" s="69">
        <f t="shared" si="17"/>
        <v>0</v>
      </c>
      <c r="P127" s="69">
        <f t="shared" si="18"/>
        <v>0</v>
      </c>
      <c r="Q127" s="1"/>
    </row>
    <row r="128" spans="2:17" ht="12.5">
      <c r="B128" s="9" t="str">
        <f t="shared" si="19"/>
        <v/>
      </c>
      <c r="C128" s="64">
        <f>IF(D93="","-",+C127+1)</f>
        <v>2037</v>
      </c>
      <c r="D128" s="65">
        <v>0</v>
      </c>
      <c r="E128" s="71">
        <f>IF(+J96&lt;F127,J96,D128)</f>
        <v>0</v>
      </c>
      <c r="F128" s="70">
        <f t="shared" si="20"/>
        <v>0</v>
      </c>
      <c r="G128" s="70">
        <f t="shared" si="21"/>
        <v>0</v>
      </c>
      <c r="H128" s="73">
        <f t="shared" si="22"/>
        <v>0</v>
      </c>
      <c r="I128" s="127">
        <f t="shared" si="23"/>
        <v>0</v>
      </c>
      <c r="J128" s="69">
        <f t="shared" si="15"/>
        <v>0</v>
      </c>
      <c r="K128" s="69"/>
      <c r="L128" s="150"/>
      <c r="M128" s="69">
        <f t="shared" si="16"/>
        <v>0</v>
      </c>
      <c r="N128" s="150"/>
      <c r="O128" s="69">
        <f t="shared" si="17"/>
        <v>0</v>
      </c>
      <c r="P128" s="69">
        <f t="shared" si="18"/>
        <v>0</v>
      </c>
      <c r="Q128" s="1"/>
    </row>
    <row r="129" spans="2:17" ht="12.5">
      <c r="B129" s="9" t="str">
        <f t="shared" si="19"/>
        <v/>
      </c>
      <c r="C129" s="64">
        <f>IF(D93="","-",+C128+1)</f>
        <v>2038</v>
      </c>
      <c r="D129" s="65">
        <v>0</v>
      </c>
      <c r="E129" s="71">
        <f>IF(+J96&lt;F128,J96,D129)</f>
        <v>0</v>
      </c>
      <c r="F129" s="70">
        <f t="shared" si="20"/>
        <v>0</v>
      </c>
      <c r="G129" s="70">
        <f t="shared" si="21"/>
        <v>0</v>
      </c>
      <c r="H129" s="73">
        <f t="shared" si="22"/>
        <v>0</v>
      </c>
      <c r="I129" s="127">
        <f t="shared" si="23"/>
        <v>0</v>
      </c>
      <c r="J129" s="69">
        <f t="shared" si="15"/>
        <v>0</v>
      </c>
      <c r="K129" s="69"/>
      <c r="L129" s="150"/>
      <c r="M129" s="69">
        <f t="shared" si="16"/>
        <v>0</v>
      </c>
      <c r="N129" s="150"/>
      <c r="O129" s="69">
        <f t="shared" si="17"/>
        <v>0</v>
      </c>
      <c r="P129" s="69">
        <f t="shared" si="18"/>
        <v>0</v>
      </c>
      <c r="Q129" s="1"/>
    </row>
    <row r="130" spans="2:17" ht="12.5">
      <c r="B130" s="9" t="str">
        <f t="shared" si="19"/>
        <v/>
      </c>
      <c r="C130" s="64">
        <f>IF(D93="","-",+C129+1)</f>
        <v>2039</v>
      </c>
      <c r="D130" s="65">
        <v>0</v>
      </c>
      <c r="E130" s="71">
        <f>IF(+J96&lt;F129,J96,D130)</f>
        <v>0</v>
      </c>
      <c r="F130" s="70">
        <f t="shared" si="20"/>
        <v>0</v>
      </c>
      <c r="G130" s="70">
        <f t="shared" si="21"/>
        <v>0</v>
      </c>
      <c r="H130" s="73">
        <f t="shared" si="22"/>
        <v>0</v>
      </c>
      <c r="I130" s="127">
        <f t="shared" si="23"/>
        <v>0</v>
      </c>
      <c r="J130" s="69">
        <f t="shared" si="15"/>
        <v>0</v>
      </c>
      <c r="K130" s="69"/>
      <c r="L130" s="150"/>
      <c r="M130" s="69">
        <f t="shared" si="16"/>
        <v>0</v>
      </c>
      <c r="N130" s="150"/>
      <c r="O130" s="69">
        <f t="shared" si="17"/>
        <v>0</v>
      </c>
      <c r="P130" s="69">
        <f t="shared" si="18"/>
        <v>0</v>
      </c>
      <c r="Q130" s="1"/>
    </row>
    <row r="131" spans="2:17" ht="12.5">
      <c r="B131" s="9" t="str">
        <f t="shared" si="19"/>
        <v/>
      </c>
      <c r="C131" s="64">
        <f>IF(D93="","-",+C130+1)</f>
        <v>2040</v>
      </c>
      <c r="D131" s="65">
        <v>0</v>
      </c>
      <c r="E131" s="71">
        <f>IF(+J96&lt;F130,J96,D131)</f>
        <v>0</v>
      </c>
      <c r="F131" s="70">
        <f t="shared" ref="F131:F154" si="24">+D131-E131</f>
        <v>0</v>
      </c>
      <c r="G131" s="70">
        <f t="shared" ref="G131:G154" si="25">+(F131+D131)/2</f>
        <v>0</v>
      </c>
      <c r="H131" s="73">
        <f t="shared" ref="H131:H154" si="26">+J$94*G131+E131</f>
        <v>0</v>
      </c>
      <c r="I131" s="127">
        <f t="shared" ref="I131:I154" si="27">+J$95*G131+E131</f>
        <v>0</v>
      </c>
      <c r="J131" s="69">
        <f t="shared" ref="J131:J154" si="28">+I131-H131</f>
        <v>0</v>
      </c>
      <c r="K131" s="69"/>
      <c r="L131" s="150"/>
      <c r="M131" s="69">
        <f t="shared" ref="M131:M154" si="29">IF(L131&lt;&gt;0,+H131-L131,0)</f>
        <v>0</v>
      </c>
      <c r="N131" s="150"/>
      <c r="O131" s="69">
        <f t="shared" ref="O131:O154" si="30">IF(N131&lt;&gt;0,+I131-N131,0)</f>
        <v>0</v>
      </c>
      <c r="P131" s="69">
        <f t="shared" ref="P131:P154" si="31">+O131-M131</f>
        <v>0</v>
      </c>
      <c r="Q131" s="1"/>
    </row>
    <row r="132" spans="2:17" ht="12.5">
      <c r="B132" s="9" t="str">
        <f t="shared" si="19"/>
        <v/>
      </c>
      <c r="C132" s="64">
        <f>IF(D93="","-",+C131+1)</f>
        <v>2041</v>
      </c>
      <c r="D132" s="65">
        <v>0</v>
      </c>
      <c r="E132" s="71">
        <f>IF(+J96&lt;F131,J96,D132)</f>
        <v>0</v>
      </c>
      <c r="F132" s="70">
        <f t="shared" si="24"/>
        <v>0</v>
      </c>
      <c r="G132" s="70">
        <f t="shared" si="25"/>
        <v>0</v>
      </c>
      <c r="H132" s="73">
        <f t="shared" si="26"/>
        <v>0</v>
      </c>
      <c r="I132" s="127">
        <f t="shared" si="27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  <c r="Q132" s="1"/>
    </row>
    <row r="133" spans="2:17" ht="12.5">
      <c r="B133" s="9" t="str">
        <f t="shared" si="19"/>
        <v/>
      </c>
      <c r="C133" s="64">
        <f>IF(D93="","-",+C132+1)</f>
        <v>2042</v>
      </c>
      <c r="D133" s="65">
        <v>0</v>
      </c>
      <c r="E133" s="71">
        <f>IF(+J96&lt;F132,J96,D133)</f>
        <v>0</v>
      </c>
      <c r="F133" s="70">
        <f t="shared" si="24"/>
        <v>0</v>
      </c>
      <c r="G133" s="70">
        <f t="shared" si="25"/>
        <v>0</v>
      </c>
      <c r="H133" s="73">
        <f t="shared" si="26"/>
        <v>0</v>
      </c>
      <c r="I133" s="127">
        <f t="shared" si="27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  <c r="Q133" s="1"/>
    </row>
    <row r="134" spans="2:17" ht="12.5">
      <c r="B134" s="9" t="str">
        <f t="shared" si="19"/>
        <v/>
      </c>
      <c r="C134" s="64">
        <f>IF(D93="","-",+C133+1)</f>
        <v>2043</v>
      </c>
      <c r="D134" s="65">
        <v>0</v>
      </c>
      <c r="E134" s="71">
        <f>IF(+J96&lt;F133,J96,D134)</f>
        <v>0</v>
      </c>
      <c r="F134" s="70">
        <f t="shared" si="24"/>
        <v>0</v>
      </c>
      <c r="G134" s="70">
        <f t="shared" si="25"/>
        <v>0</v>
      </c>
      <c r="H134" s="73">
        <f t="shared" si="26"/>
        <v>0</v>
      </c>
      <c r="I134" s="127">
        <f t="shared" si="27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  <c r="Q134" s="1"/>
    </row>
    <row r="135" spans="2:17" ht="12.5">
      <c r="B135" s="9" t="str">
        <f t="shared" si="19"/>
        <v/>
      </c>
      <c r="C135" s="64">
        <f>IF(D93="","-",+C134+1)</f>
        <v>2044</v>
      </c>
      <c r="D135" s="65">
        <v>0</v>
      </c>
      <c r="E135" s="71">
        <f>IF(+J96&lt;F134,J96,D135)</f>
        <v>0</v>
      </c>
      <c r="F135" s="70">
        <f t="shared" si="24"/>
        <v>0</v>
      </c>
      <c r="G135" s="70">
        <f t="shared" si="25"/>
        <v>0</v>
      </c>
      <c r="H135" s="73">
        <f t="shared" si="26"/>
        <v>0</v>
      </c>
      <c r="I135" s="127">
        <f t="shared" si="27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  <c r="Q135" s="1"/>
    </row>
    <row r="136" spans="2:17" ht="12.5">
      <c r="B136" s="9" t="str">
        <f t="shared" si="19"/>
        <v/>
      </c>
      <c r="C136" s="64">
        <f>IF(D93="","-",+C135+1)</f>
        <v>2045</v>
      </c>
      <c r="D136" s="65">
        <v>0</v>
      </c>
      <c r="E136" s="71">
        <f>IF(+J96&lt;F135,J96,D136)</f>
        <v>0</v>
      </c>
      <c r="F136" s="70">
        <f t="shared" si="24"/>
        <v>0</v>
      </c>
      <c r="G136" s="70">
        <f t="shared" si="25"/>
        <v>0</v>
      </c>
      <c r="H136" s="73">
        <f t="shared" si="26"/>
        <v>0</v>
      </c>
      <c r="I136" s="127">
        <f t="shared" si="27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  <c r="Q136" s="1"/>
    </row>
    <row r="137" spans="2:17" ht="12.5">
      <c r="B137" s="9" t="str">
        <f t="shared" si="19"/>
        <v/>
      </c>
      <c r="C137" s="64">
        <f>IF(D93="","-",+C136+1)</f>
        <v>2046</v>
      </c>
      <c r="D137" s="65">
        <v>0</v>
      </c>
      <c r="E137" s="71">
        <f>IF(+J96&lt;F136,J96,D137)</f>
        <v>0</v>
      </c>
      <c r="F137" s="70">
        <f t="shared" si="24"/>
        <v>0</v>
      </c>
      <c r="G137" s="70">
        <f t="shared" si="25"/>
        <v>0</v>
      </c>
      <c r="H137" s="73">
        <f t="shared" si="26"/>
        <v>0</v>
      </c>
      <c r="I137" s="127">
        <f t="shared" si="27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  <c r="Q137" s="1"/>
    </row>
    <row r="138" spans="2:17" ht="12.5">
      <c r="B138" s="9" t="str">
        <f t="shared" si="19"/>
        <v/>
      </c>
      <c r="C138" s="64">
        <f>IF(D93="","-",+C137+1)</f>
        <v>2047</v>
      </c>
      <c r="D138" s="65">
        <v>0</v>
      </c>
      <c r="E138" s="71">
        <f>IF(+J96&lt;F137,J96,D138)</f>
        <v>0</v>
      </c>
      <c r="F138" s="70">
        <f t="shared" si="24"/>
        <v>0</v>
      </c>
      <c r="G138" s="70">
        <f t="shared" si="25"/>
        <v>0</v>
      </c>
      <c r="H138" s="73">
        <f t="shared" si="26"/>
        <v>0</v>
      </c>
      <c r="I138" s="127">
        <f t="shared" si="27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  <c r="Q138" s="1"/>
    </row>
    <row r="139" spans="2:17" ht="12.5">
      <c r="B139" s="9" t="str">
        <f t="shared" si="19"/>
        <v/>
      </c>
      <c r="C139" s="64">
        <f>IF(D93="","-",+C138+1)</f>
        <v>2048</v>
      </c>
      <c r="D139" s="65">
        <v>0</v>
      </c>
      <c r="E139" s="71">
        <f>IF(+J96&lt;F138,J96,D139)</f>
        <v>0</v>
      </c>
      <c r="F139" s="70">
        <f t="shared" si="24"/>
        <v>0</v>
      </c>
      <c r="G139" s="70">
        <f t="shared" si="25"/>
        <v>0</v>
      </c>
      <c r="H139" s="73">
        <f t="shared" si="26"/>
        <v>0</v>
      </c>
      <c r="I139" s="127">
        <f t="shared" si="27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  <c r="Q139" s="1"/>
    </row>
    <row r="140" spans="2:17" ht="12.5">
      <c r="B140" s="9" t="str">
        <f t="shared" si="19"/>
        <v/>
      </c>
      <c r="C140" s="64">
        <f>IF(D93="","-",+C139+1)</f>
        <v>2049</v>
      </c>
      <c r="D140" s="65">
        <v>0</v>
      </c>
      <c r="E140" s="71">
        <f>IF(+J96&lt;F139,J96,D140)</f>
        <v>0</v>
      </c>
      <c r="F140" s="70">
        <f t="shared" si="24"/>
        <v>0</v>
      </c>
      <c r="G140" s="70">
        <f t="shared" si="25"/>
        <v>0</v>
      </c>
      <c r="H140" s="73">
        <f t="shared" si="26"/>
        <v>0</v>
      </c>
      <c r="I140" s="127">
        <f t="shared" si="27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  <c r="Q140" s="1"/>
    </row>
    <row r="141" spans="2:17" ht="12.5">
      <c r="B141" s="9" t="str">
        <f t="shared" si="19"/>
        <v/>
      </c>
      <c r="C141" s="64">
        <f>IF(D93="","-",+C140+1)</f>
        <v>2050</v>
      </c>
      <c r="D141" s="65">
        <v>0</v>
      </c>
      <c r="E141" s="71">
        <f>IF(+J96&lt;F140,J96,D141)</f>
        <v>0</v>
      </c>
      <c r="F141" s="70">
        <f t="shared" si="24"/>
        <v>0</v>
      </c>
      <c r="G141" s="70">
        <f t="shared" si="25"/>
        <v>0</v>
      </c>
      <c r="H141" s="73">
        <f t="shared" si="26"/>
        <v>0</v>
      </c>
      <c r="I141" s="127">
        <f t="shared" si="27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  <c r="Q141" s="1"/>
    </row>
    <row r="142" spans="2:17" ht="12.5">
      <c r="B142" s="9" t="str">
        <f t="shared" si="19"/>
        <v/>
      </c>
      <c r="C142" s="64">
        <f>IF(D93="","-",+C141+1)</f>
        <v>2051</v>
      </c>
      <c r="D142" s="65">
        <v>0</v>
      </c>
      <c r="E142" s="71">
        <f>IF(+J96&lt;F141,J96,D142)</f>
        <v>0</v>
      </c>
      <c r="F142" s="70">
        <f t="shared" si="24"/>
        <v>0</v>
      </c>
      <c r="G142" s="70">
        <f t="shared" si="25"/>
        <v>0</v>
      </c>
      <c r="H142" s="73">
        <f t="shared" si="26"/>
        <v>0</v>
      </c>
      <c r="I142" s="127">
        <f t="shared" si="27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  <c r="Q142" s="1"/>
    </row>
    <row r="143" spans="2:17" ht="12.5">
      <c r="B143" s="9" t="str">
        <f t="shared" si="19"/>
        <v/>
      </c>
      <c r="C143" s="64">
        <f>IF(D93="","-",+C142+1)</f>
        <v>2052</v>
      </c>
      <c r="D143" s="65">
        <v>0</v>
      </c>
      <c r="E143" s="71">
        <f>IF(+J96&lt;F142,J96,D143)</f>
        <v>0</v>
      </c>
      <c r="F143" s="70">
        <f t="shared" si="24"/>
        <v>0</v>
      </c>
      <c r="G143" s="70">
        <f t="shared" si="25"/>
        <v>0</v>
      </c>
      <c r="H143" s="73">
        <f t="shared" si="26"/>
        <v>0</v>
      </c>
      <c r="I143" s="127">
        <f t="shared" si="27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  <c r="Q143" s="1"/>
    </row>
    <row r="144" spans="2:17" ht="12.5">
      <c r="B144" s="9" t="str">
        <f t="shared" si="19"/>
        <v/>
      </c>
      <c r="C144" s="64">
        <f>IF(D93="","-",+C143+1)</f>
        <v>2053</v>
      </c>
      <c r="D144" s="65">
        <v>0</v>
      </c>
      <c r="E144" s="71">
        <f>IF(+J96&lt;F143,J96,D144)</f>
        <v>0</v>
      </c>
      <c r="F144" s="70">
        <f t="shared" si="24"/>
        <v>0</v>
      </c>
      <c r="G144" s="70">
        <f t="shared" si="25"/>
        <v>0</v>
      </c>
      <c r="H144" s="73">
        <f t="shared" si="26"/>
        <v>0</v>
      </c>
      <c r="I144" s="127">
        <f t="shared" si="27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  <c r="Q144" s="1"/>
    </row>
    <row r="145" spans="2:17" ht="12.5">
      <c r="B145" s="9" t="str">
        <f t="shared" si="19"/>
        <v/>
      </c>
      <c r="C145" s="64">
        <f>IF(D93="","-",+C144+1)</f>
        <v>2054</v>
      </c>
      <c r="D145" s="65">
        <v>0</v>
      </c>
      <c r="E145" s="71">
        <f>IF(+J96&lt;F144,J96,D145)</f>
        <v>0</v>
      </c>
      <c r="F145" s="70">
        <f t="shared" si="24"/>
        <v>0</v>
      </c>
      <c r="G145" s="70">
        <f t="shared" si="25"/>
        <v>0</v>
      </c>
      <c r="H145" s="73">
        <f t="shared" si="26"/>
        <v>0</v>
      </c>
      <c r="I145" s="127">
        <f t="shared" si="27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  <c r="Q145" s="1"/>
    </row>
    <row r="146" spans="2:17" ht="12.5">
      <c r="B146" s="9" t="str">
        <f t="shared" si="19"/>
        <v/>
      </c>
      <c r="C146" s="64">
        <f>IF(D93="","-",+C145+1)</f>
        <v>2055</v>
      </c>
      <c r="D146" s="65">
        <v>0</v>
      </c>
      <c r="E146" s="71">
        <f>IF(+J96&lt;F145,J96,D146)</f>
        <v>0</v>
      </c>
      <c r="F146" s="70">
        <f t="shared" si="24"/>
        <v>0</v>
      </c>
      <c r="G146" s="70">
        <f t="shared" si="25"/>
        <v>0</v>
      </c>
      <c r="H146" s="73">
        <f t="shared" si="26"/>
        <v>0</v>
      </c>
      <c r="I146" s="127">
        <f t="shared" si="27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  <c r="Q146" s="1"/>
    </row>
    <row r="147" spans="2:17" ht="12.5">
      <c r="B147" s="9" t="str">
        <f t="shared" si="19"/>
        <v/>
      </c>
      <c r="C147" s="64">
        <f>IF(D93="","-",+C146+1)</f>
        <v>2056</v>
      </c>
      <c r="D147" s="65">
        <v>0</v>
      </c>
      <c r="E147" s="71">
        <f>IF(+J96&lt;F146,J96,D147)</f>
        <v>0</v>
      </c>
      <c r="F147" s="70">
        <f t="shared" si="24"/>
        <v>0</v>
      </c>
      <c r="G147" s="70">
        <f t="shared" si="25"/>
        <v>0</v>
      </c>
      <c r="H147" s="73">
        <f t="shared" si="26"/>
        <v>0</v>
      </c>
      <c r="I147" s="127">
        <f t="shared" si="27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  <c r="Q147" s="1"/>
    </row>
    <row r="148" spans="2:17" ht="12.5">
      <c r="B148" s="9" t="str">
        <f t="shared" si="19"/>
        <v/>
      </c>
      <c r="C148" s="64">
        <f>IF(D93="","-",+C147+1)</f>
        <v>2057</v>
      </c>
      <c r="D148" s="65">
        <v>0</v>
      </c>
      <c r="E148" s="71">
        <f>IF(+J96&lt;F147,J96,D148)</f>
        <v>0</v>
      </c>
      <c r="F148" s="70">
        <f t="shared" si="24"/>
        <v>0</v>
      </c>
      <c r="G148" s="70">
        <f t="shared" si="25"/>
        <v>0</v>
      </c>
      <c r="H148" s="73">
        <f t="shared" si="26"/>
        <v>0</v>
      </c>
      <c r="I148" s="127">
        <f t="shared" si="27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  <c r="Q148" s="1"/>
    </row>
    <row r="149" spans="2:17" ht="12.5">
      <c r="B149" s="9" t="str">
        <f t="shared" si="19"/>
        <v/>
      </c>
      <c r="C149" s="64">
        <f>IF(D93="","-",+C148+1)</f>
        <v>2058</v>
      </c>
      <c r="D149" s="65">
        <v>0</v>
      </c>
      <c r="E149" s="71">
        <f>IF(+J96&lt;F148,J96,D149)</f>
        <v>0</v>
      </c>
      <c r="F149" s="70">
        <f t="shared" si="24"/>
        <v>0</v>
      </c>
      <c r="G149" s="70">
        <f t="shared" si="25"/>
        <v>0</v>
      </c>
      <c r="H149" s="73">
        <f t="shared" si="26"/>
        <v>0</v>
      </c>
      <c r="I149" s="127">
        <f t="shared" si="27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  <c r="Q149" s="1"/>
    </row>
    <row r="150" spans="2:17" ht="12.5">
      <c r="B150" s="9" t="str">
        <f t="shared" si="19"/>
        <v/>
      </c>
      <c r="C150" s="64">
        <f>IF(D93="","-",+C149+1)</f>
        <v>2059</v>
      </c>
      <c r="D150" s="65">
        <v>0</v>
      </c>
      <c r="E150" s="71">
        <f>IF(+J96&lt;F149,J96,D150)</f>
        <v>0</v>
      </c>
      <c r="F150" s="70">
        <f t="shared" si="24"/>
        <v>0</v>
      </c>
      <c r="G150" s="70">
        <f t="shared" si="25"/>
        <v>0</v>
      </c>
      <c r="H150" s="73">
        <f t="shared" si="26"/>
        <v>0</v>
      </c>
      <c r="I150" s="127">
        <f t="shared" si="27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  <c r="Q150" s="1"/>
    </row>
    <row r="151" spans="2:17" ht="12.5">
      <c r="B151" s="9" t="str">
        <f t="shared" si="19"/>
        <v/>
      </c>
      <c r="C151" s="64">
        <f>IF(D93="","-",+C150+1)</f>
        <v>2060</v>
      </c>
      <c r="D151" s="65">
        <v>0</v>
      </c>
      <c r="E151" s="71">
        <f>IF(+J96&lt;F150,J96,D151)</f>
        <v>0</v>
      </c>
      <c r="F151" s="70">
        <f t="shared" si="24"/>
        <v>0</v>
      </c>
      <c r="G151" s="70">
        <f t="shared" si="25"/>
        <v>0</v>
      </c>
      <c r="H151" s="73">
        <f t="shared" si="26"/>
        <v>0</v>
      </c>
      <c r="I151" s="127">
        <f t="shared" si="27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  <c r="Q151" s="1"/>
    </row>
    <row r="152" spans="2:17" ht="12.5">
      <c r="B152" s="9" t="str">
        <f t="shared" si="19"/>
        <v/>
      </c>
      <c r="C152" s="64">
        <f>IF(D93="","-",+C151+1)</f>
        <v>2061</v>
      </c>
      <c r="D152" s="65">
        <v>0</v>
      </c>
      <c r="E152" s="71">
        <f>IF(+J96&lt;F151,J96,D152)</f>
        <v>0</v>
      </c>
      <c r="F152" s="70">
        <f t="shared" si="24"/>
        <v>0</v>
      </c>
      <c r="G152" s="70">
        <f t="shared" si="25"/>
        <v>0</v>
      </c>
      <c r="H152" s="73">
        <f t="shared" si="26"/>
        <v>0</v>
      </c>
      <c r="I152" s="127">
        <f t="shared" si="27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  <c r="Q152" s="1"/>
    </row>
    <row r="153" spans="2:17" ht="12.5">
      <c r="B153" s="9" t="str">
        <f t="shared" si="19"/>
        <v/>
      </c>
      <c r="C153" s="64">
        <f>IF(D93="","-",+C152+1)</f>
        <v>2062</v>
      </c>
      <c r="D153" s="65">
        <v>0</v>
      </c>
      <c r="E153" s="71">
        <f>IF(+J96&lt;F152,J96,D153)</f>
        <v>0</v>
      </c>
      <c r="F153" s="70">
        <f t="shared" si="24"/>
        <v>0</v>
      </c>
      <c r="G153" s="70">
        <f t="shared" si="25"/>
        <v>0</v>
      </c>
      <c r="H153" s="73">
        <f t="shared" si="26"/>
        <v>0</v>
      </c>
      <c r="I153" s="127">
        <f t="shared" si="27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  <c r="Q153" s="1"/>
    </row>
    <row r="154" spans="2:17" ht="13" thickBot="1">
      <c r="B154" s="9" t="str">
        <f t="shared" si="19"/>
        <v/>
      </c>
      <c r="C154" s="74">
        <f>IF(D93="","-",+C153+1)</f>
        <v>2063</v>
      </c>
      <c r="D154" s="102">
        <v>0</v>
      </c>
      <c r="E154" s="76">
        <f>IF(+J96&lt;F153,J96,D154)</f>
        <v>0</v>
      </c>
      <c r="F154" s="75">
        <f t="shared" si="24"/>
        <v>0</v>
      </c>
      <c r="G154" s="75">
        <f t="shared" si="25"/>
        <v>0</v>
      </c>
      <c r="H154" s="77">
        <f t="shared" si="26"/>
        <v>0</v>
      </c>
      <c r="I154" s="128">
        <f t="shared" si="27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  <c r="Q154" s="1"/>
    </row>
    <row r="155" spans="2:17" ht="12.5">
      <c r="C155" s="65" t="s">
        <v>78</v>
      </c>
      <c r="D155" s="22"/>
      <c r="E155" s="22"/>
      <c r="F155" s="22"/>
      <c r="G155" s="22"/>
      <c r="H155" s="22"/>
      <c r="I155" s="22"/>
      <c r="J155" s="22">
        <f>SUM(J99:J154)</f>
        <v>0</v>
      </c>
      <c r="K155" s="22"/>
      <c r="L155" s="22"/>
      <c r="M155" s="22"/>
      <c r="N155" s="22"/>
      <c r="O155" s="22"/>
      <c r="P155" s="1"/>
      <c r="Q155" s="1"/>
    </row>
    <row r="156" spans="2:17" ht="12.5"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  <c r="Q156" s="1"/>
    </row>
    <row r="157" spans="2:17" ht="12.5">
      <c r="C157" s="103" t="s">
        <v>92</v>
      </c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  <c r="Q157" s="1"/>
    </row>
    <row r="158" spans="2:17" ht="12.5"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  <c r="Q158" s="1"/>
    </row>
    <row r="159" spans="2:17" ht="13">
      <c r="C159" s="80" t="s">
        <v>97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  <c r="Q159" s="1"/>
    </row>
    <row r="160" spans="2:17" ht="13">
      <c r="C160" s="104" t="s">
        <v>79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  <c r="Q160" s="1"/>
    </row>
    <row r="161" spans="3:17" ht="13">
      <c r="C161" s="104" t="s">
        <v>80</v>
      </c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  <c r="Q161" s="1"/>
    </row>
    <row r="162" spans="3:17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12" t="s">
        <v>131</v>
      </c>
      <c r="Q162" s="1"/>
    </row>
  </sheetData>
  <phoneticPr fontId="0" type="noConversion"/>
  <conditionalFormatting sqref="C17:C72">
    <cfRule type="cellIs" dxfId="121" priority="1" stopIfTrue="1" operator="equal">
      <formula>$I$10</formula>
    </cfRule>
  </conditionalFormatting>
  <conditionalFormatting sqref="C99:C154">
    <cfRule type="cellIs" dxfId="12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2"/>
  <dimension ref="A1:Q162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21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180679.34375469992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180679.34375469992</v>
      </c>
      <c r="O6" s="269"/>
      <c r="P6" s="269"/>
    </row>
    <row r="7" spans="1:17" ht="13.5" thickBot="1">
      <c r="C7" s="467" t="s">
        <v>48</v>
      </c>
      <c r="D7" s="620" t="s">
        <v>261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248</v>
      </c>
      <c r="E9" s="666" t="s">
        <v>486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1642817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39114.690476190473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2389000</v>
      </c>
      <c r="E17" s="509">
        <v>31434.210526315794</v>
      </c>
      <c r="F17" s="508">
        <v>2357565.789473684</v>
      </c>
      <c r="G17" s="509">
        <v>370369.65443341201</v>
      </c>
      <c r="H17" s="510">
        <v>370369.65443341201</v>
      </c>
      <c r="I17" s="517">
        <v>0</v>
      </c>
      <c r="J17" s="511"/>
      <c r="K17" s="512">
        <f t="shared" ref="K17:K22" si="0">G17</f>
        <v>370369.65443341201</v>
      </c>
      <c r="L17" s="597">
        <f t="shared" ref="L17:L48" si="1">IF(K17&lt;&gt;0,+G17-K17,0)</f>
        <v>0</v>
      </c>
      <c r="M17" s="512">
        <f t="shared" ref="M17:M22" si="2">H17</f>
        <v>370369.65443341201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1578368.7894736843</v>
      </c>
      <c r="E18" s="516">
        <v>39263.487804878052</v>
      </c>
      <c r="F18" s="515">
        <v>1539105.3016688062</v>
      </c>
      <c r="G18" s="516">
        <v>279659.70688308566</v>
      </c>
      <c r="H18" s="510">
        <v>279659.70688308566</v>
      </c>
      <c r="I18" s="517">
        <v>0</v>
      </c>
      <c r="J18" s="511"/>
      <c r="K18" s="518">
        <f t="shared" si="0"/>
        <v>279659.70688308566</v>
      </c>
      <c r="L18" s="519">
        <f t="shared" si="1"/>
        <v>0</v>
      </c>
      <c r="M18" s="518">
        <f t="shared" si="2"/>
        <v>279659.70688308566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2012</v>
      </c>
      <c r="D19" s="515">
        <v>1568274.3016688062</v>
      </c>
      <c r="E19" s="516">
        <v>39023.142857142855</v>
      </c>
      <c r="F19" s="515">
        <v>1529251.1588116633</v>
      </c>
      <c r="G19" s="516">
        <v>266453.58939381945</v>
      </c>
      <c r="H19" s="510">
        <v>266453.58939381945</v>
      </c>
      <c r="I19" s="517">
        <v>0</v>
      </c>
      <c r="J19" s="511"/>
      <c r="K19" s="518">
        <f t="shared" si="0"/>
        <v>266453.58939381945</v>
      </c>
      <c r="L19" s="519">
        <f t="shared" si="1"/>
        <v>0</v>
      </c>
      <c r="M19" s="518">
        <f t="shared" si="2"/>
        <v>266453.58939381945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1529251.1588116633</v>
      </c>
      <c r="E20" s="609">
        <v>39023.142857142855</v>
      </c>
      <c r="F20" s="608">
        <v>1490228.0159545203</v>
      </c>
      <c r="G20" s="609">
        <v>247635.81443822815</v>
      </c>
      <c r="H20" s="610">
        <v>247635.81443822815</v>
      </c>
      <c r="I20" s="596">
        <v>0</v>
      </c>
      <c r="J20" s="511"/>
      <c r="K20" s="518">
        <f t="shared" si="0"/>
        <v>247635.81443822815</v>
      </c>
      <c r="L20" s="519">
        <f t="shared" ref="L20:L25" si="6">IF(K20&lt;&gt;0,+G20-K20,0)</f>
        <v>0</v>
      </c>
      <c r="M20" s="518">
        <f t="shared" si="2"/>
        <v>247635.81443822815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1490228.0159545203</v>
      </c>
      <c r="E21" s="609">
        <v>39023.142857142855</v>
      </c>
      <c r="F21" s="608">
        <v>1451204.8730973774</v>
      </c>
      <c r="G21" s="609">
        <v>234805.92986157897</v>
      </c>
      <c r="H21" s="610">
        <v>234805.92986157897</v>
      </c>
      <c r="I21" s="596">
        <v>0</v>
      </c>
      <c r="J21" s="511"/>
      <c r="K21" s="518">
        <f t="shared" si="0"/>
        <v>234805.92986157897</v>
      </c>
      <c r="L21" s="519">
        <f t="shared" si="6"/>
        <v>0</v>
      </c>
      <c r="M21" s="518">
        <f t="shared" si="2"/>
        <v>234805.92986157897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2015</v>
      </c>
      <c r="D22" s="608">
        <v>1455049.8730973776</v>
      </c>
      <c r="E22" s="609">
        <v>39114.690476190473</v>
      </c>
      <c r="F22" s="608">
        <v>1415935.1826211871</v>
      </c>
      <c r="G22" s="609">
        <v>225600.1518969718</v>
      </c>
      <c r="H22" s="610">
        <v>225600.1518969718</v>
      </c>
      <c r="I22" s="511">
        <v>0</v>
      </c>
      <c r="J22" s="511"/>
      <c r="K22" s="518">
        <f t="shared" si="0"/>
        <v>225600.1518969718</v>
      </c>
      <c r="L22" s="519">
        <f t="shared" si="6"/>
        <v>0</v>
      </c>
      <c r="M22" s="518">
        <f t="shared" si="2"/>
        <v>225600.1518969718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1415935.1826211871</v>
      </c>
      <c r="E23" s="609">
        <v>39114.690476190473</v>
      </c>
      <c r="F23" s="608">
        <v>1376820.4921449965</v>
      </c>
      <c r="G23" s="609">
        <v>218211.46569994657</v>
      </c>
      <c r="H23" s="610">
        <v>218211.46569994657</v>
      </c>
      <c r="I23" s="511">
        <f t="shared" ref="I23:I48" si="9">H23-G23</f>
        <v>0</v>
      </c>
      <c r="J23" s="511"/>
      <c r="K23" s="518">
        <f t="shared" ref="K23:K28" si="10">G23</f>
        <v>218211.46569994657</v>
      </c>
      <c r="L23" s="519">
        <f t="shared" si="6"/>
        <v>0</v>
      </c>
      <c r="M23" s="518">
        <f t="shared" ref="M23:M28" si="11">H23</f>
        <v>218211.46569994657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1376820.4921449965</v>
      </c>
      <c r="E24" s="609">
        <v>38205.046511627908</v>
      </c>
      <c r="F24" s="608">
        <v>1338615.4456333686</v>
      </c>
      <c r="G24" s="609">
        <v>206416.1656138415</v>
      </c>
      <c r="H24" s="610">
        <v>206416.1656138415</v>
      </c>
      <c r="I24" s="511">
        <f t="shared" si="9"/>
        <v>0</v>
      </c>
      <c r="J24" s="511"/>
      <c r="K24" s="518">
        <f t="shared" si="10"/>
        <v>206416.1656138415</v>
      </c>
      <c r="L24" s="519">
        <f t="shared" si="6"/>
        <v>0</v>
      </c>
      <c r="M24" s="518">
        <f t="shared" si="11"/>
        <v>206416.1656138415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1338615.4456333686</v>
      </c>
      <c r="E25" s="609">
        <v>40068.707317073167</v>
      </c>
      <c r="F25" s="608">
        <v>1298546.7383162954</v>
      </c>
      <c r="G25" s="609">
        <v>207652.58306545476</v>
      </c>
      <c r="H25" s="610">
        <v>207652.58306545476</v>
      </c>
      <c r="I25" s="511">
        <f t="shared" si="9"/>
        <v>0</v>
      </c>
      <c r="J25" s="511"/>
      <c r="K25" s="518">
        <f t="shared" si="10"/>
        <v>207652.58306545476</v>
      </c>
      <c r="L25" s="519">
        <f t="shared" si="6"/>
        <v>0</v>
      </c>
      <c r="M25" s="518">
        <f t="shared" si="11"/>
        <v>207652.58306545476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1298546.7383162954</v>
      </c>
      <c r="E26" s="609">
        <v>40068.707317073167</v>
      </c>
      <c r="F26" s="608">
        <v>1258478.0309992223</v>
      </c>
      <c r="G26" s="609">
        <v>202560.08681377117</v>
      </c>
      <c r="H26" s="610">
        <v>202560.08681377117</v>
      </c>
      <c r="I26" s="511">
        <f t="shared" si="9"/>
        <v>0</v>
      </c>
      <c r="J26" s="511"/>
      <c r="K26" s="518">
        <f t="shared" si="10"/>
        <v>202560.08681377117</v>
      </c>
      <c r="L26" s="519">
        <f t="shared" ref="L26" si="12">IF(K26&lt;&gt;0,+G26-K26,0)</f>
        <v>0</v>
      </c>
      <c r="M26" s="518">
        <f t="shared" si="11"/>
        <v>202560.08681377117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08">
        <v>1258478.0309992223</v>
      </c>
      <c r="E27" s="609">
        <v>40068.707317073167</v>
      </c>
      <c r="F27" s="608">
        <v>1218409.3236821492</v>
      </c>
      <c r="G27" s="609">
        <v>166805.4048847931</v>
      </c>
      <c r="H27" s="610">
        <v>166805.4048847931</v>
      </c>
      <c r="I27" s="511">
        <f t="shared" si="9"/>
        <v>0</v>
      </c>
      <c r="J27" s="511"/>
      <c r="K27" s="518">
        <f t="shared" si="10"/>
        <v>166805.4048847931</v>
      </c>
      <c r="L27" s="519">
        <f t="shared" ref="L27" si="13">IF(K27&lt;&gt;0,+G27-K27,0)</f>
        <v>0</v>
      </c>
      <c r="M27" s="518">
        <f t="shared" si="11"/>
        <v>166805.4048847931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08">
        <v>1220272.9844875946</v>
      </c>
      <c r="E28" s="609">
        <v>39114.690476190473</v>
      </c>
      <c r="F28" s="608">
        <v>1181158.294011404</v>
      </c>
      <c r="G28" s="609">
        <v>166396.00554039481</v>
      </c>
      <c r="H28" s="610">
        <v>166396.00554039481</v>
      </c>
      <c r="I28" s="511">
        <f t="shared" si="9"/>
        <v>0</v>
      </c>
      <c r="J28" s="511"/>
      <c r="K28" s="518">
        <f t="shared" si="10"/>
        <v>166396.00554039481</v>
      </c>
      <c r="L28" s="519">
        <f t="shared" ref="L28" si="14">IF(K28&lt;&gt;0,+G28-K28,0)</f>
        <v>0</v>
      </c>
      <c r="M28" s="518">
        <f t="shared" si="11"/>
        <v>166396.00554039481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08">
        <v>1179294.6332059586</v>
      </c>
      <c r="E29" s="609">
        <v>39114.690476190473</v>
      </c>
      <c r="F29" s="608">
        <v>1140179.9427297681</v>
      </c>
      <c r="G29" s="609">
        <v>169520.30244335823</v>
      </c>
      <c r="H29" s="610">
        <v>169520.30244335823</v>
      </c>
      <c r="I29" s="511">
        <f t="shared" si="9"/>
        <v>0</v>
      </c>
      <c r="J29" s="511"/>
      <c r="K29" s="518">
        <f t="shared" ref="K29" si="15">G29</f>
        <v>169520.30244335823</v>
      </c>
      <c r="L29" s="519">
        <f t="shared" ref="L29" si="16">IF(K29&lt;&gt;0,+G29-K29,0)</f>
        <v>0</v>
      </c>
      <c r="M29" s="518">
        <f t="shared" ref="M29" si="17">H29</f>
        <v>169520.30244335823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1140179.9427297681</v>
      </c>
      <c r="E30" s="522">
        <f>IF(+I14&lt;F29,I14,D30)</f>
        <v>39114.690476190473</v>
      </c>
      <c r="F30" s="523">
        <f t="shared" ref="F30:F48" si="18">+D30-E30</f>
        <v>1101065.2522535776</v>
      </c>
      <c r="G30" s="524">
        <f t="shared" ref="G30:G55" si="19">+I$12*((D30+F30)/2)+E30</f>
        <v>180679.34375469992</v>
      </c>
      <c r="H30" s="491">
        <f t="shared" ref="H30:H55" si="20">+I$13*((D30+F30)/2)+E30</f>
        <v>180679.34375469992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1101065.2522535776</v>
      </c>
      <c r="E31" s="522">
        <f>IF(+I14&lt;F30,I14,D31)</f>
        <v>39114.690476190473</v>
      </c>
      <c r="F31" s="523">
        <f t="shared" si="18"/>
        <v>1061950.561777387</v>
      </c>
      <c r="G31" s="524">
        <f t="shared" si="19"/>
        <v>175738.11054402549</v>
      </c>
      <c r="H31" s="491">
        <f t="shared" si="20"/>
        <v>175738.11054402549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1061950.561777387</v>
      </c>
      <c r="E32" s="522">
        <f>IF(+I14&lt;F31,I14,D32)</f>
        <v>39114.690476190473</v>
      </c>
      <c r="F32" s="523">
        <f t="shared" si="18"/>
        <v>1022835.8713011965</v>
      </c>
      <c r="G32" s="524">
        <f t="shared" si="19"/>
        <v>170796.877333351</v>
      </c>
      <c r="H32" s="491">
        <f t="shared" si="20"/>
        <v>170796.877333351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1022835.8713011965</v>
      </c>
      <c r="E33" s="522">
        <f>IF(+I14&lt;F32,I14,D33)</f>
        <v>39114.690476190473</v>
      </c>
      <c r="F33" s="523">
        <f t="shared" si="18"/>
        <v>983721.18082500598</v>
      </c>
      <c r="G33" s="524">
        <f t="shared" si="19"/>
        <v>165855.64412267657</v>
      </c>
      <c r="H33" s="491">
        <f t="shared" si="20"/>
        <v>165855.64412267657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983721.18082500598</v>
      </c>
      <c r="E34" s="522">
        <f>IF(+I14&lt;F33,I14,D34)</f>
        <v>39114.690476190473</v>
      </c>
      <c r="F34" s="523">
        <f t="shared" si="18"/>
        <v>944606.49034881545</v>
      </c>
      <c r="G34" s="524">
        <f t="shared" si="19"/>
        <v>160914.41091200209</v>
      </c>
      <c r="H34" s="491">
        <f t="shared" si="20"/>
        <v>160914.41091200209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944606.49034881545</v>
      </c>
      <c r="E35" s="522">
        <f>IF(+I14&lt;F34,I14,D35)</f>
        <v>39114.690476190473</v>
      </c>
      <c r="F35" s="523">
        <f t="shared" si="18"/>
        <v>905491.79987262492</v>
      </c>
      <c r="G35" s="524">
        <f t="shared" si="19"/>
        <v>155973.17770132766</v>
      </c>
      <c r="H35" s="491">
        <f t="shared" si="20"/>
        <v>155973.17770132766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905491.79987262492</v>
      </c>
      <c r="E36" s="522">
        <f>IF(+I14&lt;F35,I14,D36)</f>
        <v>39114.690476190473</v>
      </c>
      <c r="F36" s="523">
        <f t="shared" si="18"/>
        <v>866377.10939643439</v>
      </c>
      <c r="G36" s="524">
        <f t="shared" si="19"/>
        <v>151031.94449065317</v>
      </c>
      <c r="H36" s="491">
        <f t="shared" si="20"/>
        <v>151031.94449065317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866377.10939643439</v>
      </c>
      <c r="E37" s="522">
        <f>IF(+I14&lt;F36,I14,D37)</f>
        <v>39114.690476190473</v>
      </c>
      <c r="F37" s="523">
        <f t="shared" si="18"/>
        <v>827262.41892024386</v>
      </c>
      <c r="G37" s="524">
        <f t="shared" si="19"/>
        <v>146090.71127997874</v>
      </c>
      <c r="H37" s="491">
        <f t="shared" si="20"/>
        <v>146090.71127997874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827262.41892024386</v>
      </c>
      <c r="E38" s="522">
        <f>IF(+I14&lt;F37,I14,D38)</f>
        <v>39114.690476190473</v>
      </c>
      <c r="F38" s="523">
        <f t="shared" si="18"/>
        <v>788147.72844405333</v>
      </c>
      <c r="G38" s="524">
        <f t="shared" si="19"/>
        <v>141149.47806930426</v>
      </c>
      <c r="H38" s="491">
        <f t="shared" si="20"/>
        <v>141149.47806930426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788147.72844405333</v>
      </c>
      <c r="E39" s="522">
        <f>IF(+I14&lt;F38,I14,D39)</f>
        <v>39114.690476190473</v>
      </c>
      <c r="F39" s="523">
        <f t="shared" si="18"/>
        <v>749033.03796786279</v>
      </c>
      <c r="G39" s="524">
        <f t="shared" si="19"/>
        <v>136208.24485862983</v>
      </c>
      <c r="H39" s="491">
        <f t="shared" si="20"/>
        <v>136208.24485862983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749033.03796786279</v>
      </c>
      <c r="E40" s="522">
        <f>IF(+I14&lt;F39,I14,D40)</f>
        <v>39114.690476190473</v>
      </c>
      <c r="F40" s="523">
        <f t="shared" si="18"/>
        <v>709918.34749167226</v>
      </c>
      <c r="G40" s="524">
        <f t="shared" si="19"/>
        <v>131267.01164795534</v>
      </c>
      <c r="H40" s="491">
        <f t="shared" si="20"/>
        <v>131267.01164795534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709918.34749167226</v>
      </c>
      <c r="E41" s="522">
        <f>IF(+I14&lt;F40,I14,D41)</f>
        <v>39114.690476190473</v>
      </c>
      <c r="F41" s="523">
        <f t="shared" si="18"/>
        <v>670803.65701548173</v>
      </c>
      <c r="G41" s="524">
        <f t="shared" si="19"/>
        <v>126325.7784372809</v>
      </c>
      <c r="H41" s="491">
        <f t="shared" si="20"/>
        <v>126325.7784372809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670803.65701548173</v>
      </c>
      <c r="E42" s="522">
        <f>IF(+I14&lt;F41,I14,D42)</f>
        <v>39114.690476190473</v>
      </c>
      <c r="F42" s="523">
        <f t="shared" si="18"/>
        <v>631688.9665392912</v>
      </c>
      <c r="G42" s="524">
        <f t="shared" si="19"/>
        <v>121384.54522660644</v>
      </c>
      <c r="H42" s="491">
        <f t="shared" si="20"/>
        <v>121384.54522660644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631688.9665392912</v>
      </c>
      <c r="E43" s="522">
        <f>IF(+I14&lt;F42,I14,D43)</f>
        <v>39114.690476190473</v>
      </c>
      <c r="F43" s="523">
        <f t="shared" si="18"/>
        <v>592574.27606310067</v>
      </c>
      <c r="G43" s="524">
        <f t="shared" si="19"/>
        <v>116443.31201593198</v>
      </c>
      <c r="H43" s="491">
        <f t="shared" si="20"/>
        <v>116443.31201593198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592574.27606310067</v>
      </c>
      <c r="E44" s="522">
        <f>IF(+I14&lt;F43,I14,D44)</f>
        <v>39114.690476190473</v>
      </c>
      <c r="F44" s="523">
        <f t="shared" si="18"/>
        <v>553459.58558691014</v>
      </c>
      <c r="G44" s="524">
        <f t="shared" si="19"/>
        <v>111502.07880525754</v>
      </c>
      <c r="H44" s="491">
        <f t="shared" si="20"/>
        <v>111502.07880525754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553459.58558691014</v>
      </c>
      <c r="E45" s="522">
        <f>IF(+I14&lt;F44,I14,D45)</f>
        <v>39114.690476190473</v>
      </c>
      <c r="F45" s="523">
        <f t="shared" si="18"/>
        <v>514344.89511071966</v>
      </c>
      <c r="G45" s="524">
        <f t="shared" si="19"/>
        <v>106560.84559458308</v>
      </c>
      <c r="H45" s="491">
        <f t="shared" si="20"/>
        <v>106560.84559458308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514344.89511071966</v>
      </c>
      <c r="E46" s="522">
        <f>IF(+I14&lt;F45,I14,D46)</f>
        <v>39114.690476190473</v>
      </c>
      <c r="F46" s="523">
        <f t="shared" si="18"/>
        <v>475230.20463452919</v>
      </c>
      <c r="G46" s="524">
        <f t="shared" si="19"/>
        <v>101619.61238390862</v>
      </c>
      <c r="H46" s="491">
        <f t="shared" si="20"/>
        <v>101619.61238390862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475230.20463452919</v>
      </c>
      <c r="E47" s="522">
        <f>IF(+I14&lt;F46,I14,D47)</f>
        <v>39114.690476190473</v>
      </c>
      <c r="F47" s="523">
        <f t="shared" si="18"/>
        <v>436115.51415833872</v>
      </c>
      <c r="G47" s="524">
        <f t="shared" si="19"/>
        <v>96678.379173234163</v>
      </c>
      <c r="H47" s="491">
        <f t="shared" si="20"/>
        <v>96678.379173234163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436115.51415833872</v>
      </c>
      <c r="E48" s="522">
        <f>IF(+I14&lt;F47,I14,D48)</f>
        <v>39114.690476190473</v>
      </c>
      <c r="F48" s="523">
        <f t="shared" si="18"/>
        <v>397000.82368214824</v>
      </c>
      <c r="G48" s="524">
        <f t="shared" si="19"/>
        <v>91737.145962559734</v>
      </c>
      <c r="H48" s="491">
        <f t="shared" si="20"/>
        <v>91737.145962559734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397000.82368214824</v>
      </c>
      <c r="E49" s="522">
        <f>IF(+I14&lt;F48,I14,D49)</f>
        <v>39114.690476190473</v>
      </c>
      <c r="F49" s="523">
        <f t="shared" ref="F49:F72" si="21">+D49-E49</f>
        <v>357886.13320595777</v>
      </c>
      <c r="G49" s="524">
        <f t="shared" si="19"/>
        <v>86795.912751885277</v>
      </c>
      <c r="H49" s="491">
        <f t="shared" si="20"/>
        <v>86795.912751885277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357886.13320595777</v>
      </c>
      <c r="E50" s="522">
        <f>IF(+I14&lt;F49,I14,D50)</f>
        <v>39114.690476190473</v>
      </c>
      <c r="F50" s="523">
        <f t="shared" si="21"/>
        <v>318771.4427297673</v>
      </c>
      <c r="G50" s="524">
        <f t="shared" si="19"/>
        <v>81854.679541210833</v>
      </c>
      <c r="H50" s="491">
        <f t="shared" si="20"/>
        <v>81854.679541210833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318771.4427297673</v>
      </c>
      <c r="E51" s="522">
        <f>IF(+I14&lt;F50,I14,D51)</f>
        <v>39114.690476190473</v>
      </c>
      <c r="F51" s="523">
        <f t="shared" si="21"/>
        <v>279656.75225357682</v>
      </c>
      <c r="G51" s="524">
        <f t="shared" si="19"/>
        <v>76913.446330536375</v>
      </c>
      <c r="H51" s="491">
        <f t="shared" si="20"/>
        <v>76913.446330536375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279656.75225357682</v>
      </c>
      <c r="E52" s="522">
        <f>IF(+I14&lt;F51,I14,D52)</f>
        <v>39114.690476190473</v>
      </c>
      <c r="F52" s="523">
        <f t="shared" si="21"/>
        <v>240542.06177738635</v>
      </c>
      <c r="G52" s="524">
        <f t="shared" si="19"/>
        <v>71972.213119861932</v>
      </c>
      <c r="H52" s="491">
        <f t="shared" si="20"/>
        <v>71972.213119861932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240542.06177738635</v>
      </c>
      <c r="E53" s="522">
        <f>IF(+I14&lt;F52,I14,D53)</f>
        <v>39114.690476190473</v>
      </c>
      <c r="F53" s="523">
        <f t="shared" si="21"/>
        <v>201427.37130119588</v>
      </c>
      <c r="G53" s="524">
        <f t="shared" si="19"/>
        <v>67030.979909187474</v>
      </c>
      <c r="H53" s="491">
        <f t="shared" si="20"/>
        <v>67030.979909187474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201427.37130119588</v>
      </c>
      <c r="E54" s="522">
        <f>IF(+I14&lt;F53,I14,D54)</f>
        <v>39114.690476190473</v>
      </c>
      <c r="F54" s="523">
        <f t="shared" si="21"/>
        <v>162312.6808250054</v>
      </c>
      <c r="G54" s="524">
        <f t="shared" si="19"/>
        <v>62089.74669851303</v>
      </c>
      <c r="H54" s="491">
        <f t="shared" si="20"/>
        <v>62089.74669851303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162312.6808250054</v>
      </c>
      <c r="E55" s="522">
        <f>IF(+I14&lt;F54,I14,D55)</f>
        <v>39114.690476190473</v>
      </c>
      <c r="F55" s="523">
        <f t="shared" si="21"/>
        <v>123197.99034881493</v>
      </c>
      <c r="G55" s="524">
        <f t="shared" si="19"/>
        <v>57148.513487838572</v>
      </c>
      <c r="H55" s="491">
        <f t="shared" si="20"/>
        <v>57148.513487838572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123197.99034881493</v>
      </c>
      <c r="E56" s="522">
        <f>IF(+I14&lt;F55,I14,D56)</f>
        <v>39114.690476190473</v>
      </c>
      <c r="F56" s="523">
        <f t="shared" si="21"/>
        <v>84083.299872624455</v>
      </c>
      <c r="G56" s="524">
        <f t="shared" ref="G56:G72" si="26">+I$12*((D56+F56)/2)+E56</f>
        <v>52207.280277164129</v>
      </c>
      <c r="H56" s="491">
        <f t="shared" ref="H56:H72" si="27">+I$13*((D56+F56)/2)+E56</f>
        <v>52207.280277164129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84083.299872624455</v>
      </c>
      <c r="E57" s="522">
        <f>IF(+I14&lt;F56,I14,D57)</f>
        <v>39114.690476190473</v>
      </c>
      <c r="F57" s="523">
        <f t="shared" si="21"/>
        <v>44968.609396433982</v>
      </c>
      <c r="G57" s="524">
        <f t="shared" si="26"/>
        <v>47266.047066489678</v>
      </c>
      <c r="H57" s="491">
        <f t="shared" si="27"/>
        <v>47266.047066489678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44968.609396433982</v>
      </c>
      <c r="E58" s="522">
        <f>IF(+I14&lt;F57,I14,D58)</f>
        <v>39114.690476190473</v>
      </c>
      <c r="F58" s="523">
        <f t="shared" si="21"/>
        <v>5853.9189202435082</v>
      </c>
      <c r="G58" s="524">
        <f t="shared" si="26"/>
        <v>42324.813855815228</v>
      </c>
      <c r="H58" s="491">
        <f t="shared" si="27"/>
        <v>42324.813855815228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5853.9189202435082</v>
      </c>
      <c r="E59" s="522">
        <f>IF(+I14&lt;F58,I14,D59)</f>
        <v>5853.9189202435082</v>
      </c>
      <c r="F59" s="523">
        <f t="shared" si="21"/>
        <v>0</v>
      </c>
      <c r="G59" s="524">
        <f t="shared" si="26"/>
        <v>6223.6723073872727</v>
      </c>
      <c r="H59" s="491">
        <f t="shared" si="27"/>
        <v>6223.6723073872727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26"/>
        <v>0</v>
      </c>
      <c r="H60" s="491">
        <f t="shared" si="27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26"/>
        <v>0</v>
      </c>
      <c r="H61" s="491">
        <f t="shared" si="27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26"/>
        <v>0</v>
      </c>
      <c r="H62" s="491">
        <f t="shared" si="27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26"/>
        <v>0</v>
      </c>
      <c r="H63" s="491">
        <f t="shared" si="27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26"/>
        <v>0</v>
      </c>
      <c r="H64" s="491">
        <f t="shared" si="27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26"/>
        <v>0</v>
      </c>
      <c r="H65" s="491">
        <f t="shared" si="27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26"/>
        <v>0</v>
      </c>
      <c r="H66" s="491">
        <f t="shared" si="27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26"/>
        <v>0</v>
      </c>
      <c r="H67" s="491">
        <f t="shared" si="27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26"/>
        <v>0</v>
      </c>
      <c r="H68" s="491">
        <f t="shared" si="27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26"/>
        <v>0</v>
      </c>
      <c r="H69" s="491">
        <f t="shared" si="27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26"/>
        <v>0</v>
      </c>
      <c r="H70" s="491">
        <f t="shared" si="27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26"/>
        <v>0</v>
      </c>
      <c r="H71" s="491">
        <f t="shared" si="27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26"/>
        <v>0</v>
      </c>
      <c r="H72" s="471">
        <f t="shared" si="27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 ht="12.5">
      <c r="C73" s="374" t="s">
        <v>78</v>
      </c>
      <c r="D73" s="375"/>
      <c r="E73" s="375">
        <f>SUM(E17:E72)</f>
        <v>1642817.0000000005</v>
      </c>
      <c r="F73" s="375"/>
      <c r="G73" s="375">
        <f>SUM(G17:G72)</f>
        <v>6201870.8186285095</v>
      </c>
      <c r="H73" s="375">
        <f>SUM(H17:H72)</f>
        <v>6201870.8186285095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21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166396.00554039481</v>
      </c>
      <c r="N87" s="546">
        <f>IF(J92&lt;D11,0,VLOOKUP(J92,C17:O72,11))</f>
        <v>166396.00554039481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177886.11062251645</v>
      </c>
      <c r="N88" s="550">
        <f>IF(J92&lt;D11,0,VLOOKUP(J92,C99:P154,7))</f>
        <v>177886.11062251645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Reconductor 4 mi. of McNabb-Turk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11490.105082121649</v>
      </c>
      <c r="N89" s="555">
        <f>+N88-N87</f>
        <v>11490.105082121649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TP2006077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1642817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40068.707317073167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19631.743902439026</v>
      </c>
      <c r="F99" s="515">
        <v>1590171.256097561</v>
      </c>
      <c r="G99" s="574">
        <v>795085.62804878049</v>
      </c>
      <c r="H99" s="575">
        <v>150889.3151810994</v>
      </c>
      <c r="I99" s="576">
        <v>150889.3151810994</v>
      </c>
      <c r="J99" s="613">
        <f t="shared" ref="J99:J130" si="28">+I99-H99</f>
        <v>0</v>
      </c>
      <c r="K99" s="514"/>
      <c r="L99" s="512">
        <f t="shared" ref="L99:L104" si="29">H99</f>
        <v>150889.3151810994</v>
      </c>
      <c r="M99" s="597">
        <f t="shared" ref="M99:M130" si="30">IF(L99&lt;&gt;0,+H99-L99,0)</f>
        <v>0</v>
      </c>
      <c r="N99" s="512">
        <f t="shared" ref="N99:N104" si="31">I99</f>
        <v>150889.3151810994</v>
      </c>
      <c r="O99" s="513">
        <f t="shared" ref="O99:O130" si="32">IF(N99&lt;&gt;0,+I99-N99,0)</f>
        <v>0</v>
      </c>
      <c r="P99" s="513">
        <f t="shared" ref="P99:P130" si="33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2011</v>
      </c>
      <c r="D100" s="508">
        <v>1619340.256097561</v>
      </c>
      <c r="E100" s="516">
        <v>39023.142857142855</v>
      </c>
      <c r="F100" s="515">
        <v>1580317.113240418</v>
      </c>
      <c r="G100" s="515">
        <v>1599828.6846689894</v>
      </c>
      <c r="H100" s="516">
        <v>279605.22250297031</v>
      </c>
      <c r="I100" s="510">
        <v>279605.22250297031</v>
      </c>
      <c r="J100" s="613">
        <f t="shared" si="28"/>
        <v>0</v>
      </c>
      <c r="K100" s="514"/>
      <c r="L100" s="518">
        <f t="shared" si="29"/>
        <v>279605.22250297031</v>
      </c>
      <c r="M100" s="519">
        <f t="shared" si="30"/>
        <v>0</v>
      </c>
      <c r="N100" s="518">
        <f t="shared" si="31"/>
        <v>279605.22250297031</v>
      </c>
      <c r="O100" s="514">
        <f t="shared" si="32"/>
        <v>0</v>
      </c>
      <c r="P100" s="514">
        <f t="shared" si="33"/>
        <v>0</v>
      </c>
      <c r="Q100" s="269"/>
    </row>
    <row r="101" spans="1:17" ht="12.5">
      <c r="B101" s="195" t="str">
        <f t="shared" ref="B101:B154" si="34">IF(D101=F100,"","IU")</f>
        <v/>
      </c>
      <c r="C101" s="507">
        <f>IF(D93="","-",+C100+1)</f>
        <v>2012</v>
      </c>
      <c r="D101" s="508">
        <v>1580317.113240418</v>
      </c>
      <c r="E101" s="516">
        <v>39023.142857142855</v>
      </c>
      <c r="F101" s="515">
        <v>1541293.9703832751</v>
      </c>
      <c r="G101" s="515">
        <v>1560805.5418118467</v>
      </c>
      <c r="H101" s="516">
        <v>268701.81510397862</v>
      </c>
      <c r="I101" s="510">
        <v>268701.81510397862</v>
      </c>
      <c r="J101" s="613">
        <f t="shared" si="28"/>
        <v>0</v>
      </c>
      <c r="K101" s="514"/>
      <c r="L101" s="518">
        <f t="shared" si="29"/>
        <v>268701.81510397862</v>
      </c>
      <c r="M101" s="519">
        <f t="shared" si="30"/>
        <v>0</v>
      </c>
      <c r="N101" s="518">
        <f t="shared" si="31"/>
        <v>268701.81510397862</v>
      </c>
      <c r="O101" s="514">
        <f t="shared" si="32"/>
        <v>0</v>
      </c>
      <c r="P101" s="514">
        <f t="shared" si="33"/>
        <v>0</v>
      </c>
      <c r="Q101" s="269"/>
    </row>
    <row r="102" spans="1:17" ht="12.5">
      <c r="B102" s="195" t="str">
        <f t="shared" si="34"/>
        <v>IU</v>
      </c>
      <c r="C102" s="507">
        <f>IF(D93="","-",+C101+1)</f>
        <v>2013</v>
      </c>
      <c r="D102" s="508">
        <v>1541294</v>
      </c>
      <c r="E102" s="516">
        <v>39023</v>
      </c>
      <c r="F102" s="515">
        <v>1502271</v>
      </c>
      <c r="G102" s="515">
        <v>1521782.5</v>
      </c>
      <c r="H102" s="516">
        <v>244907.54496972694</v>
      </c>
      <c r="I102" s="510">
        <v>244907.54496972694</v>
      </c>
      <c r="J102" s="613">
        <f t="shared" si="28"/>
        <v>0</v>
      </c>
      <c r="K102" s="514"/>
      <c r="L102" s="518">
        <f t="shared" si="29"/>
        <v>244907.54496972694</v>
      </c>
      <c r="M102" s="519">
        <f t="shared" ref="M102:M107" si="35">IF(L102&lt;&gt;0,+H102-L102,0)</f>
        <v>0</v>
      </c>
      <c r="N102" s="518">
        <f t="shared" si="31"/>
        <v>244907.54496972694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4"/>
        <v>IU</v>
      </c>
      <c r="C103" s="507">
        <f>IF(D93="","-",+C102+1)</f>
        <v>2014</v>
      </c>
      <c r="D103" s="508">
        <v>1506115.9703832753</v>
      </c>
      <c r="E103" s="516">
        <v>39114.690476190473</v>
      </c>
      <c r="F103" s="515">
        <v>1467001.2799070848</v>
      </c>
      <c r="G103" s="515">
        <v>1486558.6251451802</v>
      </c>
      <c r="H103" s="516">
        <v>241172.88194864732</v>
      </c>
      <c r="I103" s="510">
        <v>241172.88194864732</v>
      </c>
      <c r="J103" s="514">
        <v>0</v>
      </c>
      <c r="K103" s="514"/>
      <c r="L103" s="518">
        <f t="shared" si="29"/>
        <v>241172.88194864732</v>
      </c>
      <c r="M103" s="519">
        <f t="shared" si="35"/>
        <v>0</v>
      </c>
      <c r="N103" s="518">
        <f t="shared" si="31"/>
        <v>241172.88194864732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4"/>
        <v/>
      </c>
      <c r="C104" s="507">
        <f>IF(D93="","-",+C103+1)</f>
        <v>2015</v>
      </c>
      <c r="D104" s="508">
        <v>1467001.2799070848</v>
      </c>
      <c r="E104" s="516">
        <v>39114.690476190473</v>
      </c>
      <c r="F104" s="515">
        <v>1427886.5894308942</v>
      </c>
      <c r="G104" s="515">
        <v>1447443.9346689894</v>
      </c>
      <c r="H104" s="516">
        <v>229842.75353448547</v>
      </c>
      <c r="I104" s="510">
        <v>229842.75353448547</v>
      </c>
      <c r="J104" s="514">
        <f t="shared" si="28"/>
        <v>0</v>
      </c>
      <c r="K104" s="514"/>
      <c r="L104" s="518">
        <f t="shared" si="29"/>
        <v>229842.75353448547</v>
      </c>
      <c r="M104" s="519">
        <f t="shared" si="35"/>
        <v>0</v>
      </c>
      <c r="N104" s="518">
        <f t="shared" si="31"/>
        <v>229842.75353448547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4"/>
        <v/>
      </c>
      <c r="C105" s="507">
        <f>IF(D93="","-",+C104+1)</f>
        <v>2016</v>
      </c>
      <c r="D105" s="508">
        <v>1427886.5894308942</v>
      </c>
      <c r="E105" s="516">
        <v>38205.046511627908</v>
      </c>
      <c r="F105" s="515">
        <v>1389681.5429192663</v>
      </c>
      <c r="G105" s="515">
        <v>1408784.0661750804</v>
      </c>
      <c r="H105" s="516">
        <v>217050.16721338526</v>
      </c>
      <c r="I105" s="510">
        <v>217050.16721338526</v>
      </c>
      <c r="J105" s="514">
        <f t="shared" si="28"/>
        <v>0</v>
      </c>
      <c r="K105" s="514"/>
      <c r="L105" s="518">
        <f>H105</f>
        <v>217050.16721338526</v>
      </c>
      <c r="M105" s="519">
        <f t="shared" si="35"/>
        <v>0</v>
      </c>
      <c r="N105" s="518">
        <f>I105</f>
        <v>217050.16721338526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34"/>
        <v/>
      </c>
      <c r="C106" s="507">
        <f>IF(D93="","-",+C105+1)</f>
        <v>2017</v>
      </c>
      <c r="D106" s="508">
        <v>1389681.5429192663</v>
      </c>
      <c r="E106" s="516">
        <v>39114.690476190473</v>
      </c>
      <c r="F106" s="515">
        <v>1350566.8524430757</v>
      </c>
      <c r="G106" s="515">
        <v>1370124.1976811709</v>
      </c>
      <c r="H106" s="516">
        <v>205545.67397661868</v>
      </c>
      <c r="I106" s="510">
        <v>205545.67397661868</v>
      </c>
      <c r="J106" s="514">
        <f t="shared" si="28"/>
        <v>0</v>
      </c>
      <c r="K106" s="514"/>
      <c r="L106" s="518">
        <f>H106</f>
        <v>205545.67397661868</v>
      </c>
      <c r="M106" s="519">
        <f t="shared" si="35"/>
        <v>0</v>
      </c>
      <c r="N106" s="518">
        <f>I106</f>
        <v>205545.67397661868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34"/>
        <v/>
      </c>
      <c r="C107" s="507">
        <f>IF(D93="","-",+C106+1)</f>
        <v>2018</v>
      </c>
      <c r="D107" s="508">
        <v>1350566.8524430757</v>
      </c>
      <c r="E107" s="516">
        <v>39114.690476190473</v>
      </c>
      <c r="F107" s="515">
        <v>1311452.1619668852</v>
      </c>
      <c r="G107" s="515">
        <v>1331009.5072049806</v>
      </c>
      <c r="H107" s="516">
        <v>179675.39820677435</v>
      </c>
      <c r="I107" s="510">
        <v>179675.39820677435</v>
      </c>
      <c r="J107" s="514">
        <f t="shared" si="28"/>
        <v>0</v>
      </c>
      <c r="K107" s="514"/>
      <c r="L107" s="518">
        <f>H107</f>
        <v>179675.39820677435</v>
      </c>
      <c r="M107" s="519">
        <f t="shared" si="35"/>
        <v>0</v>
      </c>
      <c r="N107" s="518">
        <f>I107</f>
        <v>179675.39820677435</v>
      </c>
      <c r="O107" s="514">
        <f t="shared" si="32"/>
        <v>0</v>
      </c>
      <c r="P107" s="514">
        <f t="shared" si="33"/>
        <v>0</v>
      </c>
      <c r="Q107" s="269"/>
    </row>
    <row r="108" spans="1:17" ht="12.5">
      <c r="B108" s="195" t="str">
        <f t="shared" si="34"/>
        <v/>
      </c>
      <c r="C108" s="507">
        <f>IF(D93="","-",+C107+1)</f>
        <v>2019</v>
      </c>
      <c r="D108" s="508">
        <v>1311452.1619668852</v>
      </c>
      <c r="E108" s="516">
        <v>38205.046511627908</v>
      </c>
      <c r="F108" s="515">
        <v>1273247.1154552572</v>
      </c>
      <c r="G108" s="515">
        <v>1292349.6387110711</v>
      </c>
      <c r="H108" s="516">
        <v>176538.85816269691</v>
      </c>
      <c r="I108" s="510">
        <v>176538.85816269691</v>
      </c>
      <c r="J108" s="514">
        <f t="shared" si="28"/>
        <v>0</v>
      </c>
      <c r="K108" s="514"/>
      <c r="L108" s="518">
        <f>H108</f>
        <v>176538.85816269691</v>
      </c>
      <c r="M108" s="519">
        <f t="shared" ref="M108:M109" si="36">IF(L108&lt;&gt;0,+H108-L108,0)</f>
        <v>0</v>
      </c>
      <c r="N108" s="518">
        <f>I108</f>
        <v>176538.85816269691</v>
      </c>
      <c r="O108" s="514">
        <f t="shared" si="32"/>
        <v>0</v>
      </c>
      <c r="P108" s="514">
        <f t="shared" si="33"/>
        <v>0</v>
      </c>
      <c r="Q108" s="269"/>
    </row>
    <row r="109" spans="1:17" ht="12.5">
      <c r="B109" s="195" t="str">
        <f t="shared" si="34"/>
        <v/>
      </c>
      <c r="C109" s="507">
        <f>IF(D93="","-",+C108+1)</f>
        <v>2020</v>
      </c>
      <c r="D109" s="508">
        <v>1273247.1154552572</v>
      </c>
      <c r="E109" s="516">
        <v>39114.690476190473</v>
      </c>
      <c r="F109" s="515">
        <v>1234132.4249790667</v>
      </c>
      <c r="G109" s="515">
        <v>1253689.7702171621</v>
      </c>
      <c r="H109" s="516">
        <v>173978.90382541961</v>
      </c>
      <c r="I109" s="510">
        <v>173978.90382541961</v>
      </c>
      <c r="J109" s="514">
        <f t="shared" si="28"/>
        <v>0</v>
      </c>
      <c r="K109" s="514"/>
      <c r="L109" s="518">
        <f>H109</f>
        <v>173978.90382541961</v>
      </c>
      <c r="M109" s="519">
        <f t="shared" si="36"/>
        <v>0</v>
      </c>
      <c r="N109" s="518">
        <f>I109</f>
        <v>173978.90382541961</v>
      </c>
      <c r="O109" s="514">
        <f t="shared" si="32"/>
        <v>0</v>
      </c>
      <c r="P109" s="514">
        <f t="shared" si="33"/>
        <v>0</v>
      </c>
      <c r="Q109" s="269"/>
    </row>
    <row r="110" spans="1:17" ht="12.5">
      <c r="B110" s="195" t="str">
        <f t="shared" si="34"/>
        <v/>
      </c>
      <c r="C110" s="507">
        <f>IF(D93="","-",+C109+1)</f>
        <v>2021</v>
      </c>
      <c r="D110" s="374">
        <f>IF(F109+SUM(E$99:E109)=D$92,F109,D$92-SUM(E$99:E109))</f>
        <v>1234132.4249790667</v>
      </c>
      <c r="E110" s="522">
        <f>IF(+J96&lt;F109,J96,D110)</f>
        <v>40068.707317073167</v>
      </c>
      <c r="F110" s="523">
        <f t="shared" ref="F110:F131" si="37">+D110-E110</f>
        <v>1194063.7176619936</v>
      </c>
      <c r="G110" s="523">
        <f t="shared" ref="G110:G130" si="38">+(F110+D110)/2</f>
        <v>1214098.07132053</v>
      </c>
      <c r="H110" s="526">
        <f t="shared" ref="H110:H130" si="39">+J$94*G110+E110</f>
        <v>177886.11062251645</v>
      </c>
      <c r="I110" s="577">
        <f t="shared" ref="I110:I130" si="40">+J$95*G110+E110</f>
        <v>177886.11062251645</v>
      </c>
      <c r="J110" s="514">
        <f t="shared" si="28"/>
        <v>0</v>
      </c>
      <c r="K110" s="514"/>
      <c r="L110" s="525"/>
      <c r="M110" s="514">
        <f t="shared" si="30"/>
        <v>0</v>
      </c>
      <c r="N110" s="525"/>
      <c r="O110" s="514">
        <f t="shared" si="32"/>
        <v>0</v>
      </c>
      <c r="P110" s="514">
        <f t="shared" si="33"/>
        <v>0</v>
      </c>
      <c r="Q110" s="269"/>
    </row>
    <row r="111" spans="1:17" ht="12.5">
      <c r="B111" s="195" t="str">
        <f t="shared" si="34"/>
        <v/>
      </c>
      <c r="C111" s="507">
        <f>IF(D93="","-",+C110+1)</f>
        <v>2022</v>
      </c>
      <c r="D111" s="374">
        <f>IF(F110+SUM(E$99:E110)=D$92,F110,D$92-SUM(E$99:E110))</f>
        <v>1194063.7176619936</v>
      </c>
      <c r="E111" s="522">
        <f>IF(+J96&lt;F110,J96,D111)</f>
        <v>40068.707317073167</v>
      </c>
      <c r="F111" s="523">
        <f t="shared" si="37"/>
        <v>1153995.0103449204</v>
      </c>
      <c r="G111" s="523">
        <f t="shared" si="38"/>
        <v>1174029.3640034571</v>
      </c>
      <c r="H111" s="526">
        <f t="shared" si="39"/>
        <v>173337.74230970087</v>
      </c>
      <c r="I111" s="577">
        <f t="shared" si="40"/>
        <v>173337.74230970087</v>
      </c>
      <c r="J111" s="514">
        <f t="shared" si="28"/>
        <v>0</v>
      </c>
      <c r="K111" s="514"/>
      <c r="L111" s="525"/>
      <c r="M111" s="514">
        <f t="shared" si="30"/>
        <v>0</v>
      </c>
      <c r="N111" s="525"/>
      <c r="O111" s="514">
        <f t="shared" si="32"/>
        <v>0</v>
      </c>
      <c r="P111" s="514">
        <f t="shared" si="33"/>
        <v>0</v>
      </c>
      <c r="Q111" s="269"/>
    </row>
    <row r="112" spans="1:17" ht="12.5">
      <c r="B112" s="195" t="str">
        <f t="shared" si="34"/>
        <v/>
      </c>
      <c r="C112" s="507">
        <f>IF(D93="","-",+C111+1)</f>
        <v>2023</v>
      </c>
      <c r="D112" s="374">
        <f>IF(F111+SUM(E$99:E111)=D$92,F111,D$92-SUM(E$99:E111))</f>
        <v>1153995.0103449204</v>
      </c>
      <c r="E112" s="522">
        <f>IF(+J96&lt;F111,J96,D112)</f>
        <v>40068.707317073167</v>
      </c>
      <c r="F112" s="523">
        <f t="shared" si="37"/>
        <v>1113926.3030278473</v>
      </c>
      <c r="G112" s="523">
        <f t="shared" si="38"/>
        <v>1133960.6566863838</v>
      </c>
      <c r="H112" s="526">
        <f t="shared" si="39"/>
        <v>168789.37399688526</v>
      </c>
      <c r="I112" s="577">
        <f t="shared" si="40"/>
        <v>168789.37399688526</v>
      </c>
      <c r="J112" s="514">
        <f t="shared" si="28"/>
        <v>0</v>
      </c>
      <c r="K112" s="514"/>
      <c r="L112" s="525"/>
      <c r="M112" s="514">
        <f t="shared" si="30"/>
        <v>0</v>
      </c>
      <c r="N112" s="525"/>
      <c r="O112" s="514">
        <f t="shared" si="32"/>
        <v>0</v>
      </c>
      <c r="P112" s="514">
        <f t="shared" si="33"/>
        <v>0</v>
      </c>
      <c r="Q112" s="269"/>
    </row>
    <row r="113" spans="2:17" ht="12.5">
      <c r="B113" s="195" t="str">
        <f t="shared" si="34"/>
        <v/>
      </c>
      <c r="C113" s="507">
        <f>IF(D93="","-",+C112+1)</f>
        <v>2024</v>
      </c>
      <c r="D113" s="374">
        <f>IF(F112+SUM(E$99:E112)=D$92,F112,D$92-SUM(E$99:E112))</f>
        <v>1113926.3030278473</v>
      </c>
      <c r="E113" s="522">
        <f>IF(+J96&lt;F112,J96,D113)</f>
        <v>40068.707317073167</v>
      </c>
      <c r="F113" s="523">
        <f t="shared" si="37"/>
        <v>1073857.5957107742</v>
      </c>
      <c r="G113" s="523">
        <f t="shared" si="38"/>
        <v>1093891.9493693109</v>
      </c>
      <c r="H113" s="526">
        <f t="shared" si="39"/>
        <v>164241.00568406968</v>
      </c>
      <c r="I113" s="577">
        <f t="shared" si="40"/>
        <v>164241.00568406968</v>
      </c>
      <c r="J113" s="514">
        <f t="shared" si="28"/>
        <v>0</v>
      </c>
      <c r="K113" s="514"/>
      <c r="L113" s="525"/>
      <c r="M113" s="514">
        <f t="shared" si="30"/>
        <v>0</v>
      </c>
      <c r="N113" s="525"/>
      <c r="O113" s="514">
        <f t="shared" si="32"/>
        <v>0</v>
      </c>
      <c r="P113" s="514">
        <f t="shared" si="33"/>
        <v>0</v>
      </c>
      <c r="Q113" s="269"/>
    </row>
    <row r="114" spans="2:17" ht="12.5">
      <c r="B114" s="195" t="str">
        <f t="shared" si="34"/>
        <v/>
      </c>
      <c r="C114" s="507">
        <f>IF(D93="","-",+C113+1)</f>
        <v>2025</v>
      </c>
      <c r="D114" s="374">
        <f>IF(F113+SUM(E$99:E113)=D$92,F113,D$92-SUM(E$99:E113))</f>
        <v>1073857.5957107742</v>
      </c>
      <c r="E114" s="522">
        <f>IF(+J96&lt;F113,J96,D114)</f>
        <v>40068.707317073167</v>
      </c>
      <c r="F114" s="523">
        <f t="shared" si="37"/>
        <v>1033788.8883937011</v>
      </c>
      <c r="G114" s="523">
        <f t="shared" si="38"/>
        <v>1053823.2420522375</v>
      </c>
      <c r="H114" s="526">
        <f t="shared" si="39"/>
        <v>159692.63737125404</v>
      </c>
      <c r="I114" s="577">
        <f t="shared" si="40"/>
        <v>159692.63737125404</v>
      </c>
      <c r="J114" s="514">
        <f t="shared" si="28"/>
        <v>0</v>
      </c>
      <c r="K114" s="514"/>
      <c r="L114" s="525"/>
      <c r="M114" s="514">
        <f t="shared" si="30"/>
        <v>0</v>
      </c>
      <c r="N114" s="525"/>
      <c r="O114" s="514">
        <f t="shared" si="32"/>
        <v>0</v>
      </c>
      <c r="P114" s="514">
        <f t="shared" si="33"/>
        <v>0</v>
      </c>
      <c r="Q114" s="269"/>
    </row>
    <row r="115" spans="2:17" ht="12.5">
      <c r="B115" s="195" t="str">
        <f t="shared" si="34"/>
        <v/>
      </c>
      <c r="C115" s="507">
        <f>IF(D93="","-",+C114+1)</f>
        <v>2026</v>
      </c>
      <c r="D115" s="374">
        <f>IF(F114+SUM(E$99:E114)=D$92,F114,D$92-SUM(E$99:E114))</f>
        <v>1033788.8883937011</v>
      </c>
      <c r="E115" s="522">
        <f>IF(+J96&lt;F114,J96,D115)</f>
        <v>40068.707317073167</v>
      </c>
      <c r="F115" s="523">
        <f t="shared" si="37"/>
        <v>993720.18107662792</v>
      </c>
      <c r="G115" s="523">
        <f t="shared" si="38"/>
        <v>1013754.5347351645</v>
      </c>
      <c r="H115" s="526">
        <f t="shared" si="39"/>
        <v>155144.26905843845</v>
      </c>
      <c r="I115" s="577">
        <f t="shared" si="40"/>
        <v>155144.26905843845</v>
      </c>
      <c r="J115" s="514">
        <f t="shared" si="28"/>
        <v>0</v>
      </c>
      <c r="K115" s="514"/>
      <c r="L115" s="525"/>
      <c r="M115" s="514">
        <f t="shared" si="30"/>
        <v>0</v>
      </c>
      <c r="N115" s="525"/>
      <c r="O115" s="514">
        <f t="shared" si="32"/>
        <v>0</v>
      </c>
      <c r="P115" s="514">
        <f t="shared" si="33"/>
        <v>0</v>
      </c>
      <c r="Q115" s="269"/>
    </row>
    <row r="116" spans="2:17" ht="12.5">
      <c r="B116" s="195" t="str">
        <f t="shared" si="34"/>
        <v/>
      </c>
      <c r="C116" s="507">
        <f>IF(D93="","-",+C115+1)</f>
        <v>2027</v>
      </c>
      <c r="D116" s="374">
        <f>IF(F115+SUM(E$99:E115)=D$92,F115,D$92-SUM(E$99:E115))</f>
        <v>993720.18107662792</v>
      </c>
      <c r="E116" s="522">
        <f>IF(+J96&lt;F115,J96,D116)</f>
        <v>40068.707317073167</v>
      </c>
      <c r="F116" s="523">
        <f t="shared" si="37"/>
        <v>953651.47375955479</v>
      </c>
      <c r="G116" s="523">
        <f t="shared" si="38"/>
        <v>973685.82741809136</v>
      </c>
      <c r="H116" s="526">
        <f t="shared" si="39"/>
        <v>150595.90074562287</v>
      </c>
      <c r="I116" s="577">
        <f t="shared" si="40"/>
        <v>150595.90074562287</v>
      </c>
      <c r="J116" s="514">
        <f t="shared" si="28"/>
        <v>0</v>
      </c>
      <c r="K116" s="514"/>
      <c r="L116" s="525"/>
      <c r="M116" s="514">
        <f t="shared" si="30"/>
        <v>0</v>
      </c>
      <c r="N116" s="525"/>
      <c r="O116" s="514">
        <f t="shared" si="32"/>
        <v>0</v>
      </c>
      <c r="P116" s="514">
        <f t="shared" si="33"/>
        <v>0</v>
      </c>
      <c r="Q116" s="269"/>
    </row>
    <row r="117" spans="2:17" ht="12.5">
      <c r="B117" s="195" t="str">
        <f t="shared" si="34"/>
        <v/>
      </c>
      <c r="C117" s="507">
        <f>IF(D93="","-",+C116+1)</f>
        <v>2028</v>
      </c>
      <c r="D117" s="374">
        <f>IF(F116+SUM(E$99:E116)=D$92,F116,D$92-SUM(E$99:E116))</f>
        <v>953651.47375955479</v>
      </c>
      <c r="E117" s="522">
        <f>IF(+J96&lt;F116,J96,D117)</f>
        <v>40068.707317073167</v>
      </c>
      <c r="F117" s="523">
        <f t="shared" si="37"/>
        <v>913582.76644248166</v>
      </c>
      <c r="G117" s="523">
        <f t="shared" si="38"/>
        <v>933617.12010101823</v>
      </c>
      <c r="H117" s="526">
        <f t="shared" si="39"/>
        <v>146047.53243280726</v>
      </c>
      <c r="I117" s="577">
        <f t="shared" si="40"/>
        <v>146047.53243280726</v>
      </c>
      <c r="J117" s="514">
        <f t="shared" si="28"/>
        <v>0</v>
      </c>
      <c r="K117" s="514"/>
      <c r="L117" s="525"/>
      <c r="M117" s="514">
        <f t="shared" si="30"/>
        <v>0</v>
      </c>
      <c r="N117" s="525"/>
      <c r="O117" s="514">
        <f t="shared" si="32"/>
        <v>0</v>
      </c>
      <c r="P117" s="514">
        <f t="shared" si="33"/>
        <v>0</v>
      </c>
      <c r="Q117" s="269"/>
    </row>
    <row r="118" spans="2:17" ht="12.5">
      <c r="B118" s="195" t="str">
        <f t="shared" si="34"/>
        <v/>
      </c>
      <c r="C118" s="507">
        <f>IF(D93="","-",+C117+1)</f>
        <v>2029</v>
      </c>
      <c r="D118" s="374">
        <f>IF(F117+SUM(E$99:E117)=D$92,F117,D$92-SUM(E$99:E117))</f>
        <v>913582.76644248166</v>
      </c>
      <c r="E118" s="522">
        <f>IF(+J96&lt;F117,J96,D118)</f>
        <v>40068.707317073167</v>
      </c>
      <c r="F118" s="523">
        <f t="shared" si="37"/>
        <v>873514.05912540853</v>
      </c>
      <c r="G118" s="523">
        <f t="shared" si="38"/>
        <v>893548.4127839451</v>
      </c>
      <c r="H118" s="526">
        <f t="shared" si="39"/>
        <v>141499.16411999165</v>
      </c>
      <c r="I118" s="577">
        <f t="shared" si="40"/>
        <v>141499.16411999165</v>
      </c>
      <c r="J118" s="514">
        <f t="shared" si="28"/>
        <v>0</v>
      </c>
      <c r="K118" s="514"/>
      <c r="L118" s="525"/>
      <c r="M118" s="514">
        <f t="shared" si="30"/>
        <v>0</v>
      </c>
      <c r="N118" s="525"/>
      <c r="O118" s="514">
        <f t="shared" si="32"/>
        <v>0</v>
      </c>
      <c r="P118" s="514">
        <f t="shared" si="33"/>
        <v>0</v>
      </c>
      <c r="Q118" s="269"/>
    </row>
    <row r="119" spans="2:17" ht="12.5">
      <c r="B119" s="195" t="str">
        <f t="shared" si="34"/>
        <v/>
      </c>
      <c r="C119" s="507">
        <f>IF(D93="","-",+C118+1)</f>
        <v>2030</v>
      </c>
      <c r="D119" s="374">
        <f>IF(F118+SUM(E$99:E118)=D$92,F118,D$92-SUM(E$99:E118))</f>
        <v>873514.05912540853</v>
      </c>
      <c r="E119" s="522">
        <f>IF(+J96&lt;F118,J96,D119)</f>
        <v>40068.707317073167</v>
      </c>
      <c r="F119" s="523">
        <f t="shared" si="37"/>
        <v>833445.3518083354</v>
      </c>
      <c r="G119" s="523">
        <f t="shared" si="38"/>
        <v>853479.70546687196</v>
      </c>
      <c r="H119" s="526">
        <f t="shared" si="39"/>
        <v>136950.79580717607</v>
      </c>
      <c r="I119" s="577">
        <f t="shared" si="40"/>
        <v>136950.79580717607</v>
      </c>
      <c r="J119" s="514">
        <f t="shared" si="28"/>
        <v>0</v>
      </c>
      <c r="K119" s="514"/>
      <c r="L119" s="525"/>
      <c r="M119" s="514">
        <f t="shared" si="30"/>
        <v>0</v>
      </c>
      <c r="N119" s="525"/>
      <c r="O119" s="514">
        <f t="shared" si="32"/>
        <v>0</v>
      </c>
      <c r="P119" s="514">
        <f t="shared" si="33"/>
        <v>0</v>
      </c>
      <c r="Q119" s="269"/>
    </row>
    <row r="120" spans="2:17" ht="12.5">
      <c r="B120" s="195" t="str">
        <f t="shared" si="34"/>
        <v/>
      </c>
      <c r="C120" s="507">
        <f>IF(D93="","-",+C119+1)</f>
        <v>2031</v>
      </c>
      <c r="D120" s="374">
        <f>IF(F119+SUM(E$99:E119)=D$92,F119,D$92-SUM(E$99:E119))</f>
        <v>833445.3518083354</v>
      </c>
      <c r="E120" s="522">
        <f>IF(+J96&lt;F119,J96,D120)</f>
        <v>40068.707317073167</v>
      </c>
      <c r="F120" s="523">
        <f t="shared" si="37"/>
        <v>793376.64449126227</v>
      </c>
      <c r="G120" s="523">
        <f t="shared" si="38"/>
        <v>813410.99814979883</v>
      </c>
      <c r="H120" s="526">
        <f t="shared" si="39"/>
        <v>132402.42749436045</v>
      </c>
      <c r="I120" s="577">
        <f t="shared" si="40"/>
        <v>132402.42749436045</v>
      </c>
      <c r="J120" s="514">
        <f t="shared" si="28"/>
        <v>0</v>
      </c>
      <c r="K120" s="514"/>
      <c r="L120" s="525"/>
      <c r="M120" s="514">
        <f t="shared" si="30"/>
        <v>0</v>
      </c>
      <c r="N120" s="525"/>
      <c r="O120" s="514">
        <f t="shared" si="32"/>
        <v>0</v>
      </c>
      <c r="P120" s="514">
        <f t="shared" si="33"/>
        <v>0</v>
      </c>
      <c r="Q120" s="269"/>
    </row>
    <row r="121" spans="2:17" ht="12.5">
      <c r="B121" s="195" t="str">
        <f t="shared" si="34"/>
        <v/>
      </c>
      <c r="C121" s="507">
        <f>IF(D93="","-",+C120+1)</f>
        <v>2032</v>
      </c>
      <c r="D121" s="374">
        <f>IF(F120+SUM(E$99:E120)=D$92,F120,D$92-SUM(E$99:E120))</f>
        <v>793376.64449126227</v>
      </c>
      <c r="E121" s="522">
        <f>IF(+J96&lt;F120,J96,D121)</f>
        <v>40068.707317073167</v>
      </c>
      <c r="F121" s="523">
        <f t="shared" si="37"/>
        <v>753307.93717418914</v>
      </c>
      <c r="G121" s="523">
        <f t="shared" si="38"/>
        <v>773342.2908327257</v>
      </c>
      <c r="H121" s="526">
        <f t="shared" si="39"/>
        <v>127854.05918154487</v>
      </c>
      <c r="I121" s="577">
        <f t="shared" si="40"/>
        <v>127854.05918154487</v>
      </c>
      <c r="J121" s="514">
        <f t="shared" si="28"/>
        <v>0</v>
      </c>
      <c r="K121" s="514"/>
      <c r="L121" s="525"/>
      <c r="M121" s="514">
        <f t="shared" si="30"/>
        <v>0</v>
      </c>
      <c r="N121" s="525"/>
      <c r="O121" s="514">
        <f t="shared" si="32"/>
        <v>0</v>
      </c>
      <c r="P121" s="514">
        <f t="shared" si="33"/>
        <v>0</v>
      </c>
      <c r="Q121" s="269"/>
    </row>
    <row r="122" spans="2:17" ht="12.5">
      <c r="B122" s="195" t="str">
        <f t="shared" si="34"/>
        <v/>
      </c>
      <c r="C122" s="507">
        <f>IF(D93="","-",+C121+1)</f>
        <v>2033</v>
      </c>
      <c r="D122" s="374">
        <f>IF(F121+SUM(E$99:E121)=D$92,F121,D$92-SUM(E$99:E121))</f>
        <v>753307.93717418914</v>
      </c>
      <c r="E122" s="522">
        <f>IF(+J96&lt;F121,J96,D122)</f>
        <v>40068.707317073167</v>
      </c>
      <c r="F122" s="523">
        <f t="shared" si="37"/>
        <v>713239.22985711601</v>
      </c>
      <c r="G122" s="523">
        <f t="shared" si="38"/>
        <v>733273.58351565257</v>
      </c>
      <c r="H122" s="526">
        <f t="shared" si="39"/>
        <v>123305.69086872926</v>
      </c>
      <c r="I122" s="577">
        <f t="shared" si="40"/>
        <v>123305.69086872926</v>
      </c>
      <c r="J122" s="514">
        <f t="shared" si="28"/>
        <v>0</v>
      </c>
      <c r="K122" s="514"/>
      <c r="L122" s="525"/>
      <c r="M122" s="514">
        <f t="shared" si="30"/>
        <v>0</v>
      </c>
      <c r="N122" s="525"/>
      <c r="O122" s="514">
        <f t="shared" si="32"/>
        <v>0</v>
      </c>
      <c r="P122" s="514">
        <f t="shared" si="33"/>
        <v>0</v>
      </c>
      <c r="Q122" s="269"/>
    </row>
    <row r="123" spans="2:17" ht="12.5">
      <c r="B123" s="195" t="str">
        <f t="shared" si="34"/>
        <v/>
      </c>
      <c r="C123" s="507">
        <f>IF(D93="","-",+C122+1)</f>
        <v>2034</v>
      </c>
      <c r="D123" s="374">
        <f>IF(F122+SUM(E$99:E122)=D$92,F122,D$92-SUM(E$99:E122))</f>
        <v>713239.22985711601</v>
      </c>
      <c r="E123" s="522">
        <f>IF(+J96&lt;F122,J96,D123)</f>
        <v>40068.707317073167</v>
      </c>
      <c r="F123" s="523">
        <f t="shared" si="37"/>
        <v>673170.52254004288</v>
      </c>
      <c r="G123" s="523">
        <f t="shared" si="38"/>
        <v>693204.87619857944</v>
      </c>
      <c r="H123" s="526">
        <f t="shared" si="39"/>
        <v>118757.32255591365</v>
      </c>
      <c r="I123" s="577">
        <f t="shared" si="40"/>
        <v>118757.32255591365</v>
      </c>
      <c r="J123" s="514">
        <f t="shared" si="28"/>
        <v>0</v>
      </c>
      <c r="K123" s="514"/>
      <c r="L123" s="525"/>
      <c r="M123" s="514">
        <f t="shared" si="30"/>
        <v>0</v>
      </c>
      <c r="N123" s="525"/>
      <c r="O123" s="514">
        <f t="shared" si="32"/>
        <v>0</v>
      </c>
      <c r="P123" s="514">
        <f t="shared" si="33"/>
        <v>0</v>
      </c>
      <c r="Q123" s="269"/>
    </row>
    <row r="124" spans="2:17" ht="12.5">
      <c r="B124" s="195" t="str">
        <f t="shared" si="34"/>
        <v/>
      </c>
      <c r="C124" s="507">
        <f>IF(D93="","-",+C123+1)</f>
        <v>2035</v>
      </c>
      <c r="D124" s="374">
        <f>IF(F123+SUM(E$99:E123)=D$92,F123,D$92-SUM(E$99:E123))</f>
        <v>673170.52254004288</v>
      </c>
      <c r="E124" s="522">
        <f>IF(+J96&lt;F123,J96,D124)</f>
        <v>40068.707317073167</v>
      </c>
      <c r="F124" s="523">
        <f t="shared" si="37"/>
        <v>633101.81522296974</v>
      </c>
      <c r="G124" s="523">
        <f t="shared" si="38"/>
        <v>653136.16888150631</v>
      </c>
      <c r="H124" s="526">
        <f t="shared" si="39"/>
        <v>114208.95424309807</v>
      </c>
      <c r="I124" s="577">
        <f t="shared" si="40"/>
        <v>114208.95424309807</v>
      </c>
      <c r="J124" s="514">
        <f t="shared" si="28"/>
        <v>0</v>
      </c>
      <c r="K124" s="514"/>
      <c r="L124" s="525"/>
      <c r="M124" s="514">
        <f t="shared" si="30"/>
        <v>0</v>
      </c>
      <c r="N124" s="525"/>
      <c r="O124" s="514">
        <f t="shared" si="32"/>
        <v>0</v>
      </c>
      <c r="P124" s="514">
        <f t="shared" si="33"/>
        <v>0</v>
      </c>
      <c r="Q124" s="269"/>
    </row>
    <row r="125" spans="2:17" ht="12.5">
      <c r="B125" s="195" t="str">
        <f t="shared" si="34"/>
        <v/>
      </c>
      <c r="C125" s="507">
        <f>IF(D93="","-",+C124+1)</f>
        <v>2036</v>
      </c>
      <c r="D125" s="374">
        <f>IF(F124+SUM(E$99:E124)=D$92,F124,D$92-SUM(E$99:E124))</f>
        <v>633101.81522296974</v>
      </c>
      <c r="E125" s="522">
        <f>IF(+J96&lt;F124,J96,D125)</f>
        <v>40068.707317073167</v>
      </c>
      <c r="F125" s="523">
        <f t="shared" si="37"/>
        <v>593033.10790589661</v>
      </c>
      <c r="G125" s="523">
        <f t="shared" si="38"/>
        <v>613067.46156443318</v>
      </c>
      <c r="H125" s="526">
        <f t="shared" si="39"/>
        <v>109660.58593028245</v>
      </c>
      <c r="I125" s="577">
        <f t="shared" si="40"/>
        <v>109660.58593028245</v>
      </c>
      <c r="J125" s="514">
        <f t="shared" si="28"/>
        <v>0</v>
      </c>
      <c r="K125" s="514"/>
      <c r="L125" s="525"/>
      <c r="M125" s="514">
        <f t="shared" si="30"/>
        <v>0</v>
      </c>
      <c r="N125" s="525"/>
      <c r="O125" s="514">
        <f t="shared" si="32"/>
        <v>0</v>
      </c>
      <c r="P125" s="514">
        <f t="shared" si="33"/>
        <v>0</v>
      </c>
      <c r="Q125" s="269"/>
    </row>
    <row r="126" spans="2:17" ht="12.5">
      <c r="B126" s="195" t="str">
        <f t="shared" si="34"/>
        <v/>
      </c>
      <c r="C126" s="507">
        <f>IF(D93="","-",+C125+1)</f>
        <v>2037</v>
      </c>
      <c r="D126" s="374">
        <f>IF(F125+SUM(E$99:E125)=D$92,F125,D$92-SUM(E$99:E125))</f>
        <v>593033.10790589661</v>
      </c>
      <c r="E126" s="522">
        <f>IF(+J96&lt;F125,J96,D126)</f>
        <v>40068.707317073167</v>
      </c>
      <c r="F126" s="523">
        <f t="shared" si="37"/>
        <v>552964.40058882348</v>
      </c>
      <c r="G126" s="523">
        <f t="shared" si="38"/>
        <v>572998.75424736005</v>
      </c>
      <c r="H126" s="526">
        <f t="shared" si="39"/>
        <v>105112.21761746686</v>
      </c>
      <c r="I126" s="577">
        <f t="shared" si="40"/>
        <v>105112.21761746686</v>
      </c>
      <c r="J126" s="514">
        <f t="shared" si="28"/>
        <v>0</v>
      </c>
      <c r="K126" s="514"/>
      <c r="L126" s="525"/>
      <c r="M126" s="514">
        <f t="shared" si="30"/>
        <v>0</v>
      </c>
      <c r="N126" s="525"/>
      <c r="O126" s="514">
        <f t="shared" si="32"/>
        <v>0</v>
      </c>
      <c r="P126" s="514">
        <f t="shared" si="33"/>
        <v>0</v>
      </c>
      <c r="Q126" s="269"/>
    </row>
    <row r="127" spans="2:17" ht="12.5">
      <c r="B127" s="195" t="str">
        <f t="shared" si="34"/>
        <v/>
      </c>
      <c r="C127" s="507">
        <f>IF(D93="","-",+C126+1)</f>
        <v>2038</v>
      </c>
      <c r="D127" s="374">
        <f>IF(F126+SUM(E$99:E126)=D$92,F126,D$92-SUM(E$99:E126))</f>
        <v>552964.40058882348</v>
      </c>
      <c r="E127" s="522">
        <f>IF(+J96&lt;F126,J96,D127)</f>
        <v>40068.707317073167</v>
      </c>
      <c r="F127" s="523">
        <f t="shared" si="37"/>
        <v>512895.69327175029</v>
      </c>
      <c r="G127" s="523">
        <f t="shared" si="38"/>
        <v>532930.04693028692</v>
      </c>
      <c r="H127" s="526">
        <f t="shared" si="39"/>
        <v>100563.84930465126</v>
      </c>
      <c r="I127" s="577">
        <f t="shared" si="40"/>
        <v>100563.84930465126</v>
      </c>
      <c r="J127" s="514">
        <f t="shared" si="28"/>
        <v>0</v>
      </c>
      <c r="K127" s="514"/>
      <c r="L127" s="525"/>
      <c r="M127" s="514">
        <f t="shared" si="30"/>
        <v>0</v>
      </c>
      <c r="N127" s="525"/>
      <c r="O127" s="514">
        <f t="shared" si="32"/>
        <v>0</v>
      </c>
      <c r="P127" s="514">
        <f t="shared" si="33"/>
        <v>0</v>
      </c>
      <c r="Q127" s="269"/>
    </row>
    <row r="128" spans="2:17" ht="12.5">
      <c r="B128" s="195" t="str">
        <f t="shared" si="34"/>
        <v/>
      </c>
      <c r="C128" s="507">
        <f>IF(D93="","-",+C127+1)</f>
        <v>2039</v>
      </c>
      <c r="D128" s="374">
        <f>IF(F127+SUM(E$99:E127)=D$92,F127,D$92-SUM(E$99:E127))</f>
        <v>512895.69327175029</v>
      </c>
      <c r="E128" s="522">
        <f>IF(+J96&lt;F127,J96,D128)</f>
        <v>40068.707317073167</v>
      </c>
      <c r="F128" s="523">
        <f t="shared" si="37"/>
        <v>472826.9859546771</v>
      </c>
      <c r="G128" s="523">
        <f t="shared" si="38"/>
        <v>492861.33961321367</v>
      </c>
      <c r="H128" s="526">
        <f t="shared" si="39"/>
        <v>96015.480991835648</v>
      </c>
      <c r="I128" s="577">
        <f t="shared" si="40"/>
        <v>96015.480991835648</v>
      </c>
      <c r="J128" s="514">
        <f t="shared" si="28"/>
        <v>0</v>
      </c>
      <c r="K128" s="514"/>
      <c r="L128" s="525"/>
      <c r="M128" s="514">
        <f t="shared" si="30"/>
        <v>0</v>
      </c>
      <c r="N128" s="525"/>
      <c r="O128" s="514">
        <f t="shared" si="32"/>
        <v>0</v>
      </c>
      <c r="P128" s="514">
        <f t="shared" si="33"/>
        <v>0</v>
      </c>
      <c r="Q128" s="269"/>
    </row>
    <row r="129" spans="2:17" ht="12.5">
      <c r="B129" s="195" t="str">
        <f t="shared" si="34"/>
        <v/>
      </c>
      <c r="C129" s="507">
        <f>IF(D93="","-",+C128+1)</f>
        <v>2040</v>
      </c>
      <c r="D129" s="374">
        <f>IF(F128+SUM(E$99:E128)=D$92,F128,D$92-SUM(E$99:E128))</f>
        <v>472826.9859546771</v>
      </c>
      <c r="E129" s="522">
        <f>IF(+J96&lt;F128,J96,D129)</f>
        <v>40068.707317073167</v>
      </c>
      <c r="F129" s="523">
        <f t="shared" si="37"/>
        <v>432758.27863760391</v>
      </c>
      <c r="G129" s="523">
        <f t="shared" si="38"/>
        <v>452792.63229614054</v>
      </c>
      <c r="H129" s="526">
        <f t="shared" si="39"/>
        <v>91467.112679020036</v>
      </c>
      <c r="I129" s="577">
        <f t="shared" si="40"/>
        <v>91467.112679020036</v>
      </c>
      <c r="J129" s="514">
        <f t="shared" si="28"/>
        <v>0</v>
      </c>
      <c r="K129" s="514"/>
      <c r="L129" s="525"/>
      <c r="M129" s="514">
        <f t="shared" si="30"/>
        <v>0</v>
      </c>
      <c r="N129" s="525"/>
      <c r="O129" s="514">
        <f t="shared" si="32"/>
        <v>0</v>
      </c>
      <c r="P129" s="514">
        <f t="shared" si="33"/>
        <v>0</v>
      </c>
      <c r="Q129" s="269"/>
    </row>
    <row r="130" spans="2:17" ht="12.5">
      <c r="B130" s="195" t="str">
        <f t="shared" si="34"/>
        <v/>
      </c>
      <c r="C130" s="507">
        <f>IF(D93="","-",+C129+1)</f>
        <v>2041</v>
      </c>
      <c r="D130" s="374">
        <f>IF(F129+SUM(E$99:E129)=D$92,F129,D$92-SUM(E$99:E129))</f>
        <v>432758.27863760391</v>
      </c>
      <c r="E130" s="522">
        <f>IF(+J96&lt;F129,J96,D130)</f>
        <v>40068.707317073167</v>
      </c>
      <c r="F130" s="523">
        <f t="shared" si="37"/>
        <v>392689.57132053073</v>
      </c>
      <c r="G130" s="523">
        <f t="shared" si="38"/>
        <v>412723.92497906729</v>
      </c>
      <c r="H130" s="526">
        <f t="shared" si="39"/>
        <v>86918.744366204424</v>
      </c>
      <c r="I130" s="577">
        <f t="shared" si="40"/>
        <v>86918.744366204424</v>
      </c>
      <c r="J130" s="514">
        <f t="shared" si="28"/>
        <v>0</v>
      </c>
      <c r="K130" s="514"/>
      <c r="L130" s="525"/>
      <c r="M130" s="514">
        <f t="shared" si="30"/>
        <v>0</v>
      </c>
      <c r="N130" s="525"/>
      <c r="O130" s="514">
        <f t="shared" si="32"/>
        <v>0</v>
      </c>
      <c r="P130" s="514">
        <f t="shared" si="33"/>
        <v>0</v>
      </c>
      <c r="Q130" s="269"/>
    </row>
    <row r="131" spans="2:17" ht="12.5">
      <c r="B131" s="195" t="str">
        <f t="shared" si="34"/>
        <v/>
      </c>
      <c r="C131" s="507">
        <f>IF(D93="","-",+C130+1)</f>
        <v>2042</v>
      </c>
      <c r="D131" s="374">
        <f>IF(F130+SUM(E$99:E130)=D$92,F130,D$92-SUM(E$99:E130))</f>
        <v>392689.57132053073</v>
      </c>
      <c r="E131" s="522">
        <f>IF(+J96&lt;F130,J96,D131)</f>
        <v>40068.707317073167</v>
      </c>
      <c r="F131" s="523">
        <f t="shared" si="37"/>
        <v>352620.86400345754</v>
      </c>
      <c r="G131" s="523">
        <f t="shared" ref="G131:G154" si="41">+(F131+D131)/2</f>
        <v>372655.21766199416</v>
      </c>
      <c r="H131" s="526">
        <f t="shared" ref="H131:H154" si="42">+J$94*G131+E131</f>
        <v>82370.376053388827</v>
      </c>
      <c r="I131" s="577">
        <f t="shared" ref="I131:I154" si="43">+J$95*G131+E131</f>
        <v>82370.376053388827</v>
      </c>
      <c r="J131" s="514">
        <f t="shared" ref="J131:J154" si="44">+I131-H131</f>
        <v>0</v>
      </c>
      <c r="K131" s="514"/>
      <c r="L131" s="525"/>
      <c r="M131" s="514">
        <f t="shared" ref="M131:M154" si="45">IF(L131&lt;&gt;0,+H131-L131,0)</f>
        <v>0</v>
      </c>
      <c r="N131" s="525"/>
      <c r="O131" s="514">
        <f t="shared" ref="O131:O154" si="46">IF(N131&lt;&gt;0,+I131-N131,0)</f>
        <v>0</v>
      </c>
      <c r="P131" s="514">
        <f t="shared" ref="P131:P154" si="47">+O131-M131</f>
        <v>0</v>
      </c>
      <c r="Q131" s="269"/>
    </row>
    <row r="132" spans="2:17" ht="12.5">
      <c r="B132" s="195" t="str">
        <f t="shared" si="34"/>
        <v/>
      </c>
      <c r="C132" s="507">
        <f>IF(D93="","-",+C131+1)</f>
        <v>2043</v>
      </c>
      <c r="D132" s="374">
        <f>IF(F131+SUM(E$99:E131)=D$92,F131,D$92-SUM(E$99:E131))</f>
        <v>352620.86400345754</v>
      </c>
      <c r="E132" s="522">
        <f>IF(+J96&lt;F131,J96,D132)</f>
        <v>40068.707317073167</v>
      </c>
      <c r="F132" s="523">
        <f t="shared" ref="F132:F154" si="48">+D132-E132</f>
        <v>312552.15668638435</v>
      </c>
      <c r="G132" s="523">
        <f t="shared" si="41"/>
        <v>332586.51034492091</v>
      </c>
      <c r="H132" s="526">
        <f t="shared" si="42"/>
        <v>77822.007740573201</v>
      </c>
      <c r="I132" s="577">
        <f t="shared" si="43"/>
        <v>77822.007740573201</v>
      </c>
      <c r="J132" s="514">
        <f t="shared" si="44"/>
        <v>0</v>
      </c>
      <c r="K132" s="514"/>
      <c r="L132" s="525"/>
      <c r="M132" s="514">
        <f t="shared" si="45"/>
        <v>0</v>
      </c>
      <c r="N132" s="525"/>
      <c r="O132" s="514">
        <f t="shared" si="46"/>
        <v>0</v>
      </c>
      <c r="P132" s="514">
        <f t="shared" si="47"/>
        <v>0</v>
      </c>
      <c r="Q132" s="269"/>
    </row>
    <row r="133" spans="2:17" ht="12.5">
      <c r="B133" s="195" t="str">
        <f t="shared" si="34"/>
        <v/>
      </c>
      <c r="C133" s="507">
        <f>IF(D93="","-",+C132+1)</f>
        <v>2044</v>
      </c>
      <c r="D133" s="374">
        <f>IF(F132+SUM(E$99:E132)=D$92,F132,D$92-SUM(E$99:E132))</f>
        <v>312552.15668638435</v>
      </c>
      <c r="E133" s="522">
        <f>IF(+J96&lt;F132,J96,D133)</f>
        <v>40068.707317073167</v>
      </c>
      <c r="F133" s="523">
        <f t="shared" si="48"/>
        <v>272483.44936931116</v>
      </c>
      <c r="G133" s="523">
        <f t="shared" si="41"/>
        <v>292517.80302784778</v>
      </c>
      <c r="H133" s="526">
        <f t="shared" si="42"/>
        <v>73273.639427757618</v>
      </c>
      <c r="I133" s="577">
        <f t="shared" si="43"/>
        <v>73273.639427757618</v>
      </c>
      <c r="J133" s="514">
        <f t="shared" si="44"/>
        <v>0</v>
      </c>
      <c r="K133" s="514"/>
      <c r="L133" s="525"/>
      <c r="M133" s="514">
        <f t="shared" si="45"/>
        <v>0</v>
      </c>
      <c r="N133" s="525"/>
      <c r="O133" s="514">
        <f t="shared" si="46"/>
        <v>0</v>
      </c>
      <c r="P133" s="514">
        <f t="shared" si="47"/>
        <v>0</v>
      </c>
      <c r="Q133" s="269"/>
    </row>
    <row r="134" spans="2:17" ht="12.5">
      <c r="B134" s="195" t="str">
        <f t="shared" si="34"/>
        <v/>
      </c>
      <c r="C134" s="507">
        <f>IF(D93="","-",+C133+1)</f>
        <v>2045</v>
      </c>
      <c r="D134" s="374">
        <f>IF(F133+SUM(E$99:E133)=D$92,F133,D$92-SUM(E$99:E133))</f>
        <v>272483.44936931116</v>
      </c>
      <c r="E134" s="522">
        <f>IF(+J96&lt;F133,J96,D134)</f>
        <v>40068.707317073167</v>
      </c>
      <c r="F134" s="523">
        <f t="shared" si="48"/>
        <v>232414.742052238</v>
      </c>
      <c r="G134" s="523">
        <f t="shared" si="41"/>
        <v>252449.09571077459</v>
      </c>
      <c r="H134" s="526">
        <f t="shared" si="42"/>
        <v>68725.271114942007</v>
      </c>
      <c r="I134" s="577">
        <f t="shared" si="43"/>
        <v>68725.271114942007</v>
      </c>
      <c r="J134" s="514">
        <f t="shared" si="44"/>
        <v>0</v>
      </c>
      <c r="K134" s="514"/>
      <c r="L134" s="525"/>
      <c r="M134" s="514">
        <f t="shared" si="45"/>
        <v>0</v>
      </c>
      <c r="N134" s="525"/>
      <c r="O134" s="514">
        <f t="shared" si="46"/>
        <v>0</v>
      </c>
      <c r="P134" s="514">
        <f t="shared" si="47"/>
        <v>0</v>
      </c>
      <c r="Q134" s="269"/>
    </row>
    <row r="135" spans="2:17" ht="12.5">
      <c r="B135" s="195" t="str">
        <f t="shared" si="34"/>
        <v/>
      </c>
      <c r="C135" s="507">
        <f>IF(D93="","-",+C134+1)</f>
        <v>2046</v>
      </c>
      <c r="D135" s="374">
        <f>IF(F134+SUM(E$99:E134)=D$92,F134,D$92-SUM(E$99:E134))</f>
        <v>232414.742052238</v>
      </c>
      <c r="E135" s="522">
        <f>IF(+J96&lt;F134,J96,D135)</f>
        <v>40068.707317073167</v>
      </c>
      <c r="F135" s="523">
        <f t="shared" si="48"/>
        <v>192346.03473516484</v>
      </c>
      <c r="G135" s="523">
        <f t="shared" si="41"/>
        <v>212380.3883937014</v>
      </c>
      <c r="H135" s="526">
        <f t="shared" si="42"/>
        <v>64176.902802126395</v>
      </c>
      <c r="I135" s="577">
        <f t="shared" si="43"/>
        <v>64176.902802126395</v>
      </c>
      <c r="J135" s="514">
        <f t="shared" si="44"/>
        <v>0</v>
      </c>
      <c r="K135" s="514"/>
      <c r="L135" s="525"/>
      <c r="M135" s="514">
        <f t="shared" si="45"/>
        <v>0</v>
      </c>
      <c r="N135" s="525"/>
      <c r="O135" s="514">
        <f t="shared" si="46"/>
        <v>0</v>
      </c>
      <c r="P135" s="514">
        <f t="shared" si="47"/>
        <v>0</v>
      </c>
      <c r="Q135" s="269"/>
    </row>
    <row r="136" spans="2:17" ht="12.5">
      <c r="B136" s="195" t="str">
        <f t="shared" si="34"/>
        <v/>
      </c>
      <c r="C136" s="507">
        <f>IF(D93="","-",+C135+1)</f>
        <v>2047</v>
      </c>
      <c r="D136" s="374">
        <f>IF(F135+SUM(E$99:E135)=D$92,F135,D$92-SUM(E$99:E135))</f>
        <v>192346.03473516484</v>
      </c>
      <c r="E136" s="522">
        <f>IF(+J96&lt;F135,J96,D136)</f>
        <v>40068.707317073167</v>
      </c>
      <c r="F136" s="523">
        <f t="shared" si="48"/>
        <v>152277.32741809168</v>
      </c>
      <c r="G136" s="523">
        <f t="shared" si="41"/>
        <v>172311.68107662827</v>
      </c>
      <c r="H136" s="526">
        <f t="shared" si="42"/>
        <v>59628.534489310798</v>
      </c>
      <c r="I136" s="577">
        <f t="shared" si="43"/>
        <v>59628.534489310798</v>
      </c>
      <c r="J136" s="514">
        <f t="shared" si="44"/>
        <v>0</v>
      </c>
      <c r="K136" s="514"/>
      <c r="L136" s="525"/>
      <c r="M136" s="514">
        <f t="shared" si="45"/>
        <v>0</v>
      </c>
      <c r="N136" s="525"/>
      <c r="O136" s="514">
        <f t="shared" si="46"/>
        <v>0</v>
      </c>
      <c r="P136" s="514">
        <f t="shared" si="47"/>
        <v>0</v>
      </c>
      <c r="Q136" s="269"/>
    </row>
    <row r="137" spans="2:17" ht="12.5">
      <c r="B137" s="195" t="str">
        <f t="shared" si="34"/>
        <v/>
      </c>
      <c r="C137" s="507">
        <f>IF(D93="","-",+C136+1)</f>
        <v>2048</v>
      </c>
      <c r="D137" s="374">
        <f>IF(F136+SUM(E$99:E136)=D$92,F136,D$92-SUM(E$99:E136))</f>
        <v>152277.32741809168</v>
      </c>
      <c r="E137" s="522">
        <f>IF(+J96&lt;F136,J96,D137)</f>
        <v>40068.707317073167</v>
      </c>
      <c r="F137" s="523">
        <f t="shared" si="48"/>
        <v>112208.62010101852</v>
      </c>
      <c r="G137" s="523">
        <f t="shared" si="41"/>
        <v>132242.97375955508</v>
      </c>
      <c r="H137" s="526">
        <f t="shared" si="42"/>
        <v>55080.166176495186</v>
      </c>
      <c r="I137" s="577">
        <f t="shared" si="43"/>
        <v>55080.166176495186</v>
      </c>
      <c r="J137" s="514">
        <f t="shared" si="44"/>
        <v>0</v>
      </c>
      <c r="K137" s="514"/>
      <c r="L137" s="525"/>
      <c r="M137" s="514">
        <f t="shared" si="45"/>
        <v>0</v>
      </c>
      <c r="N137" s="525"/>
      <c r="O137" s="514">
        <f t="shared" si="46"/>
        <v>0</v>
      </c>
      <c r="P137" s="514">
        <f t="shared" si="47"/>
        <v>0</v>
      </c>
      <c r="Q137" s="269"/>
    </row>
    <row r="138" spans="2:17" ht="12.5">
      <c r="B138" s="195" t="str">
        <f t="shared" si="34"/>
        <v/>
      </c>
      <c r="C138" s="507">
        <f>IF(D93="","-",+C137+1)</f>
        <v>2049</v>
      </c>
      <c r="D138" s="374">
        <f>IF(F137+SUM(E$99:E137)=D$92,F137,D$92-SUM(E$99:E137))</f>
        <v>112208.62010101852</v>
      </c>
      <c r="E138" s="522">
        <f>IF(+J96&lt;F137,J96,D138)</f>
        <v>40068.707317073167</v>
      </c>
      <c r="F138" s="523">
        <f t="shared" si="48"/>
        <v>72139.912783945358</v>
      </c>
      <c r="G138" s="523">
        <f t="shared" si="41"/>
        <v>92174.266442481938</v>
      </c>
      <c r="H138" s="526">
        <f t="shared" si="42"/>
        <v>50531.797863679581</v>
      </c>
      <c r="I138" s="577">
        <f t="shared" si="43"/>
        <v>50531.797863679581</v>
      </c>
      <c r="J138" s="514">
        <f t="shared" si="44"/>
        <v>0</v>
      </c>
      <c r="K138" s="514"/>
      <c r="L138" s="525"/>
      <c r="M138" s="514">
        <f t="shared" si="45"/>
        <v>0</v>
      </c>
      <c r="N138" s="525"/>
      <c r="O138" s="514">
        <f t="shared" si="46"/>
        <v>0</v>
      </c>
      <c r="P138" s="514">
        <f t="shared" si="47"/>
        <v>0</v>
      </c>
      <c r="Q138" s="269"/>
    </row>
    <row r="139" spans="2:17" ht="12.5">
      <c r="B139" s="195" t="str">
        <f t="shared" si="34"/>
        <v/>
      </c>
      <c r="C139" s="507">
        <f>IF(D93="","-",+C138+1)</f>
        <v>2050</v>
      </c>
      <c r="D139" s="374">
        <f>IF(F138+SUM(E$99:E138)=D$92,F138,D$92-SUM(E$99:E138))</f>
        <v>72139.912783945358</v>
      </c>
      <c r="E139" s="522">
        <f>IF(+J96&lt;F138,J96,D139)</f>
        <v>40068.707317073167</v>
      </c>
      <c r="F139" s="523">
        <f t="shared" si="48"/>
        <v>32071.20546687219</v>
      </c>
      <c r="G139" s="523">
        <f t="shared" si="41"/>
        <v>52105.559125408778</v>
      </c>
      <c r="H139" s="526">
        <f t="shared" si="42"/>
        <v>45983.429550863977</v>
      </c>
      <c r="I139" s="577">
        <f t="shared" si="43"/>
        <v>45983.429550863977</v>
      </c>
      <c r="J139" s="514">
        <f t="shared" si="44"/>
        <v>0</v>
      </c>
      <c r="K139" s="514"/>
      <c r="L139" s="525"/>
      <c r="M139" s="514">
        <f t="shared" si="45"/>
        <v>0</v>
      </c>
      <c r="N139" s="525"/>
      <c r="O139" s="514">
        <f t="shared" si="46"/>
        <v>0</v>
      </c>
      <c r="P139" s="514">
        <f t="shared" si="47"/>
        <v>0</v>
      </c>
      <c r="Q139" s="269"/>
    </row>
    <row r="140" spans="2:17" ht="12.5">
      <c r="B140" s="195" t="str">
        <f t="shared" si="34"/>
        <v/>
      </c>
      <c r="C140" s="507">
        <f>IF(D93="","-",+C139+1)</f>
        <v>2051</v>
      </c>
      <c r="D140" s="374">
        <f>IF(F139+SUM(E$99:E139)=D$92,F139,D$92-SUM(E$99:E139))</f>
        <v>32071.20546687219</v>
      </c>
      <c r="E140" s="522">
        <f>IF(+J96&lt;F139,J96,D140)</f>
        <v>32071.20546687219</v>
      </c>
      <c r="F140" s="523">
        <f t="shared" si="48"/>
        <v>0</v>
      </c>
      <c r="G140" s="523">
        <f t="shared" si="41"/>
        <v>16035.602733436095</v>
      </c>
      <c r="H140" s="526">
        <f t="shared" si="42"/>
        <v>33891.474505563696</v>
      </c>
      <c r="I140" s="577">
        <f t="shared" si="43"/>
        <v>33891.474505563696</v>
      </c>
      <c r="J140" s="514">
        <f t="shared" si="44"/>
        <v>0</v>
      </c>
      <c r="K140" s="514"/>
      <c r="L140" s="525"/>
      <c r="M140" s="514">
        <f t="shared" si="45"/>
        <v>0</v>
      </c>
      <c r="N140" s="525"/>
      <c r="O140" s="514">
        <f t="shared" si="46"/>
        <v>0</v>
      </c>
      <c r="P140" s="514">
        <f t="shared" si="47"/>
        <v>0</v>
      </c>
      <c r="Q140" s="269"/>
    </row>
    <row r="141" spans="2:17" ht="12.5">
      <c r="B141" s="195" t="str">
        <f t="shared" si="34"/>
        <v/>
      </c>
      <c r="C141" s="507">
        <f>IF(D93="","-",+C140+1)</f>
        <v>2052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8"/>
        <v>0</v>
      </c>
      <c r="G141" s="523">
        <f t="shared" si="41"/>
        <v>0</v>
      </c>
      <c r="H141" s="526">
        <f t="shared" si="42"/>
        <v>0</v>
      </c>
      <c r="I141" s="577">
        <f t="shared" si="43"/>
        <v>0</v>
      </c>
      <c r="J141" s="514">
        <f t="shared" si="44"/>
        <v>0</v>
      </c>
      <c r="K141" s="514"/>
      <c r="L141" s="525"/>
      <c r="M141" s="514">
        <f t="shared" si="45"/>
        <v>0</v>
      </c>
      <c r="N141" s="525"/>
      <c r="O141" s="514">
        <f t="shared" si="46"/>
        <v>0</v>
      </c>
      <c r="P141" s="514">
        <f t="shared" si="47"/>
        <v>0</v>
      </c>
      <c r="Q141" s="269"/>
    </row>
    <row r="142" spans="2:17" ht="12.5">
      <c r="B142" s="195" t="str">
        <f t="shared" si="34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8"/>
        <v>0</v>
      </c>
      <c r="G142" s="523">
        <f t="shared" si="41"/>
        <v>0</v>
      </c>
      <c r="H142" s="526">
        <f t="shared" si="42"/>
        <v>0</v>
      </c>
      <c r="I142" s="577">
        <f t="shared" si="43"/>
        <v>0</v>
      </c>
      <c r="J142" s="514">
        <f t="shared" si="44"/>
        <v>0</v>
      </c>
      <c r="K142" s="514"/>
      <c r="L142" s="525"/>
      <c r="M142" s="514">
        <f t="shared" si="45"/>
        <v>0</v>
      </c>
      <c r="N142" s="525"/>
      <c r="O142" s="514">
        <f t="shared" si="46"/>
        <v>0</v>
      </c>
      <c r="P142" s="514">
        <f t="shared" si="47"/>
        <v>0</v>
      </c>
      <c r="Q142" s="269"/>
    </row>
    <row r="143" spans="2:17" ht="12.5">
      <c r="B143" s="195" t="str">
        <f t="shared" si="34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8"/>
        <v>0</v>
      </c>
      <c r="G143" s="523">
        <f t="shared" si="41"/>
        <v>0</v>
      </c>
      <c r="H143" s="526">
        <f t="shared" si="42"/>
        <v>0</v>
      </c>
      <c r="I143" s="577">
        <f t="shared" si="43"/>
        <v>0</v>
      </c>
      <c r="J143" s="514">
        <f t="shared" si="44"/>
        <v>0</v>
      </c>
      <c r="K143" s="514"/>
      <c r="L143" s="525"/>
      <c r="M143" s="514">
        <f t="shared" si="45"/>
        <v>0</v>
      </c>
      <c r="N143" s="525"/>
      <c r="O143" s="514">
        <f t="shared" si="46"/>
        <v>0</v>
      </c>
      <c r="P143" s="514">
        <f t="shared" si="47"/>
        <v>0</v>
      </c>
      <c r="Q143" s="269"/>
    </row>
    <row r="144" spans="2:17" ht="12.5">
      <c r="B144" s="195" t="str">
        <f t="shared" si="34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8"/>
        <v>0</v>
      </c>
      <c r="G144" s="523">
        <f t="shared" si="41"/>
        <v>0</v>
      </c>
      <c r="H144" s="526">
        <f t="shared" si="42"/>
        <v>0</v>
      </c>
      <c r="I144" s="577">
        <f t="shared" si="43"/>
        <v>0</v>
      </c>
      <c r="J144" s="514">
        <f t="shared" si="44"/>
        <v>0</v>
      </c>
      <c r="K144" s="514"/>
      <c r="L144" s="525"/>
      <c r="M144" s="514">
        <f t="shared" si="45"/>
        <v>0</v>
      </c>
      <c r="N144" s="525"/>
      <c r="O144" s="514">
        <f t="shared" si="46"/>
        <v>0</v>
      </c>
      <c r="P144" s="514">
        <f t="shared" si="47"/>
        <v>0</v>
      </c>
      <c r="Q144" s="269"/>
    </row>
    <row r="145" spans="2:17" ht="12.5">
      <c r="B145" s="195" t="str">
        <f t="shared" si="34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8"/>
        <v>0</v>
      </c>
      <c r="G145" s="523">
        <f t="shared" si="41"/>
        <v>0</v>
      </c>
      <c r="H145" s="526">
        <f t="shared" si="42"/>
        <v>0</v>
      </c>
      <c r="I145" s="577">
        <f t="shared" si="43"/>
        <v>0</v>
      </c>
      <c r="J145" s="514">
        <f t="shared" si="44"/>
        <v>0</v>
      </c>
      <c r="K145" s="514"/>
      <c r="L145" s="525"/>
      <c r="M145" s="514">
        <f t="shared" si="45"/>
        <v>0</v>
      </c>
      <c r="N145" s="525"/>
      <c r="O145" s="514">
        <f t="shared" si="46"/>
        <v>0</v>
      </c>
      <c r="P145" s="514">
        <f t="shared" si="47"/>
        <v>0</v>
      </c>
      <c r="Q145" s="269"/>
    </row>
    <row r="146" spans="2:17" ht="12.5">
      <c r="B146" s="195" t="str">
        <f t="shared" si="34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8"/>
        <v>0</v>
      </c>
      <c r="G146" s="523">
        <f t="shared" si="41"/>
        <v>0</v>
      </c>
      <c r="H146" s="526">
        <f t="shared" si="42"/>
        <v>0</v>
      </c>
      <c r="I146" s="577">
        <f t="shared" si="43"/>
        <v>0</v>
      </c>
      <c r="J146" s="514">
        <f t="shared" si="44"/>
        <v>0</v>
      </c>
      <c r="K146" s="514"/>
      <c r="L146" s="525"/>
      <c r="M146" s="514">
        <f t="shared" si="45"/>
        <v>0</v>
      </c>
      <c r="N146" s="525"/>
      <c r="O146" s="514">
        <f t="shared" si="46"/>
        <v>0</v>
      </c>
      <c r="P146" s="514">
        <f t="shared" si="47"/>
        <v>0</v>
      </c>
      <c r="Q146" s="269"/>
    </row>
    <row r="147" spans="2:17" ht="12.5">
      <c r="B147" s="195" t="str">
        <f t="shared" si="34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8"/>
        <v>0</v>
      </c>
      <c r="G147" s="523">
        <f t="shared" si="41"/>
        <v>0</v>
      </c>
      <c r="H147" s="526">
        <f t="shared" si="42"/>
        <v>0</v>
      </c>
      <c r="I147" s="577">
        <f t="shared" si="43"/>
        <v>0</v>
      </c>
      <c r="J147" s="514">
        <f t="shared" si="44"/>
        <v>0</v>
      </c>
      <c r="K147" s="514"/>
      <c r="L147" s="525"/>
      <c r="M147" s="514">
        <f t="shared" si="45"/>
        <v>0</v>
      </c>
      <c r="N147" s="525"/>
      <c r="O147" s="514">
        <f t="shared" si="46"/>
        <v>0</v>
      </c>
      <c r="P147" s="514">
        <f t="shared" si="47"/>
        <v>0</v>
      </c>
      <c r="Q147" s="269"/>
    </row>
    <row r="148" spans="2:17" ht="12.5">
      <c r="B148" s="195" t="str">
        <f t="shared" si="34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8"/>
        <v>0</v>
      </c>
      <c r="G148" s="523">
        <f t="shared" si="41"/>
        <v>0</v>
      </c>
      <c r="H148" s="526">
        <f t="shared" si="42"/>
        <v>0</v>
      </c>
      <c r="I148" s="577">
        <f t="shared" si="43"/>
        <v>0</v>
      </c>
      <c r="J148" s="514">
        <f t="shared" si="44"/>
        <v>0</v>
      </c>
      <c r="K148" s="514"/>
      <c r="L148" s="525"/>
      <c r="M148" s="514">
        <f t="shared" si="45"/>
        <v>0</v>
      </c>
      <c r="N148" s="525"/>
      <c r="O148" s="514">
        <f t="shared" si="46"/>
        <v>0</v>
      </c>
      <c r="P148" s="514">
        <f t="shared" si="47"/>
        <v>0</v>
      </c>
      <c r="Q148" s="269"/>
    </row>
    <row r="149" spans="2:17" ht="12.5">
      <c r="B149" s="195" t="str">
        <f t="shared" si="34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8"/>
        <v>0</v>
      </c>
      <c r="G149" s="523">
        <f t="shared" si="41"/>
        <v>0</v>
      </c>
      <c r="H149" s="526">
        <f t="shared" si="42"/>
        <v>0</v>
      </c>
      <c r="I149" s="577">
        <f t="shared" si="43"/>
        <v>0</v>
      </c>
      <c r="J149" s="514">
        <f t="shared" si="44"/>
        <v>0</v>
      </c>
      <c r="K149" s="514"/>
      <c r="L149" s="525"/>
      <c r="M149" s="514">
        <f t="shared" si="45"/>
        <v>0</v>
      </c>
      <c r="N149" s="525"/>
      <c r="O149" s="514">
        <f t="shared" si="46"/>
        <v>0</v>
      </c>
      <c r="P149" s="514">
        <f t="shared" si="47"/>
        <v>0</v>
      </c>
      <c r="Q149" s="269"/>
    </row>
    <row r="150" spans="2:17" ht="12.5">
      <c r="B150" s="195" t="str">
        <f t="shared" si="34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8"/>
        <v>0</v>
      </c>
      <c r="G150" s="523">
        <f t="shared" si="41"/>
        <v>0</v>
      </c>
      <c r="H150" s="526">
        <f t="shared" si="42"/>
        <v>0</v>
      </c>
      <c r="I150" s="577">
        <f t="shared" si="43"/>
        <v>0</v>
      </c>
      <c r="J150" s="514">
        <f t="shared" si="44"/>
        <v>0</v>
      </c>
      <c r="K150" s="514"/>
      <c r="L150" s="525"/>
      <c r="M150" s="514">
        <f t="shared" si="45"/>
        <v>0</v>
      </c>
      <c r="N150" s="525"/>
      <c r="O150" s="514">
        <f t="shared" si="46"/>
        <v>0</v>
      </c>
      <c r="P150" s="514">
        <f t="shared" si="47"/>
        <v>0</v>
      </c>
      <c r="Q150" s="269"/>
    </row>
    <row r="151" spans="2:17" ht="12.5">
      <c r="B151" s="195" t="str">
        <f t="shared" si="34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8"/>
        <v>0</v>
      </c>
      <c r="G151" s="523">
        <f t="shared" si="41"/>
        <v>0</v>
      </c>
      <c r="H151" s="526">
        <f t="shared" si="42"/>
        <v>0</v>
      </c>
      <c r="I151" s="577">
        <f t="shared" si="43"/>
        <v>0</v>
      </c>
      <c r="J151" s="514">
        <f t="shared" si="44"/>
        <v>0</v>
      </c>
      <c r="K151" s="514"/>
      <c r="L151" s="525"/>
      <c r="M151" s="514">
        <f t="shared" si="45"/>
        <v>0</v>
      </c>
      <c r="N151" s="525"/>
      <c r="O151" s="514">
        <f t="shared" si="46"/>
        <v>0</v>
      </c>
      <c r="P151" s="514">
        <f t="shared" si="47"/>
        <v>0</v>
      </c>
      <c r="Q151" s="269"/>
    </row>
    <row r="152" spans="2:17" ht="12.5">
      <c r="B152" s="195" t="str">
        <f t="shared" si="34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8"/>
        <v>0</v>
      </c>
      <c r="G152" s="523">
        <f t="shared" si="41"/>
        <v>0</v>
      </c>
      <c r="H152" s="526">
        <f t="shared" si="42"/>
        <v>0</v>
      </c>
      <c r="I152" s="577">
        <f t="shared" si="43"/>
        <v>0</v>
      </c>
      <c r="J152" s="514">
        <f t="shared" si="44"/>
        <v>0</v>
      </c>
      <c r="K152" s="514"/>
      <c r="L152" s="525"/>
      <c r="M152" s="514">
        <f t="shared" si="45"/>
        <v>0</v>
      </c>
      <c r="N152" s="525"/>
      <c r="O152" s="514">
        <f t="shared" si="46"/>
        <v>0</v>
      </c>
      <c r="P152" s="514">
        <f t="shared" si="47"/>
        <v>0</v>
      </c>
      <c r="Q152" s="269"/>
    </row>
    <row r="153" spans="2:17" ht="12.5">
      <c r="B153" s="195" t="str">
        <f t="shared" si="34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8"/>
        <v>0</v>
      </c>
      <c r="G153" s="523">
        <f t="shared" si="41"/>
        <v>0</v>
      </c>
      <c r="H153" s="526">
        <f t="shared" si="42"/>
        <v>0</v>
      </c>
      <c r="I153" s="577">
        <f t="shared" si="43"/>
        <v>0</v>
      </c>
      <c r="J153" s="514">
        <f t="shared" si="44"/>
        <v>0</v>
      </c>
      <c r="K153" s="514"/>
      <c r="L153" s="525"/>
      <c r="M153" s="514">
        <f t="shared" si="45"/>
        <v>0</v>
      </c>
      <c r="N153" s="525"/>
      <c r="O153" s="514">
        <f t="shared" si="46"/>
        <v>0</v>
      </c>
      <c r="P153" s="514">
        <f t="shared" si="47"/>
        <v>0</v>
      </c>
      <c r="Q153" s="269"/>
    </row>
    <row r="154" spans="2:17" ht="13" thickBot="1">
      <c r="B154" s="195" t="str">
        <f t="shared" si="34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8"/>
        <v>0</v>
      </c>
      <c r="G154" s="528">
        <f t="shared" si="41"/>
        <v>0</v>
      </c>
      <c r="H154" s="530">
        <f t="shared" si="42"/>
        <v>0</v>
      </c>
      <c r="I154" s="579">
        <f t="shared" si="43"/>
        <v>0</v>
      </c>
      <c r="J154" s="533">
        <f t="shared" si="44"/>
        <v>0</v>
      </c>
      <c r="K154" s="514"/>
      <c r="L154" s="532"/>
      <c r="M154" s="533">
        <f t="shared" si="45"/>
        <v>0</v>
      </c>
      <c r="N154" s="532"/>
      <c r="O154" s="533">
        <f t="shared" si="46"/>
        <v>0</v>
      </c>
      <c r="P154" s="533">
        <f t="shared" si="47"/>
        <v>0</v>
      </c>
      <c r="Q154" s="269"/>
    </row>
    <row r="155" spans="2:17" ht="12.5">
      <c r="C155" s="374" t="s">
        <v>78</v>
      </c>
      <c r="D155" s="375"/>
      <c r="E155" s="375">
        <f>SUM(E99:E154)</f>
        <v>1642816.9999999991</v>
      </c>
      <c r="F155" s="375"/>
      <c r="G155" s="375"/>
      <c r="H155" s="375">
        <f>SUM(H99:H154)</f>
        <v>5759843.1117320731</v>
      </c>
      <c r="I155" s="375">
        <f>SUM(I99:I154)</f>
        <v>5759843.1117320731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9" priority="1" stopIfTrue="1" operator="equal">
      <formula>$I$10</formula>
    </cfRule>
  </conditionalFormatting>
  <conditionalFormatting sqref="C99:C154">
    <cfRule type="cellIs" dxfId="11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73"/>
  <dimension ref="A1:Q162"/>
  <sheetViews>
    <sheetView view="pageBreakPreview" topLeftCell="A4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22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22783.331883065894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22783.331883065894</v>
      </c>
      <c r="O6" s="269"/>
      <c r="P6" s="269"/>
    </row>
    <row r="7" spans="1:17" ht="13.5" thickBot="1">
      <c r="C7" s="467" t="s">
        <v>48</v>
      </c>
      <c r="D7" s="620" t="s">
        <v>262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249</v>
      </c>
      <c r="E9" s="666" t="s">
        <v>487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205882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4901.9523809523807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187900</v>
      </c>
      <c r="E17" s="509">
        <v>2472.3684210526317</v>
      </c>
      <c r="F17" s="508">
        <v>185427.63157894736</v>
      </c>
      <c r="G17" s="509">
        <v>29130.371732121435</v>
      </c>
      <c r="H17" s="510">
        <v>29130.371732121435</v>
      </c>
      <c r="I17" s="517">
        <v>0</v>
      </c>
      <c r="J17" s="511"/>
      <c r="K17" s="512">
        <f t="shared" ref="K17:K22" si="0">G17</f>
        <v>29130.371732121435</v>
      </c>
      <c r="L17" s="597">
        <f t="shared" ref="L17:L48" si="1">IF(K17&lt;&gt;0,+G17-K17,0)</f>
        <v>0</v>
      </c>
      <c r="M17" s="512">
        <f t="shared" ref="M17:M22" si="2">H17</f>
        <v>29130.371732121435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212527.63157894736</v>
      </c>
      <c r="E18" s="516">
        <v>5243.9024390243903</v>
      </c>
      <c r="F18" s="515">
        <v>207283.72913992297</v>
      </c>
      <c r="G18" s="516">
        <v>37620.000882476787</v>
      </c>
      <c r="H18" s="510">
        <v>37620.000882476787</v>
      </c>
      <c r="I18" s="517">
        <v>0</v>
      </c>
      <c r="J18" s="511"/>
      <c r="K18" s="518">
        <f t="shared" si="0"/>
        <v>37620.000882476787</v>
      </c>
      <c r="L18" s="519">
        <f t="shared" si="1"/>
        <v>0</v>
      </c>
      <c r="M18" s="518">
        <f t="shared" si="2"/>
        <v>37620.000882476787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2012</v>
      </c>
      <c r="D19" s="515">
        <v>198165.72913992297</v>
      </c>
      <c r="E19" s="516">
        <v>4901.9523809523807</v>
      </c>
      <c r="F19" s="515">
        <v>193263.77675897061</v>
      </c>
      <c r="G19" s="516">
        <v>33644.168330497712</v>
      </c>
      <c r="H19" s="510">
        <v>33644.168330497712</v>
      </c>
      <c r="I19" s="517">
        <v>0</v>
      </c>
      <c r="J19" s="511"/>
      <c r="K19" s="518">
        <f t="shared" si="0"/>
        <v>33644.168330497712</v>
      </c>
      <c r="L19" s="519">
        <f t="shared" si="1"/>
        <v>0</v>
      </c>
      <c r="M19" s="518">
        <f t="shared" si="2"/>
        <v>33644.168330497712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193263.77675897061</v>
      </c>
      <c r="E20" s="609">
        <v>4901.9523809523807</v>
      </c>
      <c r="F20" s="608">
        <v>188361.82437801824</v>
      </c>
      <c r="G20" s="609">
        <v>31270.174550105858</v>
      </c>
      <c r="H20" s="610">
        <v>31270.174550105858</v>
      </c>
      <c r="I20" s="596">
        <v>0</v>
      </c>
      <c r="J20" s="511"/>
      <c r="K20" s="518">
        <f t="shared" si="0"/>
        <v>31270.174550105858</v>
      </c>
      <c r="L20" s="519">
        <f t="shared" ref="L20:L25" si="6">IF(K20&lt;&gt;0,+G20-K20,0)</f>
        <v>0</v>
      </c>
      <c r="M20" s="518">
        <f t="shared" si="2"/>
        <v>31270.174550105858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188361.82437801824</v>
      </c>
      <c r="E21" s="609">
        <v>4901.9523809523807</v>
      </c>
      <c r="F21" s="608">
        <v>183459.87199706587</v>
      </c>
      <c r="G21" s="609">
        <v>29652.616955555495</v>
      </c>
      <c r="H21" s="610">
        <v>29652.616955555495</v>
      </c>
      <c r="I21" s="596">
        <v>0</v>
      </c>
      <c r="J21" s="511"/>
      <c r="K21" s="518">
        <f t="shared" si="0"/>
        <v>29652.616955555495</v>
      </c>
      <c r="L21" s="519">
        <f t="shared" si="6"/>
        <v>0</v>
      </c>
      <c r="M21" s="518">
        <f t="shared" si="2"/>
        <v>29652.616955555495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08">
        <v>183459.87199706587</v>
      </c>
      <c r="E22" s="609">
        <v>4901.9523809523807</v>
      </c>
      <c r="F22" s="608">
        <v>178557.9196161135</v>
      </c>
      <c r="G22" s="609">
        <v>28418.887646522533</v>
      </c>
      <c r="H22" s="610">
        <v>28418.887646522533</v>
      </c>
      <c r="I22" s="511">
        <v>0</v>
      </c>
      <c r="J22" s="511"/>
      <c r="K22" s="518">
        <f t="shared" si="0"/>
        <v>28418.887646522533</v>
      </c>
      <c r="L22" s="519">
        <f t="shared" si="6"/>
        <v>0</v>
      </c>
      <c r="M22" s="518">
        <f t="shared" si="2"/>
        <v>28418.887646522533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178557.9196161135</v>
      </c>
      <c r="E23" s="609">
        <v>4901.9523809523807</v>
      </c>
      <c r="F23" s="608">
        <v>173655.96723516114</v>
      </c>
      <c r="G23" s="609">
        <v>27491.116260788254</v>
      </c>
      <c r="H23" s="610">
        <v>27491.116260788254</v>
      </c>
      <c r="I23" s="511">
        <f t="shared" ref="I23:I48" si="9">H23-G23</f>
        <v>0</v>
      </c>
      <c r="J23" s="511"/>
      <c r="K23" s="518">
        <f t="shared" ref="K23:K28" si="10">G23</f>
        <v>27491.116260788254</v>
      </c>
      <c r="L23" s="519">
        <f t="shared" si="6"/>
        <v>0</v>
      </c>
      <c r="M23" s="518">
        <f t="shared" ref="M23:M28" si="11">H23</f>
        <v>27491.116260788254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173655.96723516114</v>
      </c>
      <c r="E24" s="609">
        <v>4787.9534883720926</v>
      </c>
      <c r="F24" s="608">
        <v>168868.01374678905</v>
      </c>
      <c r="G24" s="609">
        <v>26006.03540248935</v>
      </c>
      <c r="H24" s="610">
        <v>26006.03540248935</v>
      </c>
      <c r="I24" s="511">
        <f t="shared" si="9"/>
        <v>0</v>
      </c>
      <c r="J24" s="511"/>
      <c r="K24" s="518">
        <f t="shared" si="10"/>
        <v>26006.03540248935</v>
      </c>
      <c r="L24" s="519">
        <f t="shared" si="6"/>
        <v>0</v>
      </c>
      <c r="M24" s="518">
        <f t="shared" si="11"/>
        <v>26006.03540248935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168868.01374678905</v>
      </c>
      <c r="E25" s="609">
        <v>5021.5121951219517</v>
      </c>
      <c r="F25" s="608">
        <v>163846.50155166708</v>
      </c>
      <c r="G25" s="609">
        <v>26164.537956226875</v>
      </c>
      <c r="H25" s="610">
        <v>26164.537956226875</v>
      </c>
      <c r="I25" s="511">
        <f t="shared" si="9"/>
        <v>0</v>
      </c>
      <c r="J25" s="511"/>
      <c r="K25" s="518">
        <f t="shared" si="10"/>
        <v>26164.537956226875</v>
      </c>
      <c r="L25" s="519">
        <f t="shared" si="6"/>
        <v>0</v>
      </c>
      <c r="M25" s="518">
        <f t="shared" si="11"/>
        <v>26164.537956226875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163846.50155166708</v>
      </c>
      <c r="E26" s="609">
        <v>5021.5121951219517</v>
      </c>
      <c r="F26" s="608">
        <v>158824.98935654512</v>
      </c>
      <c r="G26" s="609">
        <v>25526.333388530584</v>
      </c>
      <c r="H26" s="610">
        <v>25526.333388530584</v>
      </c>
      <c r="I26" s="511">
        <f t="shared" si="9"/>
        <v>0</v>
      </c>
      <c r="J26" s="511"/>
      <c r="K26" s="518">
        <f t="shared" si="10"/>
        <v>25526.333388530584</v>
      </c>
      <c r="L26" s="519">
        <f t="shared" ref="L26" si="12">IF(K26&lt;&gt;0,+G26-K26,0)</f>
        <v>0</v>
      </c>
      <c r="M26" s="518">
        <f t="shared" si="11"/>
        <v>25526.333388530584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08">
        <v>158824.98935654512</v>
      </c>
      <c r="E27" s="609">
        <v>5021.5121951219517</v>
      </c>
      <c r="F27" s="608">
        <v>153803.47716142316</v>
      </c>
      <c r="G27" s="609">
        <v>21018.000423487403</v>
      </c>
      <c r="H27" s="610">
        <v>21018.000423487403</v>
      </c>
      <c r="I27" s="511">
        <f t="shared" si="9"/>
        <v>0</v>
      </c>
      <c r="J27" s="511"/>
      <c r="K27" s="518">
        <f t="shared" si="10"/>
        <v>21018.000423487403</v>
      </c>
      <c r="L27" s="519">
        <f t="shared" ref="L27" si="13">IF(K27&lt;&gt;0,+G27-K27,0)</f>
        <v>0</v>
      </c>
      <c r="M27" s="518">
        <f t="shared" si="11"/>
        <v>21018.000423487403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08">
        <v>154037.035868173</v>
      </c>
      <c r="E28" s="609">
        <v>4901.9523809523807</v>
      </c>
      <c r="F28" s="608">
        <v>149135.08348722063</v>
      </c>
      <c r="G28" s="609">
        <v>20970.763671890392</v>
      </c>
      <c r="H28" s="610">
        <v>20970.763671890392</v>
      </c>
      <c r="I28" s="511">
        <f t="shared" si="9"/>
        <v>0</v>
      </c>
      <c r="J28" s="511"/>
      <c r="K28" s="518">
        <f t="shared" si="10"/>
        <v>20970.763671890392</v>
      </c>
      <c r="L28" s="519">
        <f t="shared" ref="L28" si="14">IF(K28&lt;&gt;0,+G28-K28,0)</f>
        <v>0</v>
      </c>
      <c r="M28" s="518">
        <f t="shared" si="11"/>
        <v>20970.763671890392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08">
        <v>148901.52478047076</v>
      </c>
      <c r="E29" s="609">
        <v>4901.9523809523807</v>
      </c>
      <c r="F29" s="608">
        <v>143999.57239951839</v>
      </c>
      <c r="G29" s="609">
        <v>21369.452055184542</v>
      </c>
      <c r="H29" s="610">
        <v>21369.452055184542</v>
      </c>
      <c r="I29" s="511">
        <f t="shared" si="9"/>
        <v>0</v>
      </c>
      <c r="J29" s="511"/>
      <c r="K29" s="518">
        <f t="shared" ref="K29" si="15">G29</f>
        <v>21369.452055184542</v>
      </c>
      <c r="L29" s="519">
        <f t="shared" ref="L29" si="16">IF(K29&lt;&gt;0,+G29-K29,0)</f>
        <v>0</v>
      </c>
      <c r="M29" s="518">
        <f t="shared" ref="M29" si="17">H29</f>
        <v>21369.452055184542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143999.57239951839</v>
      </c>
      <c r="E30" s="522">
        <f>IF(+I14&lt;F29,I14,D30)</f>
        <v>4901.9523809523807</v>
      </c>
      <c r="F30" s="523">
        <f t="shared" ref="F30:F48" si="18">+D30-E30</f>
        <v>139097.62001856603</v>
      </c>
      <c r="G30" s="524">
        <f t="shared" ref="G30:G55" si="19">+I$12*((D30+F30)/2)+E30</f>
        <v>22783.331883065894</v>
      </c>
      <c r="H30" s="491">
        <f t="shared" ref="H30:H55" si="20">+I$13*((D30+F30)/2)+E30</f>
        <v>22783.331883065894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139097.62001856603</v>
      </c>
      <c r="E31" s="522">
        <f>IF(+I14&lt;F30,I14,D31)</f>
        <v>4901.9523809523807</v>
      </c>
      <c r="F31" s="523">
        <f t="shared" si="18"/>
        <v>134195.66763761366</v>
      </c>
      <c r="G31" s="524">
        <f t="shared" si="19"/>
        <v>22164.083983951095</v>
      </c>
      <c r="H31" s="491">
        <f t="shared" si="20"/>
        <v>22164.083983951095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134195.66763761366</v>
      </c>
      <c r="E32" s="522">
        <f>IF(+I14&lt;F31,I14,D32)</f>
        <v>4901.9523809523807</v>
      </c>
      <c r="F32" s="523">
        <f t="shared" si="18"/>
        <v>129293.71525666128</v>
      </c>
      <c r="G32" s="524">
        <f t="shared" si="19"/>
        <v>21544.836084836297</v>
      </c>
      <c r="H32" s="491">
        <f t="shared" si="20"/>
        <v>21544.836084836297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129293.71525666128</v>
      </c>
      <c r="E33" s="522">
        <f>IF(+I14&lt;F32,I14,D33)</f>
        <v>4901.9523809523807</v>
      </c>
      <c r="F33" s="523">
        <f t="shared" si="18"/>
        <v>124391.7628757089</v>
      </c>
      <c r="G33" s="524">
        <f t="shared" si="19"/>
        <v>20925.588185721495</v>
      </c>
      <c r="H33" s="491">
        <f t="shared" si="20"/>
        <v>20925.588185721495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124391.7628757089</v>
      </c>
      <c r="E34" s="522">
        <f>IF(+I14&lt;F33,I14,D34)</f>
        <v>4901.9523809523807</v>
      </c>
      <c r="F34" s="523">
        <f t="shared" si="18"/>
        <v>119489.81049475652</v>
      </c>
      <c r="G34" s="524">
        <f t="shared" si="19"/>
        <v>20306.340286606697</v>
      </c>
      <c r="H34" s="491">
        <f t="shared" si="20"/>
        <v>20306.340286606697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119489.81049475652</v>
      </c>
      <c r="E35" s="522">
        <f>IF(+I14&lt;F34,I14,D35)</f>
        <v>4901.9523809523807</v>
      </c>
      <c r="F35" s="523">
        <f t="shared" si="18"/>
        <v>114587.85811380413</v>
      </c>
      <c r="G35" s="524">
        <f t="shared" si="19"/>
        <v>19687.092387491899</v>
      </c>
      <c r="H35" s="491">
        <f t="shared" si="20"/>
        <v>19687.092387491899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114587.85811380413</v>
      </c>
      <c r="E36" s="522">
        <f>IF(+I14&lt;F35,I14,D36)</f>
        <v>4901.9523809523807</v>
      </c>
      <c r="F36" s="523">
        <f t="shared" si="18"/>
        <v>109685.90573285175</v>
      </c>
      <c r="G36" s="524">
        <f t="shared" si="19"/>
        <v>19067.844488377101</v>
      </c>
      <c r="H36" s="491">
        <f t="shared" si="20"/>
        <v>19067.844488377101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109685.90573285175</v>
      </c>
      <c r="E37" s="522">
        <f>IF(+I14&lt;F36,I14,D37)</f>
        <v>4901.9523809523807</v>
      </c>
      <c r="F37" s="523">
        <f t="shared" si="18"/>
        <v>104783.95335189937</v>
      </c>
      <c r="G37" s="524">
        <f t="shared" si="19"/>
        <v>18448.596589262299</v>
      </c>
      <c r="H37" s="491">
        <f t="shared" si="20"/>
        <v>18448.596589262299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104783.95335189937</v>
      </c>
      <c r="E38" s="522">
        <f>IF(+I14&lt;F37,I14,D38)</f>
        <v>4901.9523809523807</v>
      </c>
      <c r="F38" s="523">
        <f t="shared" si="18"/>
        <v>99882.000970946989</v>
      </c>
      <c r="G38" s="524">
        <f t="shared" si="19"/>
        <v>17829.348690147501</v>
      </c>
      <c r="H38" s="491">
        <f t="shared" si="20"/>
        <v>17829.348690147501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99882.000970946989</v>
      </c>
      <c r="E39" s="522">
        <f>IF(+I14&lt;F38,I14,D39)</f>
        <v>4901.9523809523807</v>
      </c>
      <c r="F39" s="523">
        <f t="shared" si="18"/>
        <v>94980.048589994607</v>
      </c>
      <c r="G39" s="524">
        <f t="shared" si="19"/>
        <v>17210.100791032699</v>
      </c>
      <c r="H39" s="491">
        <f t="shared" si="20"/>
        <v>17210.100791032699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94980.048589994607</v>
      </c>
      <c r="E40" s="522">
        <f>IF(+I14&lt;F39,I14,D40)</f>
        <v>4901.9523809523807</v>
      </c>
      <c r="F40" s="523">
        <f t="shared" si="18"/>
        <v>90078.096209042225</v>
      </c>
      <c r="G40" s="524">
        <f t="shared" si="19"/>
        <v>16590.852891917901</v>
      </c>
      <c r="H40" s="491">
        <f t="shared" si="20"/>
        <v>16590.852891917901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90078.096209042225</v>
      </c>
      <c r="E41" s="522">
        <f>IF(+I14&lt;F40,I14,D41)</f>
        <v>4901.9523809523807</v>
      </c>
      <c r="F41" s="523">
        <f t="shared" si="18"/>
        <v>85176.143828089844</v>
      </c>
      <c r="G41" s="524">
        <f t="shared" si="19"/>
        <v>15971.604992803103</v>
      </c>
      <c r="H41" s="491">
        <f t="shared" si="20"/>
        <v>15971.604992803103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85176.143828089844</v>
      </c>
      <c r="E42" s="522">
        <f>IF(+I14&lt;F41,I14,D42)</f>
        <v>4901.9523809523807</v>
      </c>
      <c r="F42" s="523">
        <f t="shared" si="18"/>
        <v>80274.191447137462</v>
      </c>
      <c r="G42" s="524">
        <f t="shared" si="19"/>
        <v>15352.357093688304</v>
      </c>
      <c r="H42" s="491">
        <f t="shared" si="20"/>
        <v>15352.357093688304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80274.191447137462</v>
      </c>
      <c r="E43" s="522">
        <f>IF(+I14&lt;F42,I14,D43)</f>
        <v>4901.9523809523807</v>
      </c>
      <c r="F43" s="523">
        <f t="shared" si="18"/>
        <v>75372.23906618508</v>
      </c>
      <c r="G43" s="524">
        <f t="shared" si="19"/>
        <v>14733.109194573502</v>
      </c>
      <c r="H43" s="491">
        <f t="shared" si="20"/>
        <v>14733.109194573502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75372.23906618508</v>
      </c>
      <c r="E44" s="522">
        <f>IF(+I14&lt;F43,I14,D44)</f>
        <v>4901.9523809523807</v>
      </c>
      <c r="F44" s="523">
        <f t="shared" si="18"/>
        <v>70470.286685232699</v>
      </c>
      <c r="G44" s="524">
        <f t="shared" si="19"/>
        <v>14113.861295458704</v>
      </c>
      <c r="H44" s="491">
        <f t="shared" si="20"/>
        <v>14113.861295458704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70470.286685232699</v>
      </c>
      <c r="E45" s="522">
        <f>IF(+I14&lt;F44,I14,D45)</f>
        <v>4901.9523809523807</v>
      </c>
      <c r="F45" s="523">
        <f t="shared" si="18"/>
        <v>65568.334304280317</v>
      </c>
      <c r="G45" s="524">
        <f t="shared" si="19"/>
        <v>13494.613396343902</v>
      </c>
      <c r="H45" s="491">
        <f t="shared" si="20"/>
        <v>13494.613396343902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65568.334304280317</v>
      </c>
      <c r="E46" s="522">
        <f>IF(+I14&lt;F45,I14,D46)</f>
        <v>4901.9523809523807</v>
      </c>
      <c r="F46" s="523">
        <f t="shared" si="18"/>
        <v>60666.381923327936</v>
      </c>
      <c r="G46" s="524">
        <f t="shared" si="19"/>
        <v>12875.365497229104</v>
      </c>
      <c r="H46" s="491">
        <f t="shared" si="20"/>
        <v>12875.365497229104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60666.381923327936</v>
      </c>
      <c r="E47" s="522">
        <f>IF(+I14&lt;F46,I14,D47)</f>
        <v>4901.9523809523807</v>
      </c>
      <c r="F47" s="523">
        <f t="shared" si="18"/>
        <v>55764.429542375554</v>
      </c>
      <c r="G47" s="524">
        <f t="shared" si="19"/>
        <v>12256.117598114306</v>
      </c>
      <c r="H47" s="491">
        <f t="shared" si="20"/>
        <v>12256.117598114306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55764.429542375554</v>
      </c>
      <c r="E48" s="522">
        <f>IF(+I14&lt;F47,I14,D48)</f>
        <v>4901.9523809523807</v>
      </c>
      <c r="F48" s="523">
        <f t="shared" si="18"/>
        <v>50862.477161423172</v>
      </c>
      <c r="G48" s="524">
        <f t="shared" si="19"/>
        <v>11636.869698999508</v>
      </c>
      <c r="H48" s="491">
        <f t="shared" si="20"/>
        <v>11636.869698999508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50862.477161423172</v>
      </c>
      <c r="E49" s="522">
        <f>IF(+I14&lt;F48,I14,D49)</f>
        <v>4901.9523809523807</v>
      </c>
      <c r="F49" s="523">
        <f t="shared" ref="F49:F72" si="21">+D49-E49</f>
        <v>45960.524780470791</v>
      </c>
      <c r="G49" s="524">
        <f t="shared" si="19"/>
        <v>11017.621799884708</v>
      </c>
      <c r="H49" s="491">
        <f t="shared" si="20"/>
        <v>11017.621799884708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45960.524780470791</v>
      </c>
      <c r="E50" s="522">
        <f>IF(+I14&lt;F49,I14,D50)</f>
        <v>4901.9523809523807</v>
      </c>
      <c r="F50" s="523">
        <f t="shared" si="21"/>
        <v>41058.572399518409</v>
      </c>
      <c r="G50" s="524">
        <f t="shared" si="19"/>
        <v>10398.373900769908</v>
      </c>
      <c r="H50" s="491">
        <f t="shared" si="20"/>
        <v>10398.373900769908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41058.572399518409</v>
      </c>
      <c r="E51" s="522">
        <f>IF(+I14&lt;F50,I14,D51)</f>
        <v>4901.9523809523807</v>
      </c>
      <c r="F51" s="523">
        <f t="shared" si="21"/>
        <v>36156.620018566027</v>
      </c>
      <c r="G51" s="524">
        <f t="shared" si="19"/>
        <v>9779.1260016551096</v>
      </c>
      <c r="H51" s="491">
        <f t="shared" si="20"/>
        <v>9779.1260016551096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36156.620018566027</v>
      </c>
      <c r="E52" s="522">
        <f>IF(+I14&lt;F51,I14,D52)</f>
        <v>4901.9523809523807</v>
      </c>
      <c r="F52" s="523">
        <f t="shared" si="21"/>
        <v>31254.667637613646</v>
      </c>
      <c r="G52" s="524">
        <f t="shared" si="19"/>
        <v>9159.8781025403096</v>
      </c>
      <c r="H52" s="491">
        <f t="shared" si="20"/>
        <v>9159.8781025403096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31254.667637613646</v>
      </c>
      <c r="E53" s="522">
        <f>IF(+I14&lt;F52,I14,D53)</f>
        <v>4901.9523809523807</v>
      </c>
      <c r="F53" s="523">
        <f t="shared" si="21"/>
        <v>26352.715256661264</v>
      </c>
      <c r="G53" s="524">
        <f t="shared" si="19"/>
        <v>8540.6302034255095</v>
      </c>
      <c r="H53" s="491">
        <f t="shared" si="20"/>
        <v>8540.6302034255095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26352.715256661264</v>
      </c>
      <c r="E54" s="522">
        <f>IF(+I14&lt;F53,I14,D54)</f>
        <v>4901.9523809523807</v>
      </c>
      <c r="F54" s="523">
        <f t="shared" si="21"/>
        <v>21450.762875708882</v>
      </c>
      <c r="G54" s="524">
        <f t="shared" si="19"/>
        <v>7921.3823043107113</v>
      </c>
      <c r="H54" s="491">
        <f t="shared" si="20"/>
        <v>7921.3823043107113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21450.762875708882</v>
      </c>
      <c r="E55" s="522">
        <f>IF(+I14&lt;F54,I14,D55)</f>
        <v>4901.9523809523807</v>
      </c>
      <c r="F55" s="523">
        <f t="shared" si="21"/>
        <v>16548.810494756501</v>
      </c>
      <c r="G55" s="524">
        <f t="shared" si="19"/>
        <v>7302.1344051959113</v>
      </c>
      <c r="H55" s="491">
        <f t="shared" si="20"/>
        <v>7302.1344051959113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16548.810494756501</v>
      </c>
      <c r="E56" s="522">
        <f>IF(+I14&lt;F55,I14,D56)</f>
        <v>4901.9523809523807</v>
      </c>
      <c r="F56" s="523">
        <f t="shared" si="21"/>
        <v>11646.858113804119</v>
      </c>
      <c r="G56" s="524">
        <f t="shared" ref="G56:G72" si="26">+I$12*((D56+F56)/2)+E56</f>
        <v>6682.8865060811122</v>
      </c>
      <c r="H56" s="491">
        <f t="shared" ref="H56:H72" si="27">+I$13*((D56+F56)/2)+E56</f>
        <v>6682.8865060811122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11646.858113804119</v>
      </c>
      <c r="E57" s="522">
        <f>IF(+I14&lt;F56,I14,D57)</f>
        <v>4901.9523809523807</v>
      </c>
      <c r="F57" s="523">
        <f t="shared" si="21"/>
        <v>6744.9057328517383</v>
      </c>
      <c r="G57" s="524">
        <f t="shared" si="26"/>
        <v>6063.6386069663131</v>
      </c>
      <c r="H57" s="491">
        <f t="shared" si="27"/>
        <v>6063.6386069663131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6744.9057328517383</v>
      </c>
      <c r="E58" s="522">
        <f>IF(+I14&lt;F57,I14,D58)</f>
        <v>4901.9523809523807</v>
      </c>
      <c r="F58" s="523">
        <f t="shared" si="21"/>
        <v>1842.9533518993576</v>
      </c>
      <c r="G58" s="524">
        <f t="shared" si="26"/>
        <v>5444.3907078515131</v>
      </c>
      <c r="H58" s="491">
        <f t="shared" si="27"/>
        <v>5444.3907078515131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1842.9533518993576</v>
      </c>
      <c r="E59" s="522">
        <f>IF(+I14&lt;F58,I14,D59)</f>
        <v>1842.9533518993576</v>
      </c>
      <c r="F59" s="523">
        <f t="shared" si="21"/>
        <v>0</v>
      </c>
      <c r="G59" s="524">
        <f t="shared" si="26"/>
        <v>1959.3605405702242</v>
      </c>
      <c r="H59" s="491">
        <f t="shared" si="27"/>
        <v>1959.3605405702242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26"/>
        <v>0</v>
      </c>
      <c r="H60" s="491">
        <f t="shared" si="27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26"/>
        <v>0</v>
      </c>
      <c r="H61" s="491">
        <f t="shared" si="27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26"/>
        <v>0</v>
      </c>
      <c r="H62" s="491">
        <f t="shared" si="27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26"/>
        <v>0</v>
      </c>
      <c r="H63" s="491">
        <f t="shared" si="27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26"/>
        <v>0</v>
      </c>
      <c r="H64" s="491">
        <f t="shared" si="27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26"/>
        <v>0</v>
      </c>
      <c r="H65" s="491">
        <f t="shared" si="27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26"/>
        <v>0</v>
      </c>
      <c r="H66" s="491">
        <f t="shared" si="27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26"/>
        <v>0</v>
      </c>
      <c r="H67" s="491">
        <f t="shared" si="27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26"/>
        <v>0</v>
      </c>
      <c r="H68" s="491">
        <f t="shared" si="27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26"/>
        <v>0</v>
      </c>
      <c r="H69" s="491">
        <f t="shared" si="27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26"/>
        <v>0</v>
      </c>
      <c r="H70" s="491">
        <f t="shared" si="27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26"/>
        <v>0</v>
      </c>
      <c r="H71" s="491">
        <f t="shared" si="27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26"/>
        <v>0</v>
      </c>
      <c r="H72" s="471">
        <f t="shared" si="27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 ht="12.5">
      <c r="C73" s="374" t="s">
        <v>78</v>
      </c>
      <c r="D73" s="375"/>
      <c r="E73" s="375">
        <f>SUM(E17:E72)</f>
        <v>205881.99999999985</v>
      </c>
      <c r="F73" s="375"/>
      <c r="G73" s="375">
        <f>SUM(G17:G72)</f>
        <v>769543.79736474971</v>
      </c>
      <c r="H73" s="375">
        <f>SUM(H17:H72)</f>
        <v>769543.79736474971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22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20970.763671890392</v>
      </c>
      <c r="N87" s="546">
        <f>IF(J92&lt;D11,0,VLOOKUP(J92,C17:O72,11))</f>
        <v>20970.763671890392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22270.880518555168</v>
      </c>
      <c r="N88" s="550">
        <f>IF(J92&lt;D11,0,VLOOKUP(J92,C99:P154,7))</f>
        <v>22270.880518555168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Longwood: r&amp;r switches, upgrade bus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1300.1168466647759</v>
      </c>
      <c r="N89" s="555">
        <f>+N88-N87</f>
        <v>1300.1168466647759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TP2008014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205882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5021.5121951219517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2621.9512195121952</v>
      </c>
      <c r="F99" s="515">
        <v>212378.04878048779</v>
      </c>
      <c r="G99" s="574">
        <v>106189.0243902439</v>
      </c>
      <c r="H99" s="575">
        <v>20152.28121946373</v>
      </c>
      <c r="I99" s="576">
        <v>20152.28121946373</v>
      </c>
      <c r="J99" s="613">
        <f t="shared" ref="J99:J130" si="28">+I99-H99</f>
        <v>0</v>
      </c>
      <c r="K99" s="514"/>
      <c r="L99" s="512">
        <f t="shared" ref="L99:L104" si="29">H99</f>
        <v>20152.28121946373</v>
      </c>
      <c r="M99" s="597">
        <f t="shared" ref="M99:M130" si="30">IF(L99&lt;&gt;0,+H99-L99,0)</f>
        <v>0</v>
      </c>
      <c r="N99" s="512">
        <f t="shared" ref="N99:N104" si="31">I99</f>
        <v>20152.28121946373</v>
      </c>
      <c r="O99" s="513">
        <f t="shared" ref="O99:O130" si="32">IF(N99&lt;&gt;0,+I99-N99,0)</f>
        <v>0</v>
      </c>
      <c r="P99" s="513">
        <f t="shared" ref="P99:P130" si="33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2011</v>
      </c>
      <c r="D100" s="508">
        <v>203260.04878048779</v>
      </c>
      <c r="E100" s="516">
        <v>4901.9523809523807</v>
      </c>
      <c r="F100" s="515">
        <v>198358.09639953543</v>
      </c>
      <c r="G100" s="515">
        <v>200809.07259001161</v>
      </c>
      <c r="H100" s="516">
        <v>35099.600890705573</v>
      </c>
      <c r="I100" s="510">
        <v>35099.600890705573</v>
      </c>
      <c r="J100" s="613">
        <f t="shared" si="28"/>
        <v>0</v>
      </c>
      <c r="K100" s="514"/>
      <c r="L100" s="518">
        <f t="shared" si="29"/>
        <v>35099.600890705573</v>
      </c>
      <c r="M100" s="519">
        <f t="shared" si="30"/>
        <v>0</v>
      </c>
      <c r="N100" s="518">
        <f t="shared" si="31"/>
        <v>35099.600890705573</v>
      </c>
      <c r="O100" s="514">
        <f t="shared" si="32"/>
        <v>0</v>
      </c>
      <c r="P100" s="514">
        <f t="shared" si="33"/>
        <v>0</v>
      </c>
      <c r="Q100" s="269"/>
    </row>
    <row r="101" spans="1:17" ht="12.5">
      <c r="B101" s="195" t="str">
        <f t="shared" ref="B101:B154" si="34">IF(D101=F100,"","IU")</f>
        <v/>
      </c>
      <c r="C101" s="507">
        <f>IF(D93="","-",+C100+1)</f>
        <v>2012</v>
      </c>
      <c r="D101" s="508">
        <v>198358.09639953543</v>
      </c>
      <c r="E101" s="516">
        <v>4901.9523809523807</v>
      </c>
      <c r="F101" s="515">
        <v>193456.14401858306</v>
      </c>
      <c r="G101" s="515">
        <v>195907.12020905924</v>
      </c>
      <c r="H101" s="516">
        <v>33730.455386576738</v>
      </c>
      <c r="I101" s="510">
        <v>33730.455386576738</v>
      </c>
      <c r="J101" s="613">
        <f t="shared" si="28"/>
        <v>0</v>
      </c>
      <c r="K101" s="514"/>
      <c r="L101" s="518">
        <f t="shared" si="29"/>
        <v>33730.455386576738</v>
      </c>
      <c r="M101" s="519">
        <f t="shared" si="30"/>
        <v>0</v>
      </c>
      <c r="N101" s="518">
        <f t="shared" si="31"/>
        <v>33730.455386576738</v>
      </c>
      <c r="O101" s="514">
        <f t="shared" si="32"/>
        <v>0</v>
      </c>
      <c r="P101" s="514">
        <f t="shared" si="33"/>
        <v>0</v>
      </c>
      <c r="Q101" s="269"/>
    </row>
    <row r="102" spans="1:17" ht="12.5">
      <c r="B102" s="195" t="str">
        <f t="shared" si="34"/>
        <v/>
      </c>
      <c r="C102" s="507">
        <f>IF(D93="","-",+C101+1)</f>
        <v>2013</v>
      </c>
      <c r="D102" s="508">
        <v>193456.14401858306</v>
      </c>
      <c r="E102" s="516">
        <v>4901.9523809523807</v>
      </c>
      <c r="F102" s="515">
        <v>188554.19163763069</v>
      </c>
      <c r="G102" s="515">
        <v>191005.16782810687</v>
      </c>
      <c r="H102" s="516">
        <v>30743.366686318692</v>
      </c>
      <c r="I102" s="510">
        <v>30743.366686318692</v>
      </c>
      <c r="J102" s="613">
        <v>0</v>
      </c>
      <c r="K102" s="514"/>
      <c r="L102" s="518">
        <f t="shared" si="29"/>
        <v>30743.366686318692</v>
      </c>
      <c r="M102" s="519">
        <f t="shared" ref="M102:M107" si="35">IF(L102&lt;&gt;0,+H102-L102,0)</f>
        <v>0</v>
      </c>
      <c r="N102" s="518">
        <f t="shared" si="31"/>
        <v>30743.366686318692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4"/>
        <v/>
      </c>
      <c r="C103" s="507">
        <f>IF(D93="","-",+C102+1)</f>
        <v>2014</v>
      </c>
      <c r="D103" s="508">
        <v>188554.19163763069</v>
      </c>
      <c r="E103" s="516">
        <v>4901.9523809523807</v>
      </c>
      <c r="F103" s="515">
        <v>183652.23925667832</v>
      </c>
      <c r="G103" s="515">
        <v>186103.21544715451</v>
      </c>
      <c r="H103" s="516">
        <v>30197.745297823447</v>
      </c>
      <c r="I103" s="510">
        <v>30197.745297823447</v>
      </c>
      <c r="J103" s="514">
        <v>0</v>
      </c>
      <c r="K103" s="514"/>
      <c r="L103" s="518">
        <f t="shared" si="29"/>
        <v>30197.745297823447</v>
      </c>
      <c r="M103" s="519">
        <f t="shared" si="35"/>
        <v>0</v>
      </c>
      <c r="N103" s="518">
        <f t="shared" si="31"/>
        <v>30197.745297823447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4"/>
        <v/>
      </c>
      <c r="C104" s="507">
        <f>IF(D93="","-",+C103+1)</f>
        <v>2015</v>
      </c>
      <c r="D104" s="508">
        <v>183652.23925667832</v>
      </c>
      <c r="E104" s="516">
        <v>4901.9523809523807</v>
      </c>
      <c r="F104" s="515">
        <v>178750.28687572596</v>
      </c>
      <c r="G104" s="515">
        <v>181201.26306620214</v>
      </c>
      <c r="H104" s="516">
        <v>28778.63948471695</v>
      </c>
      <c r="I104" s="510">
        <v>28778.63948471695</v>
      </c>
      <c r="J104" s="514">
        <f t="shared" si="28"/>
        <v>0</v>
      </c>
      <c r="K104" s="514"/>
      <c r="L104" s="518">
        <f t="shared" si="29"/>
        <v>28778.63948471695</v>
      </c>
      <c r="M104" s="519">
        <f t="shared" si="35"/>
        <v>0</v>
      </c>
      <c r="N104" s="518">
        <f t="shared" si="31"/>
        <v>28778.63948471695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4"/>
        <v/>
      </c>
      <c r="C105" s="507">
        <f>IF(D93="","-",+C104+1)</f>
        <v>2016</v>
      </c>
      <c r="D105" s="508">
        <v>178750.28687572596</v>
      </c>
      <c r="E105" s="516">
        <v>4787.9534883720926</v>
      </c>
      <c r="F105" s="515">
        <v>173962.33338735386</v>
      </c>
      <c r="G105" s="515">
        <v>176356.31013153991</v>
      </c>
      <c r="H105" s="516">
        <v>27176.384994149808</v>
      </c>
      <c r="I105" s="510">
        <v>27176.384994149808</v>
      </c>
      <c r="J105" s="514">
        <f t="shared" si="28"/>
        <v>0</v>
      </c>
      <c r="K105" s="514"/>
      <c r="L105" s="518">
        <f>H105</f>
        <v>27176.384994149808</v>
      </c>
      <c r="M105" s="519">
        <f t="shared" si="35"/>
        <v>0</v>
      </c>
      <c r="N105" s="518">
        <f>I105</f>
        <v>27176.384994149808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34"/>
        <v/>
      </c>
      <c r="C106" s="507">
        <f>IF(D93="","-",+C105+1)</f>
        <v>2017</v>
      </c>
      <c r="D106" s="508">
        <v>173962.33338735386</v>
      </c>
      <c r="E106" s="516">
        <v>4901.9523809523807</v>
      </c>
      <c r="F106" s="515">
        <v>169060.3810064015</v>
      </c>
      <c r="G106" s="515">
        <v>171511.35719687768</v>
      </c>
      <c r="H106" s="516">
        <v>25735.686949015238</v>
      </c>
      <c r="I106" s="510">
        <v>25735.686949015238</v>
      </c>
      <c r="J106" s="514">
        <f t="shared" si="28"/>
        <v>0</v>
      </c>
      <c r="K106" s="514"/>
      <c r="L106" s="518">
        <f>H106</f>
        <v>25735.686949015238</v>
      </c>
      <c r="M106" s="519">
        <f t="shared" si="35"/>
        <v>0</v>
      </c>
      <c r="N106" s="518">
        <f>I106</f>
        <v>25735.686949015238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34"/>
        <v/>
      </c>
      <c r="C107" s="507">
        <f>IF(D93="","-",+C106+1)</f>
        <v>2018</v>
      </c>
      <c r="D107" s="508">
        <v>169060.3810064015</v>
      </c>
      <c r="E107" s="516">
        <v>4901.9523809523807</v>
      </c>
      <c r="F107" s="515">
        <v>164158.42862544913</v>
      </c>
      <c r="G107" s="515">
        <v>166609.40481592531</v>
      </c>
      <c r="H107" s="516">
        <v>22496.669570219787</v>
      </c>
      <c r="I107" s="510">
        <v>22496.669570219787</v>
      </c>
      <c r="J107" s="514">
        <f t="shared" si="28"/>
        <v>0</v>
      </c>
      <c r="K107" s="514"/>
      <c r="L107" s="518">
        <f>H107</f>
        <v>22496.669570219787</v>
      </c>
      <c r="M107" s="519">
        <f t="shared" si="35"/>
        <v>0</v>
      </c>
      <c r="N107" s="518">
        <f>I107</f>
        <v>22496.669570219787</v>
      </c>
      <c r="O107" s="514">
        <f t="shared" si="32"/>
        <v>0</v>
      </c>
      <c r="P107" s="514">
        <f t="shared" si="33"/>
        <v>0</v>
      </c>
      <c r="Q107" s="269"/>
    </row>
    <row r="108" spans="1:17" ht="12.5">
      <c r="B108" s="195" t="str">
        <f t="shared" si="34"/>
        <v/>
      </c>
      <c r="C108" s="507">
        <f>IF(D93="","-",+C107+1)</f>
        <v>2019</v>
      </c>
      <c r="D108" s="508">
        <v>164158.42862544913</v>
      </c>
      <c r="E108" s="516">
        <v>4787.9534883720926</v>
      </c>
      <c r="F108" s="515">
        <v>159370.47513707704</v>
      </c>
      <c r="G108" s="515">
        <v>161764.45188126308</v>
      </c>
      <c r="H108" s="516">
        <v>22103.308828819529</v>
      </c>
      <c r="I108" s="510">
        <v>22103.308828819529</v>
      </c>
      <c r="J108" s="514">
        <f t="shared" si="28"/>
        <v>0</v>
      </c>
      <c r="K108" s="514"/>
      <c r="L108" s="518">
        <f>H108</f>
        <v>22103.308828819529</v>
      </c>
      <c r="M108" s="519">
        <f t="shared" ref="M108:M109" si="36">IF(L108&lt;&gt;0,+H108-L108,0)</f>
        <v>0</v>
      </c>
      <c r="N108" s="518">
        <f>I108</f>
        <v>22103.308828819529</v>
      </c>
      <c r="O108" s="514">
        <f t="shared" si="32"/>
        <v>0</v>
      </c>
      <c r="P108" s="514">
        <f t="shared" si="33"/>
        <v>0</v>
      </c>
      <c r="Q108" s="269"/>
    </row>
    <row r="109" spans="1:17" ht="12.5">
      <c r="B109" s="195" t="str">
        <f t="shared" si="34"/>
        <v/>
      </c>
      <c r="C109" s="507">
        <f>IF(D93="","-",+C108+1)</f>
        <v>2020</v>
      </c>
      <c r="D109" s="508">
        <v>159370.47513707704</v>
      </c>
      <c r="E109" s="516">
        <v>4901.9523809523807</v>
      </c>
      <c r="F109" s="515">
        <v>154468.52275612467</v>
      </c>
      <c r="G109" s="515">
        <v>156919.49894660086</v>
      </c>
      <c r="H109" s="516">
        <v>21782.384276733683</v>
      </c>
      <c r="I109" s="510">
        <v>21782.384276733683</v>
      </c>
      <c r="J109" s="514">
        <f t="shared" si="28"/>
        <v>0</v>
      </c>
      <c r="K109" s="514"/>
      <c r="L109" s="518">
        <f>H109</f>
        <v>21782.384276733683</v>
      </c>
      <c r="M109" s="519">
        <f t="shared" si="36"/>
        <v>0</v>
      </c>
      <c r="N109" s="518">
        <f>I109</f>
        <v>21782.384276733683</v>
      </c>
      <c r="O109" s="514">
        <f t="shared" si="32"/>
        <v>0</v>
      </c>
      <c r="P109" s="514">
        <f t="shared" si="33"/>
        <v>0</v>
      </c>
      <c r="Q109" s="269"/>
    </row>
    <row r="110" spans="1:17" ht="12.5">
      <c r="B110" s="195" t="str">
        <f t="shared" si="34"/>
        <v/>
      </c>
      <c r="C110" s="507">
        <f>IF(D93="","-",+C109+1)</f>
        <v>2021</v>
      </c>
      <c r="D110" s="374">
        <f>IF(F109+SUM(E$99:E109)=D$92,F109,D$92-SUM(E$99:E109))</f>
        <v>154468.52275612467</v>
      </c>
      <c r="E110" s="522">
        <f>IF(+J96&lt;F109,J96,D110)</f>
        <v>5021.5121951219517</v>
      </c>
      <c r="F110" s="523">
        <f t="shared" ref="F110:F131" si="37">+D110-E110</f>
        <v>149447.01056100271</v>
      </c>
      <c r="G110" s="523">
        <f t="shared" ref="G110:G130" si="38">+(F110+D110)/2</f>
        <v>151957.76665856369</v>
      </c>
      <c r="H110" s="526">
        <f t="shared" ref="H110:H130" si="39">+J$94*G110+E110</f>
        <v>22270.880518555168</v>
      </c>
      <c r="I110" s="577">
        <f t="shared" ref="I110:I130" si="40">+J$95*G110+E110</f>
        <v>22270.880518555168</v>
      </c>
      <c r="J110" s="514">
        <f t="shared" si="28"/>
        <v>0</v>
      </c>
      <c r="K110" s="514"/>
      <c r="L110" s="525"/>
      <c r="M110" s="514">
        <f t="shared" si="30"/>
        <v>0</v>
      </c>
      <c r="N110" s="525"/>
      <c r="O110" s="514">
        <f t="shared" si="32"/>
        <v>0</v>
      </c>
      <c r="P110" s="514">
        <f t="shared" si="33"/>
        <v>0</v>
      </c>
      <c r="Q110" s="269"/>
    </row>
    <row r="111" spans="1:17" ht="12.5">
      <c r="B111" s="195" t="str">
        <f t="shared" si="34"/>
        <v/>
      </c>
      <c r="C111" s="507">
        <f>IF(D93="","-",+C110+1)</f>
        <v>2022</v>
      </c>
      <c r="D111" s="374">
        <f>IF(F110+SUM(E$99:E110)=D$92,F110,D$92-SUM(E$99:E110))</f>
        <v>149447.01056100271</v>
      </c>
      <c r="E111" s="522">
        <f>IF(+J96&lt;F110,J96,D111)</f>
        <v>5021.5121951219517</v>
      </c>
      <c r="F111" s="523">
        <f t="shared" si="37"/>
        <v>144425.49836588075</v>
      </c>
      <c r="G111" s="523">
        <f t="shared" si="38"/>
        <v>146936.25446344173</v>
      </c>
      <c r="H111" s="526">
        <f t="shared" si="39"/>
        <v>21700.867446509346</v>
      </c>
      <c r="I111" s="577">
        <f t="shared" si="40"/>
        <v>21700.867446509346</v>
      </c>
      <c r="J111" s="514">
        <f t="shared" si="28"/>
        <v>0</v>
      </c>
      <c r="K111" s="514"/>
      <c r="L111" s="525"/>
      <c r="M111" s="514">
        <f t="shared" si="30"/>
        <v>0</v>
      </c>
      <c r="N111" s="525"/>
      <c r="O111" s="514">
        <f t="shared" si="32"/>
        <v>0</v>
      </c>
      <c r="P111" s="514">
        <f t="shared" si="33"/>
        <v>0</v>
      </c>
      <c r="Q111" s="269"/>
    </row>
    <row r="112" spans="1:17" ht="12.5">
      <c r="B112" s="195" t="str">
        <f t="shared" si="34"/>
        <v/>
      </c>
      <c r="C112" s="507">
        <f>IF(D93="","-",+C111+1)</f>
        <v>2023</v>
      </c>
      <c r="D112" s="374">
        <f>IF(F111+SUM(E$99:E111)=D$92,F111,D$92-SUM(E$99:E111))</f>
        <v>144425.49836588075</v>
      </c>
      <c r="E112" s="522">
        <f>IF(+J96&lt;F111,J96,D112)</f>
        <v>5021.5121951219517</v>
      </c>
      <c r="F112" s="523">
        <f t="shared" si="37"/>
        <v>139403.98617075878</v>
      </c>
      <c r="G112" s="523">
        <f t="shared" si="38"/>
        <v>141914.74226831977</v>
      </c>
      <c r="H112" s="526">
        <f t="shared" si="39"/>
        <v>21130.854374463524</v>
      </c>
      <c r="I112" s="577">
        <f t="shared" si="40"/>
        <v>21130.854374463524</v>
      </c>
      <c r="J112" s="514">
        <f t="shared" si="28"/>
        <v>0</v>
      </c>
      <c r="K112" s="514"/>
      <c r="L112" s="525"/>
      <c r="M112" s="514">
        <f t="shared" si="30"/>
        <v>0</v>
      </c>
      <c r="N112" s="525"/>
      <c r="O112" s="514">
        <f t="shared" si="32"/>
        <v>0</v>
      </c>
      <c r="P112" s="514">
        <f t="shared" si="33"/>
        <v>0</v>
      </c>
      <c r="Q112" s="269"/>
    </row>
    <row r="113" spans="2:17" ht="12.5">
      <c r="B113" s="195" t="str">
        <f t="shared" si="34"/>
        <v/>
      </c>
      <c r="C113" s="507">
        <f>IF(D93="","-",+C112+1)</f>
        <v>2024</v>
      </c>
      <c r="D113" s="374">
        <f>IF(F112+SUM(E$99:E112)=D$92,F112,D$92-SUM(E$99:E112))</f>
        <v>139403.98617075878</v>
      </c>
      <c r="E113" s="522">
        <f>IF(+J96&lt;F112,J96,D113)</f>
        <v>5021.5121951219517</v>
      </c>
      <c r="F113" s="523">
        <f t="shared" si="37"/>
        <v>134382.47397563682</v>
      </c>
      <c r="G113" s="523">
        <f t="shared" si="38"/>
        <v>136893.2300731978</v>
      </c>
      <c r="H113" s="526">
        <f t="shared" si="39"/>
        <v>20560.841302417699</v>
      </c>
      <c r="I113" s="577">
        <f t="shared" si="40"/>
        <v>20560.841302417699</v>
      </c>
      <c r="J113" s="514">
        <f t="shared" si="28"/>
        <v>0</v>
      </c>
      <c r="K113" s="514"/>
      <c r="L113" s="525"/>
      <c r="M113" s="514">
        <f t="shared" si="30"/>
        <v>0</v>
      </c>
      <c r="N113" s="525"/>
      <c r="O113" s="514">
        <f t="shared" si="32"/>
        <v>0</v>
      </c>
      <c r="P113" s="514">
        <f t="shared" si="33"/>
        <v>0</v>
      </c>
      <c r="Q113" s="269"/>
    </row>
    <row r="114" spans="2:17" ht="12.5">
      <c r="B114" s="195" t="str">
        <f t="shared" si="34"/>
        <v/>
      </c>
      <c r="C114" s="507">
        <f>IF(D93="","-",+C113+1)</f>
        <v>2025</v>
      </c>
      <c r="D114" s="374">
        <f>IF(F113+SUM(E$99:E113)=D$92,F113,D$92-SUM(E$99:E113))</f>
        <v>134382.47397563682</v>
      </c>
      <c r="E114" s="522">
        <f>IF(+J96&lt;F113,J96,D114)</f>
        <v>5021.5121951219517</v>
      </c>
      <c r="F114" s="523">
        <f t="shared" si="37"/>
        <v>129360.96178051487</v>
      </c>
      <c r="G114" s="523">
        <f t="shared" si="38"/>
        <v>131871.71787807584</v>
      </c>
      <c r="H114" s="526">
        <f t="shared" si="39"/>
        <v>19990.828230371873</v>
      </c>
      <c r="I114" s="577">
        <f t="shared" si="40"/>
        <v>19990.828230371873</v>
      </c>
      <c r="J114" s="514">
        <f t="shared" si="28"/>
        <v>0</v>
      </c>
      <c r="K114" s="514"/>
      <c r="L114" s="525"/>
      <c r="M114" s="514">
        <f t="shared" si="30"/>
        <v>0</v>
      </c>
      <c r="N114" s="525"/>
      <c r="O114" s="514">
        <f t="shared" si="32"/>
        <v>0</v>
      </c>
      <c r="P114" s="514">
        <f t="shared" si="33"/>
        <v>0</v>
      </c>
      <c r="Q114" s="269"/>
    </row>
    <row r="115" spans="2:17" ht="12.5">
      <c r="B115" s="195" t="str">
        <f t="shared" si="34"/>
        <v/>
      </c>
      <c r="C115" s="507">
        <f>IF(D93="","-",+C114+1)</f>
        <v>2026</v>
      </c>
      <c r="D115" s="374">
        <f>IF(F114+SUM(E$99:E114)=D$92,F114,D$92-SUM(E$99:E114))</f>
        <v>129360.96178051487</v>
      </c>
      <c r="E115" s="522">
        <f>IF(+J96&lt;F114,J96,D115)</f>
        <v>5021.5121951219517</v>
      </c>
      <c r="F115" s="523">
        <f t="shared" si="37"/>
        <v>124339.44958539293</v>
      </c>
      <c r="G115" s="523">
        <f t="shared" si="38"/>
        <v>126850.20568295391</v>
      </c>
      <c r="H115" s="526">
        <f t="shared" si="39"/>
        <v>19420.815158326055</v>
      </c>
      <c r="I115" s="577">
        <f t="shared" si="40"/>
        <v>19420.815158326055</v>
      </c>
      <c r="J115" s="514">
        <f t="shared" si="28"/>
        <v>0</v>
      </c>
      <c r="K115" s="514"/>
      <c r="L115" s="525"/>
      <c r="M115" s="514">
        <f t="shared" si="30"/>
        <v>0</v>
      </c>
      <c r="N115" s="525"/>
      <c r="O115" s="514">
        <f t="shared" si="32"/>
        <v>0</v>
      </c>
      <c r="P115" s="514">
        <f t="shared" si="33"/>
        <v>0</v>
      </c>
      <c r="Q115" s="269"/>
    </row>
    <row r="116" spans="2:17" ht="12.5">
      <c r="B116" s="195" t="str">
        <f t="shared" si="34"/>
        <v/>
      </c>
      <c r="C116" s="507">
        <f>IF(D93="","-",+C115+1)</f>
        <v>2027</v>
      </c>
      <c r="D116" s="374">
        <f>IF(F115+SUM(E$99:E115)=D$92,F115,D$92-SUM(E$99:E115))</f>
        <v>124339.44958539293</v>
      </c>
      <c r="E116" s="522">
        <f>IF(+J96&lt;F115,J96,D116)</f>
        <v>5021.5121951219517</v>
      </c>
      <c r="F116" s="523">
        <f t="shared" si="37"/>
        <v>119317.93739027098</v>
      </c>
      <c r="G116" s="523">
        <f t="shared" si="38"/>
        <v>121828.69348783194</v>
      </c>
      <c r="H116" s="526">
        <f t="shared" si="39"/>
        <v>18850.80208628023</v>
      </c>
      <c r="I116" s="577">
        <f t="shared" si="40"/>
        <v>18850.80208628023</v>
      </c>
      <c r="J116" s="514">
        <f t="shared" si="28"/>
        <v>0</v>
      </c>
      <c r="K116" s="514"/>
      <c r="L116" s="525"/>
      <c r="M116" s="514">
        <f t="shared" si="30"/>
        <v>0</v>
      </c>
      <c r="N116" s="525"/>
      <c r="O116" s="514">
        <f t="shared" si="32"/>
        <v>0</v>
      </c>
      <c r="P116" s="514">
        <f t="shared" si="33"/>
        <v>0</v>
      </c>
      <c r="Q116" s="269"/>
    </row>
    <row r="117" spans="2:17" ht="12.5">
      <c r="B117" s="195" t="str">
        <f t="shared" si="34"/>
        <v/>
      </c>
      <c r="C117" s="507">
        <f>IF(D93="","-",+C116+1)</f>
        <v>2028</v>
      </c>
      <c r="D117" s="374">
        <f>IF(F116+SUM(E$99:E116)=D$92,F116,D$92-SUM(E$99:E116))</f>
        <v>119317.93739027098</v>
      </c>
      <c r="E117" s="522">
        <f>IF(+J96&lt;F116,J96,D117)</f>
        <v>5021.5121951219517</v>
      </c>
      <c r="F117" s="523">
        <f t="shared" si="37"/>
        <v>114296.42519514903</v>
      </c>
      <c r="G117" s="523">
        <f t="shared" si="38"/>
        <v>116807.18129271001</v>
      </c>
      <c r="H117" s="526">
        <f t="shared" si="39"/>
        <v>18280.789014234408</v>
      </c>
      <c r="I117" s="577">
        <f t="shared" si="40"/>
        <v>18280.789014234408</v>
      </c>
      <c r="J117" s="514">
        <f t="shared" si="28"/>
        <v>0</v>
      </c>
      <c r="K117" s="514"/>
      <c r="L117" s="525"/>
      <c r="M117" s="514">
        <f t="shared" si="30"/>
        <v>0</v>
      </c>
      <c r="N117" s="525"/>
      <c r="O117" s="514">
        <f t="shared" si="32"/>
        <v>0</v>
      </c>
      <c r="P117" s="514">
        <f t="shared" si="33"/>
        <v>0</v>
      </c>
      <c r="Q117" s="269"/>
    </row>
    <row r="118" spans="2:17" ht="12.5">
      <c r="B118" s="195" t="str">
        <f t="shared" si="34"/>
        <v/>
      </c>
      <c r="C118" s="507">
        <f>IF(D93="","-",+C117+1)</f>
        <v>2029</v>
      </c>
      <c r="D118" s="374">
        <f>IF(F117+SUM(E$99:E117)=D$92,F117,D$92-SUM(E$99:E117))</f>
        <v>114296.42519514903</v>
      </c>
      <c r="E118" s="522">
        <f>IF(+J96&lt;F117,J96,D118)</f>
        <v>5021.5121951219517</v>
      </c>
      <c r="F118" s="523">
        <f t="shared" si="37"/>
        <v>109274.91300002708</v>
      </c>
      <c r="G118" s="523">
        <f t="shared" si="38"/>
        <v>111785.66909758805</v>
      </c>
      <c r="H118" s="526">
        <f t="shared" si="39"/>
        <v>17710.775942188586</v>
      </c>
      <c r="I118" s="577">
        <f t="shared" si="40"/>
        <v>17710.775942188586</v>
      </c>
      <c r="J118" s="514">
        <f t="shared" si="28"/>
        <v>0</v>
      </c>
      <c r="K118" s="514"/>
      <c r="L118" s="525"/>
      <c r="M118" s="514">
        <f t="shared" si="30"/>
        <v>0</v>
      </c>
      <c r="N118" s="525"/>
      <c r="O118" s="514">
        <f t="shared" si="32"/>
        <v>0</v>
      </c>
      <c r="P118" s="514">
        <f t="shared" si="33"/>
        <v>0</v>
      </c>
      <c r="Q118" s="269"/>
    </row>
    <row r="119" spans="2:17" ht="12.5">
      <c r="B119" s="195" t="str">
        <f t="shared" si="34"/>
        <v/>
      </c>
      <c r="C119" s="507">
        <f>IF(D93="","-",+C118+1)</f>
        <v>2030</v>
      </c>
      <c r="D119" s="374">
        <f>IF(F118+SUM(E$99:E118)=D$92,F118,D$92-SUM(E$99:E118))</f>
        <v>109274.91300002708</v>
      </c>
      <c r="E119" s="522">
        <f>IF(+J96&lt;F118,J96,D119)</f>
        <v>5021.5121951219517</v>
      </c>
      <c r="F119" s="523">
        <f t="shared" si="37"/>
        <v>104253.40080490513</v>
      </c>
      <c r="G119" s="523">
        <f t="shared" si="38"/>
        <v>106764.15690246611</v>
      </c>
      <c r="H119" s="526">
        <f t="shared" si="39"/>
        <v>17140.762870142764</v>
      </c>
      <c r="I119" s="577">
        <f t="shared" si="40"/>
        <v>17140.762870142764</v>
      </c>
      <c r="J119" s="514">
        <f t="shared" si="28"/>
        <v>0</v>
      </c>
      <c r="K119" s="514"/>
      <c r="L119" s="525"/>
      <c r="M119" s="514">
        <f t="shared" si="30"/>
        <v>0</v>
      </c>
      <c r="N119" s="525"/>
      <c r="O119" s="514">
        <f t="shared" si="32"/>
        <v>0</v>
      </c>
      <c r="P119" s="514">
        <f t="shared" si="33"/>
        <v>0</v>
      </c>
      <c r="Q119" s="269"/>
    </row>
    <row r="120" spans="2:17" ht="12.5">
      <c r="B120" s="195" t="str">
        <f t="shared" si="34"/>
        <v/>
      </c>
      <c r="C120" s="507">
        <f>IF(D93="","-",+C119+1)</f>
        <v>2031</v>
      </c>
      <c r="D120" s="374">
        <f>IF(F119+SUM(E$99:E119)=D$92,F119,D$92-SUM(E$99:E119))</f>
        <v>104253.40080490513</v>
      </c>
      <c r="E120" s="522">
        <f>IF(+J96&lt;F119,J96,D120)</f>
        <v>5021.5121951219517</v>
      </c>
      <c r="F120" s="523">
        <f t="shared" si="37"/>
        <v>99231.888609783186</v>
      </c>
      <c r="G120" s="523">
        <f t="shared" si="38"/>
        <v>101742.64470734415</v>
      </c>
      <c r="H120" s="526">
        <f t="shared" si="39"/>
        <v>16570.749798096942</v>
      </c>
      <c r="I120" s="577">
        <f t="shared" si="40"/>
        <v>16570.749798096942</v>
      </c>
      <c r="J120" s="514">
        <f t="shared" si="28"/>
        <v>0</v>
      </c>
      <c r="K120" s="514"/>
      <c r="L120" s="525"/>
      <c r="M120" s="514">
        <f t="shared" si="30"/>
        <v>0</v>
      </c>
      <c r="N120" s="525"/>
      <c r="O120" s="514">
        <f t="shared" si="32"/>
        <v>0</v>
      </c>
      <c r="P120" s="514">
        <f t="shared" si="33"/>
        <v>0</v>
      </c>
      <c r="Q120" s="269"/>
    </row>
    <row r="121" spans="2:17" ht="12.5">
      <c r="B121" s="195" t="str">
        <f t="shared" si="34"/>
        <v/>
      </c>
      <c r="C121" s="507">
        <f>IF(D93="","-",+C120+1)</f>
        <v>2032</v>
      </c>
      <c r="D121" s="374">
        <f>IF(F120+SUM(E$99:E120)=D$92,F120,D$92-SUM(E$99:E120))</f>
        <v>99231.888609783186</v>
      </c>
      <c r="E121" s="522">
        <f>IF(+J96&lt;F120,J96,D121)</f>
        <v>5021.5121951219517</v>
      </c>
      <c r="F121" s="523">
        <f t="shared" si="37"/>
        <v>94210.376414661238</v>
      </c>
      <c r="G121" s="523">
        <f t="shared" si="38"/>
        <v>96721.132512222219</v>
      </c>
      <c r="H121" s="526">
        <f t="shared" si="39"/>
        <v>16000.736726051118</v>
      </c>
      <c r="I121" s="577">
        <f t="shared" si="40"/>
        <v>16000.736726051118</v>
      </c>
      <c r="J121" s="514">
        <f t="shared" si="28"/>
        <v>0</v>
      </c>
      <c r="K121" s="514"/>
      <c r="L121" s="525"/>
      <c r="M121" s="514">
        <f t="shared" si="30"/>
        <v>0</v>
      </c>
      <c r="N121" s="525"/>
      <c r="O121" s="514">
        <f t="shared" si="32"/>
        <v>0</v>
      </c>
      <c r="P121" s="514">
        <f t="shared" si="33"/>
        <v>0</v>
      </c>
      <c r="Q121" s="269"/>
    </row>
    <row r="122" spans="2:17" ht="12.5">
      <c r="B122" s="195" t="str">
        <f t="shared" si="34"/>
        <v/>
      </c>
      <c r="C122" s="507">
        <f>IF(D93="","-",+C121+1)</f>
        <v>2033</v>
      </c>
      <c r="D122" s="374">
        <f>IF(F121+SUM(E$99:E121)=D$92,F121,D$92-SUM(E$99:E121))</f>
        <v>94210.376414661238</v>
      </c>
      <c r="E122" s="522">
        <f>IF(+J96&lt;F121,J96,D122)</f>
        <v>5021.5121951219517</v>
      </c>
      <c r="F122" s="523">
        <f t="shared" si="37"/>
        <v>89188.864219539289</v>
      </c>
      <c r="G122" s="523">
        <f t="shared" si="38"/>
        <v>91699.620317100256</v>
      </c>
      <c r="H122" s="526">
        <f t="shared" si="39"/>
        <v>15430.723654005295</v>
      </c>
      <c r="I122" s="577">
        <f t="shared" si="40"/>
        <v>15430.723654005295</v>
      </c>
      <c r="J122" s="514">
        <f t="shared" si="28"/>
        <v>0</v>
      </c>
      <c r="K122" s="514"/>
      <c r="L122" s="525"/>
      <c r="M122" s="514">
        <f t="shared" si="30"/>
        <v>0</v>
      </c>
      <c r="N122" s="525"/>
      <c r="O122" s="514">
        <f t="shared" si="32"/>
        <v>0</v>
      </c>
      <c r="P122" s="514">
        <f t="shared" si="33"/>
        <v>0</v>
      </c>
      <c r="Q122" s="269"/>
    </row>
    <row r="123" spans="2:17" ht="12.5">
      <c r="B123" s="195" t="str">
        <f t="shared" si="34"/>
        <v/>
      </c>
      <c r="C123" s="507">
        <f>IF(D93="","-",+C122+1)</f>
        <v>2034</v>
      </c>
      <c r="D123" s="374">
        <f>IF(F122+SUM(E$99:E122)=D$92,F122,D$92-SUM(E$99:E122))</f>
        <v>89188.864219539289</v>
      </c>
      <c r="E123" s="522">
        <f>IF(+J96&lt;F122,J96,D123)</f>
        <v>5021.5121951219517</v>
      </c>
      <c r="F123" s="523">
        <f t="shared" si="37"/>
        <v>84167.352024417341</v>
      </c>
      <c r="G123" s="523">
        <f t="shared" si="38"/>
        <v>86678.108121978323</v>
      </c>
      <c r="H123" s="526">
        <f t="shared" si="39"/>
        <v>14860.710581959474</v>
      </c>
      <c r="I123" s="577">
        <f t="shared" si="40"/>
        <v>14860.710581959474</v>
      </c>
      <c r="J123" s="514">
        <f t="shared" si="28"/>
        <v>0</v>
      </c>
      <c r="K123" s="514"/>
      <c r="L123" s="525"/>
      <c r="M123" s="514">
        <f t="shared" si="30"/>
        <v>0</v>
      </c>
      <c r="N123" s="525"/>
      <c r="O123" s="514">
        <f t="shared" si="32"/>
        <v>0</v>
      </c>
      <c r="P123" s="514">
        <f t="shared" si="33"/>
        <v>0</v>
      </c>
      <c r="Q123" s="269"/>
    </row>
    <row r="124" spans="2:17" ht="12.5">
      <c r="B124" s="195" t="str">
        <f t="shared" si="34"/>
        <v/>
      </c>
      <c r="C124" s="507">
        <f>IF(D93="","-",+C123+1)</f>
        <v>2035</v>
      </c>
      <c r="D124" s="374">
        <f>IF(F123+SUM(E$99:E123)=D$92,F123,D$92-SUM(E$99:E123))</f>
        <v>84167.352024417341</v>
      </c>
      <c r="E124" s="522">
        <f>IF(+J96&lt;F123,J96,D124)</f>
        <v>5021.5121951219517</v>
      </c>
      <c r="F124" s="523">
        <f t="shared" si="37"/>
        <v>79145.839829295393</v>
      </c>
      <c r="G124" s="523">
        <f t="shared" si="38"/>
        <v>81656.59592685636</v>
      </c>
      <c r="H124" s="526">
        <f t="shared" si="39"/>
        <v>14290.697509913649</v>
      </c>
      <c r="I124" s="577">
        <f t="shared" si="40"/>
        <v>14290.697509913649</v>
      </c>
      <c r="J124" s="514">
        <f t="shared" si="28"/>
        <v>0</v>
      </c>
      <c r="K124" s="514"/>
      <c r="L124" s="525"/>
      <c r="M124" s="514">
        <f t="shared" si="30"/>
        <v>0</v>
      </c>
      <c r="N124" s="525"/>
      <c r="O124" s="514">
        <f t="shared" si="32"/>
        <v>0</v>
      </c>
      <c r="P124" s="514">
        <f t="shared" si="33"/>
        <v>0</v>
      </c>
      <c r="Q124" s="269"/>
    </row>
    <row r="125" spans="2:17" ht="12.5">
      <c r="B125" s="195" t="str">
        <f t="shared" si="34"/>
        <v/>
      </c>
      <c r="C125" s="507">
        <f>IF(D93="","-",+C124+1)</f>
        <v>2036</v>
      </c>
      <c r="D125" s="374">
        <f>IF(F124+SUM(E$99:E124)=D$92,F124,D$92-SUM(E$99:E124))</f>
        <v>79145.839829295393</v>
      </c>
      <c r="E125" s="522">
        <f>IF(+J96&lt;F124,J96,D125)</f>
        <v>5021.5121951219517</v>
      </c>
      <c r="F125" s="523">
        <f t="shared" si="37"/>
        <v>74124.327634173445</v>
      </c>
      <c r="G125" s="523">
        <f t="shared" si="38"/>
        <v>76635.083731734427</v>
      </c>
      <c r="H125" s="526">
        <f t="shared" si="39"/>
        <v>13720.684437867829</v>
      </c>
      <c r="I125" s="577">
        <f t="shared" si="40"/>
        <v>13720.684437867829</v>
      </c>
      <c r="J125" s="514">
        <f t="shared" si="28"/>
        <v>0</v>
      </c>
      <c r="K125" s="514"/>
      <c r="L125" s="525"/>
      <c r="M125" s="514">
        <f t="shared" si="30"/>
        <v>0</v>
      </c>
      <c r="N125" s="525"/>
      <c r="O125" s="514">
        <f t="shared" si="32"/>
        <v>0</v>
      </c>
      <c r="P125" s="514">
        <f t="shared" si="33"/>
        <v>0</v>
      </c>
      <c r="Q125" s="269"/>
    </row>
    <row r="126" spans="2:17" ht="12.5">
      <c r="B126" s="195" t="str">
        <f t="shared" si="34"/>
        <v/>
      </c>
      <c r="C126" s="507">
        <f>IF(D93="","-",+C125+1)</f>
        <v>2037</v>
      </c>
      <c r="D126" s="374">
        <f>IF(F125+SUM(E$99:E125)=D$92,F125,D$92-SUM(E$99:E125))</f>
        <v>74124.327634173445</v>
      </c>
      <c r="E126" s="522">
        <f>IF(+J96&lt;F125,J96,D126)</f>
        <v>5021.5121951219517</v>
      </c>
      <c r="F126" s="523">
        <f t="shared" si="37"/>
        <v>69102.815439051497</v>
      </c>
      <c r="G126" s="523">
        <f t="shared" si="38"/>
        <v>71613.571536612464</v>
      </c>
      <c r="H126" s="526">
        <f t="shared" si="39"/>
        <v>13150.671365822005</v>
      </c>
      <c r="I126" s="577">
        <f t="shared" si="40"/>
        <v>13150.671365822005</v>
      </c>
      <c r="J126" s="514">
        <f t="shared" si="28"/>
        <v>0</v>
      </c>
      <c r="K126" s="514"/>
      <c r="L126" s="525"/>
      <c r="M126" s="514">
        <f t="shared" si="30"/>
        <v>0</v>
      </c>
      <c r="N126" s="525"/>
      <c r="O126" s="514">
        <f t="shared" si="32"/>
        <v>0</v>
      </c>
      <c r="P126" s="514">
        <f t="shared" si="33"/>
        <v>0</v>
      </c>
      <c r="Q126" s="269"/>
    </row>
    <row r="127" spans="2:17" ht="12.5">
      <c r="B127" s="195" t="str">
        <f t="shared" si="34"/>
        <v/>
      </c>
      <c r="C127" s="507">
        <f>IF(D93="","-",+C126+1)</f>
        <v>2038</v>
      </c>
      <c r="D127" s="374">
        <f>IF(F126+SUM(E$99:E126)=D$92,F126,D$92-SUM(E$99:E126))</f>
        <v>69102.815439051497</v>
      </c>
      <c r="E127" s="522">
        <f>IF(+J96&lt;F126,J96,D127)</f>
        <v>5021.5121951219517</v>
      </c>
      <c r="F127" s="523">
        <f t="shared" si="37"/>
        <v>64081.303243929549</v>
      </c>
      <c r="G127" s="523">
        <f t="shared" si="38"/>
        <v>66592.059341490531</v>
      </c>
      <c r="H127" s="526">
        <f t="shared" si="39"/>
        <v>12580.658293776185</v>
      </c>
      <c r="I127" s="577">
        <f t="shared" si="40"/>
        <v>12580.658293776185</v>
      </c>
      <c r="J127" s="514">
        <f t="shared" si="28"/>
        <v>0</v>
      </c>
      <c r="K127" s="514"/>
      <c r="L127" s="525"/>
      <c r="M127" s="514">
        <f t="shared" si="30"/>
        <v>0</v>
      </c>
      <c r="N127" s="525"/>
      <c r="O127" s="514">
        <f t="shared" si="32"/>
        <v>0</v>
      </c>
      <c r="P127" s="514">
        <f t="shared" si="33"/>
        <v>0</v>
      </c>
      <c r="Q127" s="269"/>
    </row>
    <row r="128" spans="2:17" ht="12.5">
      <c r="B128" s="195" t="str">
        <f t="shared" si="34"/>
        <v/>
      </c>
      <c r="C128" s="507">
        <f>IF(D93="","-",+C127+1)</f>
        <v>2039</v>
      </c>
      <c r="D128" s="374">
        <f>IF(F127+SUM(E$99:E127)=D$92,F127,D$92-SUM(E$99:E127))</f>
        <v>64081.303243929549</v>
      </c>
      <c r="E128" s="522">
        <f>IF(+J96&lt;F127,J96,D128)</f>
        <v>5021.5121951219517</v>
      </c>
      <c r="F128" s="523">
        <f t="shared" si="37"/>
        <v>59059.791048807601</v>
      </c>
      <c r="G128" s="523">
        <f t="shared" si="38"/>
        <v>61570.547146368575</v>
      </c>
      <c r="H128" s="526">
        <f t="shared" si="39"/>
        <v>12010.645221730359</v>
      </c>
      <c r="I128" s="577">
        <f t="shared" si="40"/>
        <v>12010.645221730359</v>
      </c>
      <c r="J128" s="514">
        <f t="shared" si="28"/>
        <v>0</v>
      </c>
      <c r="K128" s="514"/>
      <c r="L128" s="525"/>
      <c r="M128" s="514">
        <f t="shared" si="30"/>
        <v>0</v>
      </c>
      <c r="N128" s="525"/>
      <c r="O128" s="514">
        <f t="shared" si="32"/>
        <v>0</v>
      </c>
      <c r="P128" s="514">
        <f t="shared" si="33"/>
        <v>0</v>
      </c>
      <c r="Q128" s="269"/>
    </row>
    <row r="129" spans="2:17" ht="12.5">
      <c r="B129" s="195" t="str">
        <f t="shared" si="34"/>
        <v/>
      </c>
      <c r="C129" s="507">
        <f>IF(D93="","-",+C128+1)</f>
        <v>2040</v>
      </c>
      <c r="D129" s="374">
        <f>IF(F128+SUM(E$99:E128)=D$92,F128,D$92-SUM(E$99:E128))</f>
        <v>59059.791048807601</v>
      </c>
      <c r="E129" s="522">
        <f>IF(+J96&lt;F128,J96,D129)</f>
        <v>5021.5121951219517</v>
      </c>
      <c r="F129" s="523">
        <f t="shared" si="37"/>
        <v>54038.278853685653</v>
      </c>
      <c r="G129" s="523">
        <f t="shared" si="38"/>
        <v>56549.034951246627</v>
      </c>
      <c r="H129" s="526">
        <f t="shared" si="39"/>
        <v>11440.632149684538</v>
      </c>
      <c r="I129" s="577">
        <f t="shared" si="40"/>
        <v>11440.632149684538</v>
      </c>
      <c r="J129" s="514">
        <f t="shared" si="28"/>
        <v>0</v>
      </c>
      <c r="K129" s="514"/>
      <c r="L129" s="525"/>
      <c r="M129" s="514">
        <f t="shared" si="30"/>
        <v>0</v>
      </c>
      <c r="N129" s="525"/>
      <c r="O129" s="514">
        <f t="shared" si="32"/>
        <v>0</v>
      </c>
      <c r="P129" s="514">
        <f t="shared" si="33"/>
        <v>0</v>
      </c>
      <c r="Q129" s="269"/>
    </row>
    <row r="130" spans="2:17" ht="12.5">
      <c r="B130" s="195" t="str">
        <f t="shared" si="34"/>
        <v/>
      </c>
      <c r="C130" s="507">
        <f>IF(D93="","-",+C129+1)</f>
        <v>2041</v>
      </c>
      <c r="D130" s="374">
        <f>IF(F129+SUM(E$99:E129)=D$92,F129,D$92-SUM(E$99:E129))</f>
        <v>54038.278853685653</v>
      </c>
      <c r="E130" s="522">
        <f>IF(+J96&lt;F129,J96,D130)</f>
        <v>5021.5121951219517</v>
      </c>
      <c r="F130" s="523">
        <f t="shared" si="37"/>
        <v>49016.766658563705</v>
      </c>
      <c r="G130" s="523">
        <f t="shared" si="38"/>
        <v>51527.522756124679</v>
      </c>
      <c r="H130" s="526">
        <f t="shared" si="39"/>
        <v>10870.619077638716</v>
      </c>
      <c r="I130" s="577">
        <f t="shared" si="40"/>
        <v>10870.619077638716</v>
      </c>
      <c r="J130" s="514">
        <f t="shared" si="28"/>
        <v>0</v>
      </c>
      <c r="K130" s="514"/>
      <c r="L130" s="525"/>
      <c r="M130" s="514">
        <f t="shared" si="30"/>
        <v>0</v>
      </c>
      <c r="N130" s="525"/>
      <c r="O130" s="514">
        <f t="shared" si="32"/>
        <v>0</v>
      </c>
      <c r="P130" s="514">
        <f t="shared" si="33"/>
        <v>0</v>
      </c>
      <c r="Q130" s="269"/>
    </row>
    <row r="131" spans="2:17" ht="12.5">
      <c r="B131" s="195" t="str">
        <f t="shared" si="34"/>
        <v/>
      </c>
      <c r="C131" s="507">
        <f>IF(D93="","-",+C130+1)</f>
        <v>2042</v>
      </c>
      <c r="D131" s="374">
        <f>IF(F130+SUM(E$99:E130)=D$92,F130,D$92-SUM(E$99:E130))</f>
        <v>49016.766658563705</v>
      </c>
      <c r="E131" s="522">
        <f>IF(+J96&lt;F130,J96,D131)</f>
        <v>5021.5121951219517</v>
      </c>
      <c r="F131" s="523">
        <f t="shared" si="37"/>
        <v>43995.254463441757</v>
      </c>
      <c r="G131" s="523">
        <f t="shared" ref="G131:G154" si="41">+(F131+D131)/2</f>
        <v>46506.010561002731</v>
      </c>
      <c r="H131" s="526">
        <f t="shared" ref="H131:H154" si="42">+J$94*G131+E131</f>
        <v>10300.606005592894</v>
      </c>
      <c r="I131" s="577">
        <f t="shared" ref="I131:I154" si="43">+J$95*G131+E131</f>
        <v>10300.606005592894</v>
      </c>
      <c r="J131" s="514">
        <f t="shared" ref="J131:J154" si="44">+I131-H131</f>
        <v>0</v>
      </c>
      <c r="K131" s="514"/>
      <c r="L131" s="525"/>
      <c r="M131" s="514">
        <f t="shared" ref="M131:M154" si="45">IF(L131&lt;&gt;0,+H131-L131,0)</f>
        <v>0</v>
      </c>
      <c r="N131" s="525"/>
      <c r="O131" s="514">
        <f t="shared" ref="O131:O154" si="46">IF(N131&lt;&gt;0,+I131-N131,0)</f>
        <v>0</v>
      </c>
      <c r="P131" s="514">
        <f t="shared" ref="P131:P154" si="47">+O131-M131</f>
        <v>0</v>
      </c>
      <c r="Q131" s="269"/>
    </row>
    <row r="132" spans="2:17" ht="12.5">
      <c r="B132" s="195" t="str">
        <f t="shared" si="34"/>
        <v/>
      </c>
      <c r="C132" s="507">
        <f>IF(D93="","-",+C131+1)</f>
        <v>2043</v>
      </c>
      <c r="D132" s="374">
        <f>IF(F131+SUM(E$99:E131)=D$92,F131,D$92-SUM(E$99:E131))</f>
        <v>43995.254463441757</v>
      </c>
      <c r="E132" s="522">
        <f>IF(+J96&lt;F131,J96,D132)</f>
        <v>5021.5121951219517</v>
      </c>
      <c r="F132" s="523">
        <f t="shared" ref="F132:F154" si="48">+D132-E132</f>
        <v>38973.742268319809</v>
      </c>
      <c r="G132" s="523">
        <f t="shared" si="41"/>
        <v>41484.498365880783</v>
      </c>
      <c r="H132" s="526">
        <f t="shared" si="42"/>
        <v>9730.5929335470719</v>
      </c>
      <c r="I132" s="577">
        <f t="shared" si="43"/>
        <v>9730.5929335470719</v>
      </c>
      <c r="J132" s="514">
        <f t="shared" si="44"/>
        <v>0</v>
      </c>
      <c r="K132" s="514"/>
      <c r="L132" s="525"/>
      <c r="M132" s="514">
        <f t="shared" si="45"/>
        <v>0</v>
      </c>
      <c r="N132" s="525"/>
      <c r="O132" s="514">
        <f t="shared" si="46"/>
        <v>0</v>
      </c>
      <c r="P132" s="514">
        <f t="shared" si="47"/>
        <v>0</v>
      </c>
      <c r="Q132" s="269"/>
    </row>
    <row r="133" spans="2:17" ht="12.5">
      <c r="B133" s="195" t="str">
        <f t="shared" si="34"/>
        <v/>
      </c>
      <c r="C133" s="507">
        <f>IF(D93="","-",+C132+1)</f>
        <v>2044</v>
      </c>
      <c r="D133" s="374">
        <f>IF(F132+SUM(E$99:E132)=D$92,F132,D$92-SUM(E$99:E132))</f>
        <v>38973.742268319809</v>
      </c>
      <c r="E133" s="522">
        <f>IF(+J96&lt;F132,J96,D133)</f>
        <v>5021.5121951219517</v>
      </c>
      <c r="F133" s="523">
        <f t="shared" si="48"/>
        <v>33952.230073197861</v>
      </c>
      <c r="G133" s="523">
        <f t="shared" si="41"/>
        <v>36462.986170758835</v>
      </c>
      <c r="H133" s="526">
        <f t="shared" si="42"/>
        <v>9160.57986150125</v>
      </c>
      <c r="I133" s="577">
        <f t="shared" si="43"/>
        <v>9160.57986150125</v>
      </c>
      <c r="J133" s="514">
        <f t="shared" si="44"/>
        <v>0</v>
      </c>
      <c r="K133" s="514"/>
      <c r="L133" s="525"/>
      <c r="M133" s="514">
        <f t="shared" si="45"/>
        <v>0</v>
      </c>
      <c r="N133" s="525"/>
      <c r="O133" s="514">
        <f t="shared" si="46"/>
        <v>0</v>
      </c>
      <c r="P133" s="514">
        <f t="shared" si="47"/>
        <v>0</v>
      </c>
      <c r="Q133" s="269"/>
    </row>
    <row r="134" spans="2:17" ht="12.5">
      <c r="B134" s="195" t="str">
        <f t="shared" si="34"/>
        <v/>
      </c>
      <c r="C134" s="507">
        <f>IF(D93="","-",+C133+1)</f>
        <v>2045</v>
      </c>
      <c r="D134" s="374">
        <f>IF(F133+SUM(E$99:E133)=D$92,F133,D$92-SUM(E$99:E133))</f>
        <v>33952.230073197861</v>
      </c>
      <c r="E134" s="522">
        <f>IF(+J96&lt;F133,J96,D134)</f>
        <v>5021.5121951219517</v>
      </c>
      <c r="F134" s="523">
        <f t="shared" si="48"/>
        <v>28930.71787807591</v>
      </c>
      <c r="G134" s="523">
        <f t="shared" si="41"/>
        <v>31441.473975636887</v>
      </c>
      <c r="H134" s="526">
        <f t="shared" si="42"/>
        <v>8590.5667894554263</v>
      </c>
      <c r="I134" s="577">
        <f t="shared" si="43"/>
        <v>8590.5667894554263</v>
      </c>
      <c r="J134" s="514">
        <f t="shared" si="44"/>
        <v>0</v>
      </c>
      <c r="K134" s="514"/>
      <c r="L134" s="525"/>
      <c r="M134" s="514">
        <f t="shared" si="45"/>
        <v>0</v>
      </c>
      <c r="N134" s="525"/>
      <c r="O134" s="514">
        <f t="shared" si="46"/>
        <v>0</v>
      </c>
      <c r="P134" s="514">
        <f t="shared" si="47"/>
        <v>0</v>
      </c>
      <c r="Q134" s="269"/>
    </row>
    <row r="135" spans="2:17" ht="12.5">
      <c r="B135" s="195" t="str">
        <f t="shared" si="34"/>
        <v/>
      </c>
      <c r="C135" s="507">
        <f>IF(D93="","-",+C134+1)</f>
        <v>2046</v>
      </c>
      <c r="D135" s="374">
        <f>IF(F134+SUM(E$99:E134)=D$92,F134,D$92-SUM(E$99:E134))</f>
        <v>28930.71787807591</v>
      </c>
      <c r="E135" s="522">
        <f>IF(+J96&lt;F134,J96,D135)</f>
        <v>5021.5121951219517</v>
      </c>
      <c r="F135" s="523">
        <f t="shared" si="48"/>
        <v>23909.205682953958</v>
      </c>
      <c r="G135" s="523">
        <f t="shared" si="41"/>
        <v>26419.961780514932</v>
      </c>
      <c r="H135" s="526">
        <f t="shared" si="42"/>
        <v>8020.5537174096025</v>
      </c>
      <c r="I135" s="577">
        <f t="shared" si="43"/>
        <v>8020.5537174096025</v>
      </c>
      <c r="J135" s="514">
        <f t="shared" si="44"/>
        <v>0</v>
      </c>
      <c r="K135" s="514"/>
      <c r="L135" s="525"/>
      <c r="M135" s="514">
        <f t="shared" si="45"/>
        <v>0</v>
      </c>
      <c r="N135" s="525"/>
      <c r="O135" s="514">
        <f t="shared" si="46"/>
        <v>0</v>
      </c>
      <c r="P135" s="514">
        <f t="shared" si="47"/>
        <v>0</v>
      </c>
      <c r="Q135" s="269"/>
    </row>
    <row r="136" spans="2:17" ht="12.5">
      <c r="B136" s="195" t="str">
        <f t="shared" si="34"/>
        <v/>
      </c>
      <c r="C136" s="507">
        <f>IF(D93="","-",+C135+1)</f>
        <v>2047</v>
      </c>
      <c r="D136" s="374">
        <f>IF(F135+SUM(E$99:E135)=D$92,F135,D$92-SUM(E$99:E135))</f>
        <v>23909.205682953958</v>
      </c>
      <c r="E136" s="522">
        <f>IF(+J96&lt;F135,J96,D136)</f>
        <v>5021.5121951219517</v>
      </c>
      <c r="F136" s="523">
        <f t="shared" si="48"/>
        <v>18887.693487832006</v>
      </c>
      <c r="G136" s="523">
        <f t="shared" si="41"/>
        <v>21398.449585392984</v>
      </c>
      <c r="H136" s="526">
        <f t="shared" si="42"/>
        <v>7450.5406453637806</v>
      </c>
      <c r="I136" s="577">
        <f t="shared" si="43"/>
        <v>7450.5406453637806</v>
      </c>
      <c r="J136" s="514">
        <f t="shared" si="44"/>
        <v>0</v>
      </c>
      <c r="K136" s="514"/>
      <c r="L136" s="525"/>
      <c r="M136" s="514">
        <f t="shared" si="45"/>
        <v>0</v>
      </c>
      <c r="N136" s="525"/>
      <c r="O136" s="514">
        <f t="shared" si="46"/>
        <v>0</v>
      </c>
      <c r="P136" s="514">
        <f t="shared" si="47"/>
        <v>0</v>
      </c>
      <c r="Q136" s="269"/>
    </row>
    <row r="137" spans="2:17" ht="12.5">
      <c r="B137" s="195" t="str">
        <f t="shared" si="34"/>
        <v/>
      </c>
      <c r="C137" s="507">
        <f>IF(D93="","-",+C136+1)</f>
        <v>2048</v>
      </c>
      <c r="D137" s="374">
        <f>IF(F136+SUM(E$99:E136)=D$92,F136,D$92-SUM(E$99:E136))</f>
        <v>18887.693487832006</v>
      </c>
      <c r="E137" s="522">
        <f>IF(+J96&lt;F136,J96,D137)</f>
        <v>5021.5121951219517</v>
      </c>
      <c r="F137" s="523">
        <f t="shared" si="48"/>
        <v>13866.181292710055</v>
      </c>
      <c r="G137" s="523">
        <f t="shared" si="41"/>
        <v>16376.93739027103</v>
      </c>
      <c r="H137" s="526">
        <f t="shared" si="42"/>
        <v>6880.5275733179578</v>
      </c>
      <c r="I137" s="577">
        <f t="shared" si="43"/>
        <v>6880.5275733179578</v>
      </c>
      <c r="J137" s="514">
        <f t="shared" si="44"/>
        <v>0</v>
      </c>
      <c r="K137" s="514"/>
      <c r="L137" s="525"/>
      <c r="M137" s="514">
        <f t="shared" si="45"/>
        <v>0</v>
      </c>
      <c r="N137" s="525"/>
      <c r="O137" s="514">
        <f t="shared" si="46"/>
        <v>0</v>
      </c>
      <c r="P137" s="514">
        <f t="shared" si="47"/>
        <v>0</v>
      </c>
      <c r="Q137" s="269"/>
    </row>
    <row r="138" spans="2:17" ht="12.5">
      <c r="B138" s="195" t="str">
        <f t="shared" si="34"/>
        <v/>
      </c>
      <c r="C138" s="507">
        <f>IF(D93="","-",+C137+1)</f>
        <v>2049</v>
      </c>
      <c r="D138" s="374">
        <f>IF(F137+SUM(E$99:E137)=D$92,F137,D$92-SUM(E$99:E137))</f>
        <v>13866.181292710055</v>
      </c>
      <c r="E138" s="522">
        <f>IF(+J96&lt;F137,J96,D138)</f>
        <v>5021.5121951219517</v>
      </c>
      <c r="F138" s="523">
        <f t="shared" si="48"/>
        <v>8844.6690975881029</v>
      </c>
      <c r="G138" s="523">
        <f t="shared" si="41"/>
        <v>11355.425195149079</v>
      </c>
      <c r="H138" s="526">
        <f t="shared" si="42"/>
        <v>6310.514501272135</v>
      </c>
      <c r="I138" s="577">
        <f t="shared" si="43"/>
        <v>6310.514501272135</v>
      </c>
      <c r="J138" s="514">
        <f t="shared" si="44"/>
        <v>0</v>
      </c>
      <c r="K138" s="514"/>
      <c r="L138" s="525"/>
      <c r="M138" s="514">
        <f t="shared" si="45"/>
        <v>0</v>
      </c>
      <c r="N138" s="525"/>
      <c r="O138" s="514">
        <f t="shared" si="46"/>
        <v>0</v>
      </c>
      <c r="P138" s="514">
        <f t="shared" si="47"/>
        <v>0</v>
      </c>
      <c r="Q138" s="269"/>
    </row>
    <row r="139" spans="2:17" ht="12.5">
      <c r="B139" s="195" t="str">
        <f t="shared" si="34"/>
        <v/>
      </c>
      <c r="C139" s="507">
        <f>IF(D93="","-",+C138+1)</f>
        <v>2050</v>
      </c>
      <c r="D139" s="374">
        <f>IF(F138+SUM(E$99:E138)=D$92,F138,D$92-SUM(E$99:E138))</f>
        <v>8844.6690975881029</v>
      </c>
      <c r="E139" s="522">
        <f>IF(+J96&lt;F138,J96,D139)</f>
        <v>5021.5121951219517</v>
      </c>
      <c r="F139" s="523">
        <f t="shared" si="48"/>
        <v>3823.1569024661512</v>
      </c>
      <c r="G139" s="523">
        <f t="shared" si="41"/>
        <v>6333.9130000271271</v>
      </c>
      <c r="H139" s="526">
        <f t="shared" si="42"/>
        <v>5740.5014292263122</v>
      </c>
      <c r="I139" s="577">
        <f t="shared" si="43"/>
        <v>5740.5014292263122</v>
      </c>
      <c r="J139" s="514">
        <f t="shared" si="44"/>
        <v>0</v>
      </c>
      <c r="K139" s="514"/>
      <c r="L139" s="525"/>
      <c r="M139" s="514">
        <f t="shared" si="45"/>
        <v>0</v>
      </c>
      <c r="N139" s="525"/>
      <c r="O139" s="514">
        <f t="shared" si="46"/>
        <v>0</v>
      </c>
      <c r="P139" s="514">
        <f t="shared" si="47"/>
        <v>0</v>
      </c>
      <c r="Q139" s="269"/>
    </row>
    <row r="140" spans="2:17" ht="12.5">
      <c r="B140" s="195" t="str">
        <f t="shared" si="34"/>
        <v/>
      </c>
      <c r="C140" s="507">
        <f>IF(D93="","-",+C139+1)</f>
        <v>2051</v>
      </c>
      <c r="D140" s="374">
        <f>IF(F139+SUM(E$99:E139)=D$92,F139,D$92-SUM(E$99:E139))</f>
        <v>3823.1569024661512</v>
      </c>
      <c r="E140" s="522">
        <f>IF(+J96&lt;F139,J96,D140)</f>
        <v>3823.1569024661512</v>
      </c>
      <c r="F140" s="523">
        <f t="shared" si="48"/>
        <v>0</v>
      </c>
      <c r="G140" s="523">
        <f t="shared" si="41"/>
        <v>1911.5784512330756</v>
      </c>
      <c r="H140" s="526">
        <f t="shared" si="42"/>
        <v>4040.1482515068756</v>
      </c>
      <c r="I140" s="577">
        <f t="shared" si="43"/>
        <v>4040.1482515068756</v>
      </c>
      <c r="J140" s="514">
        <f t="shared" si="44"/>
        <v>0</v>
      </c>
      <c r="K140" s="514"/>
      <c r="L140" s="525"/>
      <c r="M140" s="514">
        <f t="shared" si="45"/>
        <v>0</v>
      </c>
      <c r="N140" s="525"/>
      <c r="O140" s="514">
        <f t="shared" si="46"/>
        <v>0</v>
      </c>
      <c r="P140" s="514">
        <f t="shared" si="47"/>
        <v>0</v>
      </c>
      <c r="Q140" s="269"/>
    </row>
    <row r="141" spans="2:17" ht="12.5">
      <c r="B141" s="195" t="str">
        <f t="shared" si="34"/>
        <v/>
      </c>
      <c r="C141" s="507">
        <f>IF(D93="","-",+C140+1)</f>
        <v>2052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8"/>
        <v>0</v>
      </c>
      <c r="G141" s="523">
        <f t="shared" si="41"/>
        <v>0</v>
      </c>
      <c r="H141" s="526">
        <f t="shared" si="42"/>
        <v>0</v>
      </c>
      <c r="I141" s="577">
        <f t="shared" si="43"/>
        <v>0</v>
      </c>
      <c r="J141" s="514">
        <f t="shared" si="44"/>
        <v>0</v>
      </c>
      <c r="K141" s="514"/>
      <c r="L141" s="525"/>
      <c r="M141" s="514">
        <f t="shared" si="45"/>
        <v>0</v>
      </c>
      <c r="N141" s="525"/>
      <c r="O141" s="514">
        <f t="shared" si="46"/>
        <v>0</v>
      </c>
      <c r="P141" s="514">
        <f t="shared" si="47"/>
        <v>0</v>
      </c>
      <c r="Q141" s="269"/>
    </row>
    <row r="142" spans="2:17" ht="12.5">
      <c r="B142" s="195" t="str">
        <f t="shared" si="34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8"/>
        <v>0</v>
      </c>
      <c r="G142" s="523">
        <f t="shared" si="41"/>
        <v>0</v>
      </c>
      <c r="H142" s="526">
        <f t="shared" si="42"/>
        <v>0</v>
      </c>
      <c r="I142" s="577">
        <f t="shared" si="43"/>
        <v>0</v>
      </c>
      <c r="J142" s="514">
        <f t="shared" si="44"/>
        <v>0</v>
      </c>
      <c r="K142" s="514"/>
      <c r="L142" s="525"/>
      <c r="M142" s="514">
        <f t="shared" si="45"/>
        <v>0</v>
      </c>
      <c r="N142" s="525"/>
      <c r="O142" s="514">
        <f t="shared" si="46"/>
        <v>0</v>
      </c>
      <c r="P142" s="514">
        <f t="shared" si="47"/>
        <v>0</v>
      </c>
      <c r="Q142" s="269"/>
    </row>
    <row r="143" spans="2:17" ht="12.5">
      <c r="B143" s="195" t="str">
        <f t="shared" si="34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8"/>
        <v>0</v>
      </c>
      <c r="G143" s="523">
        <f t="shared" si="41"/>
        <v>0</v>
      </c>
      <c r="H143" s="526">
        <f t="shared" si="42"/>
        <v>0</v>
      </c>
      <c r="I143" s="577">
        <f t="shared" si="43"/>
        <v>0</v>
      </c>
      <c r="J143" s="514">
        <f t="shared" si="44"/>
        <v>0</v>
      </c>
      <c r="K143" s="514"/>
      <c r="L143" s="525"/>
      <c r="M143" s="514">
        <f t="shared" si="45"/>
        <v>0</v>
      </c>
      <c r="N143" s="525"/>
      <c r="O143" s="514">
        <f t="shared" si="46"/>
        <v>0</v>
      </c>
      <c r="P143" s="514">
        <f t="shared" si="47"/>
        <v>0</v>
      </c>
      <c r="Q143" s="269"/>
    </row>
    <row r="144" spans="2:17" ht="12.5">
      <c r="B144" s="195" t="str">
        <f t="shared" si="34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8"/>
        <v>0</v>
      </c>
      <c r="G144" s="523">
        <f t="shared" si="41"/>
        <v>0</v>
      </c>
      <c r="H144" s="526">
        <f t="shared" si="42"/>
        <v>0</v>
      </c>
      <c r="I144" s="577">
        <f t="shared" si="43"/>
        <v>0</v>
      </c>
      <c r="J144" s="514">
        <f t="shared" si="44"/>
        <v>0</v>
      </c>
      <c r="K144" s="514"/>
      <c r="L144" s="525"/>
      <c r="M144" s="514">
        <f t="shared" si="45"/>
        <v>0</v>
      </c>
      <c r="N144" s="525"/>
      <c r="O144" s="514">
        <f t="shared" si="46"/>
        <v>0</v>
      </c>
      <c r="P144" s="514">
        <f t="shared" si="47"/>
        <v>0</v>
      </c>
      <c r="Q144" s="269"/>
    </row>
    <row r="145" spans="2:17" ht="12.5">
      <c r="B145" s="195" t="str">
        <f t="shared" si="34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8"/>
        <v>0</v>
      </c>
      <c r="G145" s="523">
        <f t="shared" si="41"/>
        <v>0</v>
      </c>
      <c r="H145" s="526">
        <f t="shared" si="42"/>
        <v>0</v>
      </c>
      <c r="I145" s="577">
        <f t="shared" si="43"/>
        <v>0</v>
      </c>
      <c r="J145" s="514">
        <f t="shared" si="44"/>
        <v>0</v>
      </c>
      <c r="K145" s="514"/>
      <c r="L145" s="525"/>
      <c r="M145" s="514">
        <f t="shared" si="45"/>
        <v>0</v>
      </c>
      <c r="N145" s="525"/>
      <c r="O145" s="514">
        <f t="shared" si="46"/>
        <v>0</v>
      </c>
      <c r="P145" s="514">
        <f t="shared" si="47"/>
        <v>0</v>
      </c>
      <c r="Q145" s="269"/>
    </row>
    <row r="146" spans="2:17" ht="12.5">
      <c r="B146" s="195" t="str">
        <f t="shared" si="34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8"/>
        <v>0</v>
      </c>
      <c r="G146" s="523">
        <f t="shared" si="41"/>
        <v>0</v>
      </c>
      <c r="H146" s="526">
        <f t="shared" si="42"/>
        <v>0</v>
      </c>
      <c r="I146" s="577">
        <f t="shared" si="43"/>
        <v>0</v>
      </c>
      <c r="J146" s="514">
        <f t="shared" si="44"/>
        <v>0</v>
      </c>
      <c r="K146" s="514"/>
      <c r="L146" s="525"/>
      <c r="M146" s="514">
        <f t="shared" si="45"/>
        <v>0</v>
      </c>
      <c r="N146" s="525"/>
      <c r="O146" s="514">
        <f t="shared" si="46"/>
        <v>0</v>
      </c>
      <c r="P146" s="514">
        <f t="shared" si="47"/>
        <v>0</v>
      </c>
      <c r="Q146" s="269"/>
    </row>
    <row r="147" spans="2:17" ht="12.5">
      <c r="B147" s="195" t="str">
        <f t="shared" si="34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8"/>
        <v>0</v>
      </c>
      <c r="G147" s="523">
        <f t="shared" si="41"/>
        <v>0</v>
      </c>
      <c r="H147" s="526">
        <f t="shared" si="42"/>
        <v>0</v>
      </c>
      <c r="I147" s="577">
        <f t="shared" si="43"/>
        <v>0</v>
      </c>
      <c r="J147" s="514">
        <f t="shared" si="44"/>
        <v>0</v>
      </c>
      <c r="K147" s="514"/>
      <c r="L147" s="525"/>
      <c r="M147" s="514">
        <f t="shared" si="45"/>
        <v>0</v>
      </c>
      <c r="N147" s="525"/>
      <c r="O147" s="514">
        <f t="shared" si="46"/>
        <v>0</v>
      </c>
      <c r="P147" s="514">
        <f t="shared" si="47"/>
        <v>0</v>
      </c>
      <c r="Q147" s="269"/>
    </row>
    <row r="148" spans="2:17" ht="12.5">
      <c r="B148" s="195" t="str">
        <f t="shared" si="34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8"/>
        <v>0</v>
      </c>
      <c r="G148" s="523">
        <f t="shared" si="41"/>
        <v>0</v>
      </c>
      <c r="H148" s="526">
        <f t="shared" si="42"/>
        <v>0</v>
      </c>
      <c r="I148" s="577">
        <f t="shared" si="43"/>
        <v>0</v>
      </c>
      <c r="J148" s="514">
        <f t="shared" si="44"/>
        <v>0</v>
      </c>
      <c r="K148" s="514"/>
      <c r="L148" s="525"/>
      <c r="M148" s="514">
        <f t="shared" si="45"/>
        <v>0</v>
      </c>
      <c r="N148" s="525"/>
      <c r="O148" s="514">
        <f t="shared" si="46"/>
        <v>0</v>
      </c>
      <c r="P148" s="514">
        <f t="shared" si="47"/>
        <v>0</v>
      </c>
      <c r="Q148" s="269"/>
    </row>
    <row r="149" spans="2:17" ht="12.5">
      <c r="B149" s="195" t="str">
        <f t="shared" si="34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8"/>
        <v>0</v>
      </c>
      <c r="G149" s="523">
        <f t="shared" si="41"/>
        <v>0</v>
      </c>
      <c r="H149" s="526">
        <f t="shared" si="42"/>
        <v>0</v>
      </c>
      <c r="I149" s="577">
        <f t="shared" si="43"/>
        <v>0</v>
      </c>
      <c r="J149" s="514">
        <f t="shared" si="44"/>
        <v>0</v>
      </c>
      <c r="K149" s="514"/>
      <c r="L149" s="525"/>
      <c r="M149" s="514">
        <f t="shared" si="45"/>
        <v>0</v>
      </c>
      <c r="N149" s="525"/>
      <c r="O149" s="514">
        <f t="shared" si="46"/>
        <v>0</v>
      </c>
      <c r="P149" s="514">
        <f t="shared" si="47"/>
        <v>0</v>
      </c>
      <c r="Q149" s="269"/>
    </row>
    <row r="150" spans="2:17" ht="12.5">
      <c r="B150" s="195" t="str">
        <f t="shared" si="34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8"/>
        <v>0</v>
      </c>
      <c r="G150" s="523">
        <f t="shared" si="41"/>
        <v>0</v>
      </c>
      <c r="H150" s="526">
        <f t="shared" si="42"/>
        <v>0</v>
      </c>
      <c r="I150" s="577">
        <f t="shared" si="43"/>
        <v>0</v>
      </c>
      <c r="J150" s="514">
        <f t="shared" si="44"/>
        <v>0</v>
      </c>
      <c r="K150" s="514"/>
      <c r="L150" s="525"/>
      <c r="M150" s="514">
        <f t="shared" si="45"/>
        <v>0</v>
      </c>
      <c r="N150" s="525"/>
      <c r="O150" s="514">
        <f t="shared" si="46"/>
        <v>0</v>
      </c>
      <c r="P150" s="514">
        <f t="shared" si="47"/>
        <v>0</v>
      </c>
      <c r="Q150" s="269"/>
    </row>
    <row r="151" spans="2:17" ht="12.5">
      <c r="B151" s="195" t="str">
        <f t="shared" si="34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8"/>
        <v>0</v>
      </c>
      <c r="G151" s="523">
        <f t="shared" si="41"/>
        <v>0</v>
      </c>
      <c r="H151" s="526">
        <f t="shared" si="42"/>
        <v>0</v>
      </c>
      <c r="I151" s="577">
        <f t="shared" si="43"/>
        <v>0</v>
      </c>
      <c r="J151" s="514">
        <f t="shared" si="44"/>
        <v>0</v>
      </c>
      <c r="K151" s="514"/>
      <c r="L151" s="525"/>
      <c r="M151" s="514">
        <f t="shared" si="45"/>
        <v>0</v>
      </c>
      <c r="N151" s="525"/>
      <c r="O151" s="514">
        <f t="shared" si="46"/>
        <v>0</v>
      </c>
      <c r="P151" s="514">
        <f t="shared" si="47"/>
        <v>0</v>
      </c>
      <c r="Q151" s="269"/>
    </row>
    <row r="152" spans="2:17" ht="12.5">
      <c r="B152" s="195" t="str">
        <f t="shared" si="34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8"/>
        <v>0</v>
      </c>
      <c r="G152" s="523">
        <f t="shared" si="41"/>
        <v>0</v>
      </c>
      <c r="H152" s="526">
        <f t="shared" si="42"/>
        <v>0</v>
      </c>
      <c r="I152" s="577">
        <f t="shared" si="43"/>
        <v>0</v>
      </c>
      <c r="J152" s="514">
        <f t="shared" si="44"/>
        <v>0</v>
      </c>
      <c r="K152" s="514"/>
      <c r="L152" s="525"/>
      <c r="M152" s="514">
        <f t="shared" si="45"/>
        <v>0</v>
      </c>
      <c r="N152" s="525"/>
      <c r="O152" s="514">
        <f t="shared" si="46"/>
        <v>0</v>
      </c>
      <c r="P152" s="514">
        <f t="shared" si="47"/>
        <v>0</v>
      </c>
      <c r="Q152" s="269"/>
    </row>
    <row r="153" spans="2:17" ht="12.5">
      <c r="B153" s="195" t="str">
        <f t="shared" si="34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8"/>
        <v>0</v>
      </c>
      <c r="G153" s="523">
        <f t="shared" si="41"/>
        <v>0</v>
      </c>
      <c r="H153" s="526">
        <f t="shared" si="42"/>
        <v>0</v>
      </c>
      <c r="I153" s="577">
        <f t="shared" si="43"/>
        <v>0</v>
      </c>
      <c r="J153" s="514">
        <f t="shared" si="44"/>
        <v>0</v>
      </c>
      <c r="K153" s="514"/>
      <c r="L153" s="525"/>
      <c r="M153" s="514">
        <f t="shared" si="45"/>
        <v>0</v>
      </c>
      <c r="N153" s="525"/>
      <c r="O153" s="514">
        <f t="shared" si="46"/>
        <v>0</v>
      </c>
      <c r="P153" s="514">
        <f t="shared" si="47"/>
        <v>0</v>
      </c>
      <c r="Q153" s="269"/>
    </row>
    <row r="154" spans="2:17" ht="13" thickBot="1">
      <c r="B154" s="195" t="str">
        <f t="shared" si="34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8"/>
        <v>0</v>
      </c>
      <c r="G154" s="528">
        <f t="shared" si="41"/>
        <v>0</v>
      </c>
      <c r="H154" s="530">
        <f t="shared" si="42"/>
        <v>0</v>
      </c>
      <c r="I154" s="579">
        <f t="shared" si="43"/>
        <v>0</v>
      </c>
      <c r="J154" s="533">
        <f t="shared" si="44"/>
        <v>0</v>
      </c>
      <c r="K154" s="514"/>
      <c r="L154" s="532"/>
      <c r="M154" s="533">
        <f t="shared" si="45"/>
        <v>0</v>
      </c>
      <c r="N154" s="532"/>
      <c r="O154" s="533">
        <f t="shared" si="46"/>
        <v>0</v>
      </c>
      <c r="P154" s="533">
        <f t="shared" si="47"/>
        <v>0</v>
      </c>
      <c r="Q154" s="269"/>
    </row>
    <row r="155" spans="2:17" ht="12.5">
      <c r="C155" s="374" t="s">
        <v>78</v>
      </c>
      <c r="D155" s="375"/>
      <c r="E155" s="375">
        <f>SUM(E99:E154)</f>
        <v>205882.00000000023</v>
      </c>
      <c r="F155" s="375"/>
      <c r="G155" s="375"/>
      <c r="H155" s="375">
        <f>SUM(H99:H154)</f>
        <v>722207.40105277242</v>
      </c>
      <c r="I155" s="375">
        <f>SUM(I99:I154)</f>
        <v>722207.40105277242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7" priority="1" stopIfTrue="1" operator="equal">
      <formula>$I$10</formula>
    </cfRule>
  </conditionalFormatting>
  <conditionalFormatting sqref="C99:C154">
    <cfRule type="cellIs" dxfId="11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4"/>
  <dimension ref="A1:Q1048576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23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530525.36169703898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530525.36169703898</v>
      </c>
      <c r="O6" s="269"/>
      <c r="P6" s="269"/>
    </row>
    <row r="7" spans="1:17" ht="13.5" thickBot="1">
      <c r="C7" s="467" t="s">
        <v>48</v>
      </c>
      <c r="D7" s="620" t="s">
        <v>250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251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4795139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114169.97619047618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4839000</v>
      </c>
      <c r="E17" s="509">
        <v>63671.052631578947</v>
      </c>
      <c r="F17" s="508">
        <v>4775328.9473684207</v>
      </c>
      <c r="G17" s="509">
        <v>750196.21507043985</v>
      </c>
      <c r="H17" s="510">
        <v>750196.21507043985</v>
      </c>
      <c r="I17" s="517">
        <v>0</v>
      </c>
      <c r="J17" s="511"/>
      <c r="K17" s="512">
        <f t="shared" ref="K17:K22" si="0">G17</f>
        <v>750196.21507043985</v>
      </c>
      <c r="L17" s="597">
        <f t="shared" ref="L17:L48" si="1">IF(K17&lt;&gt;0,+G17-K17,0)</f>
        <v>0</v>
      </c>
      <c r="M17" s="512">
        <f t="shared" ref="M17:M22" si="2">H17</f>
        <v>750196.21507043985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4731467.9473684207</v>
      </c>
      <c r="E18" s="516">
        <v>116954.60975609756</v>
      </c>
      <c r="F18" s="515">
        <v>4614513.3376123235</v>
      </c>
      <c r="G18" s="516">
        <v>837705.52786752849</v>
      </c>
      <c r="H18" s="510">
        <v>837705.52786752849</v>
      </c>
      <c r="I18" s="517">
        <v>0</v>
      </c>
      <c r="J18" s="511"/>
      <c r="K18" s="518">
        <f t="shared" si="0"/>
        <v>837705.52786752849</v>
      </c>
      <c r="L18" s="519">
        <f t="shared" si="1"/>
        <v>0</v>
      </c>
      <c r="M18" s="518">
        <f t="shared" si="2"/>
        <v>837705.52786752849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515">
        <v>4614513.3376123235</v>
      </c>
      <c r="E19" s="516">
        <v>114169.97619047618</v>
      </c>
      <c r="F19" s="515">
        <v>4500343.3614218477</v>
      </c>
      <c r="G19" s="516">
        <v>783461.67125244555</v>
      </c>
      <c r="H19" s="510">
        <v>783461.67125244555</v>
      </c>
      <c r="I19" s="517">
        <v>0</v>
      </c>
      <c r="J19" s="511"/>
      <c r="K19" s="518">
        <f t="shared" si="0"/>
        <v>783461.67125244555</v>
      </c>
      <c r="L19" s="519">
        <f t="shared" si="1"/>
        <v>0</v>
      </c>
      <c r="M19" s="518">
        <f t="shared" si="2"/>
        <v>783461.67125244555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4500343.3614218477</v>
      </c>
      <c r="E20" s="609">
        <v>114169.97619047618</v>
      </c>
      <c r="F20" s="608">
        <v>4386173.385231372</v>
      </c>
      <c r="G20" s="609">
        <v>728177.58986755938</v>
      </c>
      <c r="H20" s="610">
        <v>728177.58986755938</v>
      </c>
      <c r="I20" s="596">
        <v>0</v>
      </c>
      <c r="J20" s="511"/>
      <c r="K20" s="518">
        <f t="shared" si="0"/>
        <v>728177.58986755938</v>
      </c>
      <c r="L20" s="519">
        <f t="shared" ref="L20:L25" si="6">IF(K20&lt;&gt;0,+G20-K20,0)</f>
        <v>0</v>
      </c>
      <c r="M20" s="518">
        <f t="shared" si="2"/>
        <v>728177.58986755938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4386173.385231372</v>
      </c>
      <c r="E21" s="609">
        <v>114169.97619047618</v>
      </c>
      <c r="F21" s="608">
        <v>4272003.4090408962</v>
      </c>
      <c r="G21" s="609">
        <v>690508.12734989321</v>
      </c>
      <c r="H21" s="610">
        <v>690508.12734989321</v>
      </c>
      <c r="I21" s="596">
        <v>0</v>
      </c>
      <c r="J21" s="511"/>
      <c r="K21" s="518">
        <f t="shared" si="0"/>
        <v>690508.12734989321</v>
      </c>
      <c r="L21" s="519">
        <f t="shared" si="6"/>
        <v>0</v>
      </c>
      <c r="M21" s="518">
        <f t="shared" si="2"/>
        <v>690508.12734989321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08">
        <v>4272003.4090408962</v>
      </c>
      <c r="E22" s="609">
        <v>114169.97619047618</v>
      </c>
      <c r="F22" s="608">
        <v>4157833.43285042</v>
      </c>
      <c r="G22" s="609">
        <v>661776.60095170466</v>
      </c>
      <c r="H22" s="610">
        <v>661776.60095170466</v>
      </c>
      <c r="I22" s="511">
        <v>0</v>
      </c>
      <c r="J22" s="511"/>
      <c r="K22" s="518">
        <f t="shared" si="0"/>
        <v>661776.60095170466</v>
      </c>
      <c r="L22" s="519">
        <f t="shared" si="6"/>
        <v>0</v>
      </c>
      <c r="M22" s="518">
        <f t="shared" si="2"/>
        <v>661776.60095170466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4157833.43285042</v>
      </c>
      <c r="E23" s="609">
        <v>114169.97619047618</v>
      </c>
      <c r="F23" s="608">
        <v>4043663.4566599438</v>
      </c>
      <c r="G23" s="609">
        <v>640169.61761771492</v>
      </c>
      <c r="H23" s="610">
        <v>640169.61761771492</v>
      </c>
      <c r="I23" s="511">
        <f t="shared" ref="I23:I48" si="9">H23-G23</f>
        <v>0</v>
      </c>
      <c r="J23" s="511"/>
      <c r="K23" s="518">
        <f t="shared" ref="K23:K28" si="10">G23</f>
        <v>640169.61761771492</v>
      </c>
      <c r="L23" s="519">
        <f t="shared" si="6"/>
        <v>0</v>
      </c>
      <c r="M23" s="518">
        <f t="shared" ref="M23:M28" si="11">H23</f>
        <v>640169.61761771492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4043663.4566599438</v>
      </c>
      <c r="E24" s="609">
        <v>111514.86046511628</v>
      </c>
      <c r="F24" s="608">
        <v>3932148.5961948275</v>
      </c>
      <c r="G24" s="609">
        <v>605586.64190337458</v>
      </c>
      <c r="H24" s="610">
        <v>605586.64190337458</v>
      </c>
      <c r="I24" s="511">
        <f t="shared" si="9"/>
        <v>0</v>
      </c>
      <c r="J24" s="511"/>
      <c r="K24" s="518">
        <f t="shared" si="10"/>
        <v>605586.64190337458</v>
      </c>
      <c r="L24" s="519">
        <f t="shared" si="6"/>
        <v>0</v>
      </c>
      <c r="M24" s="518">
        <f t="shared" si="11"/>
        <v>605586.64190337458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3932148.5961948275</v>
      </c>
      <c r="E25" s="609">
        <v>116954.60975609756</v>
      </c>
      <c r="F25" s="608">
        <v>3815193.9864387298</v>
      </c>
      <c r="G25" s="609">
        <v>609275.37207027047</v>
      </c>
      <c r="H25" s="610">
        <v>609275.37207027047</v>
      </c>
      <c r="I25" s="511">
        <f t="shared" si="9"/>
        <v>0</v>
      </c>
      <c r="J25" s="511"/>
      <c r="K25" s="518">
        <f t="shared" si="10"/>
        <v>609275.37207027047</v>
      </c>
      <c r="L25" s="519">
        <f t="shared" si="6"/>
        <v>0</v>
      </c>
      <c r="M25" s="518">
        <f t="shared" si="11"/>
        <v>609275.37207027047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3815193.9864387298</v>
      </c>
      <c r="E26" s="609">
        <v>116954.60975609756</v>
      </c>
      <c r="F26" s="608">
        <v>3698239.3766826321</v>
      </c>
      <c r="G26" s="609">
        <v>594411.13132781303</v>
      </c>
      <c r="H26" s="610">
        <v>594411.13132781303</v>
      </c>
      <c r="I26" s="511">
        <f t="shared" si="9"/>
        <v>0</v>
      </c>
      <c r="J26" s="511"/>
      <c r="K26" s="518">
        <f t="shared" si="10"/>
        <v>594411.13132781303</v>
      </c>
      <c r="L26" s="519">
        <f t="shared" ref="L26" si="12">IF(K26&lt;&gt;0,+G26-K26,0)</f>
        <v>0</v>
      </c>
      <c r="M26" s="518">
        <f t="shared" si="11"/>
        <v>594411.13132781303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08">
        <v>3698239.3766826321</v>
      </c>
      <c r="E27" s="609">
        <v>116954.60975609756</v>
      </c>
      <c r="F27" s="608">
        <v>3581284.7669265345</v>
      </c>
      <c r="G27" s="609">
        <v>489431.31850985193</v>
      </c>
      <c r="H27" s="610">
        <v>489431.31850985193</v>
      </c>
      <c r="I27" s="511">
        <f t="shared" si="9"/>
        <v>0</v>
      </c>
      <c r="J27" s="511"/>
      <c r="K27" s="518">
        <f t="shared" si="10"/>
        <v>489431.31850985193</v>
      </c>
      <c r="L27" s="519">
        <f t="shared" ref="L27" si="13">IF(K27&lt;&gt;0,+G27-K27,0)</f>
        <v>0</v>
      </c>
      <c r="M27" s="518">
        <f t="shared" si="11"/>
        <v>489431.31850985193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08">
        <v>3586724.5162175149</v>
      </c>
      <c r="E28" s="609">
        <v>114169.97619047618</v>
      </c>
      <c r="F28" s="608">
        <v>3472554.5400270387</v>
      </c>
      <c r="G28" s="609">
        <v>488327.80853353348</v>
      </c>
      <c r="H28" s="610">
        <v>488327.80853353348</v>
      </c>
      <c r="I28" s="511">
        <f t="shared" si="9"/>
        <v>0</v>
      </c>
      <c r="J28" s="511"/>
      <c r="K28" s="518">
        <f t="shared" si="10"/>
        <v>488327.80853353348</v>
      </c>
      <c r="L28" s="519">
        <f t="shared" ref="L28" si="14">IF(K28&lt;&gt;0,+G28-K28,0)</f>
        <v>0</v>
      </c>
      <c r="M28" s="518">
        <f t="shared" si="11"/>
        <v>488327.80853353348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08">
        <v>3467114.7907360573</v>
      </c>
      <c r="E29" s="609">
        <v>114169.97619047618</v>
      </c>
      <c r="F29" s="608">
        <v>3352944.8145455811</v>
      </c>
      <c r="G29" s="609">
        <v>497607.69769277796</v>
      </c>
      <c r="H29" s="610">
        <v>497607.69769277796</v>
      </c>
      <c r="I29" s="511">
        <f t="shared" si="9"/>
        <v>0</v>
      </c>
      <c r="J29" s="511"/>
      <c r="K29" s="518">
        <f t="shared" ref="K29" si="15">G29</f>
        <v>497607.69769277796</v>
      </c>
      <c r="L29" s="519">
        <f t="shared" ref="L29" si="16">IF(K29&lt;&gt;0,+G29-K29,0)</f>
        <v>0</v>
      </c>
      <c r="M29" s="518">
        <f t="shared" ref="M29" si="17">H29</f>
        <v>497607.69769277796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3352944.8145455811</v>
      </c>
      <c r="E30" s="522">
        <f>IF(+I14&lt;F29,I14,D30)</f>
        <v>114169.97619047618</v>
      </c>
      <c r="F30" s="523">
        <f t="shared" ref="F30:F48" si="18">+D30-E30</f>
        <v>3238774.8383551049</v>
      </c>
      <c r="G30" s="524">
        <f t="shared" ref="G30:G55" si="19">+I$12*((D30+F30)/2)+E30</f>
        <v>530525.36169703898</v>
      </c>
      <c r="H30" s="491">
        <f t="shared" ref="H30:H55" si="20">+I$13*((D30+F30)/2)+E30</f>
        <v>530525.36169703898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3238774.8383551049</v>
      </c>
      <c r="E31" s="522">
        <f>IF(+I14&lt;F30,I14,D31)</f>
        <v>114169.97619047618</v>
      </c>
      <c r="F31" s="523">
        <f t="shared" si="18"/>
        <v>3124604.8621646287</v>
      </c>
      <c r="G31" s="524">
        <f t="shared" si="19"/>
        <v>516102.63532118557</v>
      </c>
      <c r="H31" s="491">
        <f t="shared" si="20"/>
        <v>516102.63532118557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3124604.8621646287</v>
      </c>
      <c r="E32" s="522">
        <f>IF(+I14&lt;F31,I14,D32)</f>
        <v>114169.97619047618</v>
      </c>
      <c r="F32" s="523">
        <f t="shared" si="18"/>
        <v>3010434.8859741525</v>
      </c>
      <c r="G32" s="524">
        <f t="shared" si="19"/>
        <v>501679.90894533228</v>
      </c>
      <c r="H32" s="491">
        <f t="shared" si="20"/>
        <v>501679.90894533228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3010434.8859741525</v>
      </c>
      <c r="E33" s="522">
        <f>IF(+I14&lt;F32,I14,D33)</f>
        <v>114169.97619047618</v>
      </c>
      <c r="F33" s="523">
        <f t="shared" si="18"/>
        <v>2896264.9097836763</v>
      </c>
      <c r="G33" s="524">
        <f t="shared" si="19"/>
        <v>487257.18256947887</v>
      </c>
      <c r="H33" s="491">
        <f t="shared" si="20"/>
        <v>487257.18256947887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2896264.9097836763</v>
      </c>
      <c r="E34" s="522">
        <f>IF(+I14&lt;F33,I14,D34)</f>
        <v>114169.97619047618</v>
      </c>
      <c r="F34" s="523">
        <f t="shared" si="18"/>
        <v>2782094.9335932001</v>
      </c>
      <c r="G34" s="524">
        <f t="shared" si="19"/>
        <v>472834.45619362558</v>
      </c>
      <c r="H34" s="491">
        <f t="shared" si="20"/>
        <v>472834.45619362558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2782094.9335932001</v>
      </c>
      <c r="E35" s="522">
        <f>IF(+I14&lt;F34,I14,D35)</f>
        <v>114169.97619047618</v>
      </c>
      <c r="F35" s="523">
        <f t="shared" si="18"/>
        <v>2667924.9574027238</v>
      </c>
      <c r="G35" s="524">
        <f t="shared" si="19"/>
        <v>458411.72981777217</v>
      </c>
      <c r="H35" s="491">
        <f t="shared" si="20"/>
        <v>458411.72981777217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2667924.9574027238</v>
      </c>
      <c r="E36" s="522">
        <f>IF(+I14&lt;F35,I14,D36)</f>
        <v>114169.97619047618</v>
      </c>
      <c r="F36" s="523">
        <f t="shared" si="18"/>
        <v>2553754.9812122476</v>
      </c>
      <c r="G36" s="524">
        <f t="shared" si="19"/>
        <v>443989.00344191887</v>
      </c>
      <c r="H36" s="491">
        <f t="shared" si="20"/>
        <v>443989.00344191887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2553754.9812122476</v>
      </c>
      <c r="E37" s="522">
        <f>IF(+I14&lt;F36,I14,D37)</f>
        <v>114169.97619047618</v>
      </c>
      <c r="F37" s="523">
        <f t="shared" si="18"/>
        <v>2439585.0050217714</v>
      </c>
      <c r="G37" s="524">
        <f t="shared" si="19"/>
        <v>429566.27706606546</v>
      </c>
      <c r="H37" s="491">
        <f t="shared" si="20"/>
        <v>429566.27706606546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2439585.0050217714</v>
      </c>
      <c r="E38" s="522">
        <f>IF(+I14&lt;F37,I14,D38)</f>
        <v>114169.97619047618</v>
      </c>
      <c r="F38" s="523">
        <f t="shared" si="18"/>
        <v>2325415.0288312952</v>
      </c>
      <c r="G38" s="524">
        <f t="shared" si="19"/>
        <v>415143.55069021217</v>
      </c>
      <c r="H38" s="491">
        <f t="shared" si="20"/>
        <v>415143.55069021217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2325415.0288312952</v>
      </c>
      <c r="E39" s="522">
        <f>IF(+I14&lt;F38,I14,D39)</f>
        <v>114169.97619047618</v>
      </c>
      <c r="F39" s="523">
        <f t="shared" si="18"/>
        <v>2211245.052640819</v>
      </c>
      <c r="G39" s="524">
        <f t="shared" si="19"/>
        <v>400720.82431435876</v>
      </c>
      <c r="H39" s="491">
        <f t="shared" si="20"/>
        <v>400720.82431435876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2211245.052640819</v>
      </c>
      <c r="E40" s="522">
        <f>IF(+I14&lt;F39,I14,D40)</f>
        <v>114169.97619047618</v>
      </c>
      <c r="F40" s="523">
        <f t="shared" si="18"/>
        <v>2097075.0764503428</v>
      </c>
      <c r="G40" s="524">
        <f t="shared" si="19"/>
        <v>386298.09793850547</v>
      </c>
      <c r="H40" s="491">
        <f t="shared" si="20"/>
        <v>386298.09793850547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2097075.0764503428</v>
      </c>
      <c r="E41" s="522">
        <f>IF(+I14&lt;F40,I14,D41)</f>
        <v>114169.97619047618</v>
      </c>
      <c r="F41" s="523">
        <f t="shared" si="18"/>
        <v>1982905.1002598666</v>
      </c>
      <c r="G41" s="524">
        <f t="shared" si="19"/>
        <v>371875.37156265206</v>
      </c>
      <c r="H41" s="491">
        <f t="shared" si="20"/>
        <v>371875.37156265206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1982905.1002598666</v>
      </c>
      <c r="E42" s="522">
        <f>IF(+I14&lt;F41,I14,D42)</f>
        <v>114169.97619047618</v>
      </c>
      <c r="F42" s="523">
        <f t="shared" si="18"/>
        <v>1868735.1240693904</v>
      </c>
      <c r="G42" s="524">
        <f t="shared" si="19"/>
        <v>357452.64518679871</v>
      </c>
      <c r="H42" s="491">
        <f t="shared" si="20"/>
        <v>357452.64518679871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1868735.1240693904</v>
      </c>
      <c r="E43" s="522">
        <f>IF(+I14&lt;F42,I14,D43)</f>
        <v>114169.97619047618</v>
      </c>
      <c r="F43" s="523">
        <f t="shared" si="18"/>
        <v>1754565.1478789141</v>
      </c>
      <c r="G43" s="524">
        <f t="shared" si="19"/>
        <v>343029.91881094535</v>
      </c>
      <c r="H43" s="491">
        <f t="shared" si="20"/>
        <v>343029.91881094535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1754565.1478789141</v>
      </c>
      <c r="E44" s="522">
        <f>IF(+I14&lt;F43,I14,D44)</f>
        <v>114169.97619047618</v>
      </c>
      <c r="F44" s="523">
        <f t="shared" si="18"/>
        <v>1640395.1716884379</v>
      </c>
      <c r="G44" s="524">
        <f t="shared" si="19"/>
        <v>328607.192435092</v>
      </c>
      <c r="H44" s="491">
        <f t="shared" si="20"/>
        <v>328607.192435092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1640395.1716884379</v>
      </c>
      <c r="E45" s="522">
        <f>IF(+I14&lt;F44,I14,D45)</f>
        <v>114169.97619047618</v>
      </c>
      <c r="F45" s="523">
        <f t="shared" si="18"/>
        <v>1526225.1954979617</v>
      </c>
      <c r="G45" s="524">
        <f t="shared" si="19"/>
        <v>314184.46605923865</v>
      </c>
      <c r="H45" s="491">
        <f t="shared" si="20"/>
        <v>314184.46605923865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1526225.1954979617</v>
      </c>
      <c r="E46" s="522">
        <f>IF(+I14&lt;F45,I14,D46)</f>
        <v>114169.97619047618</v>
      </c>
      <c r="F46" s="523">
        <f t="shared" si="18"/>
        <v>1412055.2193074855</v>
      </c>
      <c r="G46" s="524">
        <f t="shared" si="19"/>
        <v>299761.7396833853</v>
      </c>
      <c r="H46" s="491">
        <f t="shared" si="20"/>
        <v>299761.7396833853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1412055.2193074855</v>
      </c>
      <c r="E47" s="522">
        <f>IF(+I14&lt;F46,I14,D47)</f>
        <v>114169.97619047618</v>
      </c>
      <c r="F47" s="523">
        <f t="shared" si="18"/>
        <v>1297885.2431170093</v>
      </c>
      <c r="G47" s="524">
        <f t="shared" si="19"/>
        <v>285339.01330753195</v>
      </c>
      <c r="H47" s="491">
        <f t="shared" si="20"/>
        <v>285339.01330753195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1297885.2431170093</v>
      </c>
      <c r="E48" s="522">
        <f>IF(+I14&lt;F47,I14,D48)</f>
        <v>114169.97619047618</v>
      </c>
      <c r="F48" s="523">
        <f t="shared" si="18"/>
        <v>1183715.2669265331</v>
      </c>
      <c r="G48" s="524">
        <f t="shared" si="19"/>
        <v>270916.28693167859</v>
      </c>
      <c r="H48" s="491">
        <f t="shared" si="20"/>
        <v>270916.28693167859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1183715.2669265331</v>
      </c>
      <c r="E49" s="522">
        <f>IF(+I14&lt;F48,I14,D49)</f>
        <v>114169.97619047618</v>
      </c>
      <c r="F49" s="523">
        <f t="shared" ref="F49:F72" si="21">+D49-E49</f>
        <v>1069545.2907360569</v>
      </c>
      <c r="G49" s="524">
        <f t="shared" si="19"/>
        <v>256493.56055582524</v>
      </c>
      <c r="H49" s="491">
        <f t="shared" si="20"/>
        <v>256493.56055582524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1069545.2907360569</v>
      </c>
      <c r="E50" s="522">
        <f>IF(+I14&lt;F49,I14,D50)</f>
        <v>114169.97619047618</v>
      </c>
      <c r="F50" s="523">
        <f t="shared" si="21"/>
        <v>955375.31454558065</v>
      </c>
      <c r="G50" s="524">
        <f t="shared" si="19"/>
        <v>242070.83417997189</v>
      </c>
      <c r="H50" s="491">
        <f t="shared" si="20"/>
        <v>242070.83417997189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955375.31454558065</v>
      </c>
      <c r="E51" s="522">
        <f>IF(+I14&lt;F50,I14,D51)</f>
        <v>114169.97619047618</v>
      </c>
      <c r="F51" s="523">
        <f t="shared" si="21"/>
        <v>841205.33835510444</v>
      </c>
      <c r="G51" s="524">
        <f t="shared" si="19"/>
        <v>227648.10780411854</v>
      </c>
      <c r="H51" s="491">
        <f t="shared" si="20"/>
        <v>227648.10780411854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841205.33835510444</v>
      </c>
      <c r="E52" s="522">
        <f>IF(+I14&lt;F51,I14,D52)</f>
        <v>114169.97619047618</v>
      </c>
      <c r="F52" s="523">
        <f t="shared" si="21"/>
        <v>727035.36216462823</v>
      </c>
      <c r="G52" s="524">
        <f t="shared" si="19"/>
        <v>213225.38142826519</v>
      </c>
      <c r="H52" s="491">
        <f t="shared" si="20"/>
        <v>213225.38142826519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727035.36216462823</v>
      </c>
      <c r="E53" s="522">
        <f>IF(+I14&lt;F52,I14,D53)</f>
        <v>114169.97619047618</v>
      </c>
      <c r="F53" s="523">
        <f t="shared" si="21"/>
        <v>612865.38597415201</v>
      </c>
      <c r="G53" s="524">
        <f t="shared" si="19"/>
        <v>198802.65505241184</v>
      </c>
      <c r="H53" s="491">
        <f t="shared" si="20"/>
        <v>198802.65505241184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612865.38597415201</v>
      </c>
      <c r="E54" s="522">
        <f>IF(+I14&lt;F53,I14,D54)</f>
        <v>114169.97619047618</v>
      </c>
      <c r="F54" s="523">
        <f t="shared" si="21"/>
        <v>498695.4097836758</v>
      </c>
      <c r="G54" s="524">
        <f t="shared" si="19"/>
        <v>184379.92867655848</v>
      </c>
      <c r="H54" s="491">
        <f t="shared" si="20"/>
        <v>184379.92867655848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498695.4097836758</v>
      </c>
      <c r="E55" s="522">
        <f>IF(+I14&lt;F54,I14,D55)</f>
        <v>114169.97619047618</v>
      </c>
      <c r="F55" s="523">
        <f t="shared" si="21"/>
        <v>384525.43359319959</v>
      </c>
      <c r="G55" s="524">
        <f t="shared" si="19"/>
        <v>169957.20230070513</v>
      </c>
      <c r="H55" s="491">
        <f t="shared" si="20"/>
        <v>169957.20230070513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384525.43359319959</v>
      </c>
      <c r="E56" s="522">
        <f>IF(+I14&lt;F55,I14,D56)</f>
        <v>114169.97619047618</v>
      </c>
      <c r="F56" s="523">
        <f t="shared" si="21"/>
        <v>270355.45740272338</v>
      </c>
      <c r="G56" s="524">
        <f t="shared" ref="G56:G72" si="26">+I$12*((D56+F56)/2)+E56</f>
        <v>155534.47592485178</v>
      </c>
      <c r="H56" s="491">
        <f t="shared" ref="H56:H72" si="27">+I$13*((D56+F56)/2)+E56</f>
        <v>155534.47592485178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270355.45740272338</v>
      </c>
      <c r="E57" s="522">
        <f>IF(+I14&lt;F56,I14,D57)</f>
        <v>114169.97619047618</v>
      </c>
      <c r="F57" s="523">
        <f t="shared" si="21"/>
        <v>156185.48121224719</v>
      </c>
      <c r="G57" s="524">
        <f t="shared" si="26"/>
        <v>141111.74954899843</v>
      </c>
      <c r="H57" s="491">
        <f t="shared" si="27"/>
        <v>141111.74954899843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156185.48121224719</v>
      </c>
      <c r="E58" s="522">
        <f>IF(+I14&lt;F57,I14,D58)</f>
        <v>114169.97619047618</v>
      </c>
      <c r="F58" s="523">
        <f t="shared" si="21"/>
        <v>42015.505021771009</v>
      </c>
      <c r="G58" s="524">
        <f t="shared" si="26"/>
        <v>126689.02317314508</v>
      </c>
      <c r="H58" s="491">
        <f t="shared" si="27"/>
        <v>126689.02317314508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42015.505021771009</v>
      </c>
      <c r="E59" s="522">
        <f>IF(+I14&lt;F58,I14,D59)</f>
        <v>42015.505021771009</v>
      </c>
      <c r="F59" s="523">
        <f t="shared" si="21"/>
        <v>0</v>
      </c>
      <c r="G59" s="524">
        <f t="shared" si="26"/>
        <v>44669.346919142117</v>
      </c>
      <c r="H59" s="491">
        <f t="shared" si="27"/>
        <v>44669.346919142117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26"/>
        <v>0</v>
      </c>
      <c r="H60" s="491">
        <f t="shared" si="27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26"/>
        <v>0</v>
      </c>
      <c r="H61" s="491">
        <f t="shared" si="27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26"/>
        <v>0</v>
      </c>
      <c r="H62" s="491">
        <f t="shared" si="27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26"/>
        <v>0</v>
      </c>
      <c r="H63" s="491">
        <f t="shared" si="27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26"/>
        <v>0</v>
      </c>
      <c r="H64" s="491">
        <f t="shared" si="27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26"/>
        <v>0</v>
      </c>
      <c r="H65" s="491">
        <f t="shared" si="27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26"/>
        <v>0</v>
      </c>
      <c r="H66" s="491">
        <f t="shared" si="27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26"/>
        <v>0</v>
      </c>
      <c r="H67" s="491">
        <f t="shared" si="27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26"/>
        <v>0</v>
      </c>
      <c r="H68" s="491">
        <f t="shared" si="27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26"/>
        <v>0</v>
      </c>
      <c r="H69" s="491">
        <f t="shared" si="27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26"/>
        <v>0</v>
      </c>
      <c r="H70" s="491">
        <f t="shared" si="27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26"/>
        <v>0</v>
      </c>
      <c r="H71" s="491">
        <f t="shared" si="27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26"/>
        <v>0</v>
      </c>
      <c r="H72" s="471">
        <f t="shared" si="27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 ht="12.5">
      <c r="C73" s="374" t="s">
        <v>78</v>
      </c>
      <c r="D73" s="375"/>
      <c r="E73" s="375">
        <f>SUM(E17:E72)</f>
        <v>4795138.9999999981</v>
      </c>
      <c r="F73" s="375"/>
      <c r="G73" s="375">
        <f>SUM(G17:G72)</f>
        <v>17950913.247551717</v>
      </c>
      <c r="H73" s="375">
        <f>SUM(H17:H72)</f>
        <v>17950913.247551717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23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488327.80853353348</v>
      </c>
      <c r="N87" s="546">
        <f>IF(J92&lt;D11,0,VLOOKUP(J92,C17:O72,11))</f>
        <v>488327.80853353348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518998.71323275828</v>
      </c>
      <c r="N88" s="550">
        <f>IF(J92&lt;D11,0,VLOOKUP(J92,C99:P154,7))</f>
        <v>518998.71323275828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Reconductor: Greggton-Lake Lamond &amp; Quitman-Westwood 69 kV lines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30670.904699224804</v>
      </c>
      <c r="N89" s="555">
        <f>+N88-N87</f>
        <v>30670.904699224804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TP2008015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4795139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116954.60975609756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58477.304878048781</v>
      </c>
      <c r="F99" s="515">
        <v>4736661.6951219514</v>
      </c>
      <c r="G99" s="574">
        <v>2368330.8475609757</v>
      </c>
      <c r="H99" s="575">
        <v>449455.76564845629</v>
      </c>
      <c r="I99" s="576">
        <v>449455.76564845629</v>
      </c>
      <c r="J99" s="613">
        <f t="shared" ref="J99:J130" si="28">+I99-H99</f>
        <v>0</v>
      </c>
      <c r="K99" s="514"/>
      <c r="L99" s="512">
        <f t="shared" ref="L99:L104" si="29">H99</f>
        <v>449455.76564845629</v>
      </c>
      <c r="M99" s="597">
        <f t="shared" ref="M99:M130" si="30">IF(L99&lt;&gt;0,+H99-L99,0)</f>
        <v>0</v>
      </c>
      <c r="N99" s="512">
        <f t="shared" ref="N99:N104" si="31">I99</f>
        <v>449455.76564845629</v>
      </c>
      <c r="O99" s="513">
        <f t="shared" ref="O99:O130" si="32">IF(N99&lt;&gt;0,+I99-N99,0)</f>
        <v>0</v>
      </c>
      <c r="P99" s="513">
        <f t="shared" ref="P99:P130" si="33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2011</v>
      </c>
      <c r="D100" s="508">
        <v>4736661.6951219514</v>
      </c>
      <c r="E100" s="516">
        <v>114169.97619047618</v>
      </c>
      <c r="F100" s="515">
        <v>4622491.7189314757</v>
      </c>
      <c r="G100" s="515">
        <v>4679576.7070267135</v>
      </c>
      <c r="H100" s="516">
        <v>817884.25936798821</v>
      </c>
      <c r="I100" s="510">
        <v>817884.25936798821</v>
      </c>
      <c r="J100" s="613">
        <f t="shared" si="28"/>
        <v>0</v>
      </c>
      <c r="K100" s="514"/>
      <c r="L100" s="518">
        <f t="shared" si="29"/>
        <v>817884.25936798821</v>
      </c>
      <c r="M100" s="519">
        <f t="shared" si="30"/>
        <v>0</v>
      </c>
      <c r="N100" s="518">
        <f t="shared" si="31"/>
        <v>817884.25936798821</v>
      </c>
      <c r="O100" s="514">
        <f t="shared" si="32"/>
        <v>0</v>
      </c>
      <c r="P100" s="514">
        <f t="shared" si="33"/>
        <v>0</v>
      </c>
      <c r="Q100" s="269"/>
    </row>
    <row r="101" spans="1:17" ht="12.5">
      <c r="B101" s="195" t="str">
        <f t="shared" ref="B101:B154" si="34">IF(D101=F100,"","IU")</f>
        <v/>
      </c>
      <c r="C101" s="507">
        <f>IF(D93="","-",+C100+1)</f>
        <v>2012</v>
      </c>
      <c r="D101" s="508">
        <v>4622491.7189314757</v>
      </c>
      <c r="E101" s="516">
        <v>114169.97619047618</v>
      </c>
      <c r="F101" s="515">
        <v>4508321.7427409999</v>
      </c>
      <c r="G101" s="515">
        <v>4565406.7308362378</v>
      </c>
      <c r="H101" s="516">
        <v>785987.52688164287</v>
      </c>
      <c r="I101" s="510">
        <v>785987.52688164287</v>
      </c>
      <c r="J101" s="613">
        <f t="shared" si="28"/>
        <v>0</v>
      </c>
      <c r="K101" s="514"/>
      <c r="L101" s="518">
        <f t="shared" si="29"/>
        <v>785987.52688164287</v>
      </c>
      <c r="M101" s="519">
        <f t="shared" si="30"/>
        <v>0</v>
      </c>
      <c r="N101" s="518">
        <f t="shared" si="31"/>
        <v>785987.52688164287</v>
      </c>
      <c r="O101" s="514">
        <f t="shared" si="32"/>
        <v>0</v>
      </c>
      <c r="P101" s="514">
        <f t="shared" si="33"/>
        <v>0</v>
      </c>
      <c r="Q101" s="269"/>
    </row>
    <row r="102" spans="1:17" ht="12.5">
      <c r="B102" s="195" t="str">
        <f t="shared" si="34"/>
        <v/>
      </c>
      <c r="C102" s="507">
        <f>IF(D93="","-",+C101+1)</f>
        <v>2013</v>
      </c>
      <c r="D102" s="508">
        <v>4508321.7427409999</v>
      </c>
      <c r="E102" s="516">
        <v>114169.97619047618</v>
      </c>
      <c r="F102" s="515">
        <v>4394151.7665505242</v>
      </c>
      <c r="G102" s="515">
        <v>4451236.754645762</v>
      </c>
      <c r="H102" s="516">
        <v>716385.37410888227</v>
      </c>
      <c r="I102" s="510">
        <v>716385.37410888227</v>
      </c>
      <c r="J102" s="613">
        <v>0</v>
      </c>
      <c r="K102" s="514"/>
      <c r="L102" s="518">
        <f t="shared" si="29"/>
        <v>716385.37410888227</v>
      </c>
      <c r="M102" s="519">
        <f t="shared" ref="M102:M107" si="35">IF(L102&lt;&gt;0,+H102-L102,0)</f>
        <v>0</v>
      </c>
      <c r="N102" s="518">
        <f t="shared" si="31"/>
        <v>716385.37410888227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4"/>
        <v/>
      </c>
      <c r="C103" s="507">
        <f>IF(D93="","-",+C102+1)</f>
        <v>2014</v>
      </c>
      <c r="D103" s="508">
        <v>4394151.7665505242</v>
      </c>
      <c r="E103" s="516">
        <v>114169.97619047618</v>
      </c>
      <c r="F103" s="515">
        <v>4279981.7903600484</v>
      </c>
      <c r="G103" s="515">
        <v>4337066.7784552863</v>
      </c>
      <c r="H103" s="516">
        <v>703679.09794769238</v>
      </c>
      <c r="I103" s="510">
        <v>703679.09794769238</v>
      </c>
      <c r="J103" s="514">
        <v>0</v>
      </c>
      <c r="K103" s="514"/>
      <c r="L103" s="518">
        <f t="shared" si="29"/>
        <v>703679.09794769238</v>
      </c>
      <c r="M103" s="519">
        <f t="shared" si="35"/>
        <v>0</v>
      </c>
      <c r="N103" s="518">
        <f t="shared" si="31"/>
        <v>703679.09794769238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4"/>
        <v/>
      </c>
      <c r="C104" s="507">
        <f>IF(D93="","-",+C103+1)</f>
        <v>2015</v>
      </c>
      <c r="D104" s="508">
        <v>4279981.7903600484</v>
      </c>
      <c r="E104" s="516">
        <v>114169.97619047618</v>
      </c>
      <c r="F104" s="515">
        <v>4165811.8141695722</v>
      </c>
      <c r="G104" s="515">
        <v>4222896.8022648105</v>
      </c>
      <c r="H104" s="516">
        <v>670616.34920679952</v>
      </c>
      <c r="I104" s="510">
        <v>670616.34920679952</v>
      </c>
      <c r="J104" s="514">
        <f t="shared" si="28"/>
        <v>0</v>
      </c>
      <c r="K104" s="514"/>
      <c r="L104" s="518">
        <f t="shared" si="29"/>
        <v>670616.34920679952</v>
      </c>
      <c r="M104" s="519">
        <f t="shared" si="35"/>
        <v>0</v>
      </c>
      <c r="N104" s="518">
        <f t="shared" si="31"/>
        <v>670616.34920679952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4"/>
        <v/>
      </c>
      <c r="C105" s="507">
        <f>IF(D93="","-",+C104+1)</f>
        <v>2016</v>
      </c>
      <c r="D105" s="508">
        <v>4165811.8141695722</v>
      </c>
      <c r="E105" s="516">
        <v>111514.86046511628</v>
      </c>
      <c r="F105" s="515">
        <v>4054296.9537044559</v>
      </c>
      <c r="G105" s="515">
        <v>4110054.3839370143</v>
      </c>
      <c r="H105" s="516">
        <v>633286.2163704508</v>
      </c>
      <c r="I105" s="510">
        <v>633286.2163704508</v>
      </c>
      <c r="J105" s="514">
        <f t="shared" si="28"/>
        <v>0</v>
      </c>
      <c r="K105" s="514"/>
      <c r="L105" s="518">
        <f>H105</f>
        <v>633286.2163704508</v>
      </c>
      <c r="M105" s="519">
        <f t="shared" si="35"/>
        <v>0</v>
      </c>
      <c r="N105" s="518">
        <f>I105</f>
        <v>633286.2163704508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34"/>
        <v/>
      </c>
      <c r="C106" s="507">
        <f>IF(D93="","-",+C105+1)</f>
        <v>2017</v>
      </c>
      <c r="D106" s="508">
        <v>4054296.9537044559</v>
      </c>
      <c r="E106" s="516">
        <v>114169.97619047618</v>
      </c>
      <c r="F106" s="515">
        <v>3940126.9775139797</v>
      </c>
      <c r="G106" s="515">
        <v>3997211.965609218</v>
      </c>
      <c r="H106" s="516">
        <v>599717.14032488305</v>
      </c>
      <c r="I106" s="510">
        <v>599717.14032488305</v>
      </c>
      <c r="J106" s="514">
        <f t="shared" si="28"/>
        <v>0</v>
      </c>
      <c r="K106" s="514"/>
      <c r="L106" s="518">
        <f>H106</f>
        <v>599717.14032488305</v>
      </c>
      <c r="M106" s="519">
        <f t="shared" si="35"/>
        <v>0</v>
      </c>
      <c r="N106" s="518">
        <f>I106</f>
        <v>599717.14032488305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34"/>
        <v/>
      </c>
      <c r="C107" s="507">
        <f>IF(D93="","-",+C106+1)</f>
        <v>2018</v>
      </c>
      <c r="D107" s="508">
        <v>3940126.9775139797</v>
      </c>
      <c r="E107" s="516">
        <v>114169.97619047618</v>
      </c>
      <c r="F107" s="515">
        <v>3825957.0013235034</v>
      </c>
      <c r="G107" s="515">
        <v>3883041.9894187413</v>
      </c>
      <c r="H107" s="516">
        <v>524237.01720389316</v>
      </c>
      <c r="I107" s="510">
        <v>524237.01720389316</v>
      </c>
      <c r="J107" s="514">
        <f t="shared" si="28"/>
        <v>0</v>
      </c>
      <c r="K107" s="514"/>
      <c r="L107" s="518">
        <f>H107</f>
        <v>524237.01720389316</v>
      </c>
      <c r="M107" s="519">
        <f t="shared" si="35"/>
        <v>0</v>
      </c>
      <c r="N107" s="518">
        <f>I107</f>
        <v>524237.01720389316</v>
      </c>
      <c r="O107" s="514">
        <f t="shared" si="32"/>
        <v>0</v>
      </c>
      <c r="P107" s="514">
        <f t="shared" si="33"/>
        <v>0</v>
      </c>
      <c r="Q107" s="269"/>
    </row>
    <row r="108" spans="1:17" ht="12.5">
      <c r="B108" s="195" t="str">
        <f t="shared" si="34"/>
        <v/>
      </c>
      <c r="C108" s="507">
        <f>IF(D93="","-",+C107+1)</f>
        <v>2019</v>
      </c>
      <c r="D108" s="508">
        <v>3825957.0013235034</v>
      </c>
      <c r="E108" s="516">
        <v>111514.86046511628</v>
      </c>
      <c r="F108" s="515">
        <v>3714442.1408583871</v>
      </c>
      <c r="G108" s="515">
        <v>3770199.571090945</v>
      </c>
      <c r="H108" s="516">
        <v>515079.08312733757</v>
      </c>
      <c r="I108" s="510">
        <v>515079.08312733757</v>
      </c>
      <c r="J108" s="514">
        <f t="shared" si="28"/>
        <v>0</v>
      </c>
      <c r="K108" s="514"/>
      <c r="L108" s="518">
        <f>H108</f>
        <v>515079.08312733757</v>
      </c>
      <c r="M108" s="519">
        <f t="shared" ref="M108:M109" si="36">IF(L108&lt;&gt;0,+H108-L108,0)</f>
        <v>0</v>
      </c>
      <c r="N108" s="518">
        <f>I108</f>
        <v>515079.08312733757</v>
      </c>
      <c r="O108" s="514">
        <f t="shared" si="32"/>
        <v>0</v>
      </c>
      <c r="P108" s="514">
        <f t="shared" si="33"/>
        <v>0</v>
      </c>
      <c r="Q108" s="269"/>
    </row>
    <row r="109" spans="1:17" ht="12.5">
      <c r="B109" s="195" t="str">
        <f t="shared" si="34"/>
        <v/>
      </c>
      <c r="C109" s="507">
        <f>IF(D93="","-",+C108+1)</f>
        <v>2020</v>
      </c>
      <c r="D109" s="508">
        <v>3714442.1408583871</v>
      </c>
      <c r="E109" s="516">
        <v>114169.97619047618</v>
      </c>
      <c r="F109" s="515">
        <v>3600272.1646679109</v>
      </c>
      <c r="G109" s="515">
        <v>3657357.1527631488</v>
      </c>
      <c r="H109" s="516">
        <v>507605.90193719347</v>
      </c>
      <c r="I109" s="510">
        <v>507605.90193719347</v>
      </c>
      <c r="J109" s="514">
        <f t="shared" si="28"/>
        <v>0</v>
      </c>
      <c r="K109" s="514"/>
      <c r="L109" s="518">
        <f>H109</f>
        <v>507605.90193719347</v>
      </c>
      <c r="M109" s="519">
        <f t="shared" si="36"/>
        <v>0</v>
      </c>
      <c r="N109" s="518">
        <f>I109</f>
        <v>507605.90193719347</v>
      </c>
      <c r="O109" s="514">
        <f t="shared" si="32"/>
        <v>0</v>
      </c>
      <c r="P109" s="514">
        <f t="shared" si="33"/>
        <v>0</v>
      </c>
      <c r="Q109" s="269"/>
    </row>
    <row r="110" spans="1:17" ht="12.5">
      <c r="B110" s="195" t="str">
        <f t="shared" si="34"/>
        <v/>
      </c>
      <c r="C110" s="507">
        <f>IF(D93="","-",+C109+1)</f>
        <v>2021</v>
      </c>
      <c r="D110" s="374">
        <f>IF(F109+SUM(E$99:E109)=D$92,F109,D$92-SUM(E$99:E109))</f>
        <v>3600272.1646679109</v>
      </c>
      <c r="E110" s="522">
        <f>IF(+J96&lt;F109,J96,D110)</f>
        <v>116954.60975609756</v>
      </c>
      <c r="F110" s="523">
        <f t="shared" ref="F110:F131" si="37">+D110-E110</f>
        <v>3483317.5549118132</v>
      </c>
      <c r="G110" s="523">
        <f t="shared" ref="G110:G130" si="38">+(F110+D110)/2</f>
        <v>3541794.8597898623</v>
      </c>
      <c r="H110" s="526">
        <f t="shared" ref="H110:H130" si="39">+J$94*G110+E110</f>
        <v>518998.71323275828</v>
      </c>
      <c r="I110" s="577">
        <f t="shared" ref="I110:I130" si="40">+J$95*G110+E110</f>
        <v>518998.71323275828</v>
      </c>
      <c r="J110" s="514">
        <f t="shared" si="28"/>
        <v>0</v>
      </c>
      <c r="K110" s="514"/>
      <c r="L110" s="525"/>
      <c r="M110" s="514">
        <f t="shared" si="30"/>
        <v>0</v>
      </c>
      <c r="N110" s="525"/>
      <c r="O110" s="514">
        <f t="shared" si="32"/>
        <v>0</v>
      </c>
      <c r="P110" s="514">
        <f t="shared" si="33"/>
        <v>0</v>
      </c>
      <c r="Q110" s="269"/>
    </row>
    <row r="111" spans="1:17" ht="12.5">
      <c r="B111" s="195" t="str">
        <f t="shared" si="34"/>
        <v/>
      </c>
      <c r="C111" s="507">
        <f>IF(D93="","-",+C110+1)</f>
        <v>2022</v>
      </c>
      <c r="D111" s="374">
        <f>IF(F110+SUM(E$99:E110)=D$92,F110,D$92-SUM(E$99:E110))</f>
        <v>3483317.5549118132</v>
      </c>
      <c r="E111" s="522">
        <f>IF(+J96&lt;F110,J96,D111)</f>
        <v>116954.60975609756</v>
      </c>
      <c r="F111" s="523">
        <f t="shared" si="37"/>
        <v>3366362.9451557156</v>
      </c>
      <c r="G111" s="523">
        <f t="shared" si="38"/>
        <v>3424840.2500337642</v>
      </c>
      <c r="H111" s="526">
        <f t="shared" si="39"/>
        <v>505722.70118567912</v>
      </c>
      <c r="I111" s="577">
        <f t="shared" si="40"/>
        <v>505722.70118567912</v>
      </c>
      <c r="J111" s="514">
        <f t="shared" si="28"/>
        <v>0</v>
      </c>
      <c r="K111" s="514"/>
      <c r="L111" s="525"/>
      <c r="M111" s="514">
        <f t="shared" si="30"/>
        <v>0</v>
      </c>
      <c r="N111" s="525"/>
      <c r="O111" s="514">
        <f t="shared" si="32"/>
        <v>0</v>
      </c>
      <c r="P111" s="514">
        <f t="shared" si="33"/>
        <v>0</v>
      </c>
      <c r="Q111" s="269"/>
    </row>
    <row r="112" spans="1:17" ht="12.5">
      <c r="B112" s="195" t="str">
        <f t="shared" si="34"/>
        <v/>
      </c>
      <c r="C112" s="507">
        <f>IF(D93="","-",+C111+1)</f>
        <v>2023</v>
      </c>
      <c r="D112" s="374">
        <f>IF(F111+SUM(E$99:E111)=D$92,F111,D$92-SUM(E$99:E111))</f>
        <v>3366362.9451557156</v>
      </c>
      <c r="E112" s="522">
        <f>IF(+J96&lt;F111,J96,D112)</f>
        <v>116954.60975609756</v>
      </c>
      <c r="F112" s="523">
        <f t="shared" si="37"/>
        <v>3249408.3353996179</v>
      </c>
      <c r="G112" s="523">
        <f t="shared" si="38"/>
        <v>3307885.640277667</v>
      </c>
      <c r="H112" s="526">
        <f t="shared" si="39"/>
        <v>492446.68913860014</v>
      </c>
      <c r="I112" s="577">
        <f t="shared" si="40"/>
        <v>492446.68913860014</v>
      </c>
      <c r="J112" s="514">
        <f t="shared" si="28"/>
        <v>0</v>
      </c>
      <c r="K112" s="514"/>
      <c r="L112" s="525"/>
      <c r="M112" s="514">
        <f t="shared" si="30"/>
        <v>0</v>
      </c>
      <c r="N112" s="525"/>
      <c r="O112" s="514">
        <f t="shared" si="32"/>
        <v>0</v>
      </c>
      <c r="P112" s="514">
        <f t="shared" si="33"/>
        <v>0</v>
      </c>
      <c r="Q112" s="269"/>
    </row>
    <row r="113" spans="2:17" ht="12.5">
      <c r="B113" s="195" t="str">
        <f t="shared" si="34"/>
        <v/>
      </c>
      <c r="C113" s="507">
        <f>IF(D93="","-",+C112+1)</f>
        <v>2024</v>
      </c>
      <c r="D113" s="374">
        <f>IF(F112+SUM(E$99:E112)=D$92,F112,D$92-SUM(E$99:E112))</f>
        <v>3249408.3353996179</v>
      </c>
      <c r="E113" s="522">
        <f>IF(+J96&lt;F112,J96,D113)</f>
        <v>116954.60975609756</v>
      </c>
      <c r="F113" s="523">
        <f t="shared" si="37"/>
        <v>3132453.7256435202</v>
      </c>
      <c r="G113" s="523">
        <f t="shared" si="38"/>
        <v>3190931.0305215688</v>
      </c>
      <c r="H113" s="526">
        <f t="shared" si="39"/>
        <v>479170.67709152098</v>
      </c>
      <c r="I113" s="577">
        <f t="shared" si="40"/>
        <v>479170.67709152098</v>
      </c>
      <c r="J113" s="514">
        <f t="shared" si="28"/>
        <v>0</v>
      </c>
      <c r="K113" s="514"/>
      <c r="L113" s="525"/>
      <c r="M113" s="514">
        <f t="shared" si="30"/>
        <v>0</v>
      </c>
      <c r="N113" s="525"/>
      <c r="O113" s="514">
        <f t="shared" si="32"/>
        <v>0</v>
      </c>
      <c r="P113" s="514">
        <f t="shared" si="33"/>
        <v>0</v>
      </c>
      <c r="Q113" s="269"/>
    </row>
    <row r="114" spans="2:17" ht="12.5">
      <c r="B114" s="195" t="str">
        <f t="shared" si="34"/>
        <v/>
      </c>
      <c r="C114" s="507">
        <f>IF(D93="","-",+C113+1)</f>
        <v>2025</v>
      </c>
      <c r="D114" s="374">
        <f>IF(F113+SUM(E$99:E113)=D$92,F113,D$92-SUM(E$99:E113))</f>
        <v>3132453.7256435202</v>
      </c>
      <c r="E114" s="522">
        <f>IF(+J96&lt;F113,J96,D114)</f>
        <v>116954.60975609756</v>
      </c>
      <c r="F114" s="523">
        <f t="shared" si="37"/>
        <v>3015499.1158874226</v>
      </c>
      <c r="G114" s="523">
        <f t="shared" si="38"/>
        <v>3073976.4207654716</v>
      </c>
      <c r="H114" s="526">
        <f t="shared" si="39"/>
        <v>465894.66504444194</v>
      </c>
      <c r="I114" s="577">
        <f t="shared" si="40"/>
        <v>465894.66504444194</v>
      </c>
      <c r="J114" s="514">
        <f t="shared" si="28"/>
        <v>0</v>
      </c>
      <c r="K114" s="514"/>
      <c r="L114" s="525"/>
      <c r="M114" s="514">
        <f t="shared" si="30"/>
        <v>0</v>
      </c>
      <c r="N114" s="525"/>
      <c r="O114" s="514">
        <f t="shared" si="32"/>
        <v>0</v>
      </c>
      <c r="P114" s="514">
        <f t="shared" si="33"/>
        <v>0</v>
      </c>
      <c r="Q114" s="269"/>
    </row>
    <row r="115" spans="2:17" ht="12.5">
      <c r="B115" s="195" t="str">
        <f t="shared" si="34"/>
        <v/>
      </c>
      <c r="C115" s="507">
        <f>IF(D93="","-",+C114+1)</f>
        <v>2026</v>
      </c>
      <c r="D115" s="374">
        <f>IF(F114+SUM(E$99:E114)=D$92,F114,D$92-SUM(E$99:E114))</f>
        <v>3015499.1158874226</v>
      </c>
      <c r="E115" s="522">
        <f>IF(+J96&lt;F114,J96,D115)</f>
        <v>116954.60975609756</v>
      </c>
      <c r="F115" s="523">
        <f t="shared" si="37"/>
        <v>2898544.5061313249</v>
      </c>
      <c r="G115" s="523">
        <f t="shared" si="38"/>
        <v>2957021.8110093735</v>
      </c>
      <c r="H115" s="526">
        <f t="shared" si="39"/>
        <v>452618.65299736278</v>
      </c>
      <c r="I115" s="577">
        <f t="shared" si="40"/>
        <v>452618.65299736278</v>
      </c>
      <c r="J115" s="514">
        <f t="shared" si="28"/>
        <v>0</v>
      </c>
      <c r="K115" s="514"/>
      <c r="L115" s="525"/>
      <c r="M115" s="514">
        <f t="shared" si="30"/>
        <v>0</v>
      </c>
      <c r="N115" s="525"/>
      <c r="O115" s="514">
        <f t="shared" si="32"/>
        <v>0</v>
      </c>
      <c r="P115" s="514">
        <f t="shared" si="33"/>
        <v>0</v>
      </c>
      <c r="Q115" s="269"/>
    </row>
    <row r="116" spans="2:17" ht="12.5">
      <c r="B116" s="195" t="str">
        <f t="shared" si="34"/>
        <v/>
      </c>
      <c r="C116" s="507">
        <f>IF(D93="","-",+C115+1)</f>
        <v>2027</v>
      </c>
      <c r="D116" s="374">
        <f>IF(F115+SUM(E$99:E115)=D$92,F115,D$92-SUM(E$99:E115))</f>
        <v>2898544.5061313249</v>
      </c>
      <c r="E116" s="522">
        <f>IF(+J96&lt;F115,J96,D116)</f>
        <v>116954.60975609756</v>
      </c>
      <c r="F116" s="523">
        <f t="shared" si="37"/>
        <v>2781589.8963752273</v>
      </c>
      <c r="G116" s="523">
        <f t="shared" si="38"/>
        <v>2840067.2012532763</v>
      </c>
      <c r="H116" s="526">
        <f t="shared" si="39"/>
        <v>439342.64095028373</v>
      </c>
      <c r="I116" s="577">
        <f t="shared" si="40"/>
        <v>439342.64095028373</v>
      </c>
      <c r="J116" s="514">
        <f t="shared" si="28"/>
        <v>0</v>
      </c>
      <c r="K116" s="514"/>
      <c r="L116" s="525"/>
      <c r="M116" s="514">
        <f t="shared" si="30"/>
        <v>0</v>
      </c>
      <c r="N116" s="525"/>
      <c r="O116" s="514">
        <f t="shared" si="32"/>
        <v>0</v>
      </c>
      <c r="P116" s="514">
        <f t="shared" si="33"/>
        <v>0</v>
      </c>
      <c r="Q116" s="269"/>
    </row>
    <row r="117" spans="2:17" ht="12.5">
      <c r="B117" s="195" t="str">
        <f t="shared" si="34"/>
        <v/>
      </c>
      <c r="C117" s="507">
        <f>IF(D93="","-",+C116+1)</f>
        <v>2028</v>
      </c>
      <c r="D117" s="374">
        <f>IF(F116+SUM(E$99:E116)=D$92,F116,D$92-SUM(E$99:E116))</f>
        <v>2781589.8963752273</v>
      </c>
      <c r="E117" s="522">
        <f>IF(+J96&lt;F116,J96,D117)</f>
        <v>116954.60975609756</v>
      </c>
      <c r="F117" s="523">
        <f t="shared" si="37"/>
        <v>2664635.2866191296</v>
      </c>
      <c r="G117" s="523">
        <f t="shared" si="38"/>
        <v>2723112.5914971782</v>
      </c>
      <c r="H117" s="526">
        <f t="shared" si="39"/>
        <v>426066.62890320463</v>
      </c>
      <c r="I117" s="577">
        <f t="shared" si="40"/>
        <v>426066.62890320463</v>
      </c>
      <c r="J117" s="514">
        <f t="shared" si="28"/>
        <v>0</v>
      </c>
      <c r="K117" s="514"/>
      <c r="L117" s="525"/>
      <c r="M117" s="514">
        <f t="shared" si="30"/>
        <v>0</v>
      </c>
      <c r="N117" s="525"/>
      <c r="O117" s="514">
        <f t="shared" si="32"/>
        <v>0</v>
      </c>
      <c r="P117" s="514">
        <f t="shared" si="33"/>
        <v>0</v>
      </c>
      <c r="Q117" s="269"/>
    </row>
    <row r="118" spans="2:17" ht="12.5">
      <c r="B118" s="195" t="str">
        <f t="shared" si="34"/>
        <v/>
      </c>
      <c r="C118" s="507">
        <f>IF(D93="","-",+C117+1)</f>
        <v>2029</v>
      </c>
      <c r="D118" s="374">
        <f>IF(F117+SUM(E$99:E117)=D$92,F117,D$92-SUM(E$99:E117))</f>
        <v>2664635.2866191296</v>
      </c>
      <c r="E118" s="522">
        <f>IF(+J96&lt;F117,J96,D118)</f>
        <v>116954.60975609756</v>
      </c>
      <c r="F118" s="523">
        <f t="shared" si="37"/>
        <v>2547680.6768630319</v>
      </c>
      <c r="G118" s="523">
        <f t="shared" si="38"/>
        <v>2606157.981741081</v>
      </c>
      <c r="H118" s="526">
        <f t="shared" si="39"/>
        <v>412790.61685612559</v>
      </c>
      <c r="I118" s="577">
        <f t="shared" si="40"/>
        <v>412790.61685612559</v>
      </c>
      <c r="J118" s="514">
        <f t="shared" si="28"/>
        <v>0</v>
      </c>
      <c r="K118" s="514"/>
      <c r="L118" s="525"/>
      <c r="M118" s="514">
        <f t="shared" si="30"/>
        <v>0</v>
      </c>
      <c r="N118" s="525"/>
      <c r="O118" s="514">
        <f t="shared" si="32"/>
        <v>0</v>
      </c>
      <c r="P118" s="514">
        <f t="shared" si="33"/>
        <v>0</v>
      </c>
      <c r="Q118" s="269"/>
    </row>
    <row r="119" spans="2:17" ht="12.5">
      <c r="B119" s="195" t="str">
        <f t="shared" si="34"/>
        <v/>
      </c>
      <c r="C119" s="507">
        <f>IF(D93="","-",+C118+1)</f>
        <v>2030</v>
      </c>
      <c r="D119" s="374">
        <f>IF(F118+SUM(E$99:E118)=D$92,F118,D$92-SUM(E$99:E118))</f>
        <v>2547680.6768630319</v>
      </c>
      <c r="E119" s="522">
        <f>IF(+J96&lt;F118,J96,D119)</f>
        <v>116954.60975609756</v>
      </c>
      <c r="F119" s="523">
        <f t="shared" si="37"/>
        <v>2430726.0671069343</v>
      </c>
      <c r="G119" s="523">
        <f t="shared" si="38"/>
        <v>2489203.3719849829</v>
      </c>
      <c r="H119" s="526">
        <f t="shared" si="39"/>
        <v>399514.60480904643</v>
      </c>
      <c r="I119" s="577">
        <f t="shared" si="40"/>
        <v>399514.60480904643</v>
      </c>
      <c r="J119" s="514">
        <f t="shared" si="28"/>
        <v>0</v>
      </c>
      <c r="K119" s="514"/>
      <c r="L119" s="525"/>
      <c r="M119" s="514">
        <f t="shared" si="30"/>
        <v>0</v>
      </c>
      <c r="N119" s="525"/>
      <c r="O119" s="514">
        <f t="shared" si="32"/>
        <v>0</v>
      </c>
      <c r="P119" s="514">
        <f t="shared" si="33"/>
        <v>0</v>
      </c>
      <c r="Q119" s="269"/>
    </row>
    <row r="120" spans="2:17" ht="12.5">
      <c r="B120" s="195" t="str">
        <f t="shared" si="34"/>
        <v/>
      </c>
      <c r="C120" s="507">
        <f>IF(D93="","-",+C119+1)</f>
        <v>2031</v>
      </c>
      <c r="D120" s="374">
        <f>IF(F119+SUM(E$99:E119)=D$92,F119,D$92-SUM(E$99:E119))</f>
        <v>2430726.0671069343</v>
      </c>
      <c r="E120" s="522">
        <f>IF(+J96&lt;F119,J96,D120)</f>
        <v>116954.60975609756</v>
      </c>
      <c r="F120" s="523">
        <f t="shared" si="37"/>
        <v>2313771.4573508366</v>
      </c>
      <c r="G120" s="523">
        <f t="shared" si="38"/>
        <v>2372248.7622288857</v>
      </c>
      <c r="H120" s="526">
        <f t="shared" si="39"/>
        <v>386238.59276196739</v>
      </c>
      <c r="I120" s="577">
        <f t="shared" si="40"/>
        <v>386238.59276196739</v>
      </c>
      <c r="J120" s="514">
        <f t="shared" si="28"/>
        <v>0</v>
      </c>
      <c r="K120" s="514"/>
      <c r="L120" s="525"/>
      <c r="M120" s="514">
        <f t="shared" si="30"/>
        <v>0</v>
      </c>
      <c r="N120" s="525"/>
      <c r="O120" s="514">
        <f t="shared" si="32"/>
        <v>0</v>
      </c>
      <c r="P120" s="514">
        <f t="shared" si="33"/>
        <v>0</v>
      </c>
      <c r="Q120" s="269"/>
    </row>
    <row r="121" spans="2:17" ht="12.5">
      <c r="B121" s="195" t="str">
        <f t="shared" si="34"/>
        <v/>
      </c>
      <c r="C121" s="507">
        <f>IF(D93="","-",+C120+1)</f>
        <v>2032</v>
      </c>
      <c r="D121" s="374">
        <f>IF(F120+SUM(E$99:E120)=D$92,F120,D$92-SUM(E$99:E120))</f>
        <v>2313771.4573508366</v>
      </c>
      <c r="E121" s="522">
        <f>IF(+J96&lt;F120,J96,D121)</f>
        <v>116954.60975609756</v>
      </c>
      <c r="F121" s="523">
        <f t="shared" si="37"/>
        <v>2196816.8475947389</v>
      </c>
      <c r="G121" s="523">
        <f t="shared" si="38"/>
        <v>2255294.1524727875</v>
      </c>
      <c r="H121" s="526">
        <f t="shared" si="39"/>
        <v>372962.58071488829</v>
      </c>
      <c r="I121" s="577">
        <f t="shared" si="40"/>
        <v>372962.58071488829</v>
      </c>
      <c r="J121" s="514">
        <f t="shared" si="28"/>
        <v>0</v>
      </c>
      <c r="K121" s="514"/>
      <c r="L121" s="525"/>
      <c r="M121" s="514">
        <f t="shared" si="30"/>
        <v>0</v>
      </c>
      <c r="N121" s="525"/>
      <c r="O121" s="514">
        <f t="shared" si="32"/>
        <v>0</v>
      </c>
      <c r="P121" s="514">
        <f t="shared" si="33"/>
        <v>0</v>
      </c>
      <c r="Q121" s="269"/>
    </row>
    <row r="122" spans="2:17" ht="12.5">
      <c r="B122" s="195" t="str">
        <f t="shared" si="34"/>
        <v/>
      </c>
      <c r="C122" s="507">
        <f>IF(D93="","-",+C121+1)</f>
        <v>2033</v>
      </c>
      <c r="D122" s="374">
        <f>IF(F121+SUM(E$99:E121)=D$92,F121,D$92-SUM(E$99:E121))</f>
        <v>2196816.8475947389</v>
      </c>
      <c r="E122" s="522">
        <f>IF(+J96&lt;F121,J96,D122)</f>
        <v>116954.60975609756</v>
      </c>
      <c r="F122" s="523">
        <f t="shared" si="37"/>
        <v>2079862.2378386413</v>
      </c>
      <c r="G122" s="523">
        <f t="shared" si="38"/>
        <v>2138339.5427166903</v>
      </c>
      <c r="H122" s="526">
        <f t="shared" si="39"/>
        <v>359686.56866780925</v>
      </c>
      <c r="I122" s="577">
        <f t="shared" si="40"/>
        <v>359686.56866780925</v>
      </c>
      <c r="J122" s="514">
        <f t="shared" si="28"/>
        <v>0</v>
      </c>
      <c r="K122" s="514"/>
      <c r="L122" s="525"/>
      <c r="M122" s="514">
        <f t="shared" si="30"/>
        <v>0</v>
      </c>
      <c r="N122" s="525"/>
      <c r="O122" s="514">
        <f t="shared" si="32"/>
        <v>0</v>
      </c>
      <c r="P122" s="514">
        <f t="shared" si="33"/>
        <v>0</v>
      </c>
      <c r="Q122" s="269"/>
    </row>
    <row r="123" spans="2:17" ht="12.5">
      <c r="B123" s="195" t="str">
        <f t="shared" si="34"/>
        <v/>
      </c>
      <c r="C123" s="507">
        <f>IF(D93="","-",+C122+1)</f>
        <v>2034</v>
      </c>
      <c r="D123" s="374">
        <f>IF(F122+SUM(E$99:E122)=D$92,F122,D$92-SUM(E$99:E122))</f>
        <v>2079862.2378386413</v>
      </c>
      <c r="E123" s="522">
        <f>IF(+J96&lt;F122,J96,D123)</f>
        <v>116954.60975609756</v>
      </c>
      <c r="F123" s="523">
        <f t="shared" si="37"/>
        <v>1962907.6280825436</v>
      </c>
      <c r="G123" s="523">
        <f t="shared" si="38"/>
        <v>2021384.9329605924</v>
      </c>
      <c r="H123" s="526">
        <f t="shared" si="39"/>
        <v>346410.55662073015</v>
      </c>
      <c r="I123" s="577">
        <f t="shared" si="40"/>
        <v>346410.55662073015</v>
      </c>
      <c r="J123" s="514">
        <f t="shared" si="28"/>
        <v>0</v>
      </c>
      <c r="K123" s="514"/>
      <c r="L123" s="525"/>
      <c r="M123" s="514">
        <f t="shared" si="30"/>
        <v>0</v>
      </c>
      <c r="N123" s="525"/>
      <c r="O123" s="514">
        <f t="shared" si="32"/>
        <v>0</v>
      </c>
      <c r="P123" s="514">
        <f t="shared" si="33"/>
        <v>0</v>
      </c>
      <c r="Q123" s="269"/>
    </row>
    <row r="124" spans="2:17" ht="12.5">
      <c r="B124" s="195" t="str">
        <f t="shared" si="34"/>
        <v/>
      </c>
      <c r="C124" s="507">
        <f>IF(D93="","-",+C123+1)</f>
        <v>2035</v>
      </c>
      <c r="D124" s="374">
        <f>IF(F123+SUM(E$99:E123)=D$92,F123,D$92-SUM(E$99:E123))</f>
        <v>1962907.6280825436</v>
      </c>
      <c r="E124" s="522">
        <f>IF(+J96&lt;F123,J96,D124)</f>
        <v>116954.60975609756</v>
      </c>
      <c r="F124" s="523">
        <f t="shared" si="37"/>
        <v>1845953.0183264459</v>
      </c>
      <c r="G124" s="523">
        <f t="shared" si="38"/>
        <v>1904430.3232044948</v>
      </c>
      <c r="H124" s="526">
        <f t="shared" si="39"/>
        <v>333134.54457365104</v>
      </c>
      <c r="I124" s="577">
        <f t="shared" si="40"/>
        <v>333134.54457365104</v>
      </c>
      <c r="J124" s="514">
        <f t="shared" si="28"/>
        <v>0</v>
      </c>
      <c r="K124" s="514"/>
      <c r="L124" s="525"/>
      <c r="M124" s="514">
        <f t="shared" si="30"/>
        <v>0</v>
      </c>
      <c r="N124" s="525"/>
      <c r="O124" s="514">
        <f t="shared" si="32"/>
        <v>0</v>
      </c>
      <c r="P124" s="514">
        <f t="shared" si="33"/>
        <v>0</v>
      </c>
      <c r="Q124" s="269"/>
    </row>
    <row r="125" spans="2:17" ht="12.5">
      <c r="B125" s="195" t="str">
        <f t="shared" si="34"/>
        <v/>
      </c>
      <c r="C125" s="507">
        <f>IF(D93="","-",+C124+1)</f>
        <v>2036</v>
      </c>
      <c r="D125" s="374">
        <f>IF(F124+SUM(E$99:E124)=D$92,F124,D$92-SUM(E$99:E124))</f>
        <v>1845953.0183264459</v>
      </c>
      <c r="E125" s="522">
        <f>IF(+J96&lt;F124,J96,D125)</f>
        <v>116954.60975609756</v>
      </c>
      <c r="F125" s="523">
        <f t="shared" si="37"/>
        <v>1728998.4085703483</v>
      </c>
      <c r="G125" s="523">
        <f t="shared" si="38"/>
        <v>1787475.7134483971</v>
      </c>
      <c r="H125" s="526">
        <f t="shared" si="39"/>
        <v>319858.53252657194</v>
      </c>
      <c r="I125" s="577">
        <f t="shared" si="40"/>
        <v>319858.53252657194</v>
      </c>
      <c r="J125" s="514">
        <f t="shared" si="28"/>
        <v>0</v>
      </c>
      <c r="K125" s="514"/>
      <c r="L125" s="525"/>
      <c r="M125" s="514">
        <f t="shared" si="30"/>
        <v>0</v>
      </c>
      <c r="N125" s="525"/>
      <c r="O125" s="514">
        <f t="shared" si="32"/>
        <v>0</v>
      </c>
      <c r="P125" s="514">
        <f t="shared" si="33"/>
        <v>0</v>
      </c>
      <c r="Q125" s="269"/>
    </row>
    <row r="126" spans="2:17" ht="12.5">
      <c r="B126" s="195" t="str">
        <f t="shared" si="34"/>
        <v/>
      </c>
      <c r="C126" s="507">
        <f>IF(D93="","-",+C125+1)</f>
        <v>2037</v>
      </c>
      <c r="D126" s="374">
        <f>IF(F125+SUM(E$99:E125)=D$92,F125,D$92-SUM(E$99:E125))</f>
        <v>1728998.4085703483</v>
      </c>
      <c r="E126" s="522">
        <f>IF(+J96&lt;F125,J96,D126)</f>
        <v>116954.60975609756</v>
      </c>
      <c r="F126" s="523">
        <f t="shared" si="37"/>
        <v>1612043.7988142506</v>
      </c>
      <c r="G126" s="523">
        <f t="shared" si="38"/>
        <v>1670521.1036922995</v>
      </c>
      <c r="H126" s="526">
        <f t="shared" si="39"/>
        <v>306582.52047949284</v>
      </c>
      <c r="I126" s="577">
        <f t="shared" si="40"/>
        <v>306582.52047949284</v>
      </c>
      <c r="J126" s="514">
        <f t="shared" si="28"/>
        <v>0</v>
      </c>
      <c r="K126" s="514"/>
      <c r="L126" s="525"/>
      <c r="M126" s="514">
        <f t="shared" si="30"/>
        <v>0</v>
      </c>
      <c r="N126" s="525"/>
      <c r="O126" s="514">
        <f t="shared" si="32"/>
        <v>0</v>
      </c>
      <c r="P126" s="514">
        <f t="shared" si="33"/>
        <v>0</v>
      </c>
      <c r="Q126" s="269"/>
    </row>
    <row r="127" spans="2:17" ht="12.5">
      <c r="B127" s="195" t="str">
        <f t="shared" si="34"/>
        <v/>
      </c>
      <c r="C127" s="507">
        <f>IF(D93="","-",+C126+1)</f>
        <v>2038</v>
      </c>
      <c r="D127" s="374">
        <f>IF(F126+SUM(E$99:E126)=D$92,F126,D$92-SUM(E$99:E126))</f>
        <v>1612043.7988142506</v>
      </c>
      <c r="E127" s="522">
        <f>IF(+J96&lt;F126,J96,D127)</f>
        <v>116954.60975609756</v>
      </c>
      <c r="F127" s="523">
        <f t="shared" si="37"/>
        <v>1495089.189058153</v>
      </c>
      <c r="G127" s="523">
        <f t="shared" si="38"/>
        <v>1553566.4939362018</v>
      </c>
      <c r="H127" s="526">
        <f t="shared" si="39"/>
        <v>293306.50843241374</v>
      </c>
      <c r="I127" s="577">
        <f t="shared" si="40"/>
        <v>293306.50843241374</v>
      </c>
      <c r="J127" s="514">
        <f t="shared" si="28"/>
        <v>0</v>
      </c>
      <c r="K127" s="514"/>
      <c r="L127" s="525"/>
      <c r="M127" s="514">
        <f t="shared" si="30"/>
        <v>0</v>
      </c>
      <c r="N127" s="525"/>
      <c r="O127" s="514">
        <f t="shared" si="32"/>
        <v>0</v>
      </c>
      <c r="P127" s="514">
        <f t="shared" si="33"/>
        <v>0</v>
      </c>
      <c r="Q127" s="269"/>
    </row>
    <row r="128" spans="2:17" ht="12.5">
      <c r="B128" s="195" t="str">
        <f t="shared" si="34"/>
        <v/>
      </c>
      <c r="C128" s="507">
        <f>IF(D93="","-",+C127+1)</f>
        <v>2039</v>
      </c>
      <c r="D128" s="374">
        <f>IF(F127+SUM(E$99:E127)=D$92,F127,D$92-SUM(E$99:E127))</f>
        <v>1495089.189058153</v>
      </c>
      <c r="E128" s="522">
        <f>IF(+J96&lt;F127,J96,D128)</f>
        <v>116954.60975609756</v>
      </c>
      <c r="F128" s="523">
        <f t="shared" si="37"/>
        <v>1378134.5793020553</v>
      </c>
      <c r="G128" s="523">
        <f t="shared" si="38"/>
        <v>1436611.8841801041</v>
      </c>
      <c r="H128" s="526">
        <f t="shared" si="39"/>
        <v>280030.4963853347</v>
      </c>
      <c r="I128" s="577">
        <f t="shared" si="40"/>
        <v>280030.4963853347</v>
      </c>
      <c r="J128" s="514">
        <f t="shared" si="28"/>
        <v>0</v>
      </c>
      <c r="K128" s="514"/>
      <c r="L128" s="525"/>
      <c r="M128" s="514">
        <f t="shared" si="30"/>
        <v>0</v>
      </c>
      <c r="N128" s="525"/>
      <c r="O128" s="514">
        <f t="shared" si="32"/>
        <v>0</v>
      </c>
      <c r="P128" s="514">
        <f t="shared" si="33"/>
        <v>0</v>
      </c>
      <c r="Q128" s="269"/>
    </row>
    <row r="129" spans="2:17" ht="12.5">
      <c r="B129" s="195" t="str">
        <f t="shared" si="34"/>
        <v/>
      </c>
      <c r="C129" s="507">
        <f>IF(D93="","-",+C128+1)</f>
        <v>2040</v>
      </c>
      <c r="D129" s="374">
        <f>IF(F128+SUM(E$99:E128)=D$92,F128,D$92-SUM(E$99:E128))</f>
        <v>1378134.5793020553</v>
      </c>
      <c r="E129" s="522">
        <f>IF(+J96&lt;F128,J96,D129)</f>
        <v>116954.60975609756</v>
      </c>
      <c r="F129" s="523">
        <f t="shared" si="37"/>
        <v>1261179.9695459576</v>
      </c>
      <c r="G129" s="523">
        <f t="shared" si="38"/>
        <v>1319657.2744240065</v>
      </c>
      <c r="H129" s="526">
        <f t="shared" si="39"/>
        <v>266754.4843382556</v>
      </c>
      <c r="I129" s="577">
        <f t="shared" si="40"/>
        <v>266754.4843382556</v>
      </c>
      <c r="J129" s="514">
        <f t="shared" si="28"/>
        <v>0</v>
      </c>
      <c r="K129" s="514"/>
      <c r="L129" s="525"/>
      <c r="M129" s="514">
        <f t="shared" si="30"/>
        <v>0</v>
      </c>
      <c r="N129" s="525"/>
      <c r="O129" s="514">
        <f t="shared" si="32"/>
        <v>0</v>
      </c>
      <c r="P129" s="514">
        <f t="shared" si="33"/>
        <v>0</v>
      </c>
      <c r="Q129" s="269"/>
    </row>
    <row r="130" spans="2:17" ht="12.5">
      <c r="B130" s="195" t="str">
        <f t="shared" si="34"/>
        <v/>
      </c>
      <c r="C130" s="507">
        <f>IF(D93="","-",+C129+1)</f>
        <v>2041</v>
      </c>
      <c r="D130" s="374">
        <f>IF(F129+SUM(E$99:E129)=D$92,F129,D$92-SUM(E$99:E129))</f>
        <v>1261179.9695459576</v>
      </c>
      <c r="E130" s="522">
        <f>IF(+J96&lt;F129,J96,D130)</f>
        <v>116954.60975609756</v>
      </c>
      <c r="F130" s="523">
        <f t="shared" si="37"/>
        <v>1144225.35978986</v>
      </c>
      <c r="G130" s="523">
        <f t="shared" si="38"/>
        <v>1202702.6646679088</v>
      </c>
      <c r="H130" s="526">
        <f t="shared" si="39"/>
        <v>253478.4722911765</v>
      </c>
      <c r="I130" s="577">
        <f t="shared" si="40"/>
        <v>253478.4722911765</v>
      </c>
      <c r="J130" s="514">
        <f t="shared" si="28"/>
        <v>0</v>
      </c>
      <c r="K130" s="514"/>
      <c r="L130" s="525"/>
      <c r="M130" s="514">
        <f t="shared" si="30"/>
        <v>0</v>
      </c>
      <c r="N130" s="525"/>
      <c r="O130" s="514">
        <f t="shared" si="32"/>
        <v>0</v>
      </c>
      <c r="P130" s="514">
        <f t="shared" si="33"/>
        <v>0</v>
      </c>
      <c r="Q130" s="269"/>
    </row>
    <row r="131" spans="2:17" ht="12.5">
      <c r="B131" s="195" t="str">
        <f t="shared" si="34"/>
        <v/>
      </c>
      <c r="C131" s="507">
        <f>IF(D93="","-",+C130+1)</f>
        <v>2042</v>
      </c>
      <c r="D131" s="374">
        <f>IF(F130+SUM(E$99:E130)=D$92,F130,D$92-SUM(E$99:E130))</f>
        <v>1144225.35978986</v>
      </c>
      <c r="E131" s="522">
        <f>IF(+J96&lt;F130,J96,D131)</f>
        <v>116954.60975609756</v>
      </c>
      <c r="F131" s="523">
        <f t="shared" si="37"/>
        <v>1027270.7500337624</v>
      </c>
      <c r="G131" s="523">
        <f t="shared" ref="G131:G154" si="41">+(F131+D131)/2</f>
        <v>1085748.0549118111</v>
      </c>
      <c r="H131" s="526">
        <f t="shared" ref="H131:H154" si="42">+J$94*G131+E131</f>
        <v>240202.4602440974</v>
      </c>
      <c r="I131" s="577">
        <f t="shared" ref="I131:I154" si="43">+J$95*G131+E131</f>
        <v>240202.4602440974</v>
      </c>
      <c r="J131" s="514">
        <f t="shared" ref="J131:J154" si="44">+I131-H131</f>
        <v>0</v>
      </c>
      <c r="K131" s="514"/>
      <c r="L131" s="525"/>
      <c r="M131" s="514">
        <f t="shared" ref="M131:M154" si="45">IF(L131&lt;&gt;0,+H131-L131,0)</f>
        <v>0</v>
      </c>
      <c r="N131" s="525"/>
      <c r="O131" s="514">
        <f t="shared" ref="O131:O154" si="46">IF(N131&lt;&gt;0,+I131-N131,0)</f>
        <v>0</v>
      </c>
      <c r="P131" s="514">
        <f t="shared" ref="P131:P154" si="47">+O131-M131</f>
        <v>0</v>
      </c>
      <c r="Q131" s="269"/>
    </row>
    <row r="132" spans="2:17" ht="12.5">
      <c r="B132" s="195" t="str">
        <f t="shared" si="34"/>
        <v/>
      </c>
      <c r="C132" s="507">
        <f>IF(D93="","-",+C131+1)</f>
        <v>2043</v>
      </c>
      <c r="D132" s="374">
        <f>IF(F131+SUM(E$99:E131)=D$92,F131,D$92-SUM(E$99:E131))</f>
        <v>1027270.7500337624</v>
      </c>
      <c r="E132" s="522">
        <f>IF(+J96&lt;F131,J96,D132)</f>
        <v>116954.60975609756</v>
      </c>
      <c r="F132" s="523">
        <f t="shared" ref="F132:F154" si="48">+D132-E132</f>
        <v>910316.14027766488</v>
      </c>
      <c r="G132" s="523">
        <f t="shared" si="41"/>
        <v>968793.44515571371</v>
      </c>
      <c r="H132" s="526">
        <f t="shared" si="42"/>
        <v>226926.44819701836</v>
      </c>
      <c r="I132" s="577">
        <f t="shared" si="43"/>
        <v>226926.44819701836</v>
      </c>
      <c r="J132" s="514">
        <f t="shared" si="44"/>
        <v>0</v>
      </c>
      <c r="K132" s="514"/>
      <c r="L132" s="525"/>
      <c r="M132" s="514">
        <f t="shared" si="45"/>
        <v>0</v>
      </c>
      <c r="N132" s="525"/>
      <c r="O132" s="514">
        <f t="shared" si="46"/>
        <v>0</v>
      </c>
      <c r="P132" s="514">
        <f t="shared" si="47"/>
        <v>0</v>
      </c>
      <c r="Q132" s="269"/>
    </row>
    <row r="133" spans="2:17" ht="12.5">
      <c r="B133" s="195" t="str">
        <f t="shared" si="34"/>
        <v/>
      </c>
      <c r="C133" s="507">
        <f>IF(D93="","-",+C132+1)</f>
        <v>2044</v>
      </c>
      <c r="D133" s="374">
        <f>IF(F132+SUM(E$99:E132)=D$92,F132,D$92-SUM(E$99:E132))</f>
        <v>910316.14027766488</v>
      </c>
      <c r="E133" s="522">
        <f>IF(+J96&lt;F132,J96,D133)</f>
        <v>116954.60975609756</v>
      </c>
      <c r="F133" s="523">
        <f t="shared" si="48"/>
        <v>793361.53052156733</v>
      </c>
      <c r="G133" s="523">
        <f t="shared" si="41"/>
        <v>851838.83539961604</v>
      </c>
      <c r="H133" s="526">
        <f t="shared" si="42"/>
        <v>213650.43614993925</v>
      </c>
      <c r="I133" s="577">
        <f t="shared" si="43"/>
        <v>213650.43614993925</v>
      </c>
      <c r="J133" s="514">
        <f t="shared" si="44"/>
        <v>0</v>
      </c>
      <c r="K133" s="514"/>
      <c r="L133" s="525"/>
      <c r="M133" s="514">
        <f t="shared" si="45"/>
        <v>0</v>
      </c>
      <c r="N133" s="525"/>
      <c r="O133" s="514">
        <f t="shared" si="46"/>
        <v>0</v>
      </c>
      <c r="P133" s="514">
        <f t="shared" si="47"/>
        <v>0</v>
      </c>
      <c r="Q133" s="269"/>
    </row>
    <row r="134" spans="2:17" ht="12.5">
      <c r="B134" s="195" t="str">
        <f t="shared" si="34"/>
        <v/>
      </c>
      <c r="C134" s="507">
        <f>IF(D93="","-",+C133+1)</f>
        <v>2045</v>
      </c>
      <c r="D134" s="374">
        <f>IF(F133+SUM(E$99:E133)=D$92,F133,D$92-SUM(E$99:E133))</f>
        <v>793361.53052156733</v>
      </c>
      <c r="E134" s="522">
        <f>IF(+J96&lt;F133,J96,D134)</f>
        <v>116954.60975609756</v>
      </c>
      <c r="F134" s="523">
        <f t="shared" si="48"/>
        <v>676406.92076546978</v>
      </c>
      <c r="G134" s="523">
        <f t="shared" si="41"/>
        <v>734884.22564351861</v>
      </c>
      <c r="H134" s="526">
        <f t="shared" si="42"/>
        <v>200374.42410286021</v>
      </c>
      <c r="I134" s="577">
        <f t="shared" si="43"/>
        <v>200374.42410286021</v>
      </c>
      <c r="J134" s="514">
        <f t="shared" si="44"/>
        <v>0</v>
      </c>
      <c r="K134" s="514"/>
      <c r="L134" s="525"/>
      <c r="M134" s="514">
        <f t="shared" si="45"/>
        <v>0</v>
      </c>
      <c r="N134" s="525"/>
      <c r="O134" s="514">
        <f t="shared" si="46"/>
        <v>0</v>
      </c>
      <c r="P134" s="514">
        <f t="shared" si="47"/>
        <v>0</v>
      </c>
      <c r="Q134" s="269"/>
    </row>
    <row r="135" spans="2:17" ht="12.5">
      <c r="B135" s="195" t="str">
        <f t="shared" si="34"/>
        <v/>
      </c>
      <c r="C135" s="507">
        <f>IF(D93="","-",+C134+1)</f>
        <v>2046</v>
      </c>
      <c r="D135" s="374">
        <f>IF(F134+SUM(E$99:E134)=D$92,F134,D$92-SUM(E$99:E134))</f>
        <v>676406.92076546978</v>
      </c>
      <c r="E135" s="522">
        <f>IF(+J96&lt;F134,J96,D135)</f>
        <v>116954.60975609756</v>
      </c>
      <c r="F135" s="523">
        <f t="shared" si="48"/>
        <v>559452.31100937224</v>
      </c>
      <c r="G135" s="523">
        <f t="shared" si="41"/>
        <v>617929.61588742095</v>
      </c>
      <c r="H135" s="526">
        <f t="shared" si="42"/>
        <v>187098.41205578111</v>
      </c>
      <c r="I135" s="577">
        <f t="shared" si="43"/>
        <v>187098.41205578111</v>
      </c>
      <c r="J135" s="514">
        <f t="shared" si="44"/>
        <v>0</v>
      </c>
      <c r="K135" s="514"/>
      <c r="L135" s="525"/>
      <c r="M135" s="514">
        <f t="shared" si="45"/>
        <v>0</v>
      </c>
      <c r="N135" s="525"/>
      <c r="O135" s="514">
        <f t="shared" si="46"/>
        <v>0</v>
      </c>
      <c r="P135" s="514">
        <f t="shared" si="47"/>
        <v>0</v>
      </c>
      <c r="Q135" s="269"/>
    </row>
    <row r="136" spans="2:17" ht="12.5">
      <c r="B136" s="195" t="str">
        <f t="shared" si="34"/>
        <v/>
      </c>
      <c r="C136" s="507">
        <f>IF(D93="","-",+C135+1)</f>
        <v>2047</v>
      </c>
      <c r="D136" s="374">
        <f>IF(F135+SUM(E$99:E135)=D$92,F135,D$92-SUM(E$99:E135))</f>
        <v>559452.31100937224</v>
      </c>
      <c r="E136" s="522">
        <f>IF(+J96&lt;F135,J96,D136)</f>
        <v>116954.60975609756</v>
      </c>
      <c r="F136" s="523">
        <f t="shared" si="48"/>
        <v>442497.70125327469</v>
      </c>
      <c r="G136" s="523">
        <f t="shared" si="41"/>
        <v>500975.00613132346</v>
      </c>
      <c r="H136" s="526">
        <f t="shared" si="42"/>
        <v>173822.40000870204</v>
      </c>
      <c r="I136" s="577">
        <f t="shared" si="43"/>
        <v>173822.40000870204</v>
      </c>
      <c r="J136" s="514">
        <f t="shared" si="44"/>
        <v>0</v>
      </c>
      <c r="K136" s="514"/>
      <c r="L136" s="525"/>
      <c r="M136" s="514">
        <f t="shared" si="45"/>
        <v>0</v>
      </c>
      <c r="N136" s="525"/>
      <c r="O136" s="514">
        <f t="shared" si="46"/>
        <v>0</v>
      </c>
      <c r="P136" s="514">
        <f t="shared" si="47"/>
        <v>0</v>
      </c>
      <c r="Q136" s="269"/>
    </row>
    <row r="137" spans="2:17" ht="12.5">
      <c r="B137" s="195" t="str">
        <f t="shared" si="34"/>
        <v/>
      </c>
      <c r="C137" s="507">
        <f>IF(D93="","-",+C136+1)</f>
        <v>2048</v>
      </c>
      <c r="D137" s="374">
        <f>IF(F136+SUM(E$99:E136)=D$92,F136,D$92-SUM(E$99:E136))</f>
        <v>442497.70125327469</v>
      </c>
      <c r="E137" s="522">
        <f>IF(+J96&lt;F136,J96,D137)</f>
        <v>116954.60975609756</v>
      </c>
      <c r="F137" s="523">
        <f t="shared" si="48"/>
        <v>325543.09149717714</v>
      </c>
      <c r="G137" s="523">
        <f t="shared" si="41"/>
        <v>384020.39637522592</v>
      </c>
      <c r="H137" s="526">
        <f t="shared" si="42"/>
        <v>160546.38796162297</v>
      </c>
      <c r="I137" s="577">
        <f t="shared" si="43"/>
        <v>160546.38796162297</v>
      </c>
      <c r="J137" s="514">
        <f t="shared" si="44"/>
        <v>0</v>
      </c>
      <c r="K137" s="514"/>
      <c r="L137" s="525"/>
      <c r="M137" s="514">
        <f t="shared" si="45"/>
        <v>0</v>
      </c>
      <c r="N137" s="525"/>
      <c r="O137" s="514">
        <f t="shared" si="46"/>
        <v>0</v>
      </c>
      <c r="P137" s="514">
        <f t="shared" si="47"/>
        <v>0</v>
      </c>
      <c r="Q137" s="269"/>
    </row>
    <row r="138" spans="2:17" ht="12.5">
      <c r="B138" s="195" t="str">
        <f t="shared" si="34"/>
        <v/>
      </c>
      <c r="C138" s="507">
        <f>IF(D93="","-",+C137+1)</f>
        <v>2049</v>
      </c>
      <c r="D138" s="374">
        <f>IF(F137+SUM(E$99:E137)=D$92,F137,D$92-SUM(E$99:E137))</f>
        <v>325543.09149717714</v>
      </c>
      <c r="E138" s="522">
        <f>IF(+J96&lt;F137,J96,D138)</f>
        <v>116954.60975609756</v>
      </c>
      <c r="F138" s="523">
        <f t="shared" si="48"/>
        <v>208588.48174107959</v>
      </c>
      <c r="G138" s="523">
        <f t="shared" si="41"/>
        <v>267065.78661912837</v>
      </c>
      <c r="H138" s="526">
        <f t="shared" si="42"/>
        <v>147270.37591454387</v>
      </c>
      <c r="I138" s="577">
        <f t="shared" si="43"/>
        <v>147270.37591454387</v>
      </c>
      <c r="J138" s="514">
        <f t="shared" si="44"/>
        <v>0</v>
      </c>
      <c r="K138" s="514"/>
      <c r="L138" s="525"/>
      <c r="M138" s="514">
        <f t="shared" si="45"/>
        <v>0</v>
      </c>
      <c r="N138" s="525"/>
      <c r="O138" s="514">
        <f t="shared" si="46"/>
        <v>0</v>
      </c>
      <c r="P138" s="514">
        <f t="shared" si="47"/>
        <v>0</v>
      </c>
      <c r="Q138" s="269"/>
    </row>
    <row r="139" spans="2:17" ht="12.5">
      <c r="B139" s="195" t="str">
        <f t="shared" si="34"/>
        <v/>
      </c>
      <c r="C139" s="507">
        <f>IF(D93="","-",+C138+1)</f>
        <v>2050</v>
      </c>
      <c r="D139" s="374">
        <f>IF(F138+SUM(E$99:E138)=D$92,F138,D$92-SUM(E$99:E138))</f>
        <v>208588.48174107959</v>
      </c>
      <c r="E139" s="522">
        <f>IF(+J96&lt;F138,J96,D139)</f>
        <v>116954.60975609756</v>
      </c>
      <c r="F139" s="523">
        <f t="shared" si="48"/>
        <v>91633.871984982034</v>
      </c>
      <c r="G139" s="523">
        <f t="shared" si="41"/>
        <v>150111.17686303082</v>
      </c>
      <c r="H139" s="526">
        <f t="shared" si="42"/>
        <v>133994.3638674648</v>
      </c>
      <c r="I139" s="577">
        <f t="shared" si="43"/>
        <v>133994.3638674648</v>
      </c>
      <c r="J139" s="514">
        <f t="shared" si="44"/>
        <v>0</v>
      </c>
      <c r="K139" s="514"/>
      <c r="L139" s="525"/>
      <c r="M139" s="514">
        <f t="shared" si="45"/>
        <v>0</v>
      </c>
      <c r="N139" s="525"/>
      <c r="O139" s="514">
        <f t="shared" si="46"/>
        <v>0</v>
      </c>
      <c r="P139" s="514">
        <f t="shared" si="47"/>
        <v>0</v>
      </c>
      <c r="Q139" s="269"/>
    </row>
    <row r="140" spans="2:17" ht="12.5">
      <c r="B140" s="195" t="str">
        <f t="shared" si="34"/>
        <v/>
      </c>
      <c r="C140" s="507">
        <f>IF(D93="","-",+C139+1)</f>
        <v>2051</v>
      </c>
      <c r="D140" s="374">
        <f>IF(F139+SUM(E$99:E139)=D$92,F139,D$92-SUM(E$99:E139))</f>
        <v>91633.871984982034</v>
      </c>
      <c r="E140" s="522">
        <f>IF(+J96&lt;F139,J96,D140)</f>
        <v>91633.871984982034</v>
      </c>
      <c r="F140" s="523">
        <f t="shared" si="48"/>
        <v>0</v>
      </c>
      <c r="G140" s="523">
        <f t="shared" si="41"/>
        <v>45816.935992491017</v>
      </c>
      <c r="H140" s="526">
        <f t="shared" si="42"/>
        <v>96834.746028895883</v>
      </c>
      <c r="I140" s="577">
        <f t="shared" si="43"/>
        <v>96834.746028895883</v>
      </c>
      <c r="J140" s="514">
        <f t="shared" si="44"/>
        <v>0</v>
      </c>
      <c r="K140" s="514"/>
      <c r="L140" s="525"/>
      <c r="M140" s="514">
        <f t="shared" si="45"/>
        <v>0</v>
      </c>
      <c r="N140" s="525"/>
      <c r="O140" s="514">
        <f t="shared" si="46"/>
        <v>0</v>
      </c>
      <c r="P140" s="514">
        <f t="shared" si="47"/>
        <v>0</v>
      </c>
      <c r="Q140" s="269"/>
    </row>
    <row r="141" spans="2:17" ht="12.5">
      <c r="B141" s="195" t="str">
        <f t="shared" si="34"/>
        <v/>
      </c>
      <c r="C141" s="507">
        <f>IF(D93="","-",+C140+1)</f>
        <v>2052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8"/>
        <v>0</v>
      </c>
      <c r="G141" s="523">
        <f t="shared" si="41"/>
        <v>0</v>
      </c>
      <c r="H141" s="526">
        <f t="shared" si="42"/>
        <v>0</v>
      </c>
      <c r="I141" s="577">
        <f t="shared" si="43"/>
        <v>0</v>
      </c>
      <c r="J141" s="514">
        <f t="shared" si="44"/>
        <v>0</v>
      </c>
      <c r="K141" s="514"/>
      <c r="L141" s="525"/>
      <c r="M141" s="514">
        <f t="shared" si="45"/>
        <v>0</v>
      </c>
      <c r="N141" s="525"/>
      <c r="O141" s="514">
        <f t="shared" si="46"/>
        <v>0</v>
      </c>
      <c r="P141" s="514">
        <f t="shared" si="47"/>
        <v>0</v>
      </c>
      <c r="Q141" s="269"/>
    </row>
    <row r="142" spans="2:17" ht="12.5">
      <c r="B142" s="195" t="str">
        <f t="shared" si="34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8"/>
        <v>0</v>
      </c>
      <c r="G142" s="523">
        <f t="shared" si="41"/>
        <v>0</v>
      </c>
      <c r="H142" s="526">
        <f t="shared" si="42"/>
        <v>0</v>
      </c>
      <c r="I142" s="577">
        <f t="shared" si="43"/>
        <v>0</v>
      </c>
      <c r="J142" s="514">
        <f t="shared" si="44"/>
        <v>0</v>
      </c>
      <c r="K142" s="514"/>
      <c r="L142" s="525"/>
      <c r="M142" s="514">
        <f t="shared" si="45"/>
        <v>0</v>
      </c>
      <c r="N142" s="525"/>
      <c r="O142" s="514">
        <f t="shared" si="46"/>
        <v>0</v>
      </c>
      <c r="P142" s="514">
        <f t="shared" si="47"/>
        <v>0</v>
      </c>
      <c r="Q142" s="269"/>
    </row>
    <row r="143" spans="2:17" ht="12.5">
      <c r="B143" s="195" t="str">
        <f t="shared" si="34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8"/>
        <v>0</v>
      </c>
      <c r="G143" s="523">
        <f t="shared" si="41"/>
        <v>0</v>
      </c>
      <c r="H143" s="526">
        <f t="shared" si="42"/>
        <v>0</v>
      </c>
      <c r="I143" s="577">
        <f t="shared" si="43"/>
        <v>0</v>
      </c>
      <c r="J143" s="514">
        <f t="shared" si="44"/>
        <v>0</v>
      </c>
      <c r="K143" s="514"/>
      <c r="L143" s="525"/>
      <c r="M143" s="514">
        <f t="shared" si="45"/>
        <v>0</v>
      </c>
      <c r="N143" s="525"/>
      <c r="O143" s="514">
        <f t="shared" si="46"/>
        <v>0</v>
      </c>
      <c r="P143" s="514">
        <f t="shared" si="47"/>
        <v>0</v>
      </c>
      <c r="Q143" s="269"/>
    </row>
    <row r="144" spans="2:17" ht="12.5">
      <c r="B144" s="195" t="str">
        <f t="shared" si="34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8"/>
        <v>0</v>
      </c>
      <c r="G144" s="523">
        <f t="shared" si="41"/>
        <v>0</v>
      </c>
      <c r="H144" s="526">
        <f t="shared" si="42"/>
        <v>0</v>
      </c>
      <c r="I144" s="577">
        <f t="shared" si="43"/>
        <v>0</v>
      </c>
      <c r="J144" s="514">
        <f t="shared" si="44"/>
        <v>0</v>
      </c>
      <c r="K144" s="514"/>
      <c r="L144" s="525"/>
      <c r="M144" s="514">
        <f t="shared" si="45"/>
        <v>0</v>
      </c>
      <c r="N144" s="525"/>
      <c r="O144" s="514">
        <f t="shared" si="46"/>
        <v>0</v>
      </c>
      <c r="P144" s="514">
        <f t="shared" si="47"/>
        <v>0</v>
      </c>
      <c r="Q144" s="269"/>
    </row>
    <row r="145" spans="2:17" ht="12.5">
      <c r="B145" s="195" t="str">
        <f t="shared" si="34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8"/>
        <v>0</v>
      </c>
      <c r="G145" s="523">
        <f t="shared" si="41"/>
        <v>0</v>
      </c>
      <c r="H145" s="526">
        <f t="shared" si="42"/>
        <v>0</v>
      </c>
      <c r="I145" s="577">
        <f t="shared" si="43"/>
        <v>0</v>
      </c>
      <c r="J145" s="514">
        <f t="shared" si="44"/>
        <v>0</v>
      </c>
      <c r="K145" s="514"/>
      <c r="L145" s="525"/>
      <c r="M145" s="514">
        <f t="shared" si="45"/>
        <v>0</v>
      </c>
      <c r="N145" s="525"/>
      <c r="O145" s="514">
        <f t="shared" si="46"/>
        <v>0</v>
      </c>
      <c r="P145" s="514">
        <f t="shared" si="47"/>
        <v>0</v>
      </c>
      <c r="Q145" s="269"/>
    </row>
    <row r="146" spans="2:17" ht="12.5">
      <c r="B146" s="195" t="str">
        <f t="shared" si="34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8"/>
        <v>0</v>
      </c>
      <c r="G146" s="523">
        <f t="shared" si="41"/>
        <v>0</v>
      </c>
      <c r="H146" s="526">
        <f t="shared" si="42"/>
        <v>0</v>
      </c>
      <c r="I146" s="577">
        <f t="shared" si="43"/>
        <v>0</v>
      </c>
      <c r="J146" s="514">
        <f t="shared" si="44"/>
        <v>0</v>
      </c>
      <c r="K146" s="514"/>
      <c r="L146" s="525"/>
      <c r="M146" s="514">
        <f t="shared" si="45"/>
        <v>0</v>
      </c>
      <c r="N146" s="525"/>
      <c r="O146" s="514">
        <f t="shared" si="46"/>
        <v>0</v>
      </c>
      <c r="P146" s="514">
        <f t="shared" si="47"/>
        <v>0</v>
      </c>
      <c r="Q146" s="269"/>
    </row>
    <row r="147" spans="2:17" ht="12.5">
      <c r="B147" s="195" t="str">
        <f t="shared" si="34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8"/>
        <v>0</v>
      </c>
      <c r="G147" s="523">
        <f t="shared" si="41"/>
        <v>0</v>
      </c>
      <c r="H147" s="526">
        <f t="shared" si="42"/>
        <v>0</v>
      </c>
      <c r="I147" s="577">
        <f t="shared" si="43"/>
        <v>0</v>
      </c>
      <c r="J147" s="514">
        <f t="shared" si="44"/>
        <v>0</v>
      </c>
      <c r="K147" s="514"/>
      <c r="L147" s="525"/>
      <c r="M147" s="514">
        <f t="shared" si="45"/>
        <v>0</v>
      </c>
      <c r="N147" s="525"/>
      <c r="O147" s="514">
        <f t="shared" si="46"/>
        <v>0</v>
      </c>
      <c r="P147" s="514">
        <f t="shared" si="47"/>
        <v>0</v>
      </c>
      <c r="Q147" s="269"/>
    </row>
    <row r="148" spans="2:17" ht="12.5">
      <c r="B148" s="195" t="str">
        <f t="shared" si="34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8"/>
        <v>0</v>
      </c>
      <c r="G148" s="523">
        <f t="shared" si="41"/>
        <v>0</v>
      </c>
      <c r="H148" s="526">
        <f t="shared" si="42"/>
        <v>0</v>
      </c>
      <c r="I148" s="577">
        <f t="shared" si="43"/>
        <v>0</v>
      </c>
      <c r="J148" s="514">
        <f t="shared" si="44"/>
        <v>0</v>
      </c>
      <c r="K148" s="514"/>
      <c r="L148" s="525"/>
      <c r="M148" s="514">
        <f t="shared" si="45"/>
        <v>0</v>
      </c>
      <c r="N148" s="525"/>
      <c r="O148" s="514">
        <f t="shared" si="46"/>
        <v>0</v>
      </c>
      <c r="P148" s="514">
        <f t="shared" si="47"/>
        <v>0</v>
      </c>
      <c r="Q148" s="269"/>
    </row>
    <row r="149" spans="2:17" ht="12.5">
      <c r="B149" s="195" t="str">
        <f t="shared" si="34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8"/>
        <v>0</v>
      </c>
      <c r="G149" s="523">
        <f t="shared" si="41"/>
        <v>0</v>
      </c>
      <c r="H149" s="526">
        <f t="shared" si="42"/>
        <v>0</v>
      </c>
      <c r="I149" s="577">
        <f t="shared" si="43"/>
        <v>0</v>
      </c>
      <c r="J149" s="514">
        <f t="shared" si="44"/>
        <v>0</v>
      </c>
      <c r="K149" s="514"/>
      <c r="L149" s="525"/>
      <c r="M149" s="514">
        <f t="shared" si="45"/>
        <v>0</v>
      </c>
      <c r="N149" s="525"/>
      <c r="O149" s="514">
        <f t="shared" si="46"/>
        <v>0</v>
      </c>
      <c r="P149" s="514">
        <f t="shared" si="47"/>
        <v>0</v>
      </c>
      <c r="Q149" s="269"/>
    </row>
    <row r="150" spans="2:17" ht="12.5">
      <c r="B150" s="195" t="str">
        <f t="shared" si="34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8"/>
        <v>0</v>
      </c>
      <c r="G150" s="523">
        <f t="shared" si="41"/>
        <v>0</v>
      </c>
      <c r="H150" s="526">
        <f t="shared" si="42"/>
        <v>0</v>
      </c>
      <c r="I150" s="577">
        <f t="shared" si="43"/>
        <v>0</v>
      </c>
      <c r="J150" s="514">
        <f t="shared" si="44"/>
        <v>0</v>
      </c>
      <c r="K150" s="514"/>
      <c r="L150" s="525"/>
      <c r="M150" s="514">
        <f t="shared" si="45"/>
        <v>0</v>
      </c>
      <c r="N150" s="525"/>
      <c r="O150" s="514">
        <f t="shared" si="46"/>
        <v>0</v>
      </c>
      <c r="P150" s="514">
        <f t="shared" si="47"/>
        <v>0</v>
      </c>
      <c r="Q150" s="269"/>
    </row>
    <row r="151" spans="2:17" ht="12.5">
      <c r="B151" s="195" t="str">
        <f t="shared" si="34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8"/>
        <v>0</v>
      </c>
      <c r="G151" s="523">
        <f t="shared" si="41"/>
        <v>0</v>
      </c>
      <c r="H151" s="526">
        <f t="shared" si="42"/>
        <v>0</v>
      </c>
      <c r="I151" s="577">
        <f t="shared" si="43"/>
        <v>0</v>
      </c>
      <c r="J151" s="514">
        <f t="shared" si="44"/>
        <v>0</v>
      </c>
      <c r="K151" s="514"/>
      <c r="L151" s="525"/>
      <c r="M151" s="514">
        <f t="shared" si="45"/>
        <v>0</v>
      </c>
      <c r="N151" s="525"/>
      <c r="O151" s="514">
        <f t="shared" si="46"/>
        <v>0</v>
      </c>
      <c r="P151" s="514">
        <f t="shared" si="47"/>
        <v>0</v>
      </c>
      <c r="Q151" s="269"/>
    </row>
    <row r="152" spans="2:17" ht="12.5">
      <c r="B152" s="195" t="str">
        <f t="shared" si="34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8"/>
        <v>0</v>
      </c>
      <c r="G152" s="523">
        <f t="shared" si="41"/>
        <v>0</v>
      </c>
      <c r="H152" s="526">
        <f t="shared" si="42"/>
        <v>0</v>
      </c>
      <c r="I152" s="577">
        <f t="shared" si="43"/>
        <v>0</v>
      </c>
      <c r="J152" s="514">
        <f t="shared" si="44"/>
        <v>0</v>
      </c>
      <c r="K152" s="514"/>
      <c r="L152" s="525"/>
      <c r="M152" s="514">
        <f t="shared" si="45"/>
        <v>0</v>
      </c>
      <c r="N152" s="525"/>
      <c r="O152" s="514">
        <f t="shared" si="46"/>
        <v>0</v>
      </c>
      <c r="P152" s="514">
        <f t="shared" si="47"/>
        <v>0</v>
      </c>
      <c r="Q152" s="269"/>
    </row>
    <row r="153" spans="2:17" ht="12.5">
      <c r="B153" s="195" t="str">
        <f t="shared" si="34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8"/>
        <v>0</v>
      </c>
      <c r="G153" s="523">
        <f t="shared" si="41"/>
        <v>0</v>
      </c>
      <c r="H153" s="526">
        <f t="shared" si="42"/>
        <v>0</v>
      </c>
      <c r="I153" s="577">
        <f t="shared" si="43"/>
        <v>0</v>
      </c>
      <c r="J153" s="514">
        <f t="shared" si="44"/>
        <v>0</v>
      </c>
      <c r="K153" s="514"/>
      <c r="L153" s="525"/>
      <c r="M153" s="514">
        <f t="shared" si="45"/>
        <v>0</v>
      </c>
      <c r="N153" s="525"/>
      <c r="O153" s="514">
        <f t="shared" si="46"/>
        <v>0</v>
      </c>
      <c r="P153" s="514">
        <f t="shared" si="47"/>
        <v>0</v>
      </c>
      <c r="Q153" s="269"/>
    </row>
    <row r="154" spans="2:17" ht="13" thickBot="1">
      <c r="B154" s="195" t="str">
        <f t="shared" si="34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8"/>
        <v>0</v>
      </c>
      <c r="G154" s="528">
        <f t="shared" si="41"/>
        <v>0</v>
      </c>
      <c r="H154" s="530">
        <f t="shared" si="42"/>
        <v>0</v>
      </c>
      <c r="I154" s="579">
        <f t="shared" si="43"/>
        <v>0</v>
      </c>
      <c r="J154" s="533">
        <f t="shared" si="44"/>
        <v>0</v>
      </c>
      <c r="K154" s="514"/>
      <c r="L154" s="532"/>
      <c r="M154" s="533">
        <f t="shared" si="45"/>
        <v>0</v>
      </c>
      <c r="N154" s="532"/>
      <c r="O154" s="533">
        <f t="shared" si="46"/>
        <v>0</v>
      </c>
      <c r="P154" s="533">
        <f t="shared" si="47"/>
        <v>0</v>
      </c>
      <c r="Q154" s="269"/>
    </row>
    <row r="155" spans="2:17" ht="12.5">
      <c r="C155" s="374" t="s">
        <v>78</v>
      </c>
      <c r="D155" s="375"/>
      <c r="E155" s="375">
        <f>SUM(E99:E154)</f>
        <v>4795139.0000000009</v>
      </c>
      <c r="F155" s="375"/>
      <c r="G155" s="375"/>
      <c r="H155" s="375">
        <f>SUM(H99:H154)</f>
        <v>16815664.634657461</v>
      </c>
      <c r="I155" s="375">
        <f>SUM(I99:I154)</f>
        <v>16815664.634657461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  <row r="1048576" spans="12:14" ht="12.75" customHeight="1">
      <c r="L1048576" s="518">
        <f>H1048576</f>
        <v>0</v>
      </c>
      <c r="M1048576" s="519">
        <f>IF(L1048576&lt;&gt;0,+H1048576-L1048576,0)</f>
        <v>0</v>
      </c>
      <c r="N1048576" s="518">
        <f>I1048576</f>
        <v>0</v>
      </c>
    </row>
  </sheetData>
  <phoneticPr fontId="0" type="noConversion"/>
  <conditionalFormatting sqref="C17:C72">
    <cfRule type="cellIs" dxfId="115" priority="1" stopIfTrue="1" operator="equal">
      <formula>$I$10</formula>
    </cfRule>
  </conditionalFormatting>
  <conditionalFormatting sqref="C99:C154">
    <cfRule type="cellIs" dxfId="11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5"/>
  <dimension ref="A1:Q162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24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580642.49939418666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580642.49939418666</v>
      </c>
      <c r="O6" s="269"/>
      <c r="P6" s="269"/>
    </row>
    <row r="7" spans="1:17" ht="13.5" thickBot="1">
      <c r="C7" s="467" t="s">
        <v>48</v>
      </c>
      <c r="D7" s="620" t="s">
        <v>253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252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5250739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125017.59523809524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5473000</v>
      </c>
      <c r="E17" s="509">
        <v>72013.15789473684</v>
      </c>
      <c r="F17" s="508">
        <v>5400986.8421052629</v>
      </c>
      <c r="G17" s="509">
        <v>848486.02708834817</v>
      </c>
      <c r="H17" s="510">
        <v>848486.02708834817</v>
      </c>
      <c r="I17" s="517">
        <v>0</v>
      </c>
      <c r="J17" s="511"/>
      <c r="K17" s="512">
        <f t="shared" ref="K17:K22" si="0">G17</f>
        <v>848486.02708834817</v>
      </c>
      <c r="L17" s="597">
        <f t="shared" ref="L17:L48" si="1">IF(K17&lt;&gt;0,+G17-K17,0)</f>
        <v>0</v>
      </c>
      <c r="M17" s="512">
        <f t="shared" ref="M17:M22" si="2">H17</f>
        <v>848486.02708834817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5178725.8421052629</v>
      </c>
      <c r="E18" s="516">
        <v>128066.80487804877</v>
      </c>
      <c r="F18" s="515">
        <v>5050659.0372272143</v>
      </c>
      <c r="G18" s="516">
        <v>916940.27252586046</v>
      </c>
      <c r="H18" s="510">
        <v>916940.27252586046</v>
      </c>
      <c r="I18" s="517">
        <v>0</v>
      </c>
      <c r="J18" s="511"/>
      <c r="K18" s="518">
        <f t="shared" si="0"/>
        <v>916940.27252586046</v>
      </c>
      <c r="L18" s="519">
        <f t="shared" si="1"/>
        <v>0</v>
      </c>
      <c r="M18" s="518">
        <f t="shared" si="2"/>
        <v>916940.27252586046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515">
        <v>5050659.0372272143</v>
      </c>
      <c r="E19" s="516">
        <v>125017.59523809524</v>
      </c>
      <c r="F19" s="515">
        <v>4925641.4419891192</v>
      </c>
      <c r="G19" s="516">
        <v>857559.68041241798</v>
      </c>
      <c r="H19" s="510">
        <v>857559.68041241798</v>
      </c>
      <c r="I19" s="517">
        <v>0</v>
      </c>
      <c r="J19" s="511"/>
      <c r="K19" s="518">
        <f t="shared" si="0"/>
        <v>857559.68041241798</v>
      </c>
      <c r="L19" s="519">
        <f t="shared" si="1"/>
        <v>0</v>
      </c>
      <c r="M19" s="518">
        <f t="shared" si="2"/>
        <v>857559.68041241798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515">
        <v>4925641.4419891192</v>
      </c>
      <c r="E20" s="516">
        <v>125017.59523809524</v>
      </c>
      <c r="F20" s="515">
        <v>4800623.846751024</v>
      </c>
      <c r="G20" s="516">
        <v>797042.91968828405</v>
      </c>
      <c r="H20" s="510">
        <v>797042.91968828405</v>
      </c>
      <c r="I20" s="596">
        <v>0</v>
      </c>
      <c r="J20" s="511"/>
      <c r="K20" s="518">
        <f t="shared" si="0"/>
        <v>797042.91968828405</v>
      </c>
      <c r="L20" s="519">
        <f t="shared" ref="L20:L25" si="6">IF(K20&lt;&gt;0,+G20-K20,0)</f>
        <v>0</v>
      </c>
      <c r="M20" s="518">
        <f t="shared" si="2"/>
        <v>797042.91968828405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515">
        <v>4800623.846751024</v>
      </c>
      <c r="E21" s="516">
        <v>125017.59523809524</v>
      </c>
      <c r="F21" s="515">
        <v>4675606.2515129289</v>
      </c>
      <c r="G21" s="516">
        <v>755806.01100655668</v>
      </c>
      <c r="H21" s="510">
        <v>755806.01100655668</v>
      </c>
      <c r="I21" s="596">
        <v>0</v>
      </c>
      <c r="J21" s="511"/>
      <c r="K21" s="518">
        <f t="shared" si="0"/>
        <v>755806.01100655668</v>
      </c>
      <c r="L21" s="519">
        <f t="shared" si="6"/>
        <v>0</v>
      </c>
      <c r="M21" s="518">
        <f t="shared" si="2"/>
        <v>755806.01100655668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515">
        <v>4675606.2515129289</v>
      </c>
      <c r="E22" s="516">
        <v>125017.59523809524</v>
      </c>
      <c r="F22" s="515">
        <v>4550588.6562748337</v>
      </c>
      <c r="G22" s="516">
        <v>724351.96853237145</v>
      </c>
      <c r="H22" s="510">
        <v>724351.96853237145</v>
      </c>
      <c r="I22" s="511">
        <v>0</v>
      </c>
      <c r="J22" s="511"/>
      <c r="K22" s="518">
        <f t="shared" si="0"/>
        <v>724351.96853237145</v>
      </c>
      <c r="L22" s="519">
        <f t="shared" si="6"/>
        <v>0</v>
      </c>
      <c r="M22" s="518">
        <f t="shared" si="2"/>
        <v>724351.96853237145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515">
        <v>4550588.6562748337</v>
      </c>
      <c r="E23" s="516">
        <v>125017.59523809524</v>
      </c>
      <c r="F23" s="515">
        <v>4425571.0610367386</v>
      </c>
      <c r="G23" s="516">
        <v>700695.76830220246</v>
      </c>
      <c r="H23" s="510">
        <v>700695.76830220246</v>
      </c>
      <c r="I23" s="511">
        <f t="shared" ref="I23:I48" si="9">H23-G23</f>
        <v>0</v>
      </c>
      <c r="J23" s="511"/>
      <c r="K23" s="518">
        <f t="shared" ref="K23:K28" si="10">G23</f>
        <v>700695.76830220246</v>
      </c>
      <c r="L23" s="519">
        <f t="shared" si="6"/>
        <v>0</v>
      </c>
      <c r="M23" s="518">
        <f t="shared" ref="M23:M28" si="11">H23</f>
        <v>700695.76830220246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515">
        <v>4425571.0610367386</v>
      </c>
      <c r="E24" s="516">
        <v>122110.20930232559</v>
      </c>
      <c r="F24" s="515">
        <v>4303460.8517344128</v>
      </c>
      <c r="G24" s="516">
        <v>662841.14914820471</v>
      </c>
      <c r="H24" s="510">
        <v>662841.14914820471</v>
      </c>
      <c r="I24" s="511">
        <f t="shared" si="9"/>
        <v>0</v>
      </c>
      <c r="J24" s="511"/>
      <c r="K24" s="518">
        <f t="shared" si="10"/>
        <v>662841.14914820471</v>
      </c>
      <c r="L24" s="519">
        <f t="shared" si="6"/>
        <v>0</v>
      </c>
      <c r="M24" s="518">
        <f t="shared" si="11"/>
        <v>662841.14914820471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515">
        <v>4303460.8517344128</v>
      </c>
      <c r="E25" s="516">
        <v>128066.80487804877</v>
      </c>
      <c r="F25" s="515">
        <v>4175394.0468563642</v>
      </c>
      <c r="G25" s="516">
        <v>666873.01651797513</v>
      </c>
      <c r="H25" s="510">
        <v>666873.01651797513</v>
      </c>
      <c r="I25" s="511">
        <f t="shared" si="9"/>
        <v>0</v>
      </c>
      <c r="J25" s="511"/>
      <c r="K25" s="518">
        <f t="shared" si="10"/>
        <v>666873.01651797513</v>
      </c>
      <c r="L25" s="519">
        <f t="shared" si="6"/>
        <v>0</v>
      </c>
      <c r="M25" s="518">
        <f t="shared" si="11"/>
        <v>666873.01651797513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515">
        <v>4175394.0468563642</v>
      </c>
      <c r="E26" s="516">
        <v>128066.80487804877</v>
      </c>
      <c r="F26" s="515">
        <v>4047327.2419783156</v>
      </c>
      <c r="G26" s="516">
        <v>650596.48134937836</v>
      </c>
      <c r="H26" s="510">
        <v>650596.48134937836</v>
      </c>
      <c r="I26" s="511">
        <f t="shared" si="9"/>
        <v>0</v>
      </c>
      <c r="J26" s="511"/>
      <c r="K26" s="518">
        <f t="shared" si="10"/>
        <v>650596.48134937836</v>
      </c>
      <c r="L26" s="519">
        <f t="shared" ref="L26" si="12">IF(K26&lt;&gt;0,+G26-K26,0)</f>
        <v>0</v>
      </c>
      <c r="M26" s="518">
        <f t="shared" si="11"/>
        <v>650596.48134937836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515">
        <v>4047327.2419783156</v>
      </c>
      <c r="E27" s="516">
        <v>128066.80487804877</v>
      </c>
      <c r="F27" s="515">
        <v>3919260.437100267</v>
      </c>
      <c r="G27" s="516">
        <v>535698.99348841433</v>
      </c>
      <c r="H27" s="510">
        <v>535698.99348841433</v>
      </c>
      <c r="I27" s="511">
        <f t="shared" si="9"/>
        <v>0</v>
      </c>
      <c r="J27" s="511"/>
      <c r="K27" s="518">
        <f t="shared" si="10"/>
        <v>535698.99348841433</v>
      </c>
      <c r="L27" s="519">
        <f t="shared" ref="L27" si="13">IF(K27&lt;&gt;0,+G27-K27,0)</f>
        <v>0</v>
      </c>
      <c r="M27" s="518">
        <f t="shared" si="11"/>
        <v>535698.99348841433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515">
        <v>3925217.0326759894</v>
      </c>
      <c r="E28" s="516">
        <v>125017.59523809524</v>
      </c>
      <c r="F28" s="515">
        <v>3800199.4374378943</v>
      </c>
      <c r="G28" s="516">
        <v>534482.22432769614</v>
      </c>
      <c r="H28" s="510">
        <v>534482.22432769614</v>
      </c>
      <c r="I28" s="511">
        <f t="shared" si="9"/>
        <v>0</v>
      </c>
      <c r="J28" s="511"/>
      <c r="K28" s="518">
        <f t="shared" si="10"/>
        <v>534482.22432769614</v>
      </c>
      <c r="L28" s="519">
        <f t="shared" ref="L28" si="14">IF(K28&lt;&gt;0,+G28-K28,0)</f>
        <v>0</v>
      </c>
      <c r="M28" s="518">
        <f t="shared" si="11"/>
        <v>534482.22432769614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515">
        <v>3794242.841862171</v>
      </c>
      <c r="E29" s="516">
        <v>125017.59523809524</v>
      </c>
      <c r="F29" s="515">
        <v>3669225.2466240758</v>
      </c>
      <c r="G29" s="516">
        <v>544629.05965082115</v>
      </c>
      <c r="H29" s="510">
        <v>544629.05965082115</v>
      </c>
      <c r="I29" s="511">
        <f t="shared" si="9"/>
        <v>0</v>
      </c>
      <c r="J29" s="511"/>
      <c r="K29" s="518">
        <f t="shared" ref="K29" si="15">G29</f>
        <v>544629.05965082115</v>
      </c>
      <c r="L29" s="519">
        <f t="shared" ref="L29" si="16">IF(K29&lt;&gt;0,+G29-K29,0)</f>
        <v>0</v>
      </c>
      <c r="M29" s="518">
        <f t="shared" ref="M29" si="17">H29</f>
        <v>544629.05965082115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3669225.2466240758</v>
      </c>
      <c r="E30" s="522">
        <f>IF(+I14&lt;F29,I14,D30)</f>
        <v>125017.59523809524</v>
      </c>
      <c r="F30" s="523">
        <f t="shared" ref="F30:F48" si="18">+D30-E30</f>
        <v>3544207.6513859807</v>
      </c>
      <c r="G30" s="524">
        <f t="shared" ref="G30:G55" si="19">+I$12*((D30+F30)/2)+E30</f>
        <v>580642.49939418666</v>
      </c>
      <c r="H30" s="491">
        <f t="shared" ref="H30:H55" si="20">+I$13*((D30+F30)/2)+E30</f>
        <v>580642.49939418666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3544207.6513859807</v>
      </c>
      <c r="E31" s="522">
        <f>IF(+I14&lt;F30,I14,D31)</f>
        <v>125017.59523809524</v>
      </c>
      <c r="F31" s="523">
        <f t="shared" si="18"/>
        <v>3419190.0561478855</v>
      </c>
      <c r="G31" s="524">
        <f t="shared" si="19"/>
        <v>564849.42814682098</v>
      </c>
      <c r="H31" s="491">
        <f t="shared" si="20"/>
        <v>564849.42814682098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3419190.0561478855</v>
      </c>
      <c r="E32" s="522">
        <f>IF(+I14&lt;F31,I14,D32)</f>
        <v>125017.59523809524</v>
      </c>
      <c r="F32" s="523">
        <f t="shared" si="18"/>
        <v>3294172.4609097904</v>
      </c>
      <c r="G32" s="524">
        <f t="shared" si="19"/>
        <v>549056.35689945531</v>
      </c>
      <c r="H32" s="491">
        <f t="shared" si="20"/>
        <v>549056.35689945531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3294172.4609097904</v>
      </c>
      <c r="E33" s="522">
        <f>IF(+I14&lt;F32,I14,D33)</f>
        <v>125017.59523809524</v>
      </c>
      <c r="F33" s="523">
        <f t="shared" si="18"/>
        <v>3169154.8656716952</v>
      </c>
      <c r="G33" s="524">
        <f t="shared" si="19"/>
        <v>533263.28565208963</v>
      </c>
      <c r="H33" s="491">
        <f t="shared" si="20"/>
        <v>533263.28565208963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3169154.8656716952</v>
      </c>
      <c r="E34" s="522">
        <f>IF(+I14&lt;F33,I14,D34)</f>
        <v>125017.59523809524</v>
      </c>
      <c r="F34" s="523">
        <f t="shared" si="18"/>
        <v>3044137.2704336001</v>
      </c>
      <c r="G34" s="524">
        <f t="shared" si="19"/>
        <v>517470.21440472396</v>
      </c>
      <c r="H34" s="491">
        <f t="shared" si="20"/>
        <v>517470.21440472396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3044137.2704336001</v>
      </c>
      <c r="E35" s="522">
        <f>IF(+I14&lt;F34,I14,D35)</f>
        <v>125017.59523809524</v>
      </c>
      <c r="F35" s="523">
        <f t="shared" si="18"/>
        <v>2919119.6751955049</v>
      </c>
      <c r="G35" s="524">
        <f t="shared" si="19"/>
        <v>501677.14315735828</v>
      </c>
      <c r="H35" s="491">
        <f t="shared" si="20"/>
        <v>501677.14315735828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2919119.6751955049</v>
      </c>
      <c r="E36" s="522">
        <f>IF(+I14&lt;F35,I14,D36)</f>
        <v>125017.59523809524</v>
      </c>
      <c r="F36" s="523">
        <f t="shared" si="18"/>
        <v>2794102.0799574098</v>
      </c>
      <c r="G36" s="524">
        <f t="shared" si="19"/>
        <v>485884.07190999261</v>
      </c>
      <c r="H36" s="491">
        <f t="shared" si="20"/>
        <v>485884.07190999261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2794102.0799574098</v>
      </c>
      <c r="E37" s="522">
        <f>IF(+I14&lt;F36,I14,D37)</f>
        <v>125017.59523809524</v>
      </c>
      <c r="F37" s="523">
        <f t="shared" si="18"/>
        <v>2669084.4847193146</v>
      </c>
      <c r="G37" s="524">
        <f t="shared" si="19"/>
        <v>470091.00066262693</v>
      </c>
      <c r="H37" s="491">
        <f t="shared" si="20"/>
        <v>470091.00066262693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2669084.4847193146</v>
      </c>
      <c r="E38" s="522">
        <f>IF(+I14&lt;F37,I14,D38)</f>
        <v>125017.59523809524</v>
      </c>
      <c r="F38" s="523">
        <f t="shared" si="18"/>
        <v>2544066.8894812195</v>
      </c>
      <c r="G38" s="524">
        <f t="shared" si="19"/>
        <v>454297.92941526126</v>
      </c>
      <c r="H38" s="491">
        <f t="shared" si="20"/>
        <v>454297.92941526126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2544066.8894812195</v>
      </c>
      <c r="E39" s="522">
        <f>IF(+I14&lt;F38,I14,D39)</f>
        <v>125017.59523809524</v>
      </c>
      <c r="F39" s="523">
        <f t="shared" si="18"/>
        <v>2419049.2942431243</v>
      </c>
      <c r="G39" s="524">
        <f t="shared" si="19"/>
        <v>438504.85816789558</v>
      </c>
      <c r="H39" s="491">
        <f t="shared" si="20"/>
        <v>438504.85816789558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2419049.2942431243</v>
      </c>
      <c r="E40" s="522">
        <f>IF(+I14&lt;F39,I14,D40)</f>
        <v>125017.59523809524</v>
      </c>
      <c r="F40" s="523">
        <f t="shared" si="18"/>
        <v>2294031.6990050292</v>
      </c>
      <c r="G40" s="524">
        <f t="shared" si="19"/>
        <v>422711.78692052991</v>
      </c>
      <c r="H40" s="491">
        <f t="shared" si="20"/>
        <v>422711.78692052991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2294031.6990050292</v>
      </c>
      <c r="E41" s="522">
        <f>IF(+I14&lt;F40,I14,D41)</f>
        <v>125017.59523809524</v>
      </c>
      <c r="F41" s="523">
        <f t="shared" si="18"/>
        <v>2169014.103766934</v>
      </c>
      <c r="G41" s="524">
        <f t="shared" si="19"/>
        <v>406918.71567316423</v>
      </c>
      <c r="H41" s="491">
        <f t="shared" si="20"/>
        <v>406918.71567316423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2169014.103766934</v>
      </c>
      <c r="E42" s="522">
        <f>IF(+I14&lt;F41,I14,D42)</f>
        <v>125017.59523809524</v>
      </c>
      <c r="F42" s="523">
        <f t="shared" si="18"/>
        <v>2043996.5085288389</v>
      </c>
      <c r="G42" s="524">
        <f t="shared" si="19"/>
        <v>391125.64442579856</v>
      </c>
      <c r="H42" s="491">
        <f t="shared" si="20"/>
        <v>391125.64442579856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2043996.5085288389</v>
      </c>
      <c r="E43" s="522">
        <f>IF(+I14&lt;F42,I14,D43)</f>
        <v>125017.59523809524</v>
      </c>
      <c r="F43" s="523">
        <f t="shared" si="18"/>
        <v>1918978.9132907437</v>
      </c>
      <c r="G43" s="524">
        <f t="shared" si="19"/>
        <v>375332.57317843288</v>
      </c>
      <c r="H43" s="491">
        <f t="shared" si="20"/>
        <v>375332.57317843288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1918978.9132907437</v>
      </c>
      <c r="E44" s="522">
        <f>IF(+I14&lt;F43,I14,D44)</f>
        <v>125017.59523809524</v>
      </c>
      <c r="F44" s="523">
        <f t="shared" si="18"/>
        <v>1793961.3180526486</v>
      </c>
      <c r="G44" s="524">
        <f t="shared" si="19"/>
        <v>359539.50193106721</v>
      </c>
      <c r="H44" s="491">
        <f t="shared" si="20"/>
        <v>359539.50193106721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1793961.3180526486</v>
      </c>
      <c r="E45" s="522">
        <f>IF(+I14&lt;F44,I14,D45)</f>
        <v>125017.59523809524</v>
      </c>
      <c r="F45" s="523">
        <f t="shared" si="18"/>
        <v>1668943.7228145534</v>
      </c>
      <c r="G45" s="524">
        <f t="shared" si="19"/>
        <v>343746.43068370153</v>
      </c>
      <c r="H45" s="491">
        <f t="shared" si="20"/>
        <v>343746.43068370153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1668943.7228145534</v>
      </c>
      <c r="E46" s="522">
        <f>IF(+I14&lt;F45,I14,D46)</f>
        <v>125017.59523809524</v>
      </c>
      <c r="F46" s="523">
        <f t="shared" si="18"/>
        <v>1543926.1275764583</v>
      </c>
      <c r="G46" s="524">
        <f t="shared" si="19"/>
        <v>327953.35943633586</v>
      </c>
      <c r="H46" s="491">
        <f t="shared" si="20"/>
        <v>327953.35943633586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1543926.1275764583</v>
      </c>
      <c r="E47" s="522">
        <f>IF(+I14&lt;F46,I14,D47)</f>
        <v>125017.59523809524</v>
      </c>
      <c r="F47" s="523">
        <f t="shared" si="18"/>
        <v>1418908.5323383631</v>
      </c>
      <c r="G47" s="524">
        <f t="shared" si="19"/>
        <v>312160.28818897018</v>
      </c>
      <c r="H47" s="491">
        <f t="shared" si="20"/>
        <v>312160.28818897018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1418908.5323383631</v>
      </c>
      <c r="E48" s="522">
        <f>IF(+I14&lt;F47,I14,D48)</f>
        <v>125017.59523809524</v>
      </c>
      <c r="F48" s="523">
        <f t="shared" si="18"/>
        <v>1293890.937100268</v>
      </c>
      <c r="G48" s="524">
        <f t="shared" si="19"/>
        <v>296367.21694160451</v>
      </c>
      <c r="H48" s="491">
        <f t="shared" si="20"/>
        <v>296367.21694160451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1293890.937100268</v>
      </c>
      <c r="E49" s="522">
        <f>IF(+I14&lt;F48,I14,D49)</f>
        <v>125017.59523809524</v>
      </c>
      <c r="F49" s="523">
        <f t="shared" ref="F49:F72" si="21">+D49-E49</f>
        <v>1168873.3418621728</v>
      </c>
      <c r="G49" s="524">
        <f t="shared" si="19"/>
        <v>280574.14569423883</v>
      </c>
      <c r="H49" s="491">
        <f t="shared" si="20"/>
        <v>280574.14569423883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1168873.3418621728</v>
      </c>
      <c r="E50" s="522">
        <f>IF(+I14&lt;F49,I14,D50)</f>
        <v>125017.59523809524</v>
      </c>
      <c r="F50" s="523">
        <f t="shared" si="21"/>
        <v>1043855.7466240776</v>
      </c>
      <c r="G50" s="524">
        <f t="shared" si="19"/>
        <v>264781.07444687316</v>
      </c>
      <c r="H50" s="491">
        <f t="shared" si="20"/>
        <v>264781.07444687316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1043855.7466240776</v>
      </c>
      <c r="E51" s="522">
        <f>IF(+I14&lt;F50,I14,D51)</f>
        <v>125017.59523809524</v>
      </c>
      <c r="F51" s="523">
        <f t="shared" si="21"/>
        <v>918838.15138598229</v>
      </c>
      <c r="G51" s="524">
        <f t="shared" si="19"/>
        <v>248988.00319950748</v>
      </c>
      <c r="H51" s="491">
        <f t="shared" si="20"/>
        <v>248988.00319950748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918838.15138598229</v>
      </c>
      <c r="E52" s="522">
        <f>IF(+I14&lt;F51,I14,D52)</f>
        <v>125017.59523809524</v>
      </c>
      <c r="F52" s="523">
        <f t="shared" si="21"/>
        <v>793820.55614788702</v>
      </c>
      <c r="G52" s="524">
        <f t="shared" si="19"/>
        <v>233194.93195214181</v>
      </c>
      <c r="H52" s="491">
        <f t="shared" si="20"/>
        <v>233194.93195214181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793820.55614788702</v>
      </c>
      <c r="E53" s="522">
        <f>IF(+I14&lt;F52,I14,D53)</f>
        <v>125017.59523809524</v>
      </c>
      <c r="F53" s="523">
        <f t="shared" si="21"/>
        <v>668802.96090979176</v>
      </c>
      <c r="G53" s="524">
        <f t="shared" si="19"/>
        <v>217401.86070477613</v>
      </c>
      <c r="H53" s="491">
        <f t="shared" si="20"/>
        <v>217401.86070477613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668802.96090979176</v>
      </c>
      <c r="E54" s="522">
        <f>IF(+I14&lt;F53,I14,D54)</f>
        <v>125017.59523809524</v>
      </c>
      <c r="F54" s="523">
        <f t="shared" si="21"/>
        <v>543785.36567169649</v>
      </c>
      <c r="G54" s="524">
        <f t="shared" si="19"/>
        <v>201608.78945741046</v>
      </c>
      <c r="H54" s="491">
        <f t="shared" si="20"/>
        <v>201608.78945741046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543785.36567169649</v>
      </c>
      <c r="E55" s="522">
        <f>IF(+I14&lt;F54,I14,D55)</f>
        <v>125017.59523809524</v>
      </c>
      <c r="F55" s="523">
        <f t="shared" si="21"/>
        <v>418767.77043360122</v>
      </c>
      <c r="G55" s="524">
        <f t="shared" si="19"/>
        <v>185815.71821004472</v>
      </c>
      <c r="H55" s="491">
        <f t="shared" si="20"/>
        <v>185815.71821004472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418767.77043360122</v>
      </c>
      <c r="E56" s="522">
        <f>IF(+I14&lt;F55,I14,D56)</f>
        <v>125017.59523809524</v>
      </c>
      <c r="F56" s="523">
        <f t="shared" si="21"/>
        <v>293750.17519550596</v>
      </c>
      <c r="G56" s="524">
        <f t="shared" ref="G56:G72" si="26">+I$12*((D56+F56)/2)+E56</f>
        <v>170022.64696267905</v>
      </c>
      <c r="H56" s="491">
        <f t="shared" ref="H56:H72" si="27">+I$13*((D56+F56)/2)+E56</f>
        <v>170022.64696267905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293750.17519550596</v>
      </c>
      <c r="E57" s="522">
        <f>IF(+I14&lt;F56,I14,D57)</f>
        <v>125017.59523809524</v>
      </c>
      <c r="F57" s="523">
        <f t="shared" si="21"/>
        <v>168732.57995741072</v>
      </c>
      <c r="G57" s="524">
        <f t="shared" si="26"/>
        <v>154229.57571531337</v>
      </c>
      <c r="H57" s="491">
        <f t="shared" si="27"/>
        <v>154229.57571531337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168732.57995741072</v>
      </c>
      <c r="E58" s="522">
        <f>IF(+I14&lt;F57,I14,D58)</f>
        <v>125017.59523809524</v>
      </c>
      <c r="F58" s="523">
        <f t="shared" si="21"/>
        <v>43714.984719315486</v>
      </c>
      <c r="G58" s="524">
        <f t="shared" si="26"/>
        <v>138436.50446794767</v>
      </c>
      <c r="H58" s="491">
        <f t="shared" si="27"/>
        <v>138436.50446794767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43714.984719315486</v>
      </c>
      <c r="E59" s="522">
        <f>IF(+I14&lt;F58,I14,D59)</f>
        <v>43714.984719315486</v>
      </c>
      <c r="F59" s="523">
        <f t="shared" si="21"/>
        <v>0</v>
      </c>
      <c r="G59" s="524">
        <f t="shared" si="26"/>
        <v>46476.171522400284</v>
      </c>
      <c r="H59" s="491">
        <f t="shared" si="27"/>
        <v>46476.171522400284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26"/>
        <v>0</v>
      </c>
      <c r="H60" s="491">
        <f t="shared" si="27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26"/>
        <v>0</v>
      </c>
      <c r="H61" s="491">
        <f t="shared" si="27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26"/>
        <v>0</v>
      </c>
      <c r="H62" s="491">
        <f t="shared" si="27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26"/>
        <v>0</v>
      </c>
      <c r="H63" s="491">
        <f t="shared" si="27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26"/>
        <v>0</v>
      </c>
      <c r="H64" s="491">
        <f t="shared" si="27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26"/>
        <v>0</v>
      </c>
      <c r="H65" s="491">
        <f t="shared" si="27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26"/>
        <v>0</v>
      </c>
      <c r="H66" s="491">
        <f t="shared" si="27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26"/>
        <v>0</v>
      </c>
      <c r="H67" s="491">
        <f t="shared" si="27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26"/>
        <v>0</v>
      </c>
      <c r="H68" s="491">
        <f t="shared" si="27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26"/>
        <v>0</v>
      </c>
      <c r="H69" s="491">
        <f t="shared" si="27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26"/>
        <v>0</v>
      </c>
      <c r="H70" s="491">
        <f t="shared" si="27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26"/>
        <v>0</v>
      </c>
      <c r="H71" s="491">
        <f t="shared" si="27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26"/>
        <v>0</v>
      </c>
      <c r="H72" s="471">
        <f t="shared" si="27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 ht="12.5">
      <c r="C73" s="374" t="s">
        <v>78</v>
      </c>
      <c r="D73" s="375"/>
      <c r="E73" s="375">
        <f>SUM(E17:E72)</f>
        <v>5250738.9999999991</v>
      </c>
      <c r="F73" s="375"/>
      <c r="G73" s="375">
        <f>SUM(G17:G72)</f>
        <v>19669125.299561884</v>
      </c>
      <c r="H73" s="375">
        <f>SUM(H17:H72)</f>
        <v>19669125.299561884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24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534482.22432769614</v>
      </c>
      <c r="N87" s="546">
        <f>IF(J92&lt;D11,0,VLOOKUP(J92,C17:O72,11))</f>
        <v>534482.22432769614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568310.27933101822</v>
      </c>
      <c r="N88" s="550">
        <f>IF(J92&lt;D11,0,VLOOKUP(J92,C99:P154,7))</f>
        <v>568310.27933101822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Rebuild/reconductor Dyess-Elm Springs REC [Dyess Station-Flint Creek]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33828.055003322079</v>
      </c>
      <c r="N89" s="555">
        <f>+N88-N87</f>
        <v>33828.055003322079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TP2008026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5250739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128066.80487804877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64033.402439024387</v>
      </c>
      <c r="F99" s="515">
        <v>5186705.5975609757</v>
      </c>
      <c r="G99" s="574">
        <v>2593352.7987804879</v>
      </c>
      <c r="H99" s="575">
        <v>492159.85552560829</v>
      </c>
      <c r="I99" s="576">
        <v>492159.85552560829</v>
      </c>
      <c r="J99" s="613">
        <f t="shared" ref="J99:J130" si="28">+I99-H99</f>
        <v>0</v>
      </c>
      <c r="K99" s="514"/>
      <c r="L99" s="512">
        <f t="shared" ref="L99:L104" si="29">H99</f>
        <v>492159.85552560829</v>
      </c>
      <c r="M99" s="597">
        <f t="shared" ref="M99:M130" si="30">IF(L99&lt;&gt;0,+H99-L99,0)</f>
        <v>0</v>
      </c>
      <c r="N99" s="512">
        <f t="shared" ref="N99:N104" si="31">I99</f>
        <v>492159.85552560829</v>
      </c>
      <c r="O99" s="513">
        <f t="shared" ref="O99:O130" si="32">IF(N99&lt;&gt;0,+I99-N99,0)</f>
        <v>0</v>
      </c>
      <c r="P99" s="513">
        <f t="shared" ref="P99:P130" si="33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2011</v>
      </c>
      <c r="D100" s="508">
        <v>5186705.5975609757</v>
      </c>
      <c r="E100" s="516">
        <v>125017.59523809524</v>
      </c>
      <c r="F100" s="515">
        <v>5061688.0023228806</v>
      </c>
      <c r="G100" s="515">
        <v>5124196.7999419281</v>
      </c>
      <c r="H100" s="516">
        <v>895593.80408985249</v>
      </c>
      <c r="I100" s="510">
        <v>895593.80408985249</v>
      </c>
      <c r="J100" s="613">
        <f t="shared" si="28"/>
        <v>0</v>
      </c>
      <c r="K100" s="514"/>
      <c r="L100" s="518">
        <f t="shared" si="29"/>
        <v>895593.80408985249</v>
      </c>
      <c r="M100" s="519">
        <f t="shared" si="30"/>
        <v>0</v>
      </c>
      <c r="N100" s="518">
        <f t="shared" si="31"/>
        <v>895593.80408985249</v>
      </c>
      <c r="O100" s="514">
        <f t="shared" si="32"/>
        <v>0</v>
      </c>
      <c r="P100" s="514">
        <f t="shared" si="33"/>
        <v>0</v>
      </c>
      <c r="Q100" s="269"/>
    </row>
    <row r="101" spans="1:17" ht="12.5">
      <c r="B101" s="195" t="str">
        <f t="shared" ref="B101:B154" si="34">IF(D101=F100,"","IU")</f>
        <v/>
      </c>
      <c r="C101" s="507">
        <f>IF(D93="","-",+C100+1)</f>
        <v>2012</v>
      </c>
      <c r="D101" s="508">
        <v>5061688.0023228806</v>
      </c>
      <c r="E101" s="516">
        <v>125017.59523809524</v>
      </c>
      <c r="F101" s="515">
        <v>4936670.4070847854</v>
      </c>
      <c r="G101" s="515">
        <v>4999179.204703833</v>
      </c>
      <c r="H101" s="516">
        <v>860666.47096382198</v>
      </c>
      <c r="I101" s="510">
        <v>860666.47096382198</v>
      </c>
      <c r="J101" s="613">
        <f t="shared" si="28"/>
        <v>0</v>
      </c>
      <c r="K101" s="514"/>
      <c r="L101" s="518">
        <f t="shared" si="29"/>
        <v>860666.47096382198</v>
      </c>
      <c r="M101" s="519">
        <f t="shared" si="30"/>
        <v>0</v>
      </c>
      <c r="N101" s="518">
        <f t="shared" si="31"/>
        <v>860666.47096382198</v>
      </c>
      <c r="O101" s="514">
        <f t="shared" si="32"/>
        <v>0</v>
      </c>
      <c r="P101" s="514">
        <f t="shared" si="33"/>
        <v>0</v>
      </c>
      <c r="Q101" s="269"/>
    </row>
    <row r="102" spans="1:17" ht="12.5">
      <c r="B102" s="195" t="str">
        <f t="shared" si="34"/>
        <v/>
      </c>
      <c r="C102" s="507">
        <f>IF(D93="","-",+C101+1)</f>
        <v>2013</v>
      </c>
      <c r="D102" s="508">
        <v>4936670.4070847854</v>
      </c>
      <c r="E102" s="516">
        <v>125017.59523809524</v>
      </c>
      <c r="F102" s="515">
        <v>4811652.8118466903</v>
      </c>
      <c r="G102" s="515">
        <v>4874161.6094657378</v>
      </c>
      <c r="H102" s="516">
        <v>784451.21671407181</v>
      </c>
      <c r="I102" s="510">
        <v>784451.21671407181</v>
      </c>
      <c r="J102" s="613">
        <v>0</v>
      </c>
      <c r="K102" s="514"/>
      <c r="L102" s="518">
        <f t="shared" si="29"/>
        <v>784451.21671407181</v>
      </c>
      <c r="M102" s="519">
        <f t="shared" ref="M102:M107" si="35">IF(L102&lt;&gt;0,+H102-L102,0)</f>
        <v>0</v>
      </c>
      <c r="N102" s="518">
        <f t="shared" si="31"/>
        <v>784451.21671407181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4"/>
        <v/>
      </c>
      <c r="C103" s="507">
        <f>IF(D93="","-",+C102+1)</f>
        <v>2014</v>
      </c>
      <c r="D103" s="508">
        <v>4811652.8118466903</v>
      </c>
      <c r="E103" s="516">
        <v>125017.59523809524</v>
      </c>
      <c r="F103" s="515">
        <v>4686635.2166085951</v>
      </c>
      <c r="G103" s="515">
        <v>4749144.0142276427</v>
      </c>
      <c r="H103" s="516">
        <v>770537.68057167216</v>
      </c>
      <c r="I103" s="510">
        <v>770537.68057167216</v>
      </c>
      <c r="J103" s="514">
        <v>0</v>
      </c>
      <c r="K103" s="514"/>
      <c r="L103" s="518">
        <f t="shared" si="29"/>
        <v>770537.68057167216</v>
      </c>
      <c r="M103" s="519">
        <f t="shared" si="35"/>
        <v>0</v>
      </c>
      <c r="N103" s="518">
        <f t="shared" si="31"/>
        <v>770537.68057167216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4"/>
        <v/>
      </c>
      <c r="C104" s="507">
        <f>IF(D93="","-",+C103+1)</f>
        <v>2015</v>
      </c>
      <c r="D104" s="508">
        <v>4686635.2166085951</v>
      </c>
      <c r="E104" s="516">
        <v>125017.59523809524</v>
      </c>
      <c r="F104" s="515">
        <v>4561617.6213705</v>
      </c>
      <c r="G104" s="515">
        <v>4624126.4189895475</v>
      </c>
      <c r="H104" s="516">
        <v>734333.54462045</v>
      </c>
      <c r="I104" s="510">
        <v>734333.54462045</v>
      </c>
      <c r="J104" s="514">
        <f t="shared" si="28"/>
        <v>0</v>
      </c>
      <c r="K104" s="514"/>
      <c r="L104" s="518">
        <f t="shared" si="29"/>
        <v>734333.54462045</v>
      </c>
      <c r="M104" s="519">
        <f t="shared" si="35"/>
        <v>0</v>
      </c>
      <c r="N104" s="518">
        <f t="shared" si="31"/>
        <v>734333.54462045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4"/>
        <v/>
      </c>
      <c r="C105" s="507">
        <f>IF(D93="","-",+C104+1)</f>
        <v>2016</v>
      </c>
      <c r="D105" s="508">
        <v>4561617.6213705</v>
      </c>
      <c r="E105" s="516">
        <v>122110.20930232559</v>
      </c>
      <c r="F105" s="515">
        <v>4439507.4120681742</v>
      </c>
      <c r="G105" s="515">
        <v>4500562.5167193376</v>
      </c>
      <c r="H105" s="516">
        <v>693456.56809088623</v>
      </c>
      <c r="I105" s="510">
        <v>693456.56809088623</v>
      </c>
      <c r="J105" s="514">
        <f t="shared" si="28"/>
        <v>0</v>
      </c>
      <c r="K105" s="514"/>
      <c r="L105" s="518">
        <f>H105</f>
        <v>693456.56809088623</v>
      </c>
      <c r="M105" s="519">
        <f t="shared" si="35"/>
        <v>0</v>
      </c>
      <c r="N105" s="518">
        <f>I105</f>
        <v>693456.56809088623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34"/>
        <v/>
      </c>
      <c r="C106" s="507">
        <f>IF(D93="","-",+C105+1)</f>
        <v>2017</v>
      </c>
      <c r="D106" s="508">
        <v>4439507.4120681742</v>
      </c>
      <c r="E106" s="516">
        <v>125017.59523809524</v>
      </c>
      <c r="F106" s="515">
        <v>4314489.8168300791</v>
      </c>
      <c r="G106" s="515">
        <v>4376998.6144491266</v>
      </c>
      <c r="H106" s="516">
        <v>656697.99721600045</v>
      </c>
      <c r="I106" s="510">
        <v>656697.99721600045</v>
      </c>
      <c r="J106" s="514">
        <f t="shared" si="28"/>
        <v>0</v>
      </c>
      <c r="K106" s="514"/>
      <c r="L106" s="518">
        <f>H106</f>
        <v>656697.99721600045</v>
      </c>
      <c r="M106" s="519">
        <f t="shared" si="35"/>
        <v>0</v>
      </c>
      <c r="N106" s="518">
        <f>I106</f>
        <v>656697.99721600045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34"/>
        <v/>
      </c>
      <c r="C107" s="507">
        <f>IF(D93="","-",+C106+1)</f>
        <v>2018</v>
      </c>
      <c r="D107" s="508">
        <v>4314489.8168300791</v>
      </c>
      <c r="E107" s="516">
        <v>125017.59523809524</v>
      </c>
      <c r="F107" s="515">
        <v>4189472.2215919839</v>
      </c>
      <c r="G107" s="515">
        <v>4251981.0192110315</v>
      </c>
      <c r="H107" s="516">
        <v>574046.28968548193</v>
      </c>
      <c r="I107" s="510">
        <v>574046.28968548193</v>
      </c>
      <c r="J107" s="514">
        <f t="shared" si="28"/>
        <v>0</v>
      </c>
      <c r="K107" s="514"/>
      <c r="L107" s="518">
        <f>H107</f>
        <v>574046.28968548193</v>
      </c>
      <c r="M107" s="519">
        <f t="shared" si="35"/>
        <v>0</v>
      </c>
      <c r="N107" s="518">
        <f>I107</f>
        <v>574046.28968548193</v>
      </c>
      <c r="O107" s="514">
        <f t="shared" si="32"/>
        <v>0</v>
      </c>
      <c r="P107" s="514">
        <f t="shared" si="33"/>
        <v>0</v>
      </c>
      <c r="Q107" s="269"/>
    </row>
    <row r="108" spans="1:17" ht="12.5">
      <c r="B108" s="195" t="str">
        <f t="shared" si="34"/>
        <v/>
      </c>
      <c r="C108" s="507">
        <f>IF(D93="","-",+C107+1)</f>
        <v>2019</v>
      </c>
      <c r="D108" s="508">
        <v>4189472.2215919839</v>
      </c>
      <c r="E108" s="516">
        <v>122110.20930232559</v>
      </c>
      <c r="F108" s="515">
        <v>4067362.0122896582</v>
      </c>
      <c r="G108" s="515">
        <v>4128417.1169408211</v>
      </c>
      <c r="H108" s="516">
        <v>564018.23385327356</v>
      </c>
      <c r="I108" s="510">
        <v>564018.23385327356</v>
      </c>
      <c r="J108" s="514">
        <f t="shared" si="28"/>
        <v>0</v>
      </c>
      <c r="K108" s="514"/>
      <c r="L108" s="518">
        <f>H108</f>
        <v>564018.23385327356</v>
      </c>
      <c r="M108" s="519">
        <f t="shared" ref="M108:M109" si="36">IF(L108&lt;&gt;0,+H108-L108,0)</f>
        <v>0</v>
      </c>
      <c r="N108" s="518">
        <f>I108</f>
        <v>564018.23385327356</v>
      </c>
      <c r="O108" s="514">
        <f t="shared" si="32"/>
        <v>0</v>
      </c>
      <c r="P108" s="514">
        <f t="shared" si="33"/>
        <v>0</v>
      </c>
      <c r="Q108" s="269"/>
    </row>
    <row r="109" spans="1:17" ht="12.5">
      <c r="B109" s="195" t="str">
        <f t="shared" si="34"/>
        <v/>
      </c>
      <c r="C109" s="507">
        <f>IF(D93="","-",+C108+1)</f>
        <v>2020</v>
      </c>
      <c r="D109" s="508">
        <v>4067362.0122896582</v>
      </c>
      <c r="E109" s="516">
        <v>125017.59523809524</v>
      </c>
      <c r="F109" s="515">
        <v>3942344.417051563</v>
      </c>
      <c r="G109" s="515">
        <v>4004853.2146706106</v>
      </c>
      <c r="H109" s="516">
        <v>555835.00414311176</v>
      </c>
      <c r="I109" s="510">
        <v>555835.00414311176</v>
      </c>
      <c r="J109" s="514">
        <f t="shared" si="28"/>
        <v>0</v>
      </c>
      <c r="K109" s="514"/>
      <c r="L109" s="518">
        <f>H109</f>
        <v>555835.00414311176</v>
      </c>
      <c r="M109" s="519">
        <f t="shared" si="36"/>
        <v>0</v>
      </c>
      <c r="N109" s="518">
        <f>I109</f>
        <v>555835.00414311176</v>
      </c>
      <c r="O109" s="514">
        <f t="shared" si="32"/>
        <v>0</v>
      </c>
      <c r="P109" s="514">
        <f t="shared" si="33"/>
        <v>0</v>
      </c>
      <c r="Q109" s="269"/>
    </row>
    <row r="110" spans="1:17" ht="12.5">
      <c r="B110" s="195" t="str">
        <f t="shared" si="34"/>
        <v/>
      </c>
      <c r="C110" s="507">
        <f>IF(D93="","-",+C109+1)</f>
        <v>2021</v>
      </c>
      <c r="D110" s="374">
        <f>IF(F109+SUM(E$99:E109)=D$92,F109,D$92-SUM(E$99:E109))</f>
        <v>3942344.417051563</v>
      </c>
      <c r="E110" s="522">
        <f>IF(+J96&lt;F109,J96,D110)</f>
        <v>128066.80487804877</v>
      </c>
      <c r="F110" s="523">
        <f t="shared" ref="F110:F131" si="37">+D110-E110</f>
        <v>3814277.6121735144</v>
      </c>
      <c r="G110" s="523">
        <f t="shared" ref="G110:G130" si="38">+(F110+D110)/2</f>
        <v>3878311.0146125387</v>
      </c>
      <c r="H110" s="526">
        <f t="shared" ref="H110:H130" si="39">+J$94*G110+E110</f>
        <v>568310.27933101822</v>
      </c>
      <c r="I110" s="577">
        <f t="shared" ref="I110:I130" si="40">+J$95*G110+E110</f>
        <v>568310.27933101822</v>
      </c>
      <c r="J110" s="514">
        <f t="shared" si="28"/>
        <v>0</v>
      </c>
      <c r="K110" s="514"/>
      <c r="L110" s="525"/>
      <c r="M110" s="514">
        <f t="shared" si="30"/>
        <v>0</v>
      </c>
      <c r="N110" s="525"/>
      <c r="O110" s="514">
        <f t="shared" si="32"/>
        <v>0</v>
      </c>
      <c r="P110" s="514">
        <f t="shared" si="33"/>
        <v>0</v>
      </c>
      <c r="Q110" s="269"/>
    </row>
    <row r="111" spans="1:17" ht="12.5">
      <c r="B111" s="195" t="str">
        <f t="shared" si="34"/>
        <v/>
      </c>
      <c r="C111" s="507">
        <f>IF(D93="","-",+C110+1)</f>
        <v>2022</v>
      </c>
      <c r="D111" s="374">
        <f>IF(F110+SUM(E$99:E110)=D$92,F110,D$92-SUM(E$99:E110))</f>
        <v>3814277.6121735144</v>
      </c>
      <c r="E111" s="522">
        <f>IF(+J96&lt;F110,J96,D111)</f>
        <v>128066.80487804877</v>
      </c>
      <c r="F111" s="523">
        <f t="shared" si="37"/>
        <v>3686210.8072954658</v>
      </c>
      <c r="G111" s="523">
        <f t="shared" si="38"/>
        <v>3750244.2097344901</v>
      </c>
      <c r="H111" s="526">
        <f t="shared" si="39"/>
        <v>553772.87505137827</v>
      </c>
      <c r="I111" s="577">
        <f t="shared" si="40"/>
        <v>553772.87505137827</v>
      </c>
      <c r="J111" s="514">
        <f t="shared" si="28"/>
        <v>0</v>
      </c>
      <c r="K111" s="514"/>
      <c r="L111" s="525"/>
      <c r="M111" s="514">
        <f t="shared" si="30"/>
        <v>0</v>
      </c>
      <c r="N111" s="525"/>
      <c r="O111" s="514">
        <f t="shared" si="32"/>
        <v>0</v>
      </c>
      <c r="P111" s="514">
        <f t="shared" si="33"/>
        <v>0</v>
      </c>
      <c r="Q111" s="269"/>
    </row>
    <row r="112" spans="1:17" ht="12.5">
      <c r="B112" s="195" t="str">
        <f t="shared" si="34"/>
        <v/>
      </c>
      <c r="C112" s="507">
        <f>IF(D93="","-",+C111+1)</f>
        <v>2023</v>
      </c>
      <c r="D112" s="374">
        <f>IF(F111+SUM(E$99:E111)=D$92,F111,D$92-SUM(E$99:E111))</f>
        <v>3686210.8072954658</v>
      </c>
      <c r="E112" s="522">
        <f>IF(+J96&lt;F111,J96,D112)</f>
        <v>128066.80487804877</v>
      </c>
      <c r="F112" s="523">
        <f t="shared" si="37"/>
        <v>3558144.0024174172</v>
      </c>
      <c r="G112" s="523">
        <f t="shared" si="38"/>
        <v>3622177.4048564415</v>
      </c>
      <c r="H112" s="526">
        <f t="shared" si="39"/>
        <v>539235.47077173856</v>
      </c>
      <c r="I112" s="577">
        <f t="shared" si="40"/>
        <v>539235.47077173856</v>
      </c>
      <c r="J112" s="514">
        <f t="shared" si="28"/>
        <v>0</v>
      </c>
      <c r="K112" s="514"/>
      <c r="L112" s="525"/>
      <c r="M112" s="514">
        <f t="shared" si="30"/>
        <v>0</v>
      </c>
      <c r="N112" s="525"/>
      <c r="O112" s="514">
        <f t="shared" si="32"/>
        <v>0</v>
      </c>
      <c r="P112" s="514">
        <f t="shared" si="33"/>
        <v>0</v>
      </c>
      <c r="Q112" s="269"/>
    </row>
    <row r="113" spans="2:17" ht="12.5">
      <c r="B113" s="195" t="str">
        <f t="shared" si="34"/>
        <v/>
      </c>
      <c r="C113" s="507">
        <f>IF(D93="","-",+C112+1)</f>
        <v>2024</v>
      </c>
      <c r="D113" s="374">
        <f>IF(F112+SUM(E$99:E112)=D$92,F112,D$92-SUM(E$99:E112))</f>
        <v>3558144.0024174172</v>
      </c>
      <c r="E113" s="522">
        <f>IF(+J96&lt;F112,J96,D113)</f>
        <v>128066.80487804877</v>
      </c>
      <c r="F113" s="523">
        <f t="shared" si="37"/>
        <v>3430077.1975393686</v>
      </c>
      <c r="G113" s="523">
        <f t="shared" si="38"/>
        <v>3494110.5999783929</v>
      </c>
      <c r="H113" s="526">
        <f t="shared" si="39"/>
        <v>524698.06649209862</v>
      </c>
      <c r="I113" s="577">
        <f t="shared" si="40"/>
        <v>524698.06649209862</v>
      </c>
      <c r="J113" s="514">
        <f t="shared" si="28"/>
        <v>0</v>
      </c>
      <c r="K113" s="514"/>
      <c r="L113" s="525"/>
      <c r="M113" s="514">
        <f t="shared" si="30"/>
        <v>0</v>
      </c>
      <c r="N113" s="525"/>
      <c r="O113" s="514">
        <f t="shared" si="32"/>
        <v>0</v>
      </c>
      <c r="P113" s="514">
        <f t="shared" si="33"/>
        <v>0</v>
      </c>
      <c r="Q113" s="269"/>
    </row>
    <row r="114" spans="2:17" ht="12.5">
      <c r="B114" s="195" t="str">
        <f t="shared" si="34"/>
        <v/>
      </c>
      <c r="C114" s="507">
        <f>IF(D93="","-",+C113+1)</f>
        <v>2025</v>
      </c>
      <c r="D114" s="374">
        <f>IF(F113+SUM(E$99:E113)=D$92,F113,D$92-SUM(E$99:E113))</f>
        <v>3430077.1975393686</v>
      </c>
      <c r="E114" s="522">
        <f>IF(+J96&lt;F113,J96,D114)</f>
        <v>128066.80487804877</v>
      </c>
      <c r="F114" s="523">
        <f t="shared" si="37"/>
        <v>3302010.39266132</v>
      </c>
      <c r="G114" s="523">
        <f t="shared" si="38"/>
        <v>3366043.7951003443</v>
      </c>
      <c r="H114" s="526">
        <f t="shared" si="39"/>
        <v>510160.66221245885</v>
      </c>
      <c r="I114" s="577">
        <f t="shared" si="40"/>
        <v>510160.66221245885</v>
      </c>
      <c r="J114" s="514">
        <f t="shared" si="28"/>
        <v>0</v>
      </c>
      <c r="K114" s="514"/>
      <c r="L114" s="525"/>
      <c r="M114" s="514">
        <f t="shared" si="30"/>
        <v>0</v>
      </c>
      <c r="N114" s="525"/>
      <c r="O114" s="514">
        <f t="shared" si="32"/>
        <v>0</v>
      </c>
      <c r="P114" s="514">
        <f t="shared" si="33"/>
        <v>0</v>
      </c>
      <c r="Q114" s="269"/>
    </row>
    <row r="115" spans="2:17" ht="12.5">
      <c r="B115" s="195" t="str">
        <f t="shared" si="34"/>
        <v/>
      </c>
      <c r="C115" s="507">
        <f>IF(D93="","-",+C114+1)</f>
        <v>2026</v>
      </c>
      <c r="D115" s="374">
        <f>IF(F114+SUM(E$99:E114)=D$92,F114,D$92-SUM(E$99:E114))</f>
        <v>3302010.39266132</v>
      </c>
      <c r="E115" s="522">
        <f>IF(+J96&lt;F114,J96,D115)</f>
        <v>128066.80487804877</v>
      </c>
      <c r="F115" s="523">
        <f t="shared" si="37"/>
        <v>3173943.5877832714</v>
      </c>
      <c r="G115" s="523">
        <f t="shared" si="38"/>
        <v>3237976.9902222957</v>
      </c>
      <c r="H115" s="526">
        <f t="shared" si="39"/>
        <v>495623.25793281902</v>
      </c>
      <c r="I115" s="577">
        <f t="shared" si="40"/>
        <v>495623.25793281902</v>
      </c>
      <c r="J115" s="514">
        <f t="shared" si="28"/>
        <v>0</v>
      </c>
      <c r="K115" s="514"/>
      <c r="L115" s="525"/>
      <c r="M115" s="514">
        <f t="shared" si="30"/>
        <v>0</v>
      </c>
      <c r="N115" s="525"/>
      <c r="O115" s="514">
        <f t="shared" si="32"/>
        <v>0</v>
      </c>
      <c r="P115" s="514">
        <f t="shared" si="33"/>
        <v>0</v>
      </c>
      <c r="Q115" s="269"/>
    </row>
    <row r="116" spans="2:17" ht="12.5">
      <c r="B116" s="195" t="str">
        <f t="shared" si="34"/>
        <v/>
      </c>
      <c r="C116" s="507">
        <f>IF(D93="","-",+C115+1)</f>
        <v>2027</v>
      </c>
      <c r="D116" s="374">
        <f>IF(F115+SUM(E$99:E115)=D$92,F115,D$92-SUM(E$99:E115))</f>
        <v>3173943.5877832714</v>
      </c>
      <c r="E116" s="522">
        <f>IF(+J96&lt;F115,J96,D116)</f>
        <v>128066.80487804877</v>
      </c>
      <c r="F116" s="523">
        <f t="shared" si="37"/>
        <v>3045876.7829052228</v>
      </c>
      <c r="G116" s="523">
        <f t="shared" si="38"/>
        <v>3109910.1853442471</v>
      </c>
      <c r="H116" s="526">
        <f t="shared" si="39"/>
        <v>481085.85365317919</v>
      </c>
      <c r="I116" s="577">
        <f t="shared" si="40"/>
        <v>481085.85365317919</v>
      </c>
      <c r="J116" s="514">
        <f t="shared" si="28"/>
        <v>0</v>
      </c>
      <c r="K116" s="514"/>
      <c r="L116" s="525"/>
      <c r="M116" s="514">
        <f t="shared" si="30"/>
        <v>0</v>
      </c>
      <c r="N116" s="525"/>
      <c r="O116" s="514">
        <f t="shared" si="32"/>
        <v>0</v>
      </c>
      <c r="P116" s="514">
        <f t="shared" si="33"/>
        <v>0</v>
      </c>
      <c r="Q116" s="269"/>
    </row>
    <row r="117" spans="2:17" ht="12.5">
      <c r="B117" s="195" t="str">
        <f t="shared" si="34"/>
        <v/>
      </c>
      <c r="C117" s="507">
        <f>IF(D93="","-",+C116+1)</f>
        <v>2028</v>
      </c>
      <c r="D117" s="374">
        <f>IF(F116+SUM(E$99:E116)=D$92,F116,D$92-SUM(E$99:E116))</f>
        <v>3045876.7829052228</v>
      </c>
      <c r="E117" s="522">
        <f>IF(+J96&lt;F116,J96,D117)</f>
        <v>128066.80487804877</v>
      </c>
      <c r="F117" s="523">
        <f t="shared" si="37"/>
        <v>2917809.9780271742</v>
      </c>
      <c r="G117" s="523">
        <f t="shared" si="38"/>
        <v>2981843.3804661985</v>
      </c>
      <c r="H117" s="526">
        <f t="shared" si="39"/>
        <v>466548.44937353936</v>
      </c>
      <c r="I117" s="577">
        <f t="shared" si="40"/>
        <v>466548.44937353936</v>
      </c>
      <c r="J117" s="514">
        <f t="shared" si="28"/>
        <v>0</v>
      </c>
      <c r="K117" s="514"/>
      <c r="L117" s="525"/>
      <c r="M117" s="514">
        <f t="shared" si="30"/>
        <v>0</v>
      </c>
      <c r="N117" s="525"/>
      <c r="O117" s="514">
        <f t="shared" si="32"/>
        <v>0</v>
      </c>
      <c r="P117" s="514">
        <f t="shared" si="33"/>
        <v>0</v>
      </c>
      <c r="Q117" s="269"/>
    </row>
    <row r="118" spans="2:17" ht="12.5">
      <c r="B118" s="195" t="str">
        <f t="shared" si="34"/>
        <v/>
      </c>
      <c r="C118" s="507">
        <f>IF(D93="","-",+C117+1)</f>
        <v>2029</v>
      </c>
      <c r="D118" s="374">
        <f>IF(F117+SUM(E$99:E117)=D$92,F117,D$92-SUM(E$99:E117))</f>
        <v>2917809.9780271742</v>
      </c>
      <c r="E118" s="522">
        <f>IF(+J96&lt;F117,J96,D118)</f>
        <v>128066.80487804877</v>
      </c>
      <c r="F118" s="523">
        <f t="shared" si="37"/>
        <v>2789743.1731491257</v>
      </c>
      <c r="G118" s="523">
        <f t="shared" si="38"/>
        <v>2853776.5755881499</v>
      </c>
      <c r="H118" s="526">
        <f t="shared" si="39"/>
        <v>452011.04509389953</v>
      </c>
      <c r="I118" s="577">
        <f t="shared" si="40"/>
        <v>452011.04509389953</v>
      </c>
      <c r="J118" s="514">
        <f t="shared" si="28"/>
        <v>0</v>
      </c>
      <c r="K118" s="514"/>
      <c r="L118" s="525"/>
      <c r="M118" s="514">
        <f t="shared" si="30"/>
        <v>0</v>
      </c>
      <c r="N118" s="525"/>
      <c r="O118" s="514">
        <f t="shared" si="32"/>
        <v>0</v>
      </c>
      <c r="P118" s="514">
        <f t="shared" si="33"/>
        <v>0</v>
      </c>
      <c r="Q118" s="269"/>
    </row>
    <row r="119" spans="2:17" ht="12.5">
      <c r="B119" s="195" t="str">
        <f t="shared" si="34"/>
        <v/>
      </c>
      <c r="C119" s="507">
        <f>IF(D93="","-",+C118+1)</f>
        <v>2030</v>
      </c>
      <c r="D119" s="374">
        <f>IF(F118+SUM(E$99:E118)=D$92,F118,D$92-SUM(E$99:E118))</f>
        <v>2789743.1731491257</v>
      </c>
      <c r="E119" s="522">
        <f>IF(+J96&lt;F118,J96,D119)</f>
        <v>128066.80487804877</v>
      </c>
      <c r="F119" s="523">
        <f t="shared" si="37"/>
        <v>2661676.3682710771</v>
      </c>
      <c r="G119" s="523">
        <f t="shared" si="38"/>
        <v>2725709.7707101014</v>
      </c>
      <c r="H119" s="526">
        <f t="shared" si="39"/>
        <v>437473.64081425971</v>
      </c>
      <c r="I119" s="577">
        <f t="shared" si="40"/>
        <v>437473.64081425971</v>
      </c>
      <c r="J119" s="514">
        <f t="shared" si="28"/>
        <v>0</v>
      </c>
      <c r="K119" s="514"/>
      <c r="L119" s="525"/>
      <c r="M119" s="514">
        <f t="shared" si="30"/>
        <v>0</v>
      </c>
      <c r="N119" s="525"/>
      <c r="O119" s="514">
        <f t="shared" si="32"/>
        <v>0</v>
      </c>
      <c r="P119" s="514">
        <f t="shared" si="33"/>
        <v>0</v>
      </c>
      <c r="Q119" s="269"/>
    </row>
    <row r="120" spans="2:17" ht="12.5">
      <c r="B120" s="195" t="str">
        <f t="shared" si="34"/>
        <v/>
      </c>
      <c r="C120" s="507">
        <f>IF(D93="","-",+C119+1)</f>
        <v>2031</v>
      </c>
      <c r="D120" s="374">
        <f>IF(F119+SUM(E$99:E119)=D$92,F119,D$92-SUM(E$99:E119))</f>
        <v>2661676.3682710771</v>
      </c>
      <c r="E120" s="522">
        <f>IF(+J96&lt;F119,J96,D120)</f>
        <v>128066.80487804877</v>
      </c>
      <c r="F120" s="523">
        <f t="shared" si="37"/>
        <v>2533609.5633930285</v>
      </c>
      <c r="G120" s="523">
        <f t="shared" si="38"/>
        <v>2597642.9658320528</v>
      </c>
      <c r="H120" s="526">
        <f t="shared" si="39"/>
        <v>422936.23653461988</v>
      </c>
      <c r="I120" s="577">
        <f t="shared" si="40"/>
        <v>422936.23653461988</v>
      </c>
      <c r="J120" s="514">
        <f t="shared" si="28"/>
        <v>0</v>
      </c>
      <c r="K120" s="514"/>
      <c r="L120" s="525"/>
      <c r="M120" s="514">
        <f t="shared" si="30"/>
        <v>0</v>
      </c>
      <c r="N120" s="525"/>
      <c r="O120" s="514">
        <f t="shared" si="32"/>
        <v>0</v>
      </c>
      <c r="P120" s="514">
        <f t="shared" si="33"/>
        <v>0</v>
      </c>
      <c r="Q120" s="269"/>
    </row>
    <row r="121" spans="2:17" ht="12.5">
      <c r="B121" s="195" t="str">
        <f t="shared" si="34"/>
        <v/>
      </c>
      <c r="C121" s="507">
        <f>IF(D93="","-",+C120+1)</f>
        <v>2032</v>
      </c>
      <c r="D121" s="374">
        <f>IF(F120+SUM(E$99:E120)=D$92,F120,D$92-SUM(E$99:E120))</f>
        <v>2533609.5633930285</v>
      </c>
      <c r="E121" s="522">
        <f>IF(+J96&lt;F120,J96,D121)</f>
        <v>128066.80487804877</v>
      </c>
      <c r="F121" s="523">
        <f t="shared" si="37"/>
        <v>2405542.7585149799</v>
      </c>
      <c r="G121" s="523">
        <f t="shared" si="38"/>
        <v>2469576.1609540042</v>
      </c>
      <c r="H121" s="526">
        <f t="shared" si="39"/>
        <v>408398.83225498005</v>
      </c>
      <c r="I121" s="577">
        <f t="shared" si="40"/>
        <v>408398.83225498005</v>
      </c>
      <c r="J121" s="514">
        <f t="shared" si="28"/>
        <v>0</v>
      </c>
      <c r="K121" s="514"/>
      <c r="L121" s="525"/>
      <c r="M121" s="514">
        <f t="shared" si="30"/>
        <v>0</v>
      </c>
      <c r="N121" s="525"/>
      <c r="O121" s="514">
        <f t="shared" si="32"/>
        <v>0</v>
      </c>
      <c r="P121" s="514">
        <f t="shared" si="33"/>
        <v>0</v>
      </c>
      <c r="Q121" s="269"/>
    </row>
    <row r="122" spans="2:17" ht="12.5">
      <c r="B122" s="195" t="str">
        <f t="shared" si="34"/>
        <v/>
      </c>
      <c r="C122" s="507">
        <f>IF(D93="","-",+C121+1)</f>
        <v>2033</v>
      </c>
      <c r="D122" s="374">
        <f>IF(F121+SUM(E$99:E121)=D$92,F121,D$92-SUM(E$99:E121))</f>
        <v>2405542.7585149799</v>
      </c>
      <c r="E122" s="522">
        <f>IF(+J96&lt;F121,J96,D122)</f>
        <v>128066.80487804877</v>
      </c>
      <c r="F122" s="523">
        <f t="shared" si="37"/>
        <v>2277475.9536369313</v>
      </c>
      <c r="G122" s="523">
        <f t="shared" si="38"/>
        <v>2341509.3560759556</v>
      </c>
      <c r="H122" s="526">
        <f t="shared" si="39"/>
        <v>393861.42797534022</v>
      </c>
      <c r="I122" s="577">
        <f t="shared" si="40"/>
        <v>393861.42797534022</v>
      </c>
      <c r="J122" s="514">
        <f t="shared" si="28"/>
        <v>0</v>
      </c>
      <c r="K122" s="514"/>
      <c r="L122" s="525"/>
      <c r="M122" s="514">
        <f t="shared" si="30"/>
        <v>0</v>
      </c>
      <c r="N122" s="525"/>
      <c r="O122" s="514">
        <f t="shared" si="32"/>
        <v>0</v>
      </c>
      <c r="P122" s="514">
        <f t="shared" si="33"/>
        <v>0</v>
      </c>
      <c r="Q122" s="269"/>
    </row>
    <row r="123" spans="2:17" ht="12.5">
      <c r="B123" s="195" t="str">
        <f t="shared" si="34"/>
        <v/>
      </c>
      <c r="C123" s="507">
        <f>IF(D93="","-",+C122+1)</f>
        <v>2034</v>
      </c>
      <c r="D123" s="374">
        <f>IF(F122+SUM(E$99:E122)=D$92,F122,D$92-SUM(E$99:E122))</f>
        <v>2277475.9536369313</v>
      </c>
      <c r="E123" s="522">
        <f>IF(+J96&lt;F122,J96,D123)</f>
        <v>128066.80487804877</v>
      </c>
      <c r="F123" s="523">
        <f t="shared" si="37"/>
        <v>2149409.1487588827</v>
      </c>
      <c r="G123" s="523">
        <f t="shared" si="38"/>
        <v>2213442.551197907</v>
      </c>
      <c r="H123" s="526">
        <f t="shared" si="39"/>
        <v>379324.02369570045</v>
      </c>
      <c r="I123" s="577">
        <f t="shared" si="40"/>
        <v>379324.02369570045</v>
      </c>
      <c r="J123" s="514">
        <f t="shared" si="28"/>
        <v>0</v>
      </c>
      <c r="K123" s="514"/>
      <c r="L123" s="525"/>
      <c r="M123" s="514">
        <f t="shared" si="30"/>
        <v>0</v>
      </c>
      <c r="N123" s="525"/>
      <c r="O123" s="514">
        <f t="shared" si="32"/>
        <v>0</v>
      </c>
      <c r="P123" s="514">
        <f t="shared" si="33"/>
        <v>0</v>
      </c>
      <c r="Q123" s="269"/>
    </row>
    <row r="124" spans="2:17" ht="12.5">
      <c r="B124" s="195" t="str">
        <f t="shared" si="34"/>
        <v/>
      </c>
      <c r="C124" s="507">
        <f>IF(D93="","-",+C123+1)</f>
        <v>2035</v>
      </c>
      <c r="D124" s="374">
        <f>IF(F123+SUM(E$99:E123)=D$92,F123,D$92-SUM(E$99:E123))</f>
        <v>2149409.1487588827</v>
      </c>
      <c r="E124" s="522">
        <f>IF(+J96&lt;F123,J96,D124)</f>
        <v>128066.80487804877</v>
      </c>
      <c r="F124" s="523">
        <f t="shared" si="37"/>
        <v>2021342.3438808338</v>
      </c>
      <c r="G124" s="523">
        <f t="shared" si="38"/>
        <v>2085375.7463198584</v>
      </c>
      <c r="H124" s="526">
        <f t="shared" si="39"/>
        <v>364786.61941606062</v>
      </c>
      <c r="I124" s="577">
        <f t="shared" si="40"/>
        <v>364786.61941606062</v>
      </c>
      <c r="J124" s="514">
        <f t="shared" si="28"/>
        <v>0</v>
      </c>
      <c r="K124" s="514"/>
      <c r="L124" s="525"/>
      <c r="M124" s="514">
        <f t="shared" si="30"/>
        <v>0</v>
      </c>
      <c r="N124" s="525"/>
      <c r="O124" s="514">
        <f t="shared" si="32"/>
        <v>0</v>
      </c>
      <c r="P124" s="514">
        <f t="shared" si="33"/>
        <v>0</v>
      </c>
      <c r="Q124" s="269"/>
    </row>
    <row r="125" spans="2:17" ht="12.5">
      <c r="B125" s="195" t="str">
        <f t="shared" si="34"/>
        <v/>
      </c>
      <c r="C125" s="507">
        <f>IF(D93="","-",+C124+1)</f>
        <v>2036</v>
      </c>
      <c r="D125" s="374">
        <f>IF(F124+SUM(E$99:E124)=D$92,F124,D$92-SUM(E$99:E124))</f>
        <v>2021342.3438808338</v>
      </c>
      <c r="E125" s="522">
        <f>IF(+J96&lt;F124,J96,D125)</f>
        <v>128066.80487804877</v>
      </c>
      <c r="F125" s="523">
        <f t="shared" si="37"/>
        <v>1893275.539002785</v>
      </c>
      <c r="G125" s="523">
        <f t="shared" si="38"/>
        <v>1957308.9414418093</v>
      </c>
      <c r="H125" s="526">
        <f t="shared" si="39"/>
        <v>350249.21513642068</v>
      </c>
      <c r="I125" s="577">
        <f t="shared" si="40"/>
        <v>350249.21513642068</v>
      </c>
      <c r="J125" s="514">
        <f t="shared" si="28"/>
        <v>0</v>
      </c>
      <c r="K125" s="514"/>
      <c r="L125" s="525"/>
      <c r="M125" s="514">
        <f t="shared" si="30"/>
        <v>0</v>
      </c>
      <c r="N125" s="525"/>
      <c r="O125" s="514">
        <f t="shared" si="32"/>
        <v>0</v>
      </c>
      <c r="P125" s="514">
        <f t="shared" si="33"/>
        <v>0</v>
      </c>
      <c r="Q125" s="269"/>
    </row>
    <row r="126" spans="2:17" ht="12.5">
      <c r="B126" s="195" t="str">
        <f t="shared" si="34"/>
        <v/>
      </c>
      <c r="C126" s="507">
        <f>IF(D93="","-",+C125+1)</f>
        <v>2037</v>
      </c>
      <c r="D126" s="374">
        <f>IF(F125+SUM(E$99:E125)=D$92,F125,D$92-SUM(E$99:E125))</f>
        <v>1893275.539002785</v>
      </c>
      <c r="E126" s="522">
        <f>IF(+J96&lt;F125,J96,D126)</f>
        <v>128066.80487804877</v>
      </c>
      <c r="F126" s="523">
        <f t="shared" si="37"/>
        <v>1765208.7341247362</v>
      </c>
      <c r="G126" s="523">
        <f t="shared" si="38"/>
        <v>1829242.1365637607</v>
      </c>
      <c r="H126" s="526">
        <f t="shared" si="39"/>
        <v>335711.81085678085</v>
      </c>
      <c r="I126" s="577">
        <f t="shared" si="40"/>
        <v>335711.81085678085</v>
      </c>
      <c r="J126" s="514">
        <f t="shared" si="28"/>
        <v>0</v>
      </c>
      <c r="K126" s="514"/>
      <c r="L126" s="525"/>
      <c r="M126" s="514">
        <f t="shared" si="30"/>
        <v>0</v>
      </c>
      <c r="N126" s="525"/>
      <c r="O126" s="514">
        <f t="shared" si="32"/>
        <v>0</v>
      </c>
      <c r="P126" s="514">
        <f t="shared" si="33"/>
        <v>0</v>
      </c>
      <c r="Q126" s="269"/>
    </row>
    <row r="127" spans="2:17" ht="12.5">
      <c r="B127" s="195" t="str">
        <f t="shared" si="34"/>
        <v/>
      </c>
      <c r="C127" s="507">
        <f>IF(D93="","-",+C126+1)</f>
        <v>2038</v>
      </c>
      <c r="D127" s="374">
        <f>IF(F126+SUM(E$99:E126)=D$92,F126,D$92-SUM(E$99:E126))</f>
        <v>1765208.7341247362</v>
      </c>
      <c r="E127" s="522">
        <f>IF(+J96&lt;F126,J96,D127)</f>
        <v>128066.80487804877</v>
      </c>
      <c r="F127" s="523">
        <f t="shared" si="37"/>
        <v>1637141.9292466873</v>
      </c>
      <c r="G127" s="523">
        <f t="shared" si="38"/>
        <v>1701175.3316857116</v>
      </c>
      <c r="H127" s="526">
        <f t="shared" si="39"/>
        <v>321174.40657714102</v>
      </c>
      <c r="I127" s="577">
        <f t="shared" si="40"/>
        <v>321174.40657714102</v>
      </c>
      <c r="J127" s="514">
        <f t="shared" si="28"/>
        <v>0</v>
      </c>
      <c r="K127" s="514"/>
      <c r="L127" s="525"/>
      <c r="M127" s="514">
        <f t="shared" si="30"/>
        <v>0</v>
      </c>
      <c r="N127" s="525"/>
      <c r="O127" s="514">
        <f t="shared" si="32"/>
        <v>0</v>
      </c>
      <c r="P127" s="514">
        <f t="shared" si="33"/>
        <v>0</v>
      </c>
      <c r="Q127" s="269"/>
    </row>
    <row r="128" spans="2:17" ht="12.5">
      <c r="B128" s="195" t="str">
        <f t="shared" si="34"/>
        <v/>
      </c>
      <c r="C128" s="507">
        <f>IF(D93="","-",+C127+1)</f>
        <v>2039</v>
      </c>
      <c r="D128" s="374">
        <f>IF(F127+SUM(E$99:E127)=D$92,F127,D$92-SUM(E$99:E127))</f>
        <v>1637141.9292466873</v>
      </c>
      <c r="E128" s="522">
        <f>IF(+J96&lt;F127,J96,D128)</f>
        <v>128066.80487804877</v>
      </c>
      <c r="F128" s="523">
        <f t="shared" si="37"/>
        <v>1509075.1243686385</v>
      </c>
      <c r="G128" s="523">
        <f t="shared" si="38"/>
        <v>1573108.526807663</v>
      </c>
      <c r="H128" s="526">
        <f t="shared" si="39"/>
        <v>306637.0022975012</v>
      </c>
      <c r="I128" s="577">
        <f t="shared" si="40"/>
        <v>306637.0022975012</v>
      </c>
      <c r="J128" s="514">
        <f t="shared" si="28"/>
        <v>0</v>
      </c>
      <c r="K128" s="514"/>
      <c r="L128" s="525"/>
      <c r="M128" s="514">
        <f t="shared" si="30"/>
        <v>0</v>
      </c>
      <c r="N128" s="525"/>
      <c r="O128" s="514">
        <f t="shared" si="32"/>
        <v>0</v>
      </c>
      <c r="P128" s="514">
        <f t="shared" si="33"/>
        <v>0</v>
      </c>
      <c r="Q128" s="269"/>
    </row>
    <row r="129" spans="2:17" ht="12.5">
      <c r="B129" s="195" t="str">
        <f t="shared" si="34"/>
        <v/>
      </c>
      <c r="C129" s="507">
        <f>IF(D93="","-",+C128+1)</f>
        <v>2040</v>
      </c>
      <c r="D129" s="374">
        <f>IF(F128+SUM(E$99:E128)=D$92,F128,D$92-SUM(E$99:E128))</f>
        <v>1509075.1243686385</v>
      </c>
      <c r="E129" s="522">
        <f>IF(+J96&lt;F128,J96,D129)</f>
        <v>128066.80487804877</v>
      </c>
      <c r="F129" s="523">
        <f t="shared" si="37"/>
        <v>1381008.3194905897</v>
      </c>
      <c r="G129" s="523">
        <f t="shared" si="38"/>
        <v>1445041.721929614</v>
      </c>
      <c r="H129" s="526">
        <f t="shared" si="39"/>
        <v>292099.59801786125</v>
      </c>
      <c r="I129" s="577">
        <f t="shared" si="40"/>
        <v>292099.59801786125</v>
      </c>
      <c r="J129" s="514">
        <f t="shared" si="28"/>
        <v>0</v>
      </c>
      <c r="K129" s="514"/>
      <c r="L129" s="525"/>
      <c r="M129" s="514">
        <f t="shared" si="30"/>
        <v>0</v>
      </c>
      <c r="N129" s="525"/>
      <c r="O129" s="514">
        <f t="shared" si="32"/>
        <v>0</v>
      </c>
      <c r="P129" s="514">
        <f t="shared" si="33"/>
        <v>0</v>
      </c>
      <c r="Q129" s="269"/>
    </row>
    <row r="130" spans="2:17" ht="12.5">
      <c r="B130" s="195" t="str">
        <f t="shared" si="34"/>
        <v/>
      </c>
      <c r="C130" s="507">
        <f>IF(D93="","-",+C129+1)</f>
        <v>2041</v>
      </c>
      <c r="D130" s="374">
        <f>IF(F129+SUM(E$99:E129)=D$92,F129,D$92-SUM(E$99:E129))</f>
        <v>1381008.3194905897</v>
      </c>
      <c r="E130" s="522">
        <f>IF(+J96&lt;F129,J96,D130)</f>
        <v>128066.80487804877</v>
      </c>
      <c r="F130" s="523">
        <f t="shared" si="37"/>
        <v>1252941.5146125408</v>
      </c>
      <c r="G130" s="523">
        <f t="shared" si="38"/>
        <v>1316974.9170515654</v>
      </c>
      <c r="H130" s="526">
        <f t="shared" si="39"/>
        <v>277562.19373822142</v>
      </c>
      <c r="I130" s="577">
        <f t="shared" si="40"/>
        <v>277562.19373822142</v>
      </c>
      <c r="J130" s="514">
        <f t="shared" si="28"/>
        <v>0</v>
      </c>
      <c r="K130" s="514"/>
      <c r="L130" s="525"/>
      <c r="M130" s="514">
        <f t="shared" si="30"/>
        <v>0</v>
      </c>
      <c r="N130" s="525"/>
      <c r="O130" s="514">
        <f t="shared" si="32"/>
        <v>0</v>
      </c>
      <c r="P130" s="514">
        <f t="shared" si="33"/>
        <v>0</v>
      </c>
      <c r="Q130" s="269"/>
    </row>
    <row r="131" spans="2:17" ht="12.5">
      <c r="B131" s="195" t="str">
        <f t="shared" si="34"/>
        <v/>
      </c>
      <c r="C131" s="507">
        <f>IF(D93="","-",+C130+1)</f>
        <v>2042</v>
      </c>
      <c r="D131" s="374">
        <f>IF(F130+SUM(E$99:E130)=D$92,F130,D$92-SUM(E$99:E130))</f>
        <v>1252941.5146125408</v>
      </c>
      <c r="E131" s="522">
        <f>IF(+J96&lt;F130,J96,D131)</f>
        <v>128066.80487804877</v>
      </c>
      <c r="F131" s="523">
        <f t="shared" si="37"/>
        <v>1124874.709734492</v>
      </c>
      <c r="G131" s="523">
        <f t="shared" ref="G131:G154" si="41">+(F131+D131)/2</f>
        <v>1188908.1121735163</v>
      </c>
      <c r="H131" s="526">
        <f t="shared" ref="H131:H154" si="42">+J$94*G131+E131</f>
        <v>263024.7894585816</v>
      </c>
      <c r="I131" s="577">
        <f t="shared" ref="I131:I154" si="43">+J$95*G131+E131</f>
        <v>263024.7894585816</v>
      </c>
      <c r="J131" s="514">
        <f t="shared" ref="J131:J154" si="44">+I131-H131</f>
        <v>0</v>
      </c>
      <c r="K131" s="514"/>
      <c r="L131" s="525"/>
      <c r="M131" s="514">
        <f t="shared" ref="M131:M154" si="45">IF(L131&lt;&gt;0,+H131-L131,0)</f>
        <v>0</v>
      </c>
      <c r="N131" s="525"/>
      <c r="O131" s="514">
        <f t="shared" ref="O131:O154" si="46">IF(N131&lt;&gt;0,+I131-N131,0)</f>
        <v>0</v>
      </c>
      <c r="P131" s="514">
        <f t="shared" ref="P131:P154" si="47">+O131-M131</f>
        <v>0</v>
      </c>
      <c r="Q131" s="269"/>
    </row>
    <row r="132" spans="2:17" ht="12.5">
      <c r="B132" s="195" t="str">
        <f t="shared" si="34"/>
        <v/>
      </c>
      <c r="C132" s="507">
        <f>IF(D93="","-",+C131+1)</f>
        <v>2043</v>
      </c>
      <c r="D132" s="374">
        <f>IF(F131+SUM(E$99:E131)=D$92,F131,D$92-SUM(E$99:E131))</f>
        <v>1124874.709734492</v>
      </c>
      <c r="E132" s="522">
        <f>IF(+J96&lt;F131,J96,D132)</f>
        <v>128066.80487804877</v>
      </c>
      <c r="F132" s="523">
        <f t="shared" ref="F132:F154" si="48">+D132-E132</f>
        <v>996807.90485644317</v>
      </c>
      <c r="G132" s="523">
        <f t="shared" si="41"/>
        <v>1060841.3072954677</v>
      </c>
      <c r="H132" s="526">
        <f t="shared" si="42"/>
        <v>248487.38517894174</v>
      </c>
      <c r="I132" s="577">
        <f t="shared" si="43"/>
        <v>248487.38517894174</v>
      </c>
      <c r="J132" s="514">
        <f t="shared" si="44"/>
        <v>0</v>
      </c>
      <c r="K132" s="514"/>
      <c r="L132" s="525"/>
      <c r="M132" s="514">
        <f t="shared" si="45"/>
        <v>0</v>
      </c>
      <c r="N132" s="525"/>
      <c r="O132" s="514">
        <f t="shared" si="46"/>
        <v>0</v>
      </c>
      <c r="P132" s="514">
        <f t="shared" si="47"/>
        <v>0</v>
      </c>
      <c r="Q132" s="269"/>
    </row>
    <row r="133" spans="2:17" ht="12.5">
      <c r="B133" s="195" t="str">
        <f t="shared" si="34"/>
        <v/>
      </c>
      <c r="C133" s="507">
        <f>IF(D93="","-",+C132+1)</f>
        <v>2044</v>
      </c>
      <c r="D133" s="374">
        <f>IF(F132+SUM(E$99:E132)=D$92,F132,D$92-SUM(E$99:E132))</f>
        <v>996807.90485644317</v>
      </c>
      <c r="E133" s="522">
        <f>IF(+J96&lt;F132,J96,D133)</f>
        <v>128066.80487804877</v>
      </c>
      <c r="F133" s="523">
        <f t="shared" si="48"/>
        <v>868741.09997839434</v>
      </c>
      <c r="G133" s="523">
        <f t="shared" si="41"/>
        <v>932774.50241741876</v>
      </c>
      <c r="H133" s="526">
        <f t="shared" si="42"/>
        <v>233949.98089930188</v>
      </c>
      <c r="I133" s="577">
        <f t="shared" si="43"/>
        <v>233949.98089930188</v>
      </c>
      <c r="J133" s="514">
        <f t="shared" si="44"/>
        <v>0</v>
      </c>
      <c r="K133" s="514"/>
      <c r="L133" s="525"/>
      <c r="M133" s="514">
        <f t="shared" si="45"/>
        <v>0</v>
      </c>
      <c r="N133" s="525"/>
      <c r="O133" s="514">
        <f t="shared" si="46"/>
        <v>0</v>
      </c>
      <c r="P133" s="514">
        <f t="shared" si="47"/>
        <v>0</v>
      </c>
      <c r="Q133" s="269"/>
    </row>
    <row r="134" spans="2:17" ht="12.5">
      <c r="B134" s="195" t="str">
        <f t="shared" si="34"/>
        <v/>
      </c>
      <c r="C134" s="507">
        <f>IF(D93="","-",+C133+1)</f>
        <v>2045</v>
      </c>
      <c r="D134" s="374">
        <f>IF(F133+SUM(E$99:E133)=D$92,F133,D$92-SUM(E$99:E133))</f>
        <v>868741.09997839434</v>
      </c>
      <c r="E134" s="522">
        <f>IF(+J96&lt;F133,J96,D134)</f>
        <v>128066.80487804877</v>
      </c>
      <c r="F134" s="523">
        <f t="shared" si="48"/>
        <v>740674.29510034551</v>
      </c>
      <c r="G134" s="523">
        <f t="shared" si="41"/>
        <v>804707.69753936992</v>
      </c>
      <c r="H134" s="526">
        <f t="shared" si="42"/>
        <v>219412.57661966202</v>
      </c>
      <c r="I134" s="577">
        <f t="shared" si="43"/>
        <v>219412.57661966202</v>
      </c>
      <c r="J134" s="514">
        <f t="shared" si="44"/>
        <v>0</v>
      </c>
      <c r="K134" s="514"/>
      <c r="L134" s="525"/>
      <c r="M134" s="514">
        <f t="shared" si="45"/>
        <v>0</v>
      </c>
      <c r="N134" s="525"/>
      <c r="O134" s="514">
        <f t="shared" si="46"/>
        <v>0</v>
      </c>
      <c r="P134" s="514">
        <f t="shared" si="47"/>
        <v>0</v>
      </c>
      <c r="Q134" s="269"/>
    </row>
    <row r="135" spans="2:17" ht="12.5">
      <c r="B135" s="195" t="str">
        <f t="shared" si="34"/>
        <v/>
      </c>
      <c r="C135" s="507">
        <f>IF(D93="","-",+C134+1)</f>
        <v>2046</v>
      </c>
      <c r="D135" s="374">
        <f>IF(F134+SUM(E$99:E134)=D$92,F134,D$92-SUM(E$99:E134))</f>
        <v>740674.29510034551</v>
      </c>
      <c r="E135" s="522">
        <f>IF(+J96&lt;F134,J96,D135)</f>
        <v>128066.80487804877</v>
      </c>
      <c r="F135" s="523">
        <f t="shared" si="48"/>
        <v>612607.49022229668</v>
      </c>
      <c r="G135" s="523">
        <f t="shared" si="41"/>
        <v>676640.89266132109</v>
      </c>
      <c r="H135" s="526">
        <f t="shared" si="42"/>
        <v>204875.17234002217</v>
      </c>
      <c r="I135" s="577">
        <f t="shared" si="43"/>
        <v>204875.17234002217</v>
      </c>
      <c r="J135" s="514">
        <f t="shared" si="44"/>
        <v>0</v>
      </c>
      <c r="K135" s="514"/>
      <c r="L135" s="525"/>
      <c r="M135" s="514">
        <f t="shared" si="45"/>
        <v>0</v>
      </c>
      <c r="N135" s="525"/>
      <c r="O135" s="514">
        <f t="shared" si="46"/>
        <v>0</v>
      </c>
      <c r="P135" s="514">
        <f t="shared" si="47"/>
        <v>0</v>
      </c>
      <c r="Q135" s="269"/>
    </row>
    <row r="136" spans="2:17" ht="12.5">
      <c r="B136" s="195" t="str">
        <f t="shared" si="34"/>
        <v/>
      </c>
      <c r="C136" s="507">
        <f>IF(D93="","-",+C135+1)</f>
        <v>2047</v>
      </c>
      <c r="D136" s="374">
        <f>IF(F135+SUM(E$99:E135)=D$92,F135,D$92-SUM(E$99:E135))</f>
        <v>612607.49022229668</v>
      </c>
      <c r="E136" s="522">
        <f>IF(+J96&lt;F135,J96,D136)</f>
        <v>128066.80487804877</v>
      </c>
      <c r="F136" s="523">
        <f t="shared" si="48"/>
        <v>484540.6853442479</v>
      </c>
      <c r="G136" s="523">
        <f t="shared" si="41"/>
        <v>548574.08778327226</v>
      </c>
      <c r="H136" s="526">
        <f t="shared" si="42"/>
        <v>190337.76806038231</v>
      </c>
      <c r="I136" s="577">
        <f t="shared" si="43"/>
        <v>190337.76806038231</v>
      </c>
      <c r="J136" s="514">
        <f t="shared" si="44"/>
        <v>0</v>
      </c>
      <c r="K136" s="514"/>
      <c r="L136" s="525"/>
      <c r="M136" s="514">
        <f t="shared" si="45"/>
        <v>0</v>
      </c>
      <c r="N136" s="525"/>
      <c r="O136" s="514">
        <f t="shared" si="46"/>
        <v>0</v>
      </c>
      <c r="P136" s="514">
        <f t="shared" si="47"/>
        <v>0</v>
      </c>
      <c r="Q136" s="269"/>
    </row>
    <row r="137" spans="2:17" ht="12.5">
      <c r="B137" s="195" t="str">
        <f t="shared" si="34"/>
        <v/>
      </c>
      <c r="C137" s="507">
        <f>IF(D93="","-",+C136+1)</f>
        <v>2048</v>
      </c>
      <c r="D137" s="374">
        <f>IF(F136+SUM(E$99:E136)=D$92,F136,D$92-SUM(E$99:E136))</f>
        <v>484540.6853442479</v>
      </c>
      <c r="E137" s="522">
        <f>IF(+J96&lt;F136,J96,D137)</f>
        <v>128066.80487804877</v>
      </c>
      <c r="F137" s="523">
        <f t="shared" si="48"/>
        <v>356473.88046619913</v>
      </c>
      <c r="G137" s="523">
        <f t="shared" si="41"/>
        <v>420507.28290522355</v>
      </c>
      <c r="H137" s="526">
        <f t="shared" si="42"/>
        <v>175800.36378074245</v>
      </c>
      <c r="I137" s="577">
        <f t="shared" si="43"/>
        <v>175800.36378074245</v>
      </c>
      <c r="J137" s="514">
        <f t="shared" si="44"/>
        <v>0</v>
      </c>
      <c r="K137" s="514"/>
      <c r="L137" s="525"/>
      <c r="M137" s="514">
        <f t="shared" si="45"/>
        <v>0</v>
      </c>
      <c r="N137" s="525"/>
      <c r="O137" s="514">
        <f t="shared" si="46"/>
        <v>0</v>
      </c>
      <c r="P137" s="514">
        <f t="shared" si="47"/>
        <v>0</v>
      </c>
      <c r="Q137" s="269"/>
    </row>
    <row r="138" spans="2:17" ht="12.5">
      <c r="B138" s="195" t="str">
        <f t="shared" si="34"/>
        <v/>
      </c>
      <c r="C138" s="507">
        <f>IF(D93="","-",+C137+1)</f>
        <v>2049</v>
      </c>
      <c r="D138" s="374">
        <f>IF(F137+SUM(E$99:E137)=D$92,F137,D$92-SUM(E$99:E137))</f>
        <v>356473.88046619913</v>
      </c>
      <c r="E138" s="522">
        <f>IF(+J96&lt;F137,J96,D138)</f>
        <v>128066.80487804877</v>
      </c>
      <c r="F138" s="523">
        <f t="shared" si="48"/>
        <v>228407.07558815036</v>
      </c>
      <c r="G138" s="523">
        <f t="shared" si="41"/>
        <v>292440.47802717471</v>
      </c>
      <c r="H138" s="526">
        <f t="shared" si="42"/>
        <v>161262.95950110262</v>
      </c>
      <c r="I138" s="577">
        <f t="shared" si="43"/>
        <v>161262.95950110262</v>
      </c>
      <c r="J138" s="514">
        <f t="shared" si="44"/>
        <v>0</v>
      </c>
      <c r="K138" s="514"/>
      <c r="L138" s="525"/>
      <c r="M138" s="514">
        <f t="shared" si="45"/>
        <v>0</v>
      </c>
      <c r="N138" s="525"/>
      <c r="O138" s="514">
        <f t="shared" si="46"/>
        <v>0</v>
      </c>
      <c r="P138" s="514">
        <f t="shared" si="47"/>
        <v>0</v>
      </c>
      <c r="Q138" s="269"/>
    </row>
    <row r="139" spans="2:17" ht="12.5">
      <c r="B139" s="195" t="str">
        <f t="shared" si="34"/>
        <v/>
      </c>
      <c r="C139" s="507">
        <f>IF(D93="","-",+C138+1)</f>
        <v>2050</v>
      </c>
      <c r="D139" s="374">
        <f>IF(F138+SUM(E$99:E138)=D$92,F138,D$92-SUM(E$99:E138))</f>
        <v>228407.07558815036</v>
      </c>
      <c r="E139" s="522">
        <f>IF(+J96&lt;F138,J96,D139)</f>
        <v>128066.80487804877</v>
      </c>
      <c r="F139" s="523">
        <f t="shared" si="48"/>
        <v>100340.27071010158</v>
      </c>
      <c r="G139" s="523">
        <f t="shared" si="41"/>
        <v>164373.67314912597</v>
      </c>
      <c r="H139" s="526">
        <f t="shared" si="42"/>
        <v>146725.55522146277</v>
      </c>
      <c r="I139" s="577">
        <f t="shared" si="43"/>
        <v>146725.55522146277</v>
      </c>
      <c r="J139" s="514">
        <f t="shared" si="44"/>
        <v>0</v>
      </c>
      <c r="K139" s="514"/>
      <c r="L139" s="525"/>
      <c r="M139" s="514">
        <f t="shared" si="45"/>
        <v>0</v>
      </c>
      <c r="N139" s="525"/>
      <c r="O139" s="514">
        <f t="shared" si="46"/>
        <v>0</v>
      </c>
      <c r="P139" s="514">
        <f t="shared" si="47"/>
        <v>0</v>
      </c>
      <c r="Q139" s="269"/>
    </row>
    <row r="140" spans="2:17" ht="12.5">
      <c r="B140" s="195" t="str">
        <f t="shared" si="34"/>
        <v/>
      </c>
      <c r="C140" s="507">
        <f>IF(D93="","-",+C139+1)</f>
        <v>2051</v>
      </c>
      <c r="D140" s="374">
        <f>IF(F139+SUM(E$99:E139)=D$92,F139,D$92-SUM(E$99:E139))</f>
        <v>100340.27071010158</v>
      </c>
      <c r="E140" s="522">
        <f>IF(+J96&lt;F139,J96,D140)</f>
        <v>100340.27071010158</v>
      </c>
      <c r="F140" s="523">
        <f t="shared" si="48"/>
        <v>0</v>
      </c>
      <c r="G140" s="523">
        <f t="shared" si="41"/>
        <v>50170.135355050792</v>
      </c>
      <c r="H140" s="526">
        <f t="shared" si="42"/>
        <v>106035.29481189862</v>
      </c>
      <c r="I140" s="577">
        <f t="shared" si="43"/>
        <v>106035.29481189862</v>
      </c>
      <c r="J140" s="514">
        <f t="shared" si="44"/>
        <v>0</v>
      </c>
      <c r="K140" s="514"/>
      <c r="L140" s="525"/>
      <c r="M140" s="514">
        <f t="shared" si="45"/>
        <v>0</v>
      </c>
      <c r="N140" s="525"/>
      <c r="O140" s="514">
        <f t="shared" si="46"/>
        <v>0</v>
      </c>
      <c r="P140" s="514">
        <f t="shared" si="47"/>
        <v>0</v>
      </c>
      <c r="Q140" s="269"/>
    </row>
    <row r="141" spans="2:17" ht="12.5">
      <c r="B141" s="195" t="str">
        <f t="shared" si="34"/>
        <v/>
      </c>
      <c r="C141" s="507">
        <f>IF(D93="","-",+C140+1)</f>
        <v>2052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8"/>
        <v>0</v>
      </c>
      <c r="G141" s="523">
        <f t="shared" si="41"/>
        <v>0</v>
      </c>
      <c r="H141" s="526">
        <f t="shared" si="42"/>
        <v>0</v>
      </c>
      <c r="I141" s="577">
        <f t="shared" si="43"/>
        <v>0</v>
      </c>
      <c r="J141" s="514">
        <f t="shared" si="44"/>
        <v>0</v>
      </c>
      <c r="K141" s="514"/>
      <c r="L141" s="525"/>
      <c r="M141" s="514">
        <f t="shared" si="45"/>
        <v>0</v>
      </c>
      <c r="N141" s="525"/>
      <c r="O141" s="514">
        <f t="shared" si="46"/>
        <v>0</v>
      </c>
      <c r="P141" s="514">
        <f t="shared" si="47"/>
        <v>0</v>
      </c>
      <c r="Q141" s="269"/>
    </row>
    <row r="142" spans="2:17" ht="12.5">
      <c r="B142" s="195" t="str">
        <f t="shared" si="34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8"/>
        <v>0</v>
      </c>
      <c r="G142" s="523">
        <f t="shared" si="41"/>
        <v>0</v>
      </c>
      <c r="H142" s="526">
        <f t="shared" si="42"/>
        <v>0</v>
      </c>
      <c r="I142" s="577">
        <f t="shared" si="43"/>
        <v>0</v>
      </c>
      <c r="J142" s="514">
        <f t="shared" si="44"/>
        <v>0</v>
      </c>
      <c r="K142" s="514"/>
      <c r="L142" s="525"/>
      <c r="M142" s="514">
        <f t="shared" si="45"/>
        <v>0</v>
      </c>
      <c r="N142" s="525"/>
      <c r="O142" s="514">
        <f t="shared" si="46"/>
        <v>0</v>
      </c>
      <c r="P142" s="514">
        <f t="shared" si="47"/>
        <v>0</v>
      </c>
      <c r="Q142" s="269"/>
    </row>
    <row r="143" spans="2:17" ht="12.5">
      <c r="B143" s="195" t="str">
        <f t="shared" si="34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8"/>
        <v>0</v>
      </c>
      <c r="G143" s="523">
        <f t="shared" si="41"/>
        <v>0</v>
      </c>
      <c r="H143" s="526">
        <f t="shared" si="42"/>
        <v>0</v>
      </c>
      <c r="I143" s="577">
        <f t="shared" si="43"/>
        <v>0</v>
      </c>
      <c r="J143" s="514">
        <f t="shared" si="44"/>
        <v>0</v>
      </c>
      <c r="K143" s="514"/>
      <c r="L143" s="525"/>
      <c r="M143" s="514">
        <f t="shared" si="45"/>
        <v>0</v>
      </c>
      <c r="N143" s="525"/>
      <c r="O143" s="514">
        <f t="shared" si="46"/>
        <v>0</v>
      </c>
      <c r="P143" s="514">
        <f t="shared" si="47"/>
        <v>0</v>
      </c>
      <c r="Q143" s="269"/>
    </row>
    <row r="144" spans="2:17" ht="12.5">
      <c r="B144" s="195" t="str">
        <f t="shared" si="34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8"/>
        <v>0</v>
      </c>
      <c r="G144" s="523">
        <f t="shared" si="41"/>
        <v>0</v>
      </c>
      <c r="H144" s="526">
        <f t="shared" si="42"/>
        <v>0</v>
      </c>
      <c r="I144" s="577">
        <f t="shared" si="43"/>
        <v>0</v>
      </c>
      <c r="J144" s="514">
        <f t="shared" si="44"/>
        <v>0</v>
      </c>
      <c r="K144" s="514"/>
      <c r="L144" s="525"/>
      <c r="M144" s="514">
        <f t="shared" si="45"/>
        <v>0</v>
      </c>
      <c r="N144" s="525"/>
      <c r="O144" s="514">
        <f t="shared" si="46"/>
        <v>0</v>
      </c>
      <c r="P144" s="514">
        <f t="shared" si="47"/>
        <v>0</v>
      </c>
      <c r="Q144" s="269"/>
    </row>
    <row r="145" spans="2:17" ht="12.5">
      <c r="B145" s="195" t="str">
        <f t="shared" si="34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8"/>
        <v>0</v>
      </c>
      <c r="G145" s="523">
        <f t="shared" si="41"/>
        <v>0</v>
      </c>
      <c r="H145" s="526">
        <f t="shared" si="42"/>
        <v>0</v>
      </c>
      <c r="I145" s="577">
        <f t="shared" si="43"/>
        <v>0</v>
      </c>
      <c r="J145" s="514">
        <f t="shared" si="44"/>
        <v>0</v>
      </c>
      <c r="K145" s="514"/>
      <c r="L145" s="525"/>
      <c r="M145" s="514">
        <f t="shared" si="45"/>
        <v>0</v>
      </c>
      <c r="N145" s="525"/>
      <c r="O145" s="514">
        <f t="shared" si="46"/>
        <v>0</v>
      </c>
      <c r="P145" s="514">
        <f t="shared" si="47"/>
        <v>0</v>
      </c>
      <c r="Q145" s="269"/>
    </row>
    <row r="146" spans="2:17" ht="12.5">
      <c r="B146" s="195" t="str">
        <f t="shared" si="34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8"/>
        <v>0</v>
      </c>
      <c r="G146" s="523">
        <f t="shared" si="41"/>
        <v>0</v>
      </c>
      <c r="H146" s="526">
        <f t="shared" si="42"/>
        <v>0</v>
      </c>
      <c r="I146" s="577">
        <f t="shared" si="43"/>
        <v>0</v>
      </c>
      <c r="J146" s="514">
        <f t="shared" si="44"/>
        <v>0</v>
      </c>
      <c r="K146" s="514"/>
      <c r="L146" s="525"/>
      <c r="M146" s="514">
        <f t="shared" si="45"/>
        <v>0</v>
      </c>
      <c r="N146" s="525"/>
      <c r="O146" s="514">
        <f t="shared" si="46"/>
        <v>0</v>
      </c>
      <c r="P146" s="514">
        <f t="shared" si="47"/>
        <v>0</v>
      </c>
      <c r="Q146" s="269"/>
    </row>
    <row r="147" spans="2:17" ht="12.5">
      <c r="B147" s="195" t="str">
        <f t="shared" si="34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8"/>
        <v>0</v>
      </c>
      <c r="G147" s="523">
        <f t="shared" si="41"/>
        <v>0</v>
      </c>
      <c r="H147" s="526">
        <f t="shared" si="42"/>
        <v>0</v>
      </c>
      <c r="I147" s="577">
        <f t="shared" si="43"/>
        <v>0</v>
      </c>
      <c r="J147" s="514">
        <f t="shared" si="44"/>
        <v>0</v>
      </c>
      <c r="K147" s="514"/>
      <c r="L147" s="525"/>
      <c r="M147" s="514">
        <f t="shared" si="45"/>
        <v>0</v>
      </c>
      <c r="N147" s="525"/>
      <c r="O147" s="514">
        <f t="shared" si="46"/>
        <v>0</v>
      </c>
      <c r="P147" s="514">
        <f t="shared" si="47"/>
        <v>0</v>
      </c>
      <c r="Q147" s="269"/>
    </row>
    <row r="148" spans="2:17" ht="12.5">
      <c r="B148" s="195" t="str">
        <f t="shared" si="34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8"/>
        <v>0</v>
      </c>
      <c r="G148" s="523">
        <f t="shared" si="41"/>
        <v>0</v>
      </c>
      <c r="H148" s="526">
        <f t="shared" si="42"/>
        <v>0</v>
      </c>
      <c r="I148" s="577">
        <f t="shared" si="43"/>
        <v>0</v>
      </c>
      <c r="J148" s="514">
        <f t="shared" si="44"/>
        <v>0</v>
      </c>
      <c r="K148" s="514"/>
      <c r="L148" s="525"/>
      <c r="M148" s="514">
        <f t="shared" si="45"/>
        <v>0</v>
      </c>
      <c r="N148" s="525"/>
      <c r="O148" s="514">
        <f t="shared" si="46"/>
        <v>0</v>
      </c>
      <c r="P148" s="514">
        <f t="shared" si="47"/>
        <v>0</v>
      </c>
      <c r="Q148" s="269"/>
    </row>
    <row r="149" spans="2:17" ht="12.5">
      <c r="B149" s="195" t="str">
        <f t="shared" si="34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8"/>
        <v>0</v>
      </c>
      <c r="G149" s="523">
        <f t="shared" si="41"/>
        <v>0</v>
      </c>
      <c r="H149" s="526">
        <f t="shared" si="42"/>
        <v>0</v>
      </c>
      <c r="I149" s="577">
        <f t="shared" si="43"/>
        <v>0</v>
      </c>
      <c r="J149" s="514">
        <f t="shared" si="44"/>
        <v>0</v>
      </c>
      <c r="K149" s="514"/>
      <c r="L149" s="525"/>
      <c r="M149" s="514">
        <f t="shared" si="45"/>
        <v>0</v>
      </c>
      <c r="N149" s="525"/>
      <c r="O149" s="514">
        <f t="shared" si="46"/>
        <v>0</v>
      </c>
      <c r="P149" s="514">
        <f t="shared" si="47"/>
        <v>0</v>
      </c>
      <c r="Q149" s="269"/>
    </row>
    <row r="150" spans="2:17" ht="12.5">
      <c r="B150" s="195" t="str">
        <f t="shared" si="34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8"/>
        <v>0</v>
      </c>
      <c r="G150" s="523">
        <f t="shared" si="41"/>
        <v>0</v>
      </c>
      <c r="H150" s="526">
        <f t="shared" si="42"/>
        <v>0</v>
      </c>
      <c r="I150" s="577">
        <f t="shared" si="43"/>
        <v>0</v>
      </c>
      <c r="J150" s="514">
        <f t="shared" si="44"/>
        <v>0</v>
      </c>
      <c r="K150" s="514"/>
      <c r="L150" s="525"/>
      <c r="M150" s="514">
        <f t="shared" si="45"/>
        <v>0</v>
      </c>
      <c r="N150" s="525"/>
      <c r="O150" s="514">
        <f t="shared" si="46"/>
        <v>0</v>
      </c>
      <c r="P150" s="514">
        <f t="shared" si="47"/>
        <v>0</v>
      </c>
      <c r="Q150" s="269"/>
    </row>
    <row r="151" spans="2:17" ht="12.5">
      <c r="B151" s="195" t="str">
        <f t="shared" si="34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8"/>
        <v>0</v>
      </c>
      <c r="G151" s="523">
        <f t="shared" si="41"/>
        <v>0</v>
      </c>
      <c r="H151" s="526">
        <f t="shared" si="42"/>
        <v>0</v>
      </c>
      <c r="I151" s="577">
        <f t="shared" si="43"/>
        <v>0</v>
      </c>
      <c r="J151" s="514">
        <f t="shared" si="44"/>
        <v>0</v>
      </c>
      <c r="K151" s="514"/>
      <c r="L151" s="525"/>
      <c r="M151" s="514">
        <f t="shared" si="45"/>
        <v>0</v>
      </c>
      <c r="N151" s="525"/>
      <c r="O151" s="514">
        <f t="shared" si="46"/>
        <v>0</v>
      </c>
      <c r="P151" s="514">
        <f t="shared" si="47"/>
        <v>0</v>
      </c>
      <c r="Q151" s="269"/>
    </row>
    <row r="152" spans="2:17" ht="12.5">
      <c r="B152" s="195" t="str">
        <f t="shared" si="34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8"/>
        <v>0</v>
      </c>
      <c r="G152" s="523">
        <f t="shared" si="41"/>
        <v>0</v>
      </c>
      <c r="H152" s="526">
        <f t="shared" si="42"/>
        <v>0</v>
      </c>
      <c r="I152" s="577">
        <f t="shared" si="43"/>
        <v>0</v>
      </c>
      <c r="J152" s="514">
        <f t="shared" si="44"/>
        <v>0</v>
      </c>
      <c r="K152" s="514"/>
      <c r="L152" s="525"/>
      <c r="M152" s="514">
        <f t="shared" si="45"/>
        <v>0</v>
      </c>
      <c r="N152" s="525"/>
      <c r="O152" s="514">
        <f t="shared" si="46"/>
        <v>0</v>
      </c>
      <c r="P152" s="514">
        <f t="shared" si="47"/>
        <v>0</v>
      </c>
      <c r="Q152" s="269"/>
    </row>
    <row r="153" spans="2:17" ht="12.5">
      <c r="B153" s="195" t="str">
        <f t="shared" si="34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8"/>
        <v>0</v>
      </c>
      <c r="G153" s="523">
        <f t="shared" si="41"/>
        <v>0</v>
      </c>
      <c r="H153" s="526">
        <f t="shared" si="42"/>
        <v>0</v>
      </c>
      <c r="I153" s="577">
        <f t="shared" si="43"/>
        <v>0</v>
      </c>
      <c r="J153" s="514">
        <f t="shared" si="44"/>
        <v>0</v>
      </c>
      <c r="K153" s="514"/>
      <c r="L153" s="525"/>
      <c r="M153" s="514">
        <f t="shared" si="45"/>
        <v>0</v>
      </c>
      <c r="N153" s="525"/>
      <c r="O153" s="514">
        <f t="shared" si="46"/>
        <v>0</v>
      </c>
      <c r="P153" s="514">
        <f t="shared" si="47"/>
        <v>0</v>
      </c>
      <c r="Q153" s="269"/>
    </row>
    <row r="154" spans="2:17" ht="13" thickBot="1">
      <c r="B154" s="195" t="str">
        <f t="shared" si="34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8"/>
        <v>0</v>
      </c>
      <c r="G154" s="528">
        <f t="shared" si="41"/>
        <v>0</v>
      </c>
      <c r="H154" s="530">
        <f t="shared" si="42"/>
        <v>0</v>
      </c>
      <c r="I154" s="579">
        <f t="shared" si="43"/>
        <v>0</v>
      </c>
      <c r="J154" s="533">
        <f t="shared" si="44"/>
        <v>0</v>
      </c>
      <c r="K154" s="514"/>
      <c r="L154" s="532"/>
      <c r="M154" s="533">
        <f t="shared" si="45"/>
        <v>0</v>
      </c>
      <c r="N154" s="532"/>
      <c r="O154" s="533">
        <f t="shared" si="46"/>
        <v>0</v>
      </c>
      <c r="P154" s="533">
        <f t="shared" si="47"/>
        <v>0</v>
      </c>
      <c r="Q154" s="269"/>
    </row>
    <row r="155" spans="2:17" ht="12.5">
      <c r="C155" s="374" t="s">
        <v>78</v>
      </c>
      <c r="D155" s="375"/>
      <c r="E155" s="375">
        <f>SUM(E99:E154)</f>
        <v>5250738.9999999981</v>
      </c>
      <c r="F155" s="375"/>
      <c r="G155" s="375"/>
      <c r="H155" s="375">
        <f>SUM(H99:H154)</f>
        <v>18413369.478573345</v>
      </c>
      <c r="I155" s="375">
        <f>SUM(I99:I154)</f>
        <v>18413369.478573345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3" priority="1" stopIfTrue="1" operator="equal">
      <formula>$I$10</formula>
    </cfRule>
  </conditionalFormatting>
  <conditionalFormatting sqref="C99:C154">
    <cfRule type="cellIs" dxfId="11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76">
    <tabColor indexed="37"/>
  </sheetPr>
  <dimension ref="A1:Q162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25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9978.3389667059218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9978.3389667059218</v>
      </c>
      <c r="O6" s="269"/>
      <c r="P6" s="269"/>
    </row>
    <row r="7" spans="1:17" ht="13.5" thickBot="1">
      <c r="C7" s="467" t="s">
        <v>48</v>
      </c>
      <c r="D7" s="620" t="s">
        <v>268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254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88842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2115.2857142857142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508">
        <v>91500</v>
      </c>
      <c r="E17" s="509">
        <v>0</v>
      </c>
      <c r="F17" s="508">
        <v>91500</v>
      </c>
      <c r="G17" s="509">
        <v>13154.497429496008</v>
      </c>
      <c r="H17" s="510">
        <v>13154.497429496008</v>
      </c>
      <c r="I17" s="517">
        <v>0</v>
      </c>
      <c r="J17" s="511"/>
      <c r="K17" s="512">
        <f t="shared" ref="K17:K22" si="0">G17</f>
        <v>13154.497429496008</v>
      </c>
      <c r="L17" s="597">
        <f t="shared" ref="L17:L48" si="1">IF(K17&lt;&gt;0,+G17-K17,0)</f>
        <v>0</v>
      </c>
      <c r="M17" s="512">
        <f t="shared" ref="M17:M22" si="2">H17</f>
        <v>13154.497429496008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515">
        <v>88842</v>
      </c>
      <c r="E18" s="516">
        <v>2166.8780487804879</v>
      </c>
      <c r="F18" s="515">
        <v>86675.121951219509</v>
      </c>
      <c r="G18" s="516">
        <v>15704.854678854768</v>
      </c>
      <c r="H18" s="510">
        <v>15704.854678854768</v>
      </c>
      <c r="I18" s="517">
        <v>0</v>
      </c>
      <c r="J18" s="511"/>
      <c r="K18" s="518">
        <f t="shared" si="0"/>
        <v>15704.854678854768</v>
      </c>
      <c r="L18" s="519">
        <f t="shared" si="1"/>
        <v>0</v>
      </c>
      <c r="M18" s="518">
        <f t="shared" si="2"/>
        <v>15704.854678854768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608">
        <v>86675.121951219509</v>
      </c>
      <c r="E19" s="609">
        <v>2115.2857142857142</v>
      </c>
      <c r="F19" s="608">
        <v>84559.836236933799</v>
      </c>
      <c r="G19" s="609">
        <v>14691.036403517382</v>
      </c>
      <c r="H19" s="610">
        <v>14691.036403517382</v>
      </c>
      <c r="I19" s="517">
        <v>0</v>
      </c>
      <c r="J19" s="511"/>
      <c r="K19" s="518">
        <f t="shared" si="0"/>
        <v>14691.036403517382</v>
      </c>
      <c r="L19" s="519">
        <f t="shared" si="1"/>
        <v>0</v>
      </c>
      <c r="M19" s="518">
        <f t="shared" si="2"/>
        <v>14691.036403517382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08">
        <v>84559.836236933799</v>
      </c>
      <c r="E20" s="609">
        <v>2115.2857142857142</v>
      </c>
      <c r="F20" s="608">
        <v>82444.550522648089</v>
      </c>
      <c r="G20" s="609">
        <v>13656.457775002271</v>
      </c>
      <c r="H20" s="610">
        <v>13656.457775002271</v>
      </c>
      <c r="I20" s="596">
        <v>0</v>
      </c>
      <c r="J20" s="511"/>
      <c r="K20" s="518">
        <f t="shared" si="0"/>
        <v>13656.457775002271</v>
      </c>
      <c r="L20" s="519">
        <f t="shared" ref="L20:L25" si="6">IF(K20&lt;&gt;0,+G20-K20,0)</f>
        <v>0</v>
      </c>
      <c r="M20" s="518">
        <f t="shared" si="2"/>
        <v>13656.457775002271</v>
      </c>
      <c r="N20" s="514">
        <f t="shared" ref="N20:N25" si="7">IF(M20&lt;&gt;0,+H20-M20,0)</f>
        <v>0</v>
      </c>
      <c r="O20" s="514">
        <f t="shared" ref="O20:O25" si="8"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2014</v>
      </c>
      <c r="D21" s="608">
        <v>82444.550522648089</v>
      </c>
      <c r="E21" s="609">
        <v>2115.2857142857142</v>
      </c>
      <c r="F21" s="608">
        <v>80329.264808362379</v>
      </c>
      <c r="G21" s="609">
        <v>12952.547656930288</v>
      </c>
      <c r="H21" s="610">
        <v>12952.547656930288</v>
      </c>
      <c r="I21" s="596">
        <v>0</v>
      </c>
      <c r="J21" s="511"/>
      <c r="K21" s="518">
        <f t="shared" si="0"/>
        <v>12952.547656930288</v>
      </c>
      <c r="L21" s="519">
        <f t="shared" si="6"/>
        <v>0</v>
      </c>
      <c r="M21" s="518">
        <f t="shared" si="2"/>
        <v>12952.547656930288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08">
        <v>80329.264808362379</v>
      </c>
      <c r="E22" s="609">
        <v>2115.2857142857142</v>
      </c>
      <c r="F22" s="608">
        <v>78213.979094076669</v>
      </c>
      <c r="G22" s="609">
        <v>12416.442264342599</v>
      </c>
      <c r="H22" s="610">
        <v>12416.442264342599</v>
      </c>
      <c r="I22" s="511">
        <v>0</v>
      </c>
      <c r="J22" s="511"/>
      <c r="K22" s="518">
        <f t="shared" si="0"/>
        <v>12416.442264342599</v>
      </c>
      <c r="L22" s="519">
        <f t="shared" si="6"/>
        <v>0</v>
      </c>
      <c r="M22" s="518">
        <f t="shared" si="2"/>
        <v>12416.442264342599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08">
        <v>78213.979094076669</v>
      </c>
      <c r="E23" s="609">
        <v>2115.2857142857142</v>
      </c>
      <c r="F23" s="608">
        <v>76098.693379790959</v>
      </c>
      <c r="G23" s="609">
        <v>12014.201848101253</v>
      </c>
      <c r="H23" s="610">
        <v>12014.201848101253</v>
      </c>
      <c r="I23" s="511">
        <f t="shared" ref="I23:I48" si="9">H23-G23</f>
        <v>0</v>
      </c>
      <c r="J23" s="511"/>
      <c r="K23" s="518">
        <f t="shared" ref="K23:K28" si="10">G23</f>
        <v>12014.201848101253</v>
      </c>
      <c r="L23" s="519">
        <f t="shared" si="6"/>
        <v>0</v>
      </c>
      <c r="M23" s="518">
        <f t="shared" ref="M23:M28" si="11">H23</f>
        <v>12014.201848101253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08">
        <v>76098.693379790959</v>
      </c>
      <c r="E24" s="609">
        <v>2066.0930232558139</v>
      </c>
      <c r="F24" s="608">
        <v>74032.600356535142</v>
      </c>
      <c r="G24" s="609">
        <v>11366.166201307635</v>
      </c>
      <c r="H24" s="610">
        <v>11366.166201307635</v>
      </c>
      <c r="I24" s="511">
        <f t="shared" si="9"/>
        <v>0</v>
      </c>
      <c r="J24" s="511"/>
      <c r="K24" s="518">
        <f t="shared" si="10"/>
        <v>11366.166201307635</v>
      </c>
      <c r="L24" s="519">
        <f t="shared" si="6"/>
        <v>0</v>
      </c>
      <c r="M24" s="518">
        <f t="shared" si="11"/>
        <v>11366.166201307635</v>
      </c>
      <c r="N24" s="514">
        <f t="shared" si="7"/>
        <v>0</v>
      </c>
      <c r="O24" s="514">
        <f t="shared" si="8"/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08">
        <v>74032.600356535142</v>
      </c>
      <c r="E25" s="609">
        <v>2166.8780487804879</v>
      </c>
      <c r="F25" s="608">
        <v>71865.722307754651</v>
      </c>
      <c r="G25" s="609">
        <v>11438.285975861665</v>
      </c>
      <c r="H25" s="610">
        <v>11438.285975861665</v>
      </c>
      <c r="I25" s="511">
        <f t="shared" si="9"/>
        <v>0</v>
      </c>
      <c r="J25" s="511"/>
      <c r="K25" s="518">
        <f t="shared" si="10"/>
        <v>11438.285975861665</v>
      </c>
      <c r="L25" s="519">
        <f t="shared" si="6"/>
        <v>0</v>
      </c>
      <c r="M25" s="518">
        <f t="shared" si="11"/>
        <v>11438.285975861665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08">
        <v>71865.722307754651</v>
      </c>
      <c r="E26" s="609">
        <v>2166.8780487804879</v>
      </c>
      <c r="F26" s="608">
        <v>69698.844258974161</v>
      </c>
      <c r="G26" s="609">
        <v>11162.888562764485</v>
      </c>
      <c r="H26" s="610">
        <v>11162.888562764485</v>
      </c>
      <c r="I26" s="511">
        <f t="shared" si="9"/>
        <v>0</v>
      </c>
      <c r="J26" s="511"/>
      <c r="K26" s="518">
        <f t="shared" si="10"/>
        <v>11162.888562764485</v>
      </c>
      <c r="L26" s="519">
        <f t="shared" ref="L26" si="12">IF(K26&lt;&gt;0,+G26-K26,0)</f>
        <v>0</v>
      </c>
      <c r="M26" s="518">
        <f t="shared" si="11"/>
        <v>11162.888562764485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08">
        <v>69698.844258974161</v>
      </c>
      <c r="E27" s="609">
        <v>2166.8780487804879</v>
      </c>
      <c r="F27" s="608">
        <v>67531.96621019367</v>
      </c>
      <c r="G27" s="609">
        <v>9188.6667831500235</v>
      </c>
      <c r="H27" s="610">
        <v>9188.6667831500235</v>
      </c>
      <c r="I27" s="511">
        <f t="shared" si="9"/>
        <v>0</v>
      </c>
      <c r="J27" s="511"/>
      <c r="K27" s="518">
        <f t="shared" si="10"/>
        <v>9188.6667831500235</v>
      </c>
      <c r="L27" s="519">
        <f t="shared" ref="L27" si="13">IF(K27&lt;&gt;0,+G27-K27,0)</f>
        <v>0</v>
      </c>
      <c r="M27" s="518">
        <f t="shared" si="11"/>
        <v>9188.6667831500235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08">
        <v>67632.751235718344</v>
      </c>
      <c r="E28" s="609">
        <v>2115.2857142857142</v>
      </c>
      <c r="F28" s="608">
        <v>65517.465521432627</v>
      </c>
      <c r="G28" s="609">
        <v>9172.5497891198665</v>
      </c>
      <c r="H28" s="610">
        <v>9172.5497891198665</v>
      </c>
      <c r="I28" s="511">
        <f t="shared" si="9"/>
        <v>0</v>
      </c>
      <c r="J28" s="511"/>
      <c r="K28" s="518">
        <f t="shared" si="10"/>
        <v>9172.5497891198665</v>
      </c>
      <c r="L28" s="519">
        <f t="shared" ref="L28" si="14">IF(K28&lt;&gt;0,+G28-K28,0)</f>
        <v>0</v>
      </c>
      <c r="M28" s="518">
        <f t="shared" si="11"/>
        <v>9172.5497891198665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08">
        <v>65416.680495907953</v>
      </c>
      <c r="E29" s="609">
        <v>2115.2857142857142</v>
      </c>
      <c r="F29" s="608">
        <v>63301.394781622235</v>
      </c>
      <c r="G29" s="609">
        <v>9352.0795778401916</v>
      </c>
      <c r="H29" s="610">
        <v>9352.0795778401916</v>
      </c>
      <c r="I29" s="511">
        <f t="shared" si="9"/>
        <v>0</v>
      </c>
      <c r="J29" s="511"/>
      <c r="K29" s="518">
        <f t="shared" ref="K29" si="15">G29</f>
        <v>9352.0795778401916</v>
      </c>
      <c r="L29" s="519">
        <f t="shared" ref="L29" si="16">IF(K29&lt;&gt;0,+G29-K29,0)</f>
        <v>0</v>
      </c>
      <c r="M29" s="518">
        <f t="shared" ref="M29" si="17">H29</f>
        <v>9352.0795778401916</v>
      </c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63301.394781622235</v>
      </c>
      <c r="E30" s="522">
        <f>IF(+I14&lt;F29,I14,D30)</f>
        <v>2115.2857142857142</v>
      </c>
      <c r="F30" s="523">
        <f t="shared" ref="F30:F48" si="18">+D30-E30</f>
        <v>61186.109067336518</v>
      </c>
      <c r="G30" s="524">
        <f t="shared" ref="G30:G55" si="19">+I$12*((D30+F30)/2)+E30</f>
        <v>9978.3389667059218</v>
      </c>
      <c r="H30" s="491">
        <f t="shared" ref="H30:H55" si="20">+I$13*((D30+F30)/2)+E30</f>
        <v>9978.3389667059218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61186.109067336518</v>
      </c>
      <c r="E31" s="522">
        <f>IF(+I14&lt;F30,I14,D31)</f>
        <v>2115.2857142857142</v>
      </c>
      <c r="F31" s="523">
        <f t="shared" si="18"/>
        <v>59070.823353050801</v>
      </c>
      <c r="G31" s="524">
        <f t="shared" si="19"/>
        <v>9711.1217167610157</v>
      </c>
      <c r="H31" s="491">
        <f t="shared" si="20"/>
        <v>9711.1217167610157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59070.823353050801</v>
      </c>
      <c r="E32" s="522">
        <f>IF(+I14&lt;F31,I14,D32)</f>
        <v>2115.2857142857142</v>
      </c>
      <c r="F32" s="523">
        <f t="shared" si="18"/>
        <v>56955.537638765083</v>
      </c>
      <c r="G32" s="524">
        <f t="shared" si="19"/>
        <v>9443.9044668161096</v>
      </c>
      <c r="H32" s="491">
        <f t="shared" si="20"/>
        <v>9443.9044668161096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/>
      <c r="C33" s="507">
        <f>IF(D11="","-",+C32+1)</f>
        <v>2026</v>
      </c>
      <c r="D33" s="523">
        <f>IF(F32+SUM(E$17:E32)=D$10,F32,D$10-SUM(E$17:E32))</f>
        <v>56955.537638765083</v>
      </c>
      <c r="E33" s="522">
        <f>IF(+I14&lt;F32,I14,D33)</f>
        <v>2115.2857142857142</v>
      </c>
      <c r="F33" s="523">
        <f t="shared" si="18"/>
        <v>54840.251924479366</v>
      </c>
      <c r="G33" s="524">
        <f t="shared" si="19"/>
        <v>9176.6872168712034</v>
      </c>
      <c r="H33" s="491">
        <f t="shared" si="20"/>
        <v>9176.6872168712034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54840.251924479366</v>
      </c>
      <c r="E34" s="522">
        <f>IF(+I14&lt;F33,I14,D34)</f>
        <v>2115.2857142857142</v>
      </c>
      <c r="F34" s="523">
        <f t="shared" si="18"/>
        <v>52724.966210193648</v>
      </c>
      <c r="G34" s="524">
        <f t="shared" si="19"/>
        <v>8909.4699669262991</v>
      </c>
      <c r="H34" s="491">
        <f t="shared" si="20"/>
        <v>8909.4699669262991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52724.966210193648</v>
      </c>
      <c r="E35" s="522">
        <f>IF(+I14&lt;F34,I14,D35)</f>
        <v>2115.2857142857142</v>
      </c>
      <c r="F35" s="523">
        <f t="shared" si="18"/>
        <v>50609.680495907931</v>
      </c>
      <c r="G35" s="524">
        <f t="shared" si="19"/>
        <v>8642.252716981393</v>
      </c>
      <c r="H35" s="491">
        <f t="shared" si="20"/>
        <v>8642.252716981393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50609.680495907931</v>
      </c>
      <c r="E36" s="522">
        <f>IF(+I14&lt;F35,I14,D36)</f>
        <v>2115.2857142857142</v>
      </c>
      <c r="F36" s="523">
        <f t="shared" si="18"/>
        <v>48494.394781622213</v>
      </c>
      <c r="G36" s="524">
        <f t="shared" si="19"/>
        <v>8375.0354670364868</v>
      </c>
      <c r="H36" s="491">
        <f t="shared" si="20"/>
        <v>8375.0354670364868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48494.394781622213</v>
      </c>
      <c r="E37" s="522">
        <f>IF(+I14&lt;F36,I14,D37)</f>
        <v>2115.2857142857142</v>
      </c>
      <c r="F37" s="523">
        <f t="shared" si="18"/>
        <v>46379.109067336496</v>
      </c>
      <c r="G37" s="524">
        <f t="shared" si="19"/>
        <v>8107.8182170915807</v>
      </c>
      <c r="H37" s="491">
        <f t="shared" si="20"/>
        <v>8107.8182170915807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46379.109067336496</v>
      </c>
      <c r="E38" s="522">
        <f>IF(+I14&lt;F37,I14,D38)</f>
        <v>2115.2857142857142</v>
      </c>
      <c r="F38" s="523">
        <f t="shared" si="18"/>
        <v>44263.823353050779</v>
      </c>
      <c r="G38" s="524">
        <f t="shared" si="19"/>
        <v>7840.6009671466763</v>
      </c>
      <c r="H38" s="491">
        <f t="shared" si="20"/>
        <v>7840.6009671466763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44263.823353050779</v>
      </c>
      <c r="E39" s="522">
        <f>IF(+I14&lt;F38,I14,D39)</f>
        <v>2115.2857142857142</v>
      </c>
      <c r="F39" s="523">
        <f t="shared" si="18"/>
        <v>42148.537638765061</v>
      </c>
      <c r="G39" s="524">
        <f t="shared" si="19"/>
        <v>7573.3837172017702</v>
      </c>
      <c r="H39" s="491">
        <f t="shared" si="20"/>
        <v>7573.3837172017702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42148.537638765061</v>
      </c>
      <c r="E40" s="522">
        <f>IF(+I14&lt;F39,I14,D40)</f>
        <v>2115.2857142857142</v>
      </c>
      <c r="F40" s="523">
        <f t="shared" si="18"/>
        <v>40033.251924479344</v>
      </c>
      <c r="G40" s="524">
        <f t="shared" si="19"/>
        <v>7306.1664672568641</v>
      </c>
      <c r="H40" s="491">
        <f t="shared" si="20"/>
        <v>7306.1664672568641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40033.251924479344</v>
      </c>
      <c r="E41" s="522">
        <f>IF(+I14&lt;F40,I14,D41)</f>
        <v>2115.2857142857142</v>
      </c>
      <c r="F41" s="523">
        <f t="shared" si="18"/>
        <v>37917.966210193626</v>
      </c>
      <c r="G41" s="524">
        <f t="shared" si="19"/>
        <v>7038.9492173119579</v>
      </c>
      <c r="H41" s="491">
        <f t="shared" si="20"/>
        <v>7038.9492173119579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37917.966210193626</v>
      </c>
      <c r="E42" s="522">
        <f>IF(+I14&lt;F41,I14,D42)</f>
        <v>2115.2857142857142</v>
      </c>
      <c r="F42" s="523">
        <f t="shared" si="18"/>
        <v>35802.680495907909</v>
      </c>
      <c r="G42" s="524">
        <f t="shared" si="19"/>
        <v>6771.7319673670536</v>
      </c>
      <c r="H42" s="491">
        <f t="shared" si="20"/>
        <v>6771.7319673670536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35802.680495907909</v>
      </c>
      <c r="E43" s="522">
        <f>IF(+I14&lt;F42,I14,D43)</f>
        <v>2115.2857142857142</v>
      </c>
      <c r="F43" s="523">
        <f t="shared" si="18"/>
        <v>33687.394781622192</v>
      </c>
      <c r="G43" s="524">
        <f t="shared" si="19"/>
        <v>6504.5147174221474</v>
      </c>
      <c r="H43" s="491">
        <f t="shared" si="20"/>
        <v>6504.5147174221474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33687.394781622192</v>
      </c>
      <c r="E44" s="522">
        <f>IF(+I14&lt;F43,I14,D44)</f>
        <v>2115.2857142857142</v>
      </c>
      <c r="F44" s="523">
        <f t="shared" si="18"/>
        <v>31572.109067336478</v>
      </c>
      <c r="G44" s="524">
        <f t="shared" si="19"/>
        <v>6237.2974674772413</v>
      </c>
      <c r="H44" s="491">
        <f t="shared" si="20"/>
        <v>6237.2974674772413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31572.109067336478</v>
      </c>
      <c r="E45" s="522">
        <f>IF(+I14&lt;F44,I14,D45)</f>
        <v>2115.2857142857142</v>
      </c>
      <c r="F45" s="523">
        <f t="shared" si="18"/>
        <v>29456.823353050764</v>
      </c>
      <c r="G45" s="524">
        <f t="shared" si="19"/>
        <v>5970.0802175323361</v>
      </c>
      <c r="H45" s="491">
        <f t="shared" si="20"/>
        <v>5970.0802175323361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29456.823353050764</v>
      </c>
      <c r="E46" s="522">
        <f>IF(+I14&lt;F45,I14,D46)</f>
        <v>2115.2857142857142</v>
      </c>
      <c r="F46" s="523">
        <f t="shared" si="18"/>
        <v>27341.53763876505</v>
      </c>
      <c r="G46" s="524">
        <f t="shared" si="19"/>
        <v>5702.8629675874308</v>
      </c>
      <c r="H46" s="491">
        <f t="shared" si="20"/>
        <v>5702.8629675874308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27341.53763876505</v>
      </c>
      <c r="E47" s="522">
        <f>IF(+I14&lt;F46,I14,D47)</f>
        <v>2115.2857142857142</v>
      </c>
      <c r="F47" s="523">
        <f t="shared" si="18"/>
        <v>25226.251924479337</v>
      </c>
      <c r="G47" s="524">
        <f t="shared" si="19"/>
        <v>5435.6457176425256</v>
      </c>
      <c r="H47" s="491">
        <f t="shared" si="20"/>
        <v>5435.6457176425256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25226.251924479337</v>
      </c>
      <c r="E48" s="522">
        <f>IF(+I14&lt;F47,I14,D48)</f>
        <v>2115.2857142857142</v>
      </c>
      <c r="F48" s="523">
        <f t="shared" si="18"/>
        <v>23110.966210193623</v>
      </c>
      <c r="G48" s="524">
        <f t="shared" si="19"/>
        <v>5168.4284676976204</v>
      </c>
      <c r="H48" s="491">
        <f t="shared" si="20"/>
        <v>5168.4284676976204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23110.966210193623</v>
      </c>
      <c r="E49" s="522">
        <f>IF(+I14&lt;F48,I14,D49)</f>
        <v>2115.2857142857142</v>
      </c>
      <c r="F49" s="523">
        <f t="shared" ref="F49:F72" si="21">+D49-E49</f>
        <v>20995.680495907909</v>
      </c>
      <c r="G49" s="524">
        <f t="shared" si="19"/>
        <v>4901.2112177527151</v>
      </c>
      <c r="H49" s="491">
        <f t="shared" si="20"/>
        <v>4901.2112177527151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20995.680495907909</v>
      </c>
      <c r="E50" s="522">
        <f>IF(+I14&lt;F49,I14,D50)</f>
        <v>2115.2857142857142</v>
      </c>
      <c r="F50" s="523">
        <f t="shared" si="21"/>
        <v>18880.394781622195</v>
      </c>
      <c r="G50" s="524">
        <f t="shared" si="19"/>
        <v>4633.9939678078099</v>
      </c>
      <c r="H50" s="491">
        <f t="shared" si="20"/>
        <v>4633.9939678078099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18880.394781622195</v>
      </c>
      <c r="E51" s="522">
        <f>IF(+I14&lt;F50,I14,D51)</f>
        <v>2115.2857142857142</v>
      </c>
      <c r="F51" s="523">
        <f t="shared" si="21"/>
        <v>16765.109067336482</v>
      </c>
      <c r="G51" s="524">
        <f t="shared" si="19"/>
        <v>4366.7767178629047</v>
      </c>
      <c r="H51" s="491">
        <f t="shared" si="20"/>
        <v>4366.7767178629047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16765.109067336482</v>
      </c>
      <c r="E52" s="522">
        <f>IF(+I14&lt;F51,I14,D52)</f>
        <v>2115.2857142857142</v>
      </c>
      <c r="F52" s="523">
        <f t="shared" si="21"/>
        <v>14649.823353050768</v>
      </c>
      <c r="G52" s="524">
        <f t="shared" si="19"/>
        <v>4099.5594679179994</v>
      </c>
      <c r="H52" s="491">
        <f t="shared" si="20"/>
        <v>4099.5594679179994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14649.823353050768</v>
      </c>
      <c r="E53" s="522">
        <f>IF(+I14&lt;F52,I14,D53)</f>
        <v>2115.2857142857142</v>
      </c>
      <c r="F53" s="523">
        <f t="shared" si="21"/>
        <v>12534.537638765054</v>
      </c>
      <c r="G53" s="524">
        <f t="shared" si="19"/>
        <v>3832.3422179730942</v>
      </c>
      <c r="H53" s="491">
        <f t="shared" si="20"/>
        <v>3832.3422179730942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12534.537638765054</v>
      </c>
      <c r="E54" s="522">
        <f>IF(+I14&lt;F53,I14,D54)</f>
        <v>2115.2857142857142</v>
      </c>
      <c r="F54" s="523">
        <f t="shared" si="21"/>
        <v>10419.25192447934</v>
      </c>
      <c r="G54" s="524">
        <f t="shared" si="19"/>
        <v>3565.124968028189</v>
      </c>
      <c r="H54" s="491">
        <f t="shared" si="20"/>
        <v>3565.124968028189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10419.25192447934</v>
      </c>
      <c r="E55" s="522">
        <f>IF(+I14&lt;F54,I14,D55)</f>
        <v>2115.2857142857142</v>
      </c>
      <c r="F55" s="523">
        <f t="shared" si="21"/>
        <v>8303.9662101936265</v>
      </c>
      <c r="G55" s="524">
        <f t="shared" si="19"/>
        <v>3297.9077180832837</v>
      </c>
      <c r="H55" s="491">
        <f t="shared" si="20"/>
        <v>3297.9077180832837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8303.9662101936265</v>
      </c>
      <c r="E56" s="522">
        <f>IF(+I14&lt;F55,I14,D56)</f>
        <v>2115.2857142857142</v>
      </c>
      <c r="F56" s="523">
        <f t="shared" si="21"/>
        <v>6188.6804959079127</v>
      </c>
      <c r="G56" s="524">
        <f t="shared" ref="G56:G72" si="26">+I$12*((D56+F56)/2)+E56</f>
        <v>3030.6904681383785</v>
      </c>
      <c r="H56" s="491">
        <f t="shared" ref="H56:H72" si="27">+I$13*((D56+F56)/2)+E56</f>
        <v>3030.6904681383785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6188.6804959079127</v>
      </c>
      <c r="E57" s="522">
        <f>IF(+I14&lt;F56,I14,D57)</f>
        <v>2115.2857142857142</v>
      </c>
      <c r="F57" s="523">
        <f t="shared" si="21"/>
        <v>4073.3947816221985</v>
      </c>
      <c r="G57" s="524">
        <f t="shared" si="26"/>
        <v>2763.4732181934733</v>
      </c>
      <c r="H57" s="491">
        <f t="shared" si="27"/>
        <v>2763.4732181934733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4073.3947816221985</v>
      </c>
      <c r="E58" s="522">
        <f>IF(+I14&lt;F57,I14,D58)</f>
        <v>2115.2857142857142</v>
      </c>
      <c r="F58" s="523">
        <f t="shared" si="21"/>
        <v>1958.1090673364843</v>
      </c>
      <c r="G58" s="524">
        <f t="shared" si="26"/>
        <v>2496.255968248568</v>
      </c>
      <c r="H58" s="491">
        <f t="shared" si="27"/>
        <v>2496.255968248568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1958.1090673364843</v>
      </c>
      <c r="E59" s="522">
        <f>IF(+I14&lt;F58,I14,D59)</f>
        <v>1958.1090673364843</v>
      </c>
      <c r="F59" s="523">
        <f t="shared" si="21"/>
        <v>0</v>
      </c>
      <c r="G59" s="524">
        <f t="shared" si="26"/>
        <v>2081.7898818316849</v>
      </c>
      <c r="H59" s="491">
        <f t="shared" si="27"/>
        <v>2081.7898818316849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26"/>
        <v>0</v>
      </c>
      <c r="H60" s="491">
        <f t="shared" si="27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26"/>
        <v>0</v>
      </c>
      <c r="H61" s="491">
        <f t="shared" si="27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26"/>
        <v>0</v>
      </c>
      <c r="H62" s="491">
        <f t="shared" si="27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26"/>
        <v>0</v>
      </c>
      <c r="H63" s="491">
        <f t="shared" si="27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26"/>
        <v>0</v>
      </c>
      <c r="H64" s="491">
        <f t="shared" si="27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26"/>
        <v>0</v>
      </c>
      <c r="H65" s="491">
        <f t="shared" si="27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26"/>
        <v>0</v>
      </c>
      <c r="H66" s="491">
        <f t="shared" si="27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26"/>
        <v>0</v>
      </c>
      <c r="H67" s="491">
        <f t="shared" si="27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26"/>
        <v>0</v>
      </c>
      <c r="H68" s="491">
        <f t="shared" si="27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26"/>
        <v>0</v>
      </c>
      <c r="H69" s="491">
        <f t="shared" si="27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26"/>
        <v>0</v>
      </c>
      <c r="H70" s="491">
        <f t="shared" si="27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26"/>
        <v>0</v>
      </c>
      <c r="H71" s="491">
        <f t="shared" si="27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26"/>
        <v>0</v>
      </c>
      <c r="H72" s="471">
        <f t="shared" si="27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 ht="12.5">
      <c r="C73" s="374" t="s">
        <v>78</v>
      </c>
      <c r="D73" s="375"/>
      <c r="E73" s="375">
        <f>SUM(E17:E72)</f>
        <v>88841.999999999956</v>
      </c>
      <c r="F73" s="375"/>
      <c r="G73" s="375">
        <f>SUM(G17:G72)</f>
        <v>339234.09138496016</v>
      </c>
      <c r="H73" s="375">
        <f>SUM(H17:H72)</f>
        <v>339234.09138496016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25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9172.5497891198665</v>
      </c>
      <c r="N87" s="546">
        <f>IF(J92&lt;D11,0,VLOOKUP(J92,C17:O72,11))</f>
        <v>9172.5497891198665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9738.7411318353879</v>
      </c>
      <c r="N88" s="550">
        <f>IF(J92&lt;D11,0,VLOOKUP(J92,C99:P154,7))</f>
        <v>9738.7411318353879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Replace switch at Diana*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566.19134271552139</v>
      </c>
      <c r="N89" s="555">
        <f>+N88-N87</f>
        <v>566.19134271552139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TP2009012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88842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2166.8780487804879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2010</v>
      </c>
      <c r="D99" s="508">
        <v>0</v>
      </c>
      <c r="E99" s="516">
        <v>0</v>
      </c>
      <c r="F99" s="515">
        <v>88842</v>
      </c>
      <c r="G99" s="574">
        <v>44421</v>
      </c>
      <c r="H99" s="575">
        <v>7333.2888535266693</v>
      </c>
      <c r="I99" s="576">
        <v>7333.2888535266693</v>
      </c>
      <c r="J99" s="514">
        <f t="shared" ref="J99:J130" si="28">+I99-H99</f>
        <v>0</v>
      </c>
      <c r="K99" s="514"/>
      <c r="L99" s="512">
        <f t="shared" ref="L99:L104" si="29">H99</f>
        <v>7333.2888535266693</v>
      </c>
      <c r="M99" s="597">
        <f t="shared" ref="M99:M130" si="30">IF(L99&lt;&gt;0,+H99-L99,0)</f>
        <v>0</v>
      </c>
      <c r="N99" s="512">
        <f t="shared" ref="N99:N104" si="31">I99</f>
        <v>7333.2888535266693</v>
      </c>
      <c r="O99" s="513">
        <f t="shared" ref="O99:O130" si="32">IF(N99&lt;&gt;0,+I99-N99,0)</f>
        <v>0</v>
      </c>
      <c r="P99" s="513">
        <f t="shared" ref="P99:P130" si="33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2011</v>
      </c>
      <c r="D100" s="508">
        <v>88842</v>
      </c>
      <c r="E100" s="516">
        <v>2115.2857142857142</v>
      </c>
      <c r="F100" s="515">
        <v>86726.71428571429</v>
      </c>
      <c r="G100" s="515">
        <v>87784.357142857145</v>
      </c>
      <c r="H100" s="516">
        <v>15316.288674280955</v>
      </c>
      <c r="I100" s="510">
        <v>15316.288674280955</v>
      </c>
      <c r="J100" s="514">
        <f t="shared" si="28"/>
        <v>0</v>
      </c>
      <c r="K100" s="514"/>
      <c r="L100" s="518">
        <f t="shared" si="29"/>
        <v>15316.288674280955</v>
      </c>
      <c r="M100" s="519">
        <f t="shared" si="30"/>
        <v>0</v>
      </c>
      <c r="N100" s="518">
        <f t="shared" si="31"/>
        <v>15316.288674280955</v>
      </c>
      <c r="O100" s="514">
        <f t="shared" si="32"/>
        <v>0</v>
      </c>
      <c r="P100" s="514">
        <f t="shared" si="33"/>
        <v>0</v>
      </c>
      <c r="Q100" s="269"/>
    </row>
    <row r="101" spans="1:17" ht="12.5">
      <c r="B101" s="195" t="str">
        <f t="shared" ref="B101:B154" si="34">IF(D101=F100,"","IU")</f>
        <v/>
      </c>
      <c r="C101" s="507">
        <f>IF(D93="","-",+C100+1)</f>
        <v>2012</v>
      </c>
      <c r="D101" s="508">
        <v>86726.71428571429</v>
      </c>
      <c r="E101" s="516">
        <v>2115.2857142857142</v>
      </c>
      <c r="F101" s="515">
        <v>84611.42857142858</v>
      </c>
      <c r="G101" s="515">
        <v>85669.071428571435</v>
      </c>
      <c r="H101" s="516">
        <v>14721.826408325345</v>
      </c>
      <c r="I101" s="510">
        <v>14721.826408325345</v>
      </c>
      <c r="J101" s="514">
        <f t="shared" si="28"/>
        <v>0</v>
      </c>
      <c r="K101" s="514"/>
      <c r="L101" s="518">
        <f t="shared" si="29"/>
        <v>14721.826408325345</v>
      </c>
      <c r="M101" s="519">
        <f t="shared" si="30"/>
        <v>0</v>
      </c>
      <c r="N101" s="518">
        <f t="shared" si="31"/>
        <v>14721.826408325345</v>
      </c>
      <c r="O101" s="514">
        <f t="shared" si="32"/>
        <v>0</v>
      </c>
      <c r="P101" s="514">
        <f t="shared" si="33"/>
        <v>0</v>
      </c>
      <c r="Q101" s="269"/>
    </row>
    <row r="102" spans="1:17" ht="12.5">
      <c r="B102" s="195" t="str">
        <f t="shared" si="34"/>
        <v/>
      </c>
      <c r="C102" s="507">
        <f>IF(D93="","-",+C101+1)</f>
        <v>2013</v>
      </c>
      <c r="D102" s="508">
        <v>84611.42857142858</v>
      </c>
      <c r="E102" s="516">
        <v>2115.2857142857142</v>
      </c>
      <c r="F102" s="515">
        <v>82496.14285714287</v>
      </c>
      <c r="G102" s="515">
        <v>83553.785714285725</v>
      </c>
      <c r="H102" s="516">
        <v>13419.419617970232</v>
      </c>
      <c r="I102" s="510">
        <v>13419.419617970232</v>
      </c>
      <c r="J102" s="514">
        <v>0</v>
      </c>
      <c r="K102" s="514"/>
      <c r="L102" s="518">
        <f t="shared" si="29"/>
        <v>13419.419617970232</v>
      </c>
      <c r="M102" s="519">
        <f t="shared" ref="M102:M107" si="35">IF(L102&lt;&gt;0,+H102-L102,0)</f>
        <v>0</v>
      </c>
      <c r="N102" s="518">
        <f t="shared" si="31"/>
        <v>13419.419617970232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4"/>
        <v/>
      </c>
      <c r="C103" s="507">
        <f>IF(D93="","-",+C102+1)</f>
        <v>2014</v>
      </c>
      <c r="D103" s="508">
        <v>82496.14285714287</v>
      </c>
      <c r="E103" s="516">
        <v>2115.2857142857142</v>
      </c>
      <c r="F103" s="515">
        <v>80380.857142857159</v>
      </c>
      <c r="G103" s="515">
        <v>81438.500000000015</v>
      </c>
      <c r="H103" s="516">
        <v>13184.68839231506</v>
      </c>
      <c r="I103" s="510">
        <v>13184.68839231506</v>
      </c>
      <c r="J103" s="514">
        <v>0</v>
      </c>
      <c r="K103" s="514"/>
      <c r="L103" s="518">
        <f t="shared" si="29"/>
        <v>13184.68839231506</v>
      </c>
      <c r="M103" s="519">
        <f t="shared" si="35"/>
        <v>0</v>
      </c>
      <c r="N103" s="518">
        <f t="shared" si="31"/>
        <v>13184.68839231506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4"/>
        <v/>
      </c>
      <c r="C104" s="507">
        <f>IF(D93="","-",+C103+1)</f>
        <v>2015</v>
      </c>
      <c r="D104" s="508">
        <v>80380.857142857159</v>
      </c>
      <c r="E104" s="516">
        <v>2115.2857142857142</v>
      </c>
      <c r="F104" s="515">
        <v>78265.571428571449</v>
      </c>
      <c r="G104" s="515">
        <v>79323.214285714304</v>
      </c>
      <c r="H104" s="516">
        <v>12567.616650151769</v>
      </c>
      <c r="I104" s="510">
        <v>12567.616650151769</v>
      </c>
      <c r="J104" s="514">
        <f t="shared" si="28"/>
        <v>0</v>
      </c>
      <c r="K104" s="514"/>
      <c r="L104" s="518">
        <f t="shared" si="29"/>
        <v>12567.616650151769</v>
      </c>
      <c r="M104" s="519">
        <f t="shared" si="35"/>
        <v>0</v>
      </c>
      <c r="N104" s="518">
        <f t="shared" si="31"/>
        <v>12567.616650151769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4"/>
        <v/>
      </c>
      <c r="C105" s="507">
        <f>IF(D93="","-",+C104+1)</f>
        <v>2016</v>
      </c>
      <c r="D105" s="508">
        <v>78265.571428571449</v>
      </c>
      <c r="E105" s="516">
        <v>2066.0930232558139</v>
      </c>
      <c r="F105" s="515">
        <v>76199.478405315633</v>
      </c>
      <c r="G105" s="515">
        <v>77232.524916943541</v>
      </c>
      <c r="H105" s="516">
        <v>11870.761156942419</v>
      </c>
      <c r="I105" s="510">
        <v>11870.761156942419</v>
      </c>
      <c r="J105" s="514">
        <f t="shared" si="28"/>
        <v>0</v>
      </c>
      <c r="K105" s="514"/>
      <c r="L105" s="518">
        <f>H105</f>
        <v>11870.761156942419</v>
      </c>
      <c r="M105" s="519">
        <f t="shared" si="35"/>
        <v>0</v>
      </c>
      <c r="N105" s="518">
        <f>I105</f>
        <v>11870.761156942419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34"/>
        <v/>
      </c>
      <c r="C106" s="507">
        <f>IF(D93="","-",+C105+1)</f>
        <v>2017</v>
      </c>
      <c r="D106" s="508">
        <v>76199.478405315633</v>
      </c>
      <c r="E106" s="516">
        <v>2115.2857142857142</v>
      </c>
      <c r="F106" s="515">
        <v>74084.192691029923</v>
      </c>
      <c r="G106" s="515">
        <v>75141.835548172778</v>
      </c>
      <c r="H106" s="516">
        <v>11242.874011372322</v>
      </c>
      <c r="I106" s="510">
        <v>11242.874011372322</v>
      </c>
      <c r="J106" s="514">
        <f t="shared" si="28"/>
        <v>0</v>
      </c>
      <c r="K106" s="514"/>
      <c r="L106" s="518">
        <f>H106</f>
        <v>11242.874011372322</v>
      </c>
      <c r="M106" s="519">
        <f t="shared" si="35"/>
        <v>0</v>
      </c>
      <c r="N106" s="518">
        <f>I106</f>
        <v>11242.874011372322</v>
      </c>
      <c r="O106" s="514">
        <f>IF(N106&lt;&gt;0,+I106-N106,0)</f>
        <v>0</v>
      </c>
      <c r="P106" s="514">
        <f>+O106-M106</f>
        <v>0</v>
      </c>
      <c r="Q106" s="269"/>
    </row>
    <row r="107" spans="1:17" ht="12.5">
      <c r="B107" s="195" t="str">
        <f t="shared" si="34"/>
        <v/>
      </c>
      <c r="C107" s="507">
        <f>IF(D93="","-",+C106+1)</f>
        <v>2018</v>
      </c>
      <c r="D107" s="508">
        <v>74084.192691029923</v>
      </c>
      <c r="E107" s="516">
        <v>2115.2857142857142</v>
      </c>
      <c r="F107" s="515">
        <v>71968.906976744212</v>
      </c>
      <c r="G107" s="515">
        <v>73026.549833887068</v>
      </c>
      <c r="H107" s="516">
        <v>9827.2242633415626</v>
      </c>
      <c r="I107" s="510">
        <v>9827.2242633415626</v>
      </c>
      <c r="J107" s="514">
        <f t="shared" si="28"/>
        <v>0</v>
      </c>
      <c r="K107" s="514"/>
      <c r="L107" s="518">
        <f>H107</f>
        <v>9827.2242633415626</v>
      </c>
      <c r="M107" s="519">
        <f t="shared" si="35"/>
        <v>0</v>
      </c>
      <c r="N107" s="518">
        <f>I107</f>
        <v>9827.2242633415626</v>
      </c>
      <c r="O107" s="514">
        <f t="shared" si="32"/>
        <v>0</v>
      </c>
      <c r="P107" s="514">
        <f t="shared" si="33"/>
        <v>0</v>
      </c>
      <c r="Q107" s="269"/>
    </row>
    <row r="108" spans="1:17" ht="12.5">
      <c r="B108" s="195" t="str">
        <f t="shared" si="34"/>
        <v/>
      </c>
      <c r="C108" s="507">
        <f>IF(D93="","-",+C107+1)</f>
        <v>2019</v>
      </c>
      <c r="D108" s="508">
        <v>71968.906976744212</v>
      </c>
      <c r="E108" s="516">
        <v>2066.0930232558139</v>
      </c>
      <c r="F108" s="515">
        <v>69902.813953488396</v>
      </c>
      <c r="G108" s="515">
        <v>70935.860465116304</v>
      </c>
      <c r="H108" s="516">
        <v>9659.1062968732876</v>
      </c>
      <c r="I108" s="510">
        <v>9659.1062968732876</v>
      </c>
      <c r="J108" s="514">
        <f t="shared" si="28"/>
        <v>0</v>
      </c>
      <c r="K108" s="514"/>
      <c r="L108" s="518">
        <f>H108</f>
        <v>9659.1062968732876</v>
      </c>
      <c r="M108" s="519">
        <f t="shared" ref="M108:M109" si="36">IF(L108&lt;&gt;0,+H108-L108,0)</f>
        <v>0</v>
      </c>
      <c r="N108" s="518">
        <f>I108</f>
        <v>9659.1062968732876</v>
      </c>
      <c r="O108" s="514">
        <f t="shared" si="32"/>
        <v>0</v>
      </c>
      <c r="P108" s="514">
        <f t="shared" si="33"/>
        <v>0</v>
      </c>
      <c r="Q108" s="269"/>
    </row>
    <row r="109" spans="1:17" ht="12.5">
      <c r="B109" s="195" t="str">
        <f t="shared" si="34"/>
        <v/>
      </c>
      <c r="C109" s="507">
        <f>IF(D93="","-",+C108+1)</f>
        <v>2020</v>
      </c>
      <c r="D109" s="508">
        <v>69902.813953488396</v>
      </c>
      <c r="E109" s="516">
        <v>2115.2857142857142</v>
      </c>
      <c r="F109" s="515">
        <v>67787.528239202686</v>
      </c>
      <c r="G109" s="515">
        <v>68845.171096345541</v>
      </c>
      <c r="H109" s="516">
        <v>9521.2246182886065</v>
      </c>
      <c r="I109" s="510">
        <v>9521.2246182886065</v>
      </c>
      <c r="J109" s="514">
        <f t="shared" si="28"/>
        <v>0</v>
      </c>
      <c r="K109" s="514"/>
      <c r="L109" s="518">
        <f>H109</f>
        <v>9521.2246182886065</v>
      </c>
      <c r="M109" s="519">
        <f t="shared" si="36"/>
        <v>0</v>
      </c>
      <c r="N109" s="518">
        <f>I109</f>
        <v>9521.2246182886065</v>
      </c>
      <c r="O109" s="514">
        <f t="shared" si="32"/>
        <v>0</v>
      </c>
      <c r="P109" s="514">
        <f t="shared" si="33"/>
        <v>0</v>
      </c>
      <c r="Q109" s="269"/>
    </row>
    <row r="110" spans="1:17" ht="12.5">
      <c r="B110" s="195" t="str">
        <f t="shared" si="34"/>
        <v/>
      </c>
      <c r="C110" s="507">
        <f>IF(D93="","-",+C109+1)</f>
        <v>2021</v>
      </c>
      <c r="D110" s="374">
        <f>IF(F109+SUM(E$99:E109)=D$92,F109,D$92-SUM(E$99:E109))</f>
        <v>67787.528239202686</v>
      </c>
      <c r="E110" s="522">
        <f>IF(+J96&lt;F109,J96,D110)</f>
        <v>2166.8780487804879</v>
      </c>
      <c r="F110" s="523">
        <f t="shared" ref="F110:F131" si="37">+D110-E110</f>
        <v>65620.650190422195</v>
      </c>
      <c r="G110" s="523">
        <f t="shared" ref="G110:G130" si="38">+(F110+D110)/2</f>
        <v>66704.08921481244</v>
      </c>
      <c r="H110" s="526">
        <f t="shared" ref="H110:H130" si="39">+J$94*G110+E110</f>
        <v>9738.7411318353879</v>
      </c>
      <c r="I110" s="577">
        <f t="shared" ref="I110:I130" si="40">+J$95*G110+E110</f>
        <v>9738.7411318353879</v>
      </c>
      <c r="J110" s="514">
        <f t="shared" si="28"/>
        <v>0</v>
      </c>
      <c r="K110" s="514"/>
      <c r="L110" s="525"/>
      <c r="M110" s="514">
        <f t="shared" si="30"/>
        <v>0</v>
      </c>
      <c r="N110" s="525"/>
      <c r="O110" s="514">
        <f t="shared" si="32"/>
        <v>0</v>
      </c>
      <c r="P110" s="514">
        <f t="shared" si="33"/>
        <v>0</v>
      </c>
      <c r="Q110" s="269"/>
    </row>
    <row r="111" spans="1:17" ht="12.5">
      <c r="B111" s="195" t="str">
        <f t="shared" si="34"/>
        <v/>
      </c>
      <c r="C111" s="507">
        <f>IF(D93="","-",+C110+1)</f>
        <v>2022</v>
      </c>
      <c r="D111" s="374">
        <f>IF(F110+SUM(E$99:E110)=D$92,F110,D$92-SUM(E$99:E110))</f>
        <v>65620.650190422195</v>
      </c>
      <c r="E111" s="522">
        <f>IF(+J96&lt;F110,J96,D111)</f>
        <v>2166.8780487804879</v>
      </c>
      <c r="F111" s="523">
        <f t="shared" si="37"/>
        <v>63453.772141641704</v>
      </c>
      <c r="G111" s="523">
        <f t="shared" si="38"/>
        <v>64537.21116603195</v>
      </c>
      <c r="H111" s="526">
        <f t="shared" si="39"/>
        <v>9492.7696464860364</v>
      </c>
      <c r="I111" s="577">
        <f t="shared" si="40"/>
        <v>9492.7696464860364</v>
      </c>
      <c r="J111" s="514">
        <f t="shared" si="28"/>
        <v>0</v>
      </c>
      <c r="K111" s="514"/>
      <c r="L111" s="525"/>
      <c r="M111" s="514">
        <f t="shared" si="30"/>
        <v>0</v>
      </c>
      <c r="N111" s="525"/>
      <c r="O111" s="514">
        <f t="shared" si="32"/>
        <v>0</v>
      </c>
      <c r="P111" s="514">
        <f t="shared" si="33"/>
        <v>0</v>
      </c>
      <c r="Q111" s="269"/>
    </row>
    <row r="112" spans="1:17" ht="12.5">
      <c r="B112" s="195" t="str">
        <f t="shared" si="34"/>
        <v/>
      </c>
      <c r="C112" s="507">
        <f>IF(D93="","-",+C111+1)</f>
        <v>2023</v>
      </c>
      <c r="D112" s="374">
        <f>IF(F111+SUM(E$99:E111)=D$92,F111,D$92-SUM(E$99:E111))</f>
        <v>63453.772141641704</v>
      </c>
      <c r="E112" s="522">
        <f>IF(+J96&lt;F111,J96,D112)</f>
        <v>2166.8780487804879</v>
      </c>
      <c r="F112" s="523">
        <f t="shared" si="37"/>
        <v>61286.894092861214</v>
      </c>
      <c r="G112" s="523">
        <f t="shared" si="38"/>
        <v>62370.333117251459</v>
      </c>
      <c r="H112" s="526">
        <f t="shared" si="39"/>
        <v>9246.7981611366849</v>
      </c>
      <c r="I112" s="577">
        <f t="shared" si="40"/>
        <v>9246.7981611366849</v>
      </c>
      <c r="J112" s="514">
        <f t="shared" si="28"/>
        <v>0</v>
      </c>
      <c r="K112" s="514"/>
      <c r="L112" s="525"/>
      <c r="M112" s="514">
        <f t="shared" si="30"/>
        <v>0</v>
      </c>
      <c r="N112" s="525"/>
      <c r="O112" s="514">
        <f t="shared" si="32"/>
        <v>0</v>
      </c>
      <c r="P112" s="514">
        <f t="shared" si="33"/>
        <v>0</v>
      </c>
      <c r="Q112" s="269"/>
    </row>
    <row r="113" spans="2:17" ht="12.5">
      <c r="B113" s="195" t="str">
        <f t="shared" si="34"/>
        <v/>
      </c>
      <c r="C113" s="507">
        <f>IF(D93="","-",+C112+1)</f>
        <v>2024</v>
      </c>
      <c r="D113" s="374">
        <f>IF(F112+SUM(E$99:E112)=D$92,F112,D$92-SUM(E$99:E112))</f>
        <v>61286.894092861214</v>
      </c>
      <c r="E113" s="522">
        <f>IF(+J96&lt;F112,J96,D113)</f>
        <v>2166.8780487804879</v>
      </c>
      <c r="F113" s="523">
        <f t="shared" si="37"/>
        <v>59120.016044080723</v>
      </c>
      <c r="G113" s="523">
        <f t="shared" si="38"/>
        <v>60203.455068470968</v>
      </c>
      <c r="H113" s="526">
        <f t="shared" si="39"/>
        <v>9000.8266757873353</v>
      </c>
      <c r="I113" s="577">
        <f t="shared" si="40"/>
        <v>9000.8266757873353</v>
      </c>
      <c r="J113" s="514">
        <f t="shared" si="28"/>
        <v>0</v>
      </c>
      <c r="K113" s="514"/>
      <c r="L113" s="525"/>
      <c r="M113" s="514">
        <f t="shared" si="30"/>
        <v>0</v>
      </c>
      <c r="N113" s="525"/>
      <c r="O113" s="514">
        <f t="shared" si="32"/>
        <v>0</v>
      </c>
      <c r="P113" s="514">
        <f t="shared" si="33"/>
        <v>0</v>
      </c>
      <c r="Q113" s="269"/>
    </row>
    <row r="114" spans="2:17" ht="12.5">
      <c r="B114" s="195" t="str">
        <f t="shared" si="34"/>
        <v/>
      </c>
      <c r="C114" s="507">
        <f>IF(D93="","-",+C113+1)</f>
        <v>2025</v>
      </c>
      <c r="D114" s="374">
        <f>IF(F113+SUM(E$99:E113)=D$92,F113,D$92-SUM(E$99:E113))</f>
        <v>59120.016044080723</v>
      </c>
      <c r="E114" s="522">
        <f>IF(+J96&lt;F113,J96,D114)</f>
        <v>2166.8780487804879</v>
      </c>
      <c r="F114" s="523">
        <f t="shared" si="37"/>
        <v>56953.137995300232</v>
      </c>
      <c r="G114" s="523">
        <f t="shared" si="38"/>
        <v>58036.577019690478</v>
      </c>
      <c r="H114" s="526">
        <f t="shared" si="39"/>
        <v>8754.8551904379838</v>
      </c>
      <c r="I114" s="577">
        <f t="shared" si="40"/>
        <v>8754.8551904379838</v>
      </c>
      <c r="J114" s="514">
        <f t="shared" si="28"/>
        <v>0</v>
      </c>
      <c r="K114" s="514"/>
      <c r="L114" s="525"/>
      <c r="M114" s="514">
        <f t="shared" si="30"/>
        <v>0</v>
      </c>
      <c r="N114" s="525"/>
      <c r="O114" s="514">
        <f t="shared" si="32"/>
        <v>0</v>
      </c>
      <c r="P114" s="514">
        <f t="shared" si="33"/>
        <v>0</v>
      </c>
      <c r="Q114" s="269"/>
    </row>
    <row r="115" spans="2:17" ht="12.5">
      <c r="B115" s="195"/>
      <c r="C115" s="507">
        <f>IF(D93="","-",+C114+1)</f>
        <v>2026</v>
      </c>
      <c r="D115" s="374">
        <f>IF(F114+SUM(E$99:E114)=D$92,F114,D$92-SUM(E$99:E114))</f>
        <v>56953.137995300232</v>
      </c>
      <c r="E115" s="522">
        <f>IF(+J96&lt;F114,J96,D115)</f>
        <v>2166.8780487804879</v>
      </c>
      <c r="F115" s="523">
        <f t="shared" si="37"/>
        <v>54786.259946519742</v>
      </c>
      <c r="G115" s="523">
        <f t="shared" si="38"/>
        <v>55869.698970909987</v>
      </c>
      <c r="H115" s="526">
        <f t="shared" si="39"/>
        <v>8508.8837050886323</v>
      </c>
      <c r="I115" s="577">
        <f t="shared" si="40"/>
        <v>8508.8837050886323</v>
      </c>
      <c r="J115" s="514">
        <f t="shared" si="28"/>
        <v>0</v>
      </c>
      <c r="K115" s="514"/>
      <c r="L115" s="525"/>
      <c r="M115" s="514">
        <f t="shared" si="30"/>
        <v>0</v>
      </c>
      <c r="N115" s="525"/>
      <c r="O115" s="514">
        <f t="shared" si="32"/>
        <v>0</v>
      </c>
      <c r="P115" s="514">
        <f t="shared" si="33"/>
        <v>0</v>
      </c>
      <c r="Q115" s="269"/>
    </row>
    <row r="116" spans="2:17" ht="12.5">
      <c r="B116" s="195" t="str">
        <f t="shared" si="34"/>
        <v/>
      </c>
      <c r="C116" s="507">
        <f>IF(D93="","-",+C115+1)</f>
        <v>2027</v>
      </c>
      <c r="D116" s="374">
        <f>IF(F115+SUM(E$99:E115)=D$92,F115,D$92-SUM(E$99:E115))</f>
        <v>54786.259946519742</v>
      </c>
      <c r="E116" s="522">
        <f>IF(+J96&lt;F115,J96,D116)</f>
        <v>2166.8780487804879</v>
      </c>
      <c r="F116" s="523">
        <f t="shared" si="37"/>
        <v>52619.381897739251</v>
      </c>
      <c r="G116" s="523">
        <f t="shared" si="38"/>
        <v>53702.820922129496</v>
      </c>
      <c r="H116" s="526">
        <f t="shared" si="39"/>
        <v>8262.9122197392826</v>
      </c>
      <c r="I116" s="577">
        <f t="shared" si="40"/>
        <v>8262.9122197392826</v>
      </c>
      <c r="J116" s="514">
        <f t="shared" si="28"/>
        <v>0</v>
      </c>
      <c r="K116" s="514"/>
      <c r="L116" s="525"/>
      <c r="M116" s="514">
        <f t="shared" si="30"/>
        <v>0</v>
      </c>
      <c r="N116" s="525"/>
      <c r="O116" s="514">
        <f t="shared" si="32"/>
        <v>0</v>
      </c>
      <c r="P116" s="514">
        <f t="shared" si="33"/>
        <v>0</v>
      </c>
      <c r="Q116" s="269"/>
    </row>
    <row r="117" spans="2:17" ht="12.5">
      <c r="B117" s="195" t="str">
        <f t="shared" si="34"/>
        <v/>
      </c>
      <c r="C117" s="507">
        <f>IF(D93="","-",+C116+1)</f>
        <v>2028</v>
      </c>
      <c r="D117" s="374">
        <f>IF(F116+SUM(E$99:E116)=D$92,F116,D$92-SUM(E$99:E116))</f>
        <v>52619.381897739251</v>
      </c>
      <c r="E117" s="522">
        <f>IF(+J96&lt;F116,J96,D117)</f>
        <v>2166.8780487804879</v>
      </c>
      <c r="F117" s="523">
        <f t="shared" si="37"/>
        <v>50452.50384895876</v>
      </c>
      <c r="G117" s="523">
        <f t="shared" si="38"/>
        <v>51535.942873349006</v>
      </c>
      <c r="H117" s="526">
        <f t="shared" si="39"/>
        <v>8016.9407343899311</v>
      </c>
      <c r="I117" s="577">
        <f t="shared" si="40"/>
        <v>8016.9407343899311</v>
      </c>
      <c r="J117" s="514">
        <f t="shared" si="28"/>
        <v>0</v>
      </c>
      <c r="K117" s="514"/>
      <c r="L117" s="525"/>
      <c r="M117" s="514">
        <f t="shared" si="30"/>
        <v>0</v>
      </c>
      <c r="N117" s="525"/>
      <c r="O117" s="514">
        <f t="shared" si="32"/>
        <v>0</v>
      </c>
      <c r="P117" s="514">
        <f t="shared" si="33"/>
        <v>0</v>
      </c>
      <c r="Q117" s="269"/>
    </row>
    <row r="118" spans="2:17" ht="12.5">
      <c r="B118" s="195" t="str">
        <f t="shared" si="34"/>
        <v/>
      </c>
      <c r="C118" s="507">
        <f>IF(D93="","-",+C117+1)</f>
        <v>2029</v>
      </c>
      <c r="D118" s="374">
        <f>IF(F117+SUM(E$99:E117)=D$92,F117,D$92-SUM(E$99:E117))</f>
        <v>50452.50384895876</v>
      </c>
      <c r="E118" s="522">
        <f>IF(+J96&lt;F117,J96,D118)</f>
        <v>2166.8780487804879</v>
      </c>
      <c r="F118" s="523">
        <f t="shared" si="37"/>
        <v>48285.62580017827</v>
      </c>
      <c r="G118" s="523">
        <f t="shared" si="38"/>
        <v>49369.064824568515</v>
      </c>
      <c r="H118" s="526">
        <f t="shared" si="39"/>
        <v>7770.9692490405805</v>
      </c>
      <c r="I118" s="577">
        <f t="shared" si="40"/>
        <v>7770.9692490405805</v>
      </c>
      <c r="J118" s="514">
        <f t="shared" si="28"/>
        <v>0</v>
      </c>
      <c r="K118" s="514"/>
      <c r="L118" s="525"/>
      <c r="M118" s="514">
        <f t="shared" si="30"/>
        <v>0</v>
      </c>
      <c r="N118" s="525"/>
      <c r="O118" s="514">
        <f t="shared" si="32"/>
        <v>0</v>
      </c>
      <c r="P118" s="514">
        <f t="shared" si="33"/>
        <v>0</v>
      </c>
      <c r="Q118" s="269"/>
    </row>
    <row r="119" spans="2:17" ht="12.5">
      <c r="B119" s="195" t="str">
        <f t="shared" si="34"/>
        <v/>
      </c>
      <c r="C119" s="507">
        <f>IF(D93="","-",+C118+1)</f>
        <v>2030</v>
      </c>
      <c r="D119" s="374">
        <f>IF(F118+SUM(E$99:E118)=D$92,F118,D$92-SUM(E$99:E118))</f>
        <v>48285.62580017827</v>
      </c>
      <c r="E119" s="522">
        <f>IF(+J96&lt;F118,J96,D119)</f>
        <v>2166.8780487804879</v>
      </c>
      <c r="F119" s="523">
        <f t="shared" si="37"/>
        <v>46118.747751397779</v>
      </c>
      <c r="G119" s="523">
        <f t="shared" si="38"/>
        <v>47202.186775788025</v>
      </c>
      <c r="H119" s="526">
        <f t="shared" si="39"/>
        <v>7524.9977636912299</v>
      </c>
      <c r="I119" s="577">
        <f t="shared" si="40"/>
        <v>7524.9977636912299</v>
      </c>
      <c r="J119" s="514">
        <f t="shared" si="28"/>
        <v>0</v>
      </c>
      <c r="K119" s="514"/>
      <c r="L119" s="525"/>
      <c r="M119" s="514">
        <f t="shared" si="30"/>
        <v>0</v>
      </c>
      <c r="N119" s="525"/>
      <c r="O119" s="514">
        <f t="shared" si="32"/>
        <v>0</v>
      </c>
      <c r="P119" s="514">
        <f t="shared" si="33"/>
        <v>0</v>
      </c>
      <c r="Q119" s="269"/>
    </row>
    <row r="120" spans="2:17" ht="12.5">
      <c r="B120" s="195" t="str">
        <f t="shared" si="34"/>
        <v/>
      </c>
      <c r="C120" s="507">
        <f>IF(D93="","-",+C119+1)</f>
        <v>2031</v>
      </c>
      <c r="D120" s="374">
        <f>IF(F119+SUM(E$99:E119)=D$92,F119,D$92-SUM(E$99:E119))</f>
        <v>46118.747751397779</v>
      </c>
      <c r="E120" s="522">
        <f>IF(+J96&lt;F119,J96,D120)</f>
        <v>2166.8780487804879</v>
      </c>
      <c r="F120" s="523">
        <f t="shared" si="37"/>
        <v>43951.869702617289</v>
      </c>
      <c r="G120" s="523">
        <f t="shared" si="38"/>
        <v>45035.308727007534</v>
      </c>
      <c r="H120" s="526">
        <f t="shared" si="39"/>
        <v>7279.0262783418784</v>
      </c>
      <c r="I120" s="577">
        <f t="shared" si="40"/>
        <v>7279.0262783418784</v>
      </c>
      <c r="J120" s="514">
        <f t="shared" si="28"/>
        <v>0</v>
      </c>
      <c r="K120" s="514"/>
      <c r="L120" s="525"/>
      <c r="M120" s="514">
        <f t="shared" si="30"/>
        <v>0</v>
      </c>
      <c r="N120" s="525"/>
      <c r="O120" s="514">
        <f t="shared" si="32"/>
        <v>0</v>
      </c>
      <c r="P120" s="514">
        <f t="shared" si="33"/>
        <v>0</v>
      </c>
      <c r="Q120" s="269"/>
    </row>
    <row r="121" spans="2:17" ht="12.5">
      <c r="B121" s="195" t="str">
        <f t="shared" si="34"/>
        <v/>
      </c>
      <c r="C121" s="507">
        <f>IF(D93="","-",+C120+1)</f>
        <v>2032</v>
      </c>
      <c r="D121" s="374">
        <f>IF(F120+SUM(E$99:E120)=D$92,F120,D$92-SUM(E$99:E120))</f>
        <v>43951.869702617289</v>
      </c>
      <c r="E121" s="522">
        <f>IF(+J96&lt;F120,J96,D121)</f>
        <v>2166.8780487804879</v>
      </c>
      <c r="F121" s="523">
        <f t="shared" si="37"/>
        <v>41784.991653836798</v>
      </c>
      <c r="G121" s="523">
        <f t="shared" si="38"/>
        <v>42868.430678227043</v>
      </c>
      <c r="H121" s="526">
        <f t="shared" si="39"/>
        <v>7033.0547929925278</v>
      </c>
      <c r="I121" s="577">
        <f t="shared" si="40"/>
        <v>7033.0547929925278</v>
      </c>
      <c r="J121" s="514">
        <f t="shared" si="28"/>
        <v>0</v>
      </c>
      <c r="K121" s="514"/>
      <c r="L121" s="525"/>
      <c r="M121" s="514">
        <f t="shared" si="30"/>
        <v>0</v>
      </c>
      <c r="N121" s="525"/>
      <c r="O121" s="514">
        <f t="shared" si="32"/>
        <v>0</v>
      </c>
      <c r="P121" s="514">
        <f t="shared" si="33"/>
        <v>0</v>
      </c>
      <c r="Q121" s="269"/>
    </row>
    <row r="122" spans="2:17" ht="12.5">
      <c r="B122" s="195" t="str">
        <f t="shared" si="34"/>
        <v/>
      </c>
      <c r="C122" s="507">
        <f>IF(D93="","-",+C121+1)</f>
        <v>2033</v>
      </c>
      <c r="D122" s="374">
        <f>IF(F121+SUM(E$99:E121)=D$92,F121,D$92-SUM(E$99:E121))</f>
        <v>41784.991653836798</v>
      </c>
      <c r="E122" s="522">
        <f>IF(+J96&lt;F121,J96,D122)</f>
        <v>2166.8780487804879</v>
      </c>
      <c r="F122" s="523">
        <f t="shared" si="37"/>
        <v>39618.113605056307</v>
      </c>
      <c r="G122" s="523">
        <f t="shared" si="38"/>
        <v>40701.552629446553</v>
      </c>
      <c r="H122" s="526">
        <f t="shared" si="39"/>
        <v>6787.0833076431772</v>
      </c>
      <c r="I122" s="577">
        <f t="shared" si="40"/>
        <v>6787.0833076431772</v>
      </c>
      <c r="J122" s="514">
        <f t="shared" si="28"/>
        <v>0</v>
      </c>
      <c r="K122" s="514"/>
      <c r="L122" s="525"/>
      <c r="M122" s="514">
        <f t="shared" si="30"/>
        <v>0</v>
      </c>
      <c r="N122" s="525"/>
      <c r="O122" s="514">
        <f t="shared" si="32"/>
        <v>0</v>
      </c>
      <c r="P122" s="514">
        <f t="shared" si="33"/>
        <v>0</v>
      </c>
      <c r="Q122" s="269"/>
    </row>
    <row r="123" spans="2:17" ht="12.5">
      <c r="B123" s="195" t="str">
        <f t="shared" si="34"/>
        <v/>
      </c>
      <c r="C123" s="507">
        <f>IF(D93="","-",+C122+1)</f>
        <v>2034</v>
      </c>
      <c r="D123" s="374">
        <f>IF(F122+SUM(E$99:E122)=D$92,F122,D$92-SUM(E$99:E122))</f>
        <v>39618.113605056307</v>
      </c>
      <c r="E123" s="522">
        <f>IF(+J96&lt;F122,J96,D123)</f>
        <v>2166.8780487804879</v>
      </c>
      <c r="F123" s="523">
        <f t="shared" si="37"/>
        <v>37451.235556275817</v>
      </c>
      <c r="G123" s="523">
        <f t="shared" si="38"/>
        <v>38534.674580666062</v>
      </c>
      <c r="H123" s="526">
        <f t="shared" si="39"/>
        <v>6541.1118222938267</v>
      </c>
      <c r="I123" s="577">
        <f t="shared" si="40"/>
        <v>6541.1118222938267</v>
      </c>
      <c r="J123" s="514">
        <f t="shared" si="28"/>
        <v>0</v>
      </c>
      <c r="K123" s="514"/>
      <c r="L123" s="525"/>
      <c r="M123" s="514">
        <f t="shared" si="30"/>
        <v>0</v>
      </c>
      <c r="N123" s="525"/>
      <c r="O123" s="514">
        <f t="shared" si="32"/>
        <v>0</v>
      </c>
      <c r="P123" s="514">
        <f t="shared" si="33"/>
        <v>0</v>
      </c>
      <c r="Q123" s="269"/>
    </row>
    <row r="124" spans="2:17" ht="12.5">
      <c r="B124" s="195" t="str">
        <f t="shared" si="34"/>
        <v/>
      </c>
      <c r="C124" s="507">
        <f>IF(D93="","-",+C123+1)</f>
        <v>2035</v>
      </c>
      <c r="D124" s="374">
        <f>IF(F123+SUM(E$99:E123)=D$92,F123,D$92-SUM(E$99:E123))</f>
        <v>37451.235556275817</v>
      </c>
      <c r="E124" s="522">
        <f>IF(+J96&lt;F123,J96,D124)</f>
        <v>2166.8780487804879</v>
      </c>
      <c r="F124" s="523">
        <f t="shared" si="37"/>
        <v>35284.357507495326</v>
      </c>
      <c r="G124" s="523">
        <f t="shared" si="38"/>
        <v>36367.796531885571</v>
      </c>
      <c r="H124" s="526">
        <f t="shared" si="39"/>
        <v>6295.1403369444752</v>
      </c>
      <c r="I124" s="577">
        <f t="shared" si="40"/>
        <v>6295.1403369444752</v>
      </c>
      <c r="J124" s="514">
        <f t="shared" si="28"/>
        <v>0</v>
      </c>
      <c r="K124" s="514"/>
      <c r="L124" s="525"/>
      <c r="M124" s="514">
        <f t="shared" si="30"/>
        <v>0</v>
      </c>
      <c r="N124" s="525"/>
      <c r="O124" s="514">
        <f t="shared" si="32"/>
        <v>0</v>
      </c>
      <c r="P124" s="514">
        <f t="shared" si="33"/>
        <v>0</v>
      </c>
      <c r="Q124" s="269"/>
    </row>
    <row r="125" spans="2:17" ht="12.5">
      <c r="B125" s="195" t="str">
        <f t="shared" si="34"/>
        <v/>
      </c>
      <c r="C125" s="507">
        <f>IF(D93="","-",+C124+1)</f>
        <v>2036</v>
      </c>
      <c r="D125" s="374">
        <f>IF(F124+SUM(E$99:E124)=D$92,F124,D$92-SUM(E$99:E124))</f>
        <v>35284.357507495326</v>
      </c>
      <c r="E125" s="522">
        <f>IF(+J96&lt;F124,J96,D125)</f>
        <v>2166.8780487804879</v>
      </c>
      <c r="F125" s="523">
        <f t="shared" si="37"/>
        <v>33117.479458714835</v>
      </c>
      <c r="G125" s="523">
        <f t="shared" si="38"/>
        <v>34200.918483105081</v>
      </c>
      <c r="H125" s="526">
        <f t="shared" si="39"/>
        <v>6049.1688515951246</v>
      </c>
      <c r="I125" s="577">
        <f t="shared" si="40"/>
        <v>6049.1688515951246</v>
      </c>
      <c r="J125" s="514">
        <f t="shared" si="28"/>
        <v>0</v>
      </c>
      <c r="K125" s="514"/>
      <c r="L125" s="525"/>
      <c r="M125" s="514">
        <f t="shared" si="30"/>
        <v>0</v>
      </c>
      <c r="N125" s="525"/>
      <c r="O125" s="514">
        <f t="shared" si="32"/>
        <v>0</v>
      </c>
      <c r="P125" s="514">
        <f t="shared" si="33"/>
        <v>0</v>
      </c>
      <c r="Q125" s="269"/>
    </row>
    <row r="126" spans="2:17" ht="12.5">
      <c r="B126" s="195" t="str">
        <f t="shared" si="34"/>
        <v/>
      </c>
      <c r="C126" s="507">
        <f>IF(D93="","-",+C125+1)</f>
        <v>2037</v>
      </c>
      <c r="D126" s="374">
        <f>IF(F125+SUM(E$99:E125)=D$92,F125,D$92-SUM(E$99:E125))</f>
        <v>33117.479458714835</v>
      </c>
      <c r="E126" s="522">
        <f>IF(+J96&lt;F125,J96,D126)</f>
        <v>2166.8780487804879</v>
      </c>
      <c r="F126" s="523">
        <f t="shared" si="37"/>
        <v>30950.601409934348</v>
      </c>
      <c r="G126" s="523">
        <f t="shared" si="38"/>
        <v>32034.04043432459</v>
      </c>
      <c r="H126" s="526">
        <f t="shared" si="39"/>
        <v>5803.1973662457731</v>
      </c>
      <c r="I126" s="577">
        <f t="shared" si="40"/>
        <v>5803.1973662457731</v>
      </c>
      <c r="J126" s="514">
        <f t="shared" si="28"/>
        <v>0</v>
      </c>
      <c r="K126" s="514"/>
      <c r="L126" s="525"/>
      <c r="M126" s="514">
        <f t="shared" si="30"/>
        <v>0</v>
      </c>
      <c r="N126" s="525"/>
      <c r="O126" s="514">
        <f t="shared" si="32"/>
        <v>0</v>
      </c>
      <c r="P126" s="514">
        <f t="shared" si="33"/>
        <v>0</v>
      </c>
      <c r="Q126" s="269"/>
    </row>
    <row r="127" spans="2:17" ht="12.5">
      <c r="B127" s="195" t="str">
        <f t="shared" si="34"/>
        <v/>
      </c>
      <c r="C127" s="507">
        <f>IF(D93="","-",+C126+1)</f>
        <v>2038</v>
      </c>
      <c r="D127" s="374">
        <f>IF(F126+SUM(E$99:E126)=D$92,F126,D$92-SUM(E$99:E126))</f>
        <v>30950.601409934348</v>
      </c>
      <c r="E127" s="522">
        <f>IF(+J96&lt;F126,J96,D127)</f>
        <v>2166.8780487804879</v>
      </c>
      <c r="F127" s="523">
        <f t="shared" si="37"/>
        <v>28783.723361153861</v>
      </c>
      <c r="G127" s="523">
        <f t="shared" si="38"/>
        <v>29867.162385544107</v>
      </c>
      <c r="H127" s="526">
        <f t="shared" si="39"/>
        <v>5557.2258808964234</v>
      </c>
      <c r="I127" s="577">
        <f t="shared" si="40"/>
        <v>5557.2258808964234</v>
      </c>
      <c r="J127" s="514">
        <f t="shared" si="28"/>
        <v>0</v>
      </c>
      <c r="K127" s="514"/>
      <c r="L127" s="525"/>
      <c r="M127" s="514">
        <f t="shared" si="30"/>
        <v>0</v>
      </c>
      <c r="N127" s="525"/>
      <c r="O127" s="514">
        <f t="shared" si="32"/>
        <v>0</v>
      </c>
      <c r="P127" s="514">
        <f t="shared" si="33"/>
        <v>0</v>
      </c>
      <c r="Q127" s="269"/>
    </row>
    <row r="128" spans="2:17" ht="12.5">
      <c r="B128" s="195" t="str">
        <f t="shared" si="34"/>
        <v/>
      </c>
      <c r="C128" s="507">
        <f>IF(D93="","-",+C127+1)</f>
        <v>2039</v>
      </c>
      <c r="D128" s="374">
        <f>IF(F127+SUM(E$99:E127)=D$92,F127,D$92-SUM(E$99:E127))</f>
        <v>28783.723361153861</v>
      </c>
      <c r="E128" s="522">
        <f>IF(+J96&lt;F127,J96,D128)</f>
        <v>2166.8780487804879</v>
      </c>
      <c r="F128" s="523">
        <f t="shared" si="37"/>
        <v>26616.845312373374</v>
      </c>
      <c r="G128" s="523">
        <f t="shared" si="38"/>
        <v>27700.284336763616</v>
      </c>
      <c r="H128" s="526">
        <f t="shared" si="39"/>
        <v>5311.2543955470728</v>
      </c>
      <c r="I128" s="577">
        <f t="shared" si="40"/>
        <v>5311.2543955470728</v>
      </c>
      <c r="J128" s="514">
        <f t="shared" si="28"/>
        <v>0</v>
      </c>
      <c r="K128" s="514"/>
      <c r="L128" s="525"/>
      <c r="M128" s="514">
        <f t="shared" si="30"/>
        <v>0</v>
      </c>
      <c r="N128" s="525"/>
      <c r="O128" s="514">
        <f t="shared" si="32"/>
        <v>0</v>
      </c>
      <c r="P128" s="514">
        <f t="shared" si="33"/>
        <v>0</v>
      </c>
      <c r="Q128" s="269"/>
    </row>
    <row r="129" spans="2:17" ht="12.5">
      <c r="B129" s="195" t="str">
        <f t="shared" si="34"/>
        <v/>
      </c>
      <c r="C129" s="507">
        <f>IF(D93="","-",+C128+1)</f>
        <v>2040</v>
      </c>
      <c r="D129" s="374">
        <f>IF(F128+SUM(E$99:E128)=D$92,F128,D$92-SUM(E$99:E128))</f>
        <v>26616.845312373374</v>
      </c>
      <c r="E129" s="522">
        <f>IF(+J96&lt;F128,J96,D129)</f>
        <v>2166.8780487804879</v>
      </c>
      <c r="F129" s="523">
        <f t="shared" si="37"/>
        <v>24449.967263592887</v>
      </c>
      <c r="G129" s="523">
        <f t="shared" si="38"/>
        <v>25533.406287983133</v>
      </c>
      <c r="H129" s="526">
        <f t="shared" si="39"/>
        <v>5065.2829101977222</v>
      </c>
      <c r="I129" s="577">
        <f t="shared" si="40"/>
        <v>5065.2829101977222</v>
      </c>
      <c r="J129" s="514">
        <f t="shared" si="28"/>
        <v>0</v>
      </c>
      <c r="K129" s="514"/>
      <c r="L129" s="525"/>
      <c r="M129" s="514">
        <f t="shared" si="30"/>
        <v>0</v>
      </c>
      <c r="N129" s="525"/>
      <c r="O129" s="514">
        <f t="shared" si="32"/>
        <v>0</v>
      </c>
      <c r="P129" s="514">
        <f t="shared" si="33"/>
        <v>0</v>
      </c>
      <c r="Q129" s="269"/>
    </row>
    <row r="130" spans="2:17" ht="12.5">
      <c r="B130" s="195" t="str">
        <f t="shared" si="34"/>
        <v/>
      </c>
      <c r="C130" s="507">
        <f>IF(D93="","-",+C129+1)</f>
        <v>2041</v>
      </c>
      <c r="D130" s="374">
        <f>IF(F129+SUM(E$99:E129)=D$92,F129,D$92-SUM(E$99:E129))</f>
        <v>24449.967263592887</v>
      </c>
      <c r="E130" s="522">
        <f>IF(+J96&lt;F129,J96,D130)</f>
        <v>2166.8780487804879</v>
      </c>
      <c r="F130" s="523">
        <f t="shared" si="37"/>
        <v>22283.0892148124</v>
      </c>
      <c r="G130" s="523">
        <f t="shared" si="38"/>
        <v>23366.528239202642</v>
      </c>
      <c r="H130" s="526">
        <f t="shared" si="39"/>
        <v>4819.3114248483726</v>
      </c>
      <c r="I130" s="577">
        <f t="shared" si="40"/>
        <v>4819.3114248483726</v>
      </c>
      <c r="J130" s="514">
        <f t="shared" si="28"/>
        <v>0</v>
      </c>
      <c r="K130" s="514"/>
      <c r="L130" s="525"/>
      <c r="M130" s="514">
        <f t="shared" si="30"/>
        <v>0</v>
      </c>
      <c r="N130" s="525"/>
      <c r="O130" s="514">
        <f t="shared" si="32"/>
        <v>0</v>
      </c>
      <c r="P130" s="514">
        <f t="shared" si="33"/>
        <v>0</v>
      </c>
      <c r="Q130" s="269"/>
    </row>
    <row r="131" spans="2:17" ht="12.5">
      <c r="B131" s="195" t="str">
        <f t="shared" si="34"/>
        <v/>
      </c>
      <c r="C131" s="507">
        <f>IF(D93="","-",+C130+1)</f>
        <v>2042</v>
      </c>
      <c r="D131" s="374">
        <f>IF(F130+SUM(E$99:E130)=D$92,F130,D$92-SUM(E$99:E130))</f>
        <v>22283.0892148124</v>
      </c>
      <c r="E131" s="522">
        <f>IF(+J96&lt;F130,J96,D131)</f>
        <v>2166.8780487804879</v>
      </c>
      <c r="F131" s="523">
        <f t="shared" si="37"/>
        <v>20116.211166031913</v>
      </c>
      <c r="G131" s="523">
        <f t="shared" ref="G131:G154" si="41">+(F131+D131)/2</f>
        <v>21199.650190422159</v>
      </c>
      <c r="H131" s="526">
        <f t="shared" ref="H131:H154" si="42">+J$94*G131+E131</f>
        <v>4573.339939499022</v>
      </c>
      <c r="I131" s="577">
        <f t="shared" ref="I131:I154" si="43">+J$95*G131+E131</f>
        <v>4573.339939499022</v>
      </c>
      <c r="J131" s="514">
        <f t="shared" ref="J131:J154" si="44">+I131-H131</f>
        <v>0</v>
      </c>
      <c r="K131" s="514"/>
      <c r="L131" s="525"/>
      <c r="M131" s="514">
        <f t="shared" ref="M131:M154" si="45">IF(L131&lt;&gt;0,+H131-L131,0)</f>
        <v>0</v>
      </c>
      <c r="N131" s="525"/>
      <c r="O131" s="514">
        <f t="shared" ref="O131:O154" si="46">IF(N131&lt;&gt;0,+I131-N131,0)</f>
        <v>0</v>
      </c>
      <c r="P131" s="514">
        <f t="shared" ref="P131:P154" si="47">+O131-M131</f>
        <v>0</v>
      </c>
      <c r="Q131" s="269"/>
    </row>
    <row r="132" spans="2:17" ht="12.5">
      <c r="B132" s="195" t="str">
        <f t="shared" si="34"/>
        <v/>
      </c>
      <c r="C132" s="507">
        <f>IF(D93="","-",+C131+1)</f>
        <v>2043</v>
      </c>
      <c r="D132" s="374">
        <f>IF(F131+SUM(E$99:E131)=D$92,F131,D$92-SUM(E$99:E131))</f>
        <v>20116.211166031913</v>
      </c>
      <c r="E132" s="522">
        <f>IF(+J96&lt;F131,J96,D132)</f>
        <v>2166.8780487804879</v>
      </c>
      <c r="F132" s="523">
        <f t="shared" ref="F132:F154" si="48">+D132-E132</f>
        <v>17949.333117251426</v>
      </c>
      <c r="G132" s="523">
        <f t="shared" si="41"/>
        <v>19032.772141641668</v>
      </c>
      <c r="H132" s="526">
        <f t="shared" si="42"/>
        <v>4327.3684541496714</v>
      </c>
      <c r="I132" s="577">
        <f t="shared" si="43"/>
        <v>4327.3684541496714</v>
      </c>
      <c r="J132" s="514">
        <f t="shared" si="44"/>
        <v>0</v>
      </c>
      <c r="K132" s="514"/>
      <c r="L132" s="525"/>
      <c r="M132" s="514">
        <f t="shared" si="45"/>
        <v>0</v>
      </c>
      <c r="N132" s="525"/>
      <c r="O132" s="514">
        <f t="shared" si="46"/>
        <v>0</v>
      </c>
      <c r="P132" s="514">
        <f t="shared" si="47"/>
        <v>0</v>
      </c>
      <c r="Q132" s="269"/>
    </row>
    <row r="133" spans="2:17" ht="12.5">
      <c r="B133" s="195" t="str">
        <f t="shared" si="34"/>
        <v/>
      </c>
      <c r="C133" s="507">
        <f>IF(D93="","-",+C132+1)</f>
        <v>2044</v>
      </c>
      <c r="D133" s="374">
        <f>IF(F132+SUM(E$99:E132)=D$92,F132,D$92-SUM(E$99:E132))</f>
        <v>17949.333117251426</v>
      </c>
      <c r="E133" s="522">
        <f>IF(+J96&lt;F132,J96,D133)</f>
        <v>2166.8780487804879</v>
      </c>
      <c r="F133" s="523">
        <f t="shared" si="48"/>
        <v>15782.455068470939</v>
      </c>
      <c r="G133" s="523">
        <f t="shared" si="41"/>
        <v>16865.894092861185</v>
      </c>
      <c r="H133" s="526">
        <f t="shared" si="42"/>
        <v>4081.3969688003208</v>
      </c>
      <c r="I133" s="577">
        <f t="shared" si="43"/>
        <v>4081.3969688003208</v>
      </c>
      <c r="J133" s="514">
        <f t="shared" si="44"/>
        <v>0</v>
      </c>
      <c r="K133" s="514"/>
      <c r="L133" s="525"/>
      <c r="M133" s="514">
        <f t="shared" si="45"/>
        <v>0</v>
      </c>
      <c r="N133" s="525"/>
      <c r="O133" s="514">
        <f t="shared" si="46"/>
        <v>0</v>
      </c>
      <c r="P133" s="514">
        <f t="shared" si="47"/>
        <v>0</v>
      </c>
      <c r="Q133" s="269"/>
    </row>
    <row r="134" spans="2:17" ht="12.5">
      <c r="B134" s="195" t="str">
        <f t="shared" si="34"/>
        <v/>
      </c>
      <c r="C134" s="507">
        <f>IF(D93="","-",+C133+1)</f>
        <v>2045</v>
      </c>
      <c r="D134" s="374">
        <f>IF(F133+SUM(E$99:E133)=D$92,F133,D$92-SUM(E$99:E133))</f>
        <v>15782.455068470939</v>
      </c>
      <c r="E134" s="522">
        <f>IF(+J96&lt;F133,J96,D134)</f>
        <v>2166.8780487804879</v>
      </c>
      <c r="F134" s="523">
        <f t="shared" si="48"/>
        <v>13615.577019690452</v>
      </c>
      <c r="G134" s="523">
        <f t="shared" si="41"/>
        <v>14699.016044080696</v>
      </c>
      <c r="H134" s="526">
        <f t="shared" si="42"/>
        <v>3835.4254834509702</v>
      </c>
      <c r="I134" s="577">
        <f t="shared" si="43"/>
        <v>3835.4254834509702</v>
      </c>
      <c r="J134" s="514">
        <f t="shared" si="44"/>
        <v>0</v>
      </c>
      <c r="K134" s="514"/>
      <c r="L134" s="525"/>
      <c r="M134" s="514">
        <f t="shared" si="45"/>
        <v>0</v>
      </c>
      <c r="N134" s="525"/>
      <c r="O134" s="514">
        <f t="shared" si="46"/>
        <v>0</v>
      </c>
      <c r="P134" s="514">
        <f t="shared" si="47"/>
        <v>0</v>
      </c>
      <c r="Q134" s="269"/>
    </row>
    <row r="135" spans="2:17" ht="12.5">
      <c r="B135" s="195" t="str">
        <f t="shared" si="34"/>
        <v/>
      </c>
      <c r="C135" s="507">
        <f>IF(D93="","-",+C134+1)</f>
        <v>2046</v>
      </c>
      <c r="D135" s="374">
        <f>IF(F134+SUM(E$99:E134)=D$92,F134,D$92-SUM(E$99:E134))</f>
        <v>13615.577019690452</v>
      </c>
      <c r="E135" s="522">
        <f>IF(+J96&lt;F134,J96,D135)</f>
        <v>2166.8780487804879</v>
      </c>
      <c r="F135" s="523">
        <f t="shared" si="48"/>
        <v>11448.698970909965</v>
      </c>
      <c r="G135" s="523">
        <f t="shared" si="41"/>
        <v>12532.137995300209</v>
      </c>
      <c r="H135" s="526">
        <f t="shared" si="42"/>
        <v>3589.4539981016196</v>
      </c>
      <c r="I135" s="577">
        <f t="shared" si="43"/>
        <v>3589.4539981016196</v>
      </c>
      <c r="J135" s="514">
        <f t="shared" si="44"/>
        <v>0</v>
      </c>
      <c r="K135" s="514"/>
      <c r="L135" s="525"/>
      <c r="M135" s="514">
        <f t="shared" si="45"/>
        <v>0</v>
      </c>
      <c r="N135" s="525"/>
      <c r="O135" s="514">
        <f t="shared" si="46"/>
        <v>0</v>
      </c>
      <c r="P135" s="514">
        <f t="shared" si="47"/>
        <v>0</v>
      </c>
      <c r="Q135" s="269"/>
    </row>
    <row r="136" spans="2:17" ht="12.5">
      <c r="B136" s="195" t="str">
        <f t="shared" si="34"/>
        <v/>
      </c>
      <c r="C136" s="507">
        <f>IF(D93="","-",+C135+1)</f>
        <v>2047</v>
      </c>
      <c r="D136" s="374">
        <f>IF(F135+SUM(E$99:E135)=D$92,F135,D$92-SUM(E$99:E135))</f>
        <v>11448.698970909965</v>
      </c>
      <c r="E136" s="522">
        <f>IF(+J96&lt;F135,J96,D136)</f>
        <v>2166.8780487804879</v>
      </c>
      <c r="F136" s="523">
        <f t="shared" si="48"/>
        <v>9281.8209221294783</v>
      </c>
      <c r="G136" s="523">
        <f t="shared" si="41"/>
        <v>10365.259946519722</v>
      </c>
      <c r="H136" s="526">
        <f t="shared" si="42"/>
        <v>3343.4825127522695</v>
      </c>
      <c r="I136" s="577">
        <f t="shared" si="43"/>
        <v>3343.4825127522695</v>
      </c>
      <c r="J136" s="514">
        <f t="shared" si="44"/>
        <v>0</v>
      </c>
      <c r="K136" s="514"/>
      <c r="L136" s="525"/>
      <c r="M136" s="514">
        <f t="shared" si="45"/>
        <v>0</v>
      </c>
      <c r="N136" s="525"/>
      <c r="O136" s="514">
        <f t="shared" si="46"/>
        <v>0</v>
      </c>
      <c r="P136" s="514">
        <f t="shared" si="47"/>
        <v>0</v>
      </c>
      <c r="Q136" s="269"/>
    </row>
    <row r="137" spans="2:17" ht="12.5">
      <c r="B137" s="195" t="str">
        <f t="shared" si="34"/>
        <v/>
      </c>
      <c r="C137" s="507">
        <f>IF(D93="","-",+C136+1)</f>
        <v>2048</v>
      </c>
      <c r="D137" s="374">
        <f>IF(F136+SUM(E$99:E136)=D$92,F136,D$92-SUM(E$99:E136))</f>
        <v>9281.8209221294783</v>
      </c>
      <c r="E137" s="522">
        <f>IF(+J96&lt;F136,J96,D137)</f>
        <v>2166.8780487804879</v>
      </c>
      <c r="F137" s="523">
        <f t="shared" si="48"/>
        <v>7114.9428733489904</v>
      </c>
      <c r="G137" s="523">
        <f t="shared" si="41"/>
        <v>8198.3818977392348</v>
      </c>
      <c r="H137" s="526">
        <f t="shared" si="42"/>
        <v>3097.5110274029189</v>
      </c>
      <c r="I137" s="577">
        <f t="shared" si="43"/>
        <v>3097.5110274029189</v>
      </c>
      <c r="J137" s="514">
        <f t="shared" si="44"/>
        <v>0</v>
      </c>
      <c r="K137" s="514"/>
      <c r="L137" s="525"/>
      <c r="M137" s="514">
        <f t="shared" si="45"/>
        <v>0</v>
      </c>
      <c r="N137" s="525"/>
      <c r="O137" s="514">
        <f t="shared" si="46"/>
        <v>0</v>
      </c>
      <c r="P137" s="514">
        <f t="shared" si="47"/>
        <v>0</v>
      </c>
      <c r="Q137" s="269"/>
    </row>
    <row r="138" spans="2:17" ht="12.5">
      <c r="B138" s="195" t="str">
        <f t="shared" si="34"/>
        <v/>
      </c>
      <c r="C138" s="507">
        <f>IF(D93="","-",+C137+1)</f>
        <v>2049</v>
      </c>
      <c r="D138" s="374">
        <f>IF(F137+SUM(E$99:E137)=D$92,F137,D$92-SUM(E$99:E137))</f>
        <v>7114.9428733489904</v>
      </c>
      <c r="E138" s="522">
        <f>IF(+J96&lt;F137,J96,D138)</f>
        <v>2166.8780487804879</v>
      </c>
      <c r="F138" s="523">
        <f t="shared" si="48"/>
        <v>4948.0648245685024</v>
      </c>
      <c r="G138" s="523">
        <f t="shared" si="41"/>
        <v>6031.5038489587459</v>
      </c>
      <c r="H138" s="526">
        <f t="shared" si="42"/>
        <v>2851.5395420535683</v>
      </c>
      <c r="I138" s="577">
        <f t="shared" si="43"/>
        <v>2851.5395420535683</v>
      </c>
      <c r="J138" s="514">
        <f t="shared" si="44"/>
        <v>0</v>
      </c>
      <c r="K138" s="514"/>
      <c r="L138" s="525"/>
      <c r="M138" s="514">
        <f t="shared" si="45"/>
        <v>0</v>
      </c>
      <c r="N138" s="525"/>
      <c r="O138" s="514">
        <f t="shared" si="46"/>
        <v>0</v>
      </c>
      <c r="P138" s="514">
        <f t="shared" si="47"/>
        <v>0</v>
      </c>
      <c r="Q138" s="269"/>
    </row>
    <row r="139" spans="2:17" ht="12.5">
      <c r="B139" s="195" t="str">
        <f t="shared" si="34"/>
        <v/>
      </c>
      <c r="C139" s="507">
        <f>IF(D93="","-",+C138+1)</f>
        <v>2050</v>
      </c>
      <c r="D139" s="374">
        <f>IF(F138+SUM(E$99:E138)=D$92,F138,D$92-SUM(E$99:E138))</f>
        <v>4948.0648245685024</v>
      </c>
      <c r="E139" s="522">
        <f>IF(+J96&lt;F138,J96,D139)</f>
        <v>2166.8780487804879</v>
      </c>
      <c r="F139" s="523">
        <f t="shared" si="48"/>
        <v>2781.1867757880145</v>
      </c>
      <c r="G139" s="523">
        <f t="shared" si="41"/>
        <v>3864.6258001782585</v>
      </c>
      <c r="H139" s="526">
        <f t="shared" si="42"/>
        <v>2605.5680567042177</v>
      </c>
      <c r="I139" s="577">
        <f t="shared" si="43"/>
        <v>2605.5680567042177</v>
      </c>
      <c r="J139" s="514">
        <f t="shared" si="44"/>
        <v>0</v>
      </c>
      <c r="K139" s="514"/>
      <c r="L139" s="525"/>
      <c r="M139" s="514">
        <f t="shared" si="45"/>
        <v>0</v>
      </c>
      <c r="N139" s="525"/>
      <c r="O139" s="514">
        <f t="shared" si="46"/>
        <v>0</v>
      </c>
      <c r="P139" s="514">
        <f t="shared" si="47"/>
        <v>0</v>
      </c>
      <c r="Q139" s="269"/>
    </row>
    <row r="140" spans="2:17" ht="12.5">
      <c r="B140" s="195" t="str">
        <f t="shared" si="34"/>
        <v/>
      </c>
      <c r="C140" s="507">
        <f>IF(D93="","-",+C139+1)</f>
        <v>2051</v>
      </c>
      <c r="D140" s="374">
        <f>IF(F139+SUM(E$99:E139)=D$92,F139,D$92-SUM(E$99:E139))</f>
        <v>2781.1867757880145</v>
      </c>
      <c r="E140" s="522">
        <f>IF(+J96&lt;F139,J96,D140)</f>
        <v>2166.8780487804879</v>
      </c>
      <c r="F140" s="523">
        <f t="shared" si="48"/>
        <v>614.30872700752661</v>
      </c>
      <c r="G140" s="523">
        <f t="shared" si="41"/>
        <v>1697.7477513977706</v>
      </c>
      <c r="H140" s="526">
        <f t="shared" si="42"/>
        <v>2359.5965713548671</v>
      </c>
      <c r="I140" s="577">
        <f t="shared" si="43"/>
        <v>2359.5965713548671</v>
      </c>
      <c r="J140" s="514">
        <f t="shared" si="44"/>
        <v>0</v>
      </c>
      <c r="K140" s="514"/>
      <c r="L140" s="525"/>
      <c r="M140" s="514">
        <f t="shared" si="45"/>
        <v>0</v>
      </c>
      <c r="N140" s="525"/>
      <c r="O140" s="514">
        <f t="shared" si="46"/>
        <v>0</v>
      </c>
      <c r="P140" s="514">
        <f t="shared" si="47"/>
        <v>0</v>
      </c>
      <c r="Q140" s="269"/>
    </row>
    <row r="141" spans="2:17" ht="12.5">
      <c r="B141" s="195" t="str">
        <f t="shared" si="34"/>
        <v>IU</v>
      </c>
      <c r="C141" s="507">
        <f>IF(D93="","-",+C140+1)</f>
        <v>2052</v>
      </c>
      <c r="D141" s="374">
        <f>IF(F140+SUM(E$99:E140)=D$92,F140,D$92-SUM(E$99:E140))</f>
        <v>614.30872700747568</v>
      </c>
      <c r="E141" s="522">
        <f>IF(+J96&lt;F140,J96,D141)</f>
        <v>614.30872700747568</v>
      </c>
      <c r="F141" s="523">
        <f t="shared" si="48"/>
        <v>0</v>
      </c>
      <c r="G141" s="523">
        <f t="shared" si="41"/>
        <v>307.15436350373784</v>
      </c>
      <c r="H141" s="526">
        <f t="shared" si="42"/>
        <v>649.1751169573248</v>
      </c>
      <c r="I141" s="577">
        <f t="shared" si="43"/>
        <v>649.1751169573248</v>
      </c>
      <c r="J141" s="514">
        <f t="shared" si="44"/>
        <v>0</v>
      </c>
      <c r="K141" s="514"/>
      <c r="L141" s="525"/>
      <c r="M141" s="514">
        <f t="shared" si="45"/>
        <v>0</v>
      </c>
      <c r="N141" s="525"/>
      <c r="O141" s="514">
        <f t="shared" si="46"/>
        <v>0</v>
      </c>
      <c r="P141" s="514">
        <f t="shared" si="47"/>
        <v>0</v>
      </c>
      <c r="Q141" s="269"/>
    </row>
    <row r="142" spans="2:17" ht="12.5">
      <c r="B142" s="195" t="str">
        <f t="shared" si="34"/>
        <v/>
      </c>
      <c r="C142" s="507">
        <f>IF(D93="","-",+C141+1)</f>
        <v>2053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8"/>
        <v>0</v>
      </c>
      <c r="G142" s="523">
        <f t="shared" si="41"/>
        <v>0</v>
      </c>
      <c r="H142" s="526">
        <f t="shared" si="42"/>
        <v>0</v>
      </c>
      <c r="I142" s="577">
        <f t="shared" si="43"/>
        <v>0</v>
      </c>
      <c r="J142" s="514">
        <f t="shared" si="44"/>
        <v>0</v>
      </c>
      <c r="K142" s="514"/>
      <c r="L142" s="525"/>
      <c r="M142" s="514">
        <f t="shared" si="45"/>
        <v>0</v>
      </c>
      <c r="N142" s="525"/>
      <c r="O142" s="514">
        <f t="shared" si="46"/>
        <v>0</v>
      </c>
      <c r="P142" s="514">
        <f t="shared" si="47"/>
        <v>0</v>
      </c>
      <c r="Q142" s="269"/>
    </row>
    <row r="143" spans="2:17" ht="12.5">
      <c r="B143" s="195" t="str">
        <f t="shared" si="34"/>
        <v/>
      </c>
      <c r="C143" s="507">
        <f>IF(D93="","-",+C142+1)</f>
        <v>2054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8"/>
        <v>0</v>
      </c>
      <c r="G143" s="523">
        <f t="shared" si="41"/>
        <v>0</v>
      </c>
      <c r="H143" s="526">
        <f t="shared" si="42"/>
        <v>0</v>
      </c>
      <c r="I143" s="577">
        <f t="shared" si="43"/>
        <v>0</v>
      </c>
      <c r="J143" s="514">
        <f t="shared" si="44"/>
        <v>0</v>
      </c>
      <c r="K143" s="514"/>
      <c r="L143" s="525"/>
      <c r="M143" s="514">
        <f t="shared" si="45"/>
        <v>0</v>
      </c>
      <c r="N143" s="525"/>
      <c r="O143" s="514">
        <f t="shared" si="46"/>
        <v>0</v>
      </c>
      <c r="P143" s="514">
        <f t="shared" si="47"/>
        <v>0</v>
      </c>
      <c r="Q143" s="269"/>
    </row>
    <row r="144" spans="2:17" ht="12.5">
      <c r="B144" s="195" t="str">
        <f t="shared" si="34"/>
        <v/>
      </c>
      <c r="C144" s="507">
        <f>IF(D93="","-",+C143+1)</f>
        <v>2055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8"/>
        <v>0</v>
      </c>
      <c r="G144" s="523">
        <f t="shared" si="41"/>
        <v>0</v>
      </c>
      <c r="H144" s="526">
        <f t="shared" si="42"/>
        <v>0</v>
      </c>
      <c r="I144" s="577">
        <f t="shared" si="43"/>
        <v>0</v>
      </c>
      <c r="J144" s="514">
        <f t="shared" si="44"/>
        <v>0</v>
      </c>
      <c r="K144" s="514"/>
      <c r="L144" s="525"/>
      <c r="M144" s="514">
        <f t="shared" si="45"/>
        <v>0</v>
      </c>
      <c r="N144" s="525"/>
      <c r="O144" s="514">
        <f t="shared" si="46"/>
        <v>0</v>
      </c>
      <c r="P144" s="514">
        <f t="shared" si="47"/>
        <v>0</v>
      </c>
      <c r="Q144" s="269"/>
    </row>
    <row r="145" spans="2:17" ht="12.5">
      <c r="B145" s="195" t="str">
        <f t="shared" si="34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8"/>
        <v>0</v>
      </c>
      <c r="G145" s="523">
        <f t="shared" si="41"/>
        <v>0</v>
      </c>
      <c r="H145" s="526">
        <f t="shared" si="42"/>
        <v>0</v>
      </c>
      <c r="I145" s="577">
        <f t="shared" si="43"/>
        <v>0</v>
      </c>
      <c r="J145" s="514">
        <f t="shared" si="44"/>
        <v>0</v>
      </c>
      <c r="K145" s="514"/>
      <c r="L145" s="525"/>
      <c r="M145" s="514">
        <f t="shared" si="45"/>
        <v>0</v>
      </c>
      <c r="N145" s="525"/>
      <c r="O145" s="514">
        <f t="shared" si="46"/>
        <v>0</v>
      </c>
      <c r="P145" s="514">
        <f t="shared" si="47"/>
        <v>0</v>
      </c>
      <c r="Q145" s="269"/>
    </row>
    <row r="146" spans="2:17" ht="12.5">
      <c r="B146" s="195" t="str">
        <f t="shared" si="34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8"/>
        <v>0</v>
      </c>
      <c r="G146" s="523">
        <f t="shared" si="41"/>
        <v>0</v>
      </c>
      <c r="H146" s="526">
        <f t="shared" si="42"/>
        <v>0</v>
      </c>
      <c r="I146" s="577">
        <f t="shared" si="43"/>
        <v>0</v>
      </c>
      <c r="J146" s="514">
        <f t="shared" si="44"/>
        <v>0</v>
      </c>
      <c r="K146" s="514"/>
      <c r="L146" s="525"/>
      <c r="M146" s="514">
        <f t="shared" si="45"/>
        <v>0</v>
      </c>
      <c r="N146" s="525"/>
      <c r="O146" s="514">
        <f t="shared" si="46"/>
        <v>0</v>
      </c>
      <c r="P146" s="514">
        <f t="shared" si="47"/>
        <v>0</v>
      </c>
      <c r="Q146" s="269"/>
    </row>
    <row r="147" spans="2:17" ht="12.5">
      <c r="B147" s="195" t="str">
        <f t="shared" si="34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8"/>
        <v>0</v>
      </c>
      <c r="G147" s="523">
        <f t="shared" si="41"/>
        <v>0</v>
      </c>
      <c r="H147" s="526">
        <f t="shared" si="42"/>
        <v>0</v>
      </c>
      <c r="I147" s="577">
        <f t="shared" si="43"/>
        <v>0</v>
      </c>
      <c r="J147" s="514">
        <f t="shared" si="44"/>
        <v>0</v>
      </c>
      <c r="K147" s="514"/>
      <c r="L147" s="525"/>
      <c r="M147" s="514">
        <f t="shared" si="45"/>
        <v>0</v>
      </c>
      <c r="N147" s="525"/>
      <c r="O147" s="514">
        <f t="shared" si="46"/>
        <v>0</v>
      </c>
      <c r="P147" s="514">
        <f t="shared" si="47"/>
        <v>0</v>
      </c>
      <c r="Q147" s="269"/>
    </row>
    <row r="148" spans="2:17" ht="12.5">
      <c r="B148" s="195" t="str">
        <f t="shared" si="34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8"/>
        <v>0</v>
      </c>
      <c r="G148" s="523">
        <f t="shared" si="41"/>
        <v>0</v>
      </c>
      <c r="H148" s="526">
        <f t="shared" si="42"/>
        <v>0</v>
      </c>
      <c r="I148" s="577">
        <f t="shared" si="43"/>
        <v>0</v>
      </c>
      <c r="J148" s="514">
        <f t="shared" si="44"/>
        <v>0</v>
      </c>
      <c r="K148" s="514"/>
      <c r="L148" s="525"/>
      <c r="M148" s="514">
        <f t="shared" si="45"/>
        <v>0</v>
      </c>
      <c r="N148" s="525"/>
      <c r="O148" s="514">
        <f t="shared" si="46"/>
        <v>0</v>
      </c>
      <c r="P148" s="514">
        <f t="shared" si="47"/>
        <v>0</v>
      </c>
      <c r="Q148" s="269"/>
    </row>
    <row r="149" spans="2:17" ht="12.5">
      <c r="B149" s="195" t="str">
        <f t="shared" si="34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8"/>
        <v>0</v>
      </c>
      <c r="G149" s="523">
        <f t="shared" si="41"/>
        <v>0</v>
      </c>
      <c r="H149" s="526">
        <f t="shared" si="42"/>
        <v>0</v>
      </c>
      <c r="I149" s="577">
        <f t="shared" si="43"/>
        <v>0</v>
      </c>
      <c r="J149" s="514">
        <f t="shared" si="44"/>
        <v>0</v>
      </c>
      <c r="K149" s="514"/>
      <c r="L149" s="525"/>
      <c r="M149" s="514">
        <f t="shared" si="45"/>
        <v>0</v>
      </c>
      <c r="N149" s="525"/>
      <c r="O149" s="514">
        <f t="shared" si="46"/>
        <v>0</v>
      </c>
      <c r="P149" s="514">
        <f t="shared" si="47"/>
        <v>0</v>
      </c>
      <c r="Q149" s="269"/>
    </row>
    <row r="150" spans="2:17" ht="12.5">
      <c r="B150" s="195" t="str">
        <f t="shared" si="34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8"/>
        <v>0</v>
      </c>
      <c r="G150" s="523">
        <f t="shared" si="41"/>
        <v>0</v>
      </c>
      <c r="H150" s="526">
        <f t="shared" si="42"/>
        <v>0</v>
      </c>
      <c r="I150" s="577">
        <f t="shared" si="43"/>
        <v>0</v>
      </c>
      <c r="J150" s="514">
        <f t="shared" si="44"/>
        <v>0</v>
      </c>
      <c r="K150" s="514"/>
      <c r="L150" s="525"/>
      <c r="M150" s="514">
        <f t="shared" si="45"/>
        <v>0</v>
      </c>
      <c r="N150" s="525"/>
      <c r="O150" s="514">
        <f t="shared" si="46"/>
        <v>0</v>
      </c>
      <c r="P150" s="514">
        <f t="shared" si="47"/>
        <v>0</v>
      </c>
      <c r="Q150" s="269"/>
    </row>
    <row r="151" spans="2:17" ht="12.5">
      <c r="B151" s="195" t="str">
        <f t="shared" si="34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8"/>
        <v>0</v>
      </c>
      <c r="G151" s="523">
        <f t="shared" si="41"/>
        <v>0</v>
      </c>
      <c r="H151" s="526">
        <f t="shared" si="42"/>
        <v>0</v>
      </c>
      <c r="I151" s="577">
        <f t="shared" si="43"/>
        <v>0</v>
      </c>
      <c r="J151" s="514">
        <f t="shared" si="44"/>
        <v>0</v>
      </c>
      <c r="K151" s="514"/>
      <c r="L151" s="525"/>
      <c r="M151" s="514">
        <f t="shared" si="45"/>
        <v>0</v>
      </c>
      <c r="N151" s="525"/>
      <c r="O151" s="514">
        <f t="shared" si="46"/>
        <v>0</v>
      </c>
      <c r="P151" s="514">
        <f t="shared" si="47"/>
        <v>0</v>
      </c>
      <c r="Q151" s="269"/>
    </row>
    <row r="152" spans="2:17" ht="12.5">
      <c r="B152" s="195" t="str">
        <f t="shared" si="34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8"/>
        <v>0</v>
      </c>
      <c r="G152" s="523">
        <f t="shared" si="41"/>
        <v>0</v>
      </c>
      <c r="H152" s="526">
        <f t="shared" si="42"/>
        <v>0</v>
      </c>
      <c r="I152" s="577">
        <f t="shared" si="43"/>
        <v>0</v>
      </c>
      <c r="J152" s="514">
        <f t="shared" si="44"/>
        <v>0</v>
      </c>
      <c r="K152" s="514"/>
      <c r="L152" s="525"/>
      <c r="M152" s="514">
        <f t="shared" si="45"/>
        <v>0</v>
      </c>
      <c r="N152" s="525"/>
      <c r="O152" s="514">
        <f t="shared" si="46"/>
        <v>0</v>
      </c>
      <c r="P152" s="514">
        <f t="shared" si="47"/>
        <v>0</v>
      </c>
      <c r="Q152" s="269"/>
    </row>
    <row r="153" spans="2:17" ht="12.5">
      <c r="B153" s="195" t="str">
        <f t="shared" si="34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8"/>
        <v>0</v>
      </c>
      <c r="G153" s="523">
        <f t="shared" si="41"/>
        <v>0</v>
      </c>
      <c r="H153" s="526">
        <f t="shared" si="42"/>
        <v>0</v>
      </c>
      <c r="I153" s="577">
        <f t="shared" si="43"/>
        <v>0</v>
      </c>
      <c r="J153" s="514">
        <f t="shared" si="44"/>
        <v>0</v>
      </c>
      <c r="K153" s="514"/>
      <c r="L153" s="525"/>
      <c r="M153" s="514">
        <f t="shared" si="45"/>
        <v>0</v>
      </c>
      <c r="N153" s="525"/>
      <c r="O153" s="514">
        <f t="shared" si="46"/>
        <v>0</v>
      </c>
      <c r="P153" s="514">
        <f t="shared" si="47"/>
        <v>0</v>
      </c>
      <c r="Q153" s="269"/>
    </row>
    <row r="154" spans="2:17" ht="13" thickBot="1">
      <c r="B154" s="195" t="str">
        <f t="shared" si="34"/>
        <v/>
      </c>
      <c r="C154" s="527">
        <f>IF(D93="","-",+C153+1)</f>
        <v>2065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8"/>
        <v>0</v>
      </c>
      <c r="G154" s="528">
        <f t="shared" si="41"/>
        <v>0</v>
      </c>
      <c r="H154" s="530">
        <f t="shared" si="42"/>
        <v>0</v>
      </c>
      <c r="I154" s="579">
        <f t="shared" si="43"/>
        <v>0</v>
      </c>
      <c r="J154" s="533">
        <f t="shared" si="44"/>
        <v>0</v>
      </c>
      <c r="K154" s="514"/>
      <c r="L154" s="532"/>
      <c r="M154" s="533">
        <f t="shared" si="45"/>
        <v>0</v>
      </c>
      <c r="N154" s="532"/>
      <c r="O154" s="533">
        <f t="shared" si="46"/>
        <v>0</v>
      </c>
      <c r="P154" s="533">
        <f t="shared" si="47"/>
        <v>0</v>
      </c>
      <c r="Q154" s="269"/>
    </row>
    <row r="155" spans="2:17" ht="12.5">
      <c r="C155" s="374" t="s">
        <v>78</v>
      </c>
      <c r="D155" s="375"/>
      <c r="E155" s="375">
        <f>SUM(E99:E154)</f>
        <v>88842</v>
      </c>
      <c r="F155" s="375"/>
      <c r="G155" s="375"/>
      <c r="H155" s="375">
        <f>SUM(H99:H154)</f>
        <v>316837.72845979483</v>
      </c>
      <c r="I155" s="375">
        <f>SUM(I99:I154)</f>
        <v>316837.72845979483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11" priority="1" stopIfTrue="1" operator="equal">
      <formula>$I$10</formula>
    </cfRule>
  </conditionalFormatting>
  <conditionalFormatting sqref="C99:C154">
    <cfRule type="cellIs" dxfId="11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77"/>
  <dimension ref="A1:Q162"/>
  <sheetViews>
    <sheetView view="pageBreakPreview" zoomScale="75" zoomScaleNormal="100" zoomScaleSheetLayoutView="75" workbookViewId="0">
      <selection activeCell="D10" sqref="D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4" width="24" style="183" customWidth="1"/>
    <col min="5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26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28750.049484710118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28750.049484710118</v>
      </c>
      <c r="O6" s="269"/>
      <c r="P6" s="269"/>
    </row>
    <row r="7" spans="1:17" ht="13.5" thickBot="1">
      <c r="C7" s="467" t="s">
        <v>48</v>
      </c>
      <c r="D7" s="620" t="s">
        <v>273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277</v>
      </c>
      <c r="E9" s="478"/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249141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2011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5931.9285714285716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2011</v>
      </c>
      <c r="D17" s="508">
        <v>91500</v>
      </c>
      <c r="E17" s="509">
        <v>0</v>
      </c>
      <c r="F17" s="508">
        <v>91500</v>
      </c>
      <c r="G17" s="509">
        <v>13154.497429496008</v>
      </c>
      <c r="H17" s="510">
        <v>13154.497429496008</v>
      </c>
      <c r="I17" s="517">
        <v>0</v>
      </c>
      <c r="J17" s="511"/>
      <c r="K17" s="512">
        <f t="shared" ref="K17:K22" si="0">G17</f>
        <v>13154.497429496008</v>
      </c>
      <c r="L17" s="597">
        <f t="shared" ref="L17:L48" si="1">IF(K17&lt;&gt;0,+G17-K17,0)</f>
        <v>0</v>
      </c>
      <c r="M17" s="512">
        <f t="shared" ref="M17:M22" si="2">H17</f>
        <v>13154.497429496008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2012</v>
      </c>
      <c r="D18" s="515">
        <v>249141</v>
      </c>
      <c r="E18" s="516">
        <v>5931.9285714285716</v>
      </c>
      <c r="F18" s="515">
        <v>243209.07142857142</v>
      </c>
      <c r="G18" s="516">
        <v>42102.015739943599</v>
      </c>
      <c r="H18" s="510">
        <v>42102.015739943599</v>
      </c>
      <c r="I18" s="517">
        <v>0</v>
      </c>
      <c r="J18" s="511"/>
      <c r="K18" s="518">
        <f t="shared" si="0"/>
        <v>42102.015739943599</v>
      </c>
      <c r="L18" s="519">
        <f t="shared" si="1"/>
        <v>0</v>
      </c>
      <c r="M18" s="518">
        <f t="shared" si="2"/>
        <v>42102.015739943599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 t="shared" si="5"/>
        <v/>
      </c>
      <c r="C19" s="507">
        <f>IF(D11="","-",+C18+1)</f>
        <v>2013</v>
      </c>
      <c r="D19" s="608">
        <v>243209.07142857142</v>
      </c>
      <c r="E19" s="609">
        <v>5931.9285714285716</v>
      </c>
      <c r="F19" s="608">
        <v>237277.14285714284</v>
      </c>
      <c r="G19" s="609">
        <v>39147.663443283265</v>
      </c>
      <c r="H19" s="610">
        <v>39147.663443283265</v>
      </c>
      <c r="I19" s="596">
        <v>0</v>
      </c>
      <c r="J19" s="511"/>
      <c r="K19" s="518">
        <f t="shared" si="0"/>
        <v>39147.663443283265</v>
      </c>
      <c r="L19" s="519">
        <f t="shared" ref="L19:L24" si="6">IF(K19&lt;&gt;0,+G19-K19,0)</f>
        <v>0</v>
      </c>
      <c r="M19" s="518">
        <f t="shared" si="2"/>
        <v>39147.663443283265</v>
      </c>
      <c r="N19" s="514">
        <f t="shared" ref="N19:N24" si="7">IF(M19&lt;&gt;0,+H19-M19,0)</f>
        <v>0</v>
      </c>
      <c r="O19" s="514">
        <f t="shared" si="4"/>
        <v>0</v>
      </c>
      <c r="P19" s="272"/>
    </row>
    <row r="20" spans="2:16" ht="12.5">
      <c r="B20" s="195" t="str">
        <f t="shared" si="5"/>
        <v/>
      </c>
      <c r="C20" s="507">
        <f>IF(D11="","-",+C19+1)</f>
        <v>2014</v>
      </c>
      <c r="D20" s="608">
        <v>237277.14285714284</v>
      </c>
      <c r="E20" s="609">
        <v>5931.9285714285716</v>
      </c>
      <c r="F20" s="608">
        <v>231345.21428571426</v>
      </c>
      <c r="G20" s="609">
        <v>37142.829011918198</v>
      </c>
      <c r="H20" s="610">
        <v>37142.829011918198</v>
      </c>
      <c r="I20" s="596">
        <v>0</v>
      </c>
      <c r="J20" s="511"/>
      <c r="K20" s="518">
        <f t="shared" si="0"/>
        <v>37142.829011918198</v>
      </c>
      <c r="L20" s="519">
        <f t="shared" si="6"/>
        <v>0</v>
      </c>
      <c r="M20" s="518">
        <f t="shared" si="2"/>
        <v>37142.829011918198</v>
      </c>
      <c r="N20" s="514">
        <f t="shared" si="7"/>
        <v>0</v>
      </c>
      <c r="O20" s="514">
        <f>+N20-L20</f>
        <v>0</v>
      </c>
      <c r="P20" s="272"/>
    </row>
    <row r="21" spans="2:16" ht="12.5">
      <c r="B21" s="195" t="str">
        <f t="shared" si="5"/>
        <v/>
      </c>
      <c r="C21" s="507">
        <f>IF(D12="","-",+C20+1)</f>
        <v>2015</v>
      </c>
      <c r="D21" s="608">
        <v>231345.21428571426</v>
      </c>
      <c r="E21" s="609">
        <v>5931.9285714285716</v>
      </c>
      <c r="F21" s="608">
        <v>225413.28571428568</v>
      </c>
      <c r="G21" s="609">
        <v>35619.940503574464</v>
      </c>
      <c r="H21" s="610">
        <v>35619.940503574464</v>
      </c>
      <c r="I21" s="511">
        <v>0</v>
      </c>
      <c r="J21" s="511"/>
      <c r="K21" s="518">
        <f t="shared" si="0"/>
        <v>35619.940503574464</v>
      </c>
      <c r="L21" s="519">
        <f t="shared" si="6"/>
        <v>0</v>
      </c>
      <c r="M21" s="518">
        <f t="shared" si="2"/>
        <v>35619.940503574464</v>
      </c>
      <c r="N21" s="514">
        <f t="shared" si="7"/>
        <v>0</v>
      </c>
      <c r="O21" s="514">
        <f>+N21-L21</f>
        <v>0</v>
      </c>
      <c r="P21" s="272"/>
    </row>
    <row r="22" spans="2:16" ht="12.5">
      <c r="B22" s="195" t="str">
        <f t="shared" si="5"/>
        <v/>
      </c>
      <c r="C22" s="507">
        <f>IF(D11="","-",+C21+1)</f>
        <v>2016</v>
      </c>
      <c r="D22" s="608">
        <v>225413.28571428568</v>
      </c>
      <c r="E22" s="609">
        <v>5931.9285714285716</v>
      </c>
      <c r="F22" s="608">
        <v>219481.3571428571</v>
      </c>
      <c r="G22" s="609">
        <v>34482.05802568973</v>
      </c>
      <c r="H22" s="610">
        <v>34482.05802568973</v>
      </c>
      <c r="I22" s="511">
        <f t="shared" ref="I22:I49" si="8">H22-G22</f>
        <v>0</v>
      </c>
      <c r="J22" s="511"/>
      <c r="K22" s="518">
        <f t="shared" si="0"/>
        <v>34482.05802568973</v>
      </c>
      <c r="L22" s="519">
        <f t="shared" si="6"/>
        <v>0</v>
      </c>
      <c r="M22" s="518">
        <f t="shared" si="2"/>
        <v>34482.05802568973</v>
      </c>
      <c r="N22" s="514">
        <f t="shared" si="7"/>
        <v>0</v>
      </c>
      <c r="O22" s="514">
        <f>+N22-L22</f>
        <v>0</v>
      </c>
      <c r="P22" s="272"/>
    </row>
    <row r="23" spans="2:16" ht="12.5">
      <c r="B23" s="195" t="str">
        <f t="shared" si="5"/>
        <v/>
      </c>
      <c r="C23" s="507">
        <f>IF(D11="","-",+C22+1)</f>
        <v>2017</v>
      </c>
      <c r="D23" s="608">
        <v>219481.3571428571</v>
      </c>
      <c r="E23" s="609">
        <v>5793.9767441860467</v>
      </c>
      <c r="F23" s="608">
        <v>213687.38039867106</v>
      </c>
      <c r="G23" s="609">
        <v>32627.162932907937</v>
      </c>
      <c r="H23" s="610">
        <v>32627.162932907937</v>
      </c>
      <c r="I23" s="511">
        <f t="shared" si="8"/>
        <v>0</v>
      </c>
      <c r="J23" s="511"/>
      <c r="K23" s="518">
        <f t="shared" ref="K23:K28" si="9">G23</f>
        <v>32627.162932907937</v>
      </c>
      <c r="L23" s="519">
        <f t="shared" si="6"/>
        <v>0</v>
      </c>
      <c r="M23" s="518">
        <f t="shared" ref="M23:M28" si="10">H23</f>
        <v>32627.162932907937</v>
      </c>
      <c r="N23" s="514">
        <f t="shared" si="7"/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2018</v>
      </c>
      <c r="D24" s="608">
        <v>213687.38039867106</v>
      </c>
      <c r="E24" s="609">
        <v>6076.6097560975613</v>
      </c>
      <c r="F24" s="608">
        <v>207610.77064257348</v>
      </c>
      <c r="G24" s="609">
        <v>32848.86419946191</v>
      </c>
      <c r="H24" s="610">
        <v>32848.86419946191</v>
      </c>
      <c r="I24" s="511">
        <f t="shared" si="8"/>
        <v>0</v>
      </c>
      <c r="J24" s="511"/>
      <c r="K24" s="518">
        <f t="shared" si="9"/>
        <v>32848.86419946191</v>
      </c>
      <c r="L24" s="519">
        <f t="shared" si="6"/>
        <v>0</v>
      </c>
      <c r="M24" s="518">
        <f t="shared" si="10"/>
        <v>32848.86419946191</v>
      </c>
      <c r="N24" s="514">
        <f t="shared" si="7"/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2019</v>
      </c>
      <c r="D25" s="608">
        <v>207610.77064257348</v>
      </c>
      <c r="E25" s="609">
        <v>6076.6097560975613</v>
      </c>
      <c r="F25" s="608">
        <v>201534.16088647593</v>
      </c>
      <c r="G25" s="609">
        <v>32076.562957972019</v>
      </c>
      <c r="H25" s="610">
        <v>32076.562957972019</v>
      </c>
      <c r="I25" s="511">
        <f t="shared" si="8"/>
        <v>0</v>
      </c>
      <c r="J25" s="511"/>
      <c r="K25" s="518">
        <f t="shared" si="9"/>
        <v>32076.562957972019</v>
      </c>
      <c r="L25" s="519">
        <f t="shared" ref="L25" si="11">IF(K25&lt;&gt;0,+G25-K25,0)</f>
        <v>0</v>
      </c>
      <c r="M25" s="518">
        <f t="shared" si="10"/>
        <v>32076.562957972019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/>
      </c>
      <c r="C26" s="507">
        <f>IF(D11="","-",+C25+1)</f>
        <v>2020</v>
      </c>
      <c r="D26" s="608">
        <v>201534.16088647593</v>
      </c>
      <c r="E26" s="609">
        <v>6076.6097560975613</v>
      </c>
      <c r="F26" s="608">
        <v>195457.55113037839</v>
      </c>
      <c r="G26" s="609">
        <v>26389.773553263374</v>
      </c>
      <c r="H26" s="610">
        <v>26389.773553263374</v>
      </c>
      <c r="I26" s="511">
        <f t="shared" si="8"/>
        <v>0</v>
      </c>
      <c r="J26" s="511"/>
      <c r="K26" s="518">
        <f t="shared" si="9"/>
        <v>26389.773553263374</v>
      </c>
      <c r="L26" s="519">
        <f t="shared" ref="L26" si="12">IF(K26&lt;&gt;0,+G26-K26,0)</f>
        <v>0</v>
      </c>
      <c r="M26" s="518">
        <f t="shared" si="10"/>
        <v>26389.773553263374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2021</v>
      </c>
      <c r="D27" s="608">
        <v>195740.18414228992</v>
      </c>
      <c r="E27" s="609">
        <v>5931.9285714285716</v>
      </c>
      <c r="F27" s="608">
        <v>189808.25557086134</v>
      </c>
      <c r="G27" s="609">
        <v>26366.872043271276</v>
      </c>
      <c r="H27" s="610">
        <v>26366.872043271276</v>
      </c>
      <c r="I27" s="511">
        <f t="shared" si="8"/>
        <v>0</v>
      </c>
      <c r="J27" s="511"/>
      <c r="K27" s="518">
        <f t="shared" si="9"/>
        <v>26366.872043271276</v>
      </c>
      <c r="L27" s="519">
        <f t="shared" ref="L27" si="13">IF(K27&lt;&gt;0,+G27-K27,0)</f>
        <v>0</v>
      </c>
      <c r="M27" s="518">
        <f t="shared" si="10"/>
        <v>26366.872043271276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2022</v>
      </c>
      <c r="D28" s="608">
        <v>189525.62255894984</v>
      </c>
      <c r="E28" s="609">
        <v>5931.9285714285716</v>
      </c>
      <c r="F28" s="608">
        <v>183593.69398752126</v>
      </c>
      <c r="G28" s="609">
        <v>26909.46086077678</v>
      </c>
      <c r="H28" s="610">
        <v>26909.46086077678</v>
      </c>
      <c r="I28" s="511">
        <f t="shared" si="8"/>
        <v>0</v>
      </c>
      <c r="J28" s="511"/>
      <c r="K28" s="518">
        <f t="shared" si="9"/>
        <v>26909.46086077678</v>
      </c>
      <c r="L28" s="519">
        <f t="shared" ref="L28" si="14">IF(K28&lt;&gt;0,+G28-K28,0)</f>
        <v>0</v>
      </c>
      <c r="M28" s="518">
        <f t="shared" si="10"/>
        <v>26909.46086077678</v>
      </c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2023</v>
      </c>
      <c r="D29" s="523">
        <f>IF(F28+SUM(E$17:E28)=D$10,F28,D$10-SUM(E$17:E28))</f>
        <v>183593.69398752126</v>
      </c>
      <c r="E29" s="522">
        <f>IF(+I14&lt;F28,I14,D29)</f>
        <v>5931.9285714285716</v>
      </c>
      <c r="F29" s="523">
        <f t="shared" ref="F29:F49" si="15">+D29-E29</f>
        <v>177661.76541609268</v>
      </c>
      <c r="G29" s="524">
        <f t="shared" ref="G29:G54" si="16">+I$12*((D29+F29)/2)+E29</f>
        <v>28750.049484710118</v>
      </c>
      <c r="H29" s="491">
        <f t="shared" ref="H29:H54" si="17">+I$13*((D29+F29)/2)+E29</f>
        <v>28750.049484710118</v>
      </c>
      <c r="I29" s="511">
        <f t="shared" si="8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2024</v>
      </c>
      <c r="D30" s="523">
        <f>IF(F29+SUM(E$17:E29)=D$10,F29,D$10-SUM(E$17:E29))</f>
        <v>177661.76541609268</v>
      </c>
      <c r="E30" s="522">
        <f>IF(+I14&lt;F29,I14,D30)</f>
        <v>5931.9285714285716</v>
      </c>
      <c r="F30" s="523">
        <f t="shared" si="15"/>
        <v>171729.8368446641</v>
      </c>
      <c r="G30" s="524">
        <f t="shared" si="16"/>
        <v>28000.688001756967</v>
      </c>
      <c r="H30" s="491">
        <f t="shared" si="17"/>
        <v>28000.688001756967</v>
      </c>
      <c r="I30" s="511">
        <f t="shared" si="8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2025</v>
      </c>
      <c r="D31" s="523">
        <f>IF(F30+SUM(E$17:E30)=D$10,F30,D$10-SUM(E$17:E30))</f>
        <v>171729.8368446641</v>
      </c>
      <c r="E31" s="522">
        <f>IF(+I14&lt;F30,I14,D31)</f>
        <v>5931.9285714285716</v>
      </c>
      <c r="F31" s="523">
        <f t="shared" si="15"/>
        <v>165797.90827323552</v>
      </c>
      <c r="G31" s="524">
        <f t="shared" si="16"/>
        <v>27251.326518803817</v>
      </c>
      <c r="H31" s="491">
        <f t="shared" si="17"/>
        <v>27251.326518803817</v>
      </c>
      <c r="I31" s="511">
        <f t="shared" si="8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2026</v>
      </c>
      <c r="D32" s="523">
        <f>IF(F31+SUM(E$17:E31)=D$10,F31,D$10-SUM(E$17:E31))</f>
        <v>165797.90827323552</v>
      </c>
      <c r="E32" s="522">
        <f>IF(+I14&lt;F31,I14,D32)</f>
        <v>5931.9285714285716</v>
      </c>
      <c r="F32" s="523">
        <f t="shared" si="15"/>
        <v>159865.97970180694</v>
      </c>
      <c r="G32" s="524">
        <f t="shared" si="16"/>
        <v>26501.96503585067</v>
      </c>
      <c r="H32" s="491">
        <f t="shared" si="17"/>
        <v>26501.96503585067</v>
      </c>
      <c r="I32" s="511">
        <f t="shared" si="8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2027</v>
      </c>
      <c r="D33" s="523">
        <f>IF(F32+SUM(E$17:E32)=D$10,F32,D$10-SUM(E$17:E32))</f>
        <v>159865.97970180694</v>
      </c>
      <c r="E33" s="522">
        <f>IF(+I14&lt;F32,I14,D33)</f>
        <v>5931.9285714285716</v>
      </c>
      <c r="F33" s="523">
        <f t="shared" si="15"/>
        <v>153934.05113037836</v>
      </c>
      <c r="G33" s="524">
        <f t="shared" si="16"/>
        <v>25752.603552897519</v>
      </c>
      <c r="H33" s="491">
        <f t="shared" si="17"/>
        <v>25752.603552897519</v>
      </c>
      <c r="I33" s="511">
        <f t="shared" si="8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2028</v>
      </c>
      <c r="D34" s="523">
        <f>IF(F33+SUM(E$17:E33)=D$10,F33,D$10-SUM(E$17:E33))</f>
        <v>153934.05113037836</v>
      </c>
      <c r="E34" s="522">
        <f>IF(+I14&lt;F33,I14,D34)</f>
        <v>5931.9285714285716</v>
      </c>
      <c r="F34" s="523">
        <f t="shared" si="15"/>
        <v>148002.12255894978</v>
      </c>
      <c r="G34" s="524">
        <f t="shared" si="16"/>
        <v>25003.242069944368</v>
      </c>
      <c r="H34" s="491">
        <f t="shared" si="17"/>
        <v>25003.242069944368</v>
      </c>
      <c r="I34" s="511">
        <f t="shared" si="8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2029</v>
      </c>
      <c r="D35" s="523">
        <f>IF(F34+SUM(E$17:E34)=D$10,F34,D$10-SUM(E$17:E34))</f>
        <v>148002.12255894978</v>
      </c>
      <c r="E35" s="522">
        <f>IF(+I14&lt;F34,I14,D35)</f>
        <v>5931.9285714285716</v>
      </c>
      <c r="F35" s="523">
        <f t="shared" si="15"/>
        <v>142070.1939875212</v>
      </c>
      <c r="G35" s="524">
        <f t="shared" si="16"/>
        <v>24253.880586991218</v>
      </c>
      <c r="H35" s="491">
        <f t="shared" si="17"/>
        <v>24253.880586991218</v>
      </c>
      <c r="I35" s="511">
        <f t="shared" si="8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2030</v>
      </c>
      <c r="D36" s="523">
        <f>IF(F35+SUM(E$17:E35)=D$10,F35,D$10-SUM(E$17:E35))</f>
        <v>142070.1939875212</v>
      </c>
      <c r="E36" s="522">
        <f>IF(+I14&lt;F35,I14,D36)</f>
        <v>5931.9285714285716</v>
      </c>
      <c r="F36" s="523">
        <f t="shared" si="15"/>
        <v>136138.26541609262</v>
      </c>
      <c r="G36" s="524">
        <f t="shared" si="16"/>
        <v>23504.519104038067</v>
      </c>
      <c r="H36" s="491">
        <f t="shared" si="17"/>
        <v>23504.519104038067</v>
      </c>
      <c r="I36" s="511">
        <f t="shared" si="8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2031</v>
      </c>
      <c r="D37" s="523">
        <f>IF(F36+SUM(E$17:E36)=D$10,F36,D$10-SUM(E$17:E36))</f>
        <v>136138.26541609262</v>
      </c>
      <c r="E37" s="522">
        <f>IF(+I14&lt;F36,I14,D37)</f>
        <v>5931.9285714285716</v>
      </c>
      <c r="F37" s="523">
        <f t="shared" si="15"/>
        <v>130206.33684466405</v>
      </c>
      <c r="G37" s="524">
        <f t="shared" si="16"/>
        <v>22755.15762108492</v>
      </c>
      <c r="H37" s="491">
        <f t="shared" si="17"/>
        <v>22755.15762108492</v>
      </c>
      <c r="I37" s="511">
        <f t="shared" si="8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2032</v>
      </c>
      <c r="D38" s="523">
        <f>IF(F37+SUM(E$17:E37)=D$10,F37,D$10-SUM(E$17:E37))</f>
        <v>130206.33684466405</v>
      </c>
      <c r="E38" s="522">
        <f>IF(+I14&lt;F37,I14,D38)</f>
        <v>5931.9285714285716</v>
      </c>
      <c r="F38" s="523">
        <f t="shared" si="15"/>
        <v>124274.40827323549</v>
      </c>
      <c r="G38" s="524">
        <f t="shared" si="16"/>
        <v>22005.796138131773</v>
      </c>
      <c r="H38" s="491">
        <f t="shared" si="17"/>
        <v>22005.796138131773</v>
      </c>
      <c r="I38" s="511">
        <f t="shared" si="8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2033</v>
      </c>
      <c r="D39" s="523">
        <f>IF(F38+SUM(E$17:E38)=D$10,F38,D$10-SUM(E$17:E38))</f>
        <v>124274.40827323549</v>
      </c>
      <c r="E39" s="522">
        <f>IF(+I14&lt;F38,I14,D39)</f>
        <v>5931.9285714285716</v>
      </c>
      <c r="F39" s="523">
        <f t="shared" si="15"/>
        <v>118342.47970180692</v>
      </c>
      <c r="G39" s="524">
        <f t="shared" si="16"/>
        <v>21256.434655178622</v>
      </c>
      <c r="H39" s="491">
        <f t="shared" si="17"/>
        <v>21256.434655178622</v>
      </c>
      <c r="I39" s="511">
        <f t="shared" si="8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2034</v>
      </c>
      <c r="D40" s="523">
        <f>IF(F39+SUM(E$17:E39)=D$10,F39,D$10-SUM(E$17:E39))</f>
        <v>118342.47970180692</v>
      </c>
      <c r="E40" s="522">
        <f>IF(+I14&lt;F39,I14,D40)</f>
        <v>5931.9285714285716</v>
      </c>
      <c r="F40" s="523">
        <f t="shared" si="15"/>
        <v>112410.55113037836</v>
      </c>
      <c r="G40" s="524">
        <f t="shared" si="16"/>
        <v>20507.073172225475</v>
      </c>
      <c r="H40" s="491">
        <f t="shared" si="17"/>
        <v>20507.073172225475</v>
      </c>
      <c r="I40" s="511">
        <f t="shared" si="8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2035</v>
      </c>
      <c r="D41" s="523">
        <f>IF(F40+SUM(E$17:E40)=D$10,F40,D$10-SUM(E$17:E40))</f>
        <v>112410.55113037836</v>
      </c>
      <c r="E41" s="522">
        <f>IF(+I14&lt;F40,I14,D41)</f>
        <v>5931.9285714285716</v>
      </c>
      <c r="F41" s="523">
        <f t="shared" si="15"/>
        <v>106478.62255894979</v>
      </c>
      <c r="G41" s="524">
        <f t="shared" si="16"/>
        <v>19757.711689272324</v>
      </c>
      <c r="H41" s="491">
        <f t="shared" si="17"/>
        <v>19757.711689272324</v>
      </c>
      <c r="I41" s="511">
        <f t="shared" si="8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2036</v>
      </c>
      <c r="D42" s="523">
        <f>IF(F41+SUM(E$17:E41)=D$10,F41,D$10-SUM(E$17:E41))</f>
        <v>106478.62255894979</v>
      </c>
      <c r="E42" s="522">
        <f>IF(+I14&lt;F41,I14,D42)</f>
        <v>5931.9285714285716</v>
      </c>
      <c r="F42" s="523">
        <f t="shared" si="15"/>
        <v>100546.69398752123</v>
      </c>
      <c r="G42" s="524">
        <f t="shared" si="16"/>
        <v>19008.350206319177</v>
      </c>
      <c r="H42" s="491">
        <f t="shared" si="17"/>
        <v>19008.350206319177</v>
      </c>
      <c r="I42" s="511">
        <f t="shared" si="8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2037</v>
      </c>
      <c r="D43" s="523">
        <f>IF(F42+SUM(E$17:E42)=D$10,F42,D$10-SUM(E$17:E42))</f>
        <v>100546.69398752123</v>
      </c>
      <c r="E43" s="522">
        <f>IF(+I14&lt;F42,I14,D43)</f>
        <v>5931.9285714285716</v>
      </c>
      <c r="F43" s="523">
        <f t="shared" si="15"/>
        <v>94614.765416092661</v>
      </c>
      <c r="G43" s="524">
        <f t="shared" si="16"/>
        <v>18258.98872336603</v>
      </c>
      <c r="H43" s="491">
        <f t="shared" si="17"/>
        <v>18258.98872336603</v>
      </c>
      <c r="I43" s="511">
        <f t="shared" si="8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2038</v>
      </c>
      <c r="D44" s="523">
        <f>IF(F43+SUM(E$17:E43)=D$10,F43,D$10-SUM(E$17:E43))</f>
        <v>94614.765416092661</v>
      </c>
      <c r="E44" s="522">
        <f>IF(+I14&lt;F43,I14,D44)</f>
        <v>5931.9285714285716</v>
      </c>
      <c r="F44" s="523">
        <f t="shared" si="15"/>
        <v>88682.836844664096</v>
      </c>
      <c r="G44" s="524">
        <f t="shared" si="16"/>
        <v>17509.627240412883</v>
      </c>
      <c r="H44" s="491">
        <f t="shared" si="17"/>
        <v>17509.627240412883</v>
      </c>
      <c r="I44" s="511">
        <f t="shared" si="8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2039</v>
      </c>
      <c r="D45" s="523">
        <f>IF(F44+SUM(E$17:E44)=D$10,F44,D$10-SUM(E$17:E44))</f>
        <v>88682.836844664096</v>
      </c>
      <c r="E45" s="522">
        <f>IF(+I14&lt;F44,I14,D45)</f>
        <v>5931.9285714285716</v>
      </c>
      <c r="F45" s="523">
        <f t="shared" si="15"/>
        <v>82750.908273235531</v>
      </c>
      <c r="G45" s="524">
        <f t="shared" si="16"/>
        <v>16760.265757459732</v>
      </c>
      <c r="H45" s="491">
        <f t="shared" si="17"/>
        <v>16760.265757459732</v>
      </c>
      <c r="I45" s="511">
        <f t="shared" si="8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2040</v>
      </c>
      <c r="D46" s="523">
        <f>IF(F45+SUM(E$17:E45)=D$10,F45,D$10-SUM(E$17:E45))</f>
        <v>82750.908273235531</v>
      </c>
      <c r="E46" s="522">
        <f>IF(+I14&lt;F45,I14,D46)</f>
        <v>5931.9285714285716</v>
      </c>
      <c r="F46" s="523">
        <f t="shared" si="15"/>
        <v>76818.979701806966</v>
      </c>
      <c r="G46" s="524">
        <f t="shared" si="16"/>
        <v>16010.904274506585</v>
      </c>
      <c r="H46" s="491">
        <f t="shared" si="17"/>
        <v>16010.904274506585</v>
      </c>
      <c r="I46" s="511">
        <f t="shared" si="8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2041</v>
      </c>
      <c r="D47" s="523">
        <f>IF(F46+SUM(E$17:E46)=D$10,F46,D$10-SUM(E$17:E46))</f>
        <v>76818.979701806966</v>
      </c>
      <c r="E47" s="522">
        <f>IF(+I14&lt;F46,I14,D47)</f>
        <v>5931.9285714285716</v>
      </c>
      <c r="F47" s="523">
        <f t="shared" si="15"/>
        <v>70887.051130378401</v>
      </c>
      <c r="G47" s="524">
        <f t="shared" si="16"/>
        <v>15261.542791553435</v>
      </c>
      <c r="H47" s="491">
        <f t="shared" si="17"/>
        <v>15261.542791553435</v>
      </c>
      <c r="I47" s="511">
        <f t="shared" si="8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2042</v>
      </c>
      <c r="D48" s="523">
        <f>IF(F47+SUM(E$17:E47)=D$10,F47,D$10-SUM(E$17:E47))</f>
        <v>70887.051130378401</v>
      </c>
      <c r="E48" s="522">
        <f>IF(+I14&lt;F47,I14,D48)</f>
        <v>5931.9285714285716</v>
      </c>
      <c r="F48" s="523">
        <f t="shared" si="15"/>
        <v>64955.122558949828</v>
      </c>
      <c r="G48" s="524">
        <f t="shared" si="16"/>
        <v>14512.181308600288</v>
      </c>
      <c r="H48" s="491">
        <f t="shared" si="17"/>
        <v>14512.181308600288</v>
      </c>
      <c r="I48" s="511">
        <f t="shared" si="8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2043</v>
      </c>
      <c r="D49" s="523">
        <f>IF(F48+SUM(E$17:E48)=D$10,F48,D$10-SUM(E$17:E48))</f>
        <v>64955.122558949828</v>
      </c>
      <c r="E49" s="522">
        <f>IF(+I14&lt;F48,I14,D49)</f>
        <v>5931.9285714285716</v>
      </c>
      <c r="F49" s="523">
        <f t="shared" si="15"/>
        <v>59023.193987521256</v>
      </c>
      <c r="G49" s="524">
        <f t="shared" si="16"/>
        <v>13762.819825647141</v>
      </c>
      <c r="H49" s="491">
        <f t="shared" si="17"/>
        <v>13762.819825647141</v>
      </c>
      <c r="I49" s="511">
        <f t="shared" si="8"/>
        <v>0</v>
      </c>
      <c r="J49" s="511"/>
      <c r="K49" s="525"/>
      <c r="L49" s="514">
        <f t="shared" ref="L49:L72" si="18">IF(K49&lt;&gt;0,+G49-K49,0)</f>
        <v>0</v>
      </c>
      <c r="M49" s="525"/>
      <c r="N49" s="514">
        <f t="shared" ref="N49:N72" si="19">IF(M49&lt;&gt;0,+H49-M49,0)</f>
        <v>0</v>
      </c>
      <c r="O49" s="514">
        <f t="shared" ref="O49:O72" si="20">+N49-L49</f>
        <v>0</v>
      </c>
      <c r="P49" s="272"/>
    </row>
    <row r="50" spans="2:17" ht="12.5">
      <c r="B50" s="195" t="str">
        <f t="shared" ref="B50:B72" si="21">IF(D50=F49,"","IU")</f>
        <v/>
      </c>
      <c r="C50" s="507">
        <f>IF(D11="","-",+C49+1)</f>
        <v>2044</v>
      </c>
      <c r="D50" s="523">
        <f>IF(F49+SUM(E$17:E49)=D$10,F49,D$10-SUM(E$17:E49))</f>
        <v>59023.193987521256</v>
      </c>
      <c r="E50" s="522">
        <f>IF(+I14&lt;F49,I14,D50)</f>
        <v>5931.9285714285716</v>
      </c>
      <c r="F50" s="523">
        <f t="shared" ref="F50:F72" si="22">+D50-E50</f>
        <v>53091.265416092683</v>
      </c>
      <c r="G50" s="524">
        <f t="shared" si="16"/>
        <v>13013.45834269399</v>
      </c>
      <c r="H50" s="491">
        <f t="shared" si="17"/>
        <v>13013.45834269399</v>
      </c>
      <c r="I50" s="511">
        <f t="shared" ref="I50:I72" si="23">H50-G50</f>
        <v>0</v>
      </c>
      <c r="J50" s="511"/>
      <c r="K50" s="525"/>
      <c r="L50" s="514">
        <f t="shared" si="18"/>
        <v>0</v>
      </c>
      <c r="M50" s="525"/>
      <c r="N50" s="514">
        <f t="shared" si="19"/>
        <v>0</v>
      </c>
      <c r="O50" s="514">
        <f t="shared" si="20"/>
        <v>0</v>
      </c>
      <c r="P50" s="272"/>
    </row>
    <row r="51" spans="2:17" ht="12.5">
      <c r="B51" s="195" t="str">
        <f t="shared" si="21"/>
        <v/>
      </c>
      <c r="C51" s="507">
        <f>IF(D11="","-",+C50+1)</f>
        <v>2045</v>
      </c>
      <c r="D51" s="523">
        <f>IF(F50+SUM(E$17:E50)=D$10,F50,D$10-SUM(E$17:E50))</f>
        <v>53091.265416092683</v>
      </c>
      <c r="E51" s="522">
        <f>IF(+I14&lt;F50,I14,D51)</f>
        <v>5931.9285714285716</v>
      </c>
      <c r="F51" s="523">
        <f t="shared" si="22"/>
        <v>47159.336844664111</v>
      </c>
      <c r="G51" s="524">
        <f t="shared" si="16"/>
        <v>12264.096859740843</v>
      </c>
      <c r="H51" s="491">
        <f t="shared" si="17"/>
        <v>12264.096859740843</v>
      </c>
      <c r="I51" s="511">
        <f t="shared" si="23"/>
        <v>0</v>
      </c>
      <c r="J51" s="511"/>
      <c r="K51" s="525"/>
      <c r="L51" s="514">
        <f t="shared" si="18"/>
        <v>0</v>
      </c>
      <c r="M51" s="525"/>
      <c r="N51" s="514">
        <f t="shared" si="19"/>
        <v>0</v>
      </c>
      <c r="O51" s="514">
        <f t="shared" si="20"/>
        <v>0</v>
      </c>
      <c r="P51" s="272"/>
    </row>
    <row r="52" spans="2:17" ht="12.5">
      <c r="B52" s="195" t="str">
        <f t="shared" si="21"/>
        <v/>
      </c>
      <c r="C52" s="507">
        <f>IF(D11="","-",+C51+1)</f>
        <v>2046</v>
      </c>
      <c r="D52" s="523">
        <f>IF(F51+SUM(E$17:E51)=D$10,F51,D$10-SUM(E$17:E51))</f>
        <v>47159.336844664111</v>
      </c>
      <c r="E52" s="522">
        <f>IF(+I14&lt;F51,I14,D52)</f>
        <v>5931.9285714285716</v>
      </c>
      <c r="F52" s="523">
        <f t="shared" si="22"/>
        <v>41227.408273235538</v>
      </c>
      <c r="G52" s="524">
        <f t="shared" si="16"/>
        <v>11514.735376787692</v>
      </c>
      <c r="H52" s="491">
        <f t="shared" si="17"/>
        <v>11514.735376787692</v>
      </c>
      <c r="I52" s="511">
        <f t="shared" si="23"/>
        <v>0</v>
      </c>
      <c r="J52" s="511"/>
      <c r="K52" s="525"/>
      <c r="L52" s="514">
        <f t="shared" si="18"/>
        <v>0</v>
      </c>
      <c r="M52" s="525"/>
      <c r="N52" s="514">
        <f t="shared" si="19"/>
        <v>0</v>
      </c>
      <c r="O52" s="514">
        <f t="shared" si="20"/>
        <v>0</v>
      </c>
      <c r="P52" s="272"/>
    </row>
    <row r="53" spans="2:17" ht="12.5">
      <c r="B53" s="195" t="str">
        <f t="shared" si="21"/>
        <v/>
      </c>
      <c r="C53" s="507">
        <f>IF(D11="","-",+C52+1)</f>
        <v>2047</v>
      </c>
      <c r="D53" s="523">
        <f>IF(F52+SUM(E$17:E52)=D$10,F52,D$10-SUM(E$17:E52))</f>
        <v>41227.408273235538</v>
      </c>
      <c r="E53" s="522">
        <f>IF(+I14&lt;F52,I14,D53)</f>
        <v>5931.9285714285716</v>
      </c>
      <c r="F53" s="523">
        <f t="shared" si="22"/>
        <v>35295.479701806966</v>
      </c>
      <c r="G53" s="524">
        <f t="shared" si="16"/>
        <v>10765.373893834545</v>
      </c>
      <c r="H53" s="491">
        <f t="shared" si="17"/>
        <v>10765.373893834545</v>
      </c>
      <c r="I53" s="511">
        <f t="shared" si="23"/>
        <v>0</v>
      </c>
      <c r="J53" s="511"/>
      <c r="K53" s="525"/>
      <c r="L53" s="514">
        <f t="shared" si="18"/>
        <v>0</v>
      </c>
      <c r="M53" s="525"/>
      <c r="N53" s="514">
        <f t="shared" si="19"/>
        <v>0</v>
      </c>
      <c r="O53" s="514">
        <f t="shared" si="20"/>
        <v>0</v>
      </c>
      <c r="P53" s="272"/>
    </row>
    <row r="54" spans="2:17" ht="12.5">
      <c r="B54" s="195" t="str">
        <f t="shared" si="21"/>
        <v/>
      </c>
      <c r="C54" s="507">
        <f>IF(D11="","-",+C53+1)</f>
        <v>2048</v>
      </c>
      <c r="D54" s="523">
        <f>IF(F53+SUM(E$17:E53)=D$10,F53,D$10-SUM(E$17:E53))</f>
        <v>35295.479701806966</v>
      </c>
      <c r="E54" s="522">
        <f>IF(+I14&lt;F53,I14,D54)</f>
        <v>5931.9285714285716</v>
      </c>
      <c r="F54" s="523">
        <f t="shared" si="22"/>
        <v>29363.551130378393</v>
      </c>
      <c r="G54" s="524">
        <f t="shared" si="16"/>
        <v>10016.012410881394</v>
      </c>
      <c r="H54" s="491">
        <f t="shared" si="17"/>
        <v>10016.012410881394</v>
      </c>
      <c r="I54" s="511">
        <f t="shared" si="23"/>
        <v>0</v>
      </c>
      <c r="J54" s="511"/>
      <c r="K54" s="525"/>
      <c r="L54" s="514">
        <f t="shared" si="18"/>
        <v>0</v>
      </c>
      <c r="M54" s="525"/>
      <c r="N54" s="514">
        <f t="shared" si="19"/>
        <v>0</v>
      </c>
      <c r="O54" s="514">
        <f t="shared" si="20"/>
        <v>0</v>
      </c>
      <c r="P54" s="272"/>
    </row>
    <row r="55" spans="2:17" ht="12.5">
      <c r="B55" s="195" t="str">
        <f t="shared" si="21"/>
        <v/>
      </c>
      <c r="C55" s="507">
        <f>IF(D11="","-",+C54+1)</f>
        <v>2049</v>
      </c>
      <c r="D55" s="523">
        <f>IF(F54+SUM(E$17:E54)=D$10,F54,D$10-SUM(E$17:E54))</f>
        <v>29363.551130378393</v>
      </c>
      <c r="E55" s="522">
        <f>IF(+I14&lt;F54,I14,D55)</f>
        <v>5931.9285714285716</v>
      </c>
      <c r="F55" s="523">
        <f t="shared" si="22"/>
        <v>23431.622558949821</v>
      </c>
      <c r="G55" s="524">
        <f t="shared" ref="G55:G72" si="24">+I$12*((D55+F55)/2)+E55</f>
        <v>9266.6509279282454</v>
      </c>
      <c r="H55" s="491">
        <f t="shared" ref="H55:H72" si="25">+I$13*((D55+F55)/2)+E55</f>
        <v>9266.6509279282454</v>
      </c>
      <c r="I55" s="511">
        <f t="shared" si="23"/>
        <v>0</v>
      </c>
      <c r="J55" s="511"/>
      <c r="K55" s="525"/>
      <c r="L55" s="514">
        <f t="shared" si="18"/>
        <v>0</v>
      </c>
      <c r="M55" s="525"/>
      <c r="N55" s="514">
        <f t="shared" si="19"/>
        <v>0</v>
      </c>
      <c r="O55" s="514">
        <f t="shared" si="20"/>
        <v>0</v>
      </c>
      <c r="P55" s="272"/>
    </row>
    <row r="56" spans="2:17" ht="12.5">
      <c r="B56" s="195" t="str">
        <f t="shared" si="21"/>
        <v/>
      </c>
      <c r="C56" s="507">
        <f>IF(D11="","-",+C55+1)</f>
        <v>2050</v>
      </c>
      <c r="D56" s="523">
        <f>IF(F55+SUM(E$17:E55)=D$10,F55,D$10-SUM(E$17:E55))</f>
        <v>23431.622558949821</v>
      </c>
      <c r="E56" s="522">
        <f>IF(+I14&lt;F55,I14,D56)</f>
        <v>5931.9285714285716</v>
      </c>
      <c r="F56" s="523">
        <f t="shared" si="22"/>
        <v>17499.693987521248</v>
      </c>
      <c r="G56" s="524">
        <f t="shared" si="24"/>
        <v>8517.2894449750966</v>
      </c>
      <c r="H56" s="491">
        <f t="shared" si="25"/>
        <v>8517.2894449750966</v>
      </c>
      <c r="I56" s="511">
        <f t="shared" si="23"/>
        <v>0</v>
      </c>
      <c r="J56" s="511"/>
      <c r="K56" s="525"/>
      <c r="L56" s="514">
        <f t="shared" si="18"/>
        <v>0</v>
      </c>
      <c r="M56" s="525"/>
      <c r="N56" s="514">
        <f t="shared" si="19"/>
        <v>0</v>
      </c>
      <c r="O56" s="514">
        <f t="shared" si="20"/>
        <v>0</v>
      </c>
      <c r="P56" s="272"/>
    </row>
    <row r="57" spans="2:17" ht="12.5">
      <c r="B57" s="195" t="str">
        <f t="shared" si="21"/>
        <v/>
      </c>
      <c r="C57" s="507">
        <f>IF(D11="","-",+C56+1)</f>
        <v>2051</v>
      </c>
      <c r="D57" s="523">
        <f>IF(F56+SUM(E$17:E56)=D$10,F56,D$10-SUM(E$17:E56))</f>
        <v>17499.693987521248</v>
      </c>
      <c r="E57" s="522">
        <f>IF(+I14&lt;F56,I14,D57)</f>
        <v>5931.9285714285716</v>
      </c>
      <c r="F57" s="523">
        <f t="shared" si="22"/>
        <v>11567.765416092676</v>
      </c>
      <c r="G57" s="524">
        <f t="shared" si="24"/>
        <v>7767.9279620219477</v>
      </c>
      <c r="H57" s="491">
        <f t="shared" si="25"/>
        <v>7767.9279620219477</v>
      </c>
      <c r="I57" s="511">
        <f t="shared" si="23"/>
        <v>0</v>
      </c>
      <c r="J57" s="511"/>
      <c r="K57" s="525"/>
      <c r="L57" s="514">
        <f t="shared" si="18"/>
        <v>0</v>
      </c>
      <c r="M57" s="525"/>
      <c r="N57" s="514">
        <f t="shared" si="19"/>
        <v>0</v>
      </c>
      <c r="O57" s="514">
        <f t="shared" si="20"/>
        <v>0</v>
      </c>
      <c r="P57" s="272"/>
    </row>
    <row r="58" spans="2:17" ht="12.5">
      <c r="B58" s="195" t="str">
        <f t="shared" si="21"/>
        <v/>
      </c>
      <c r="C58" s="507">
        <f>IF(D11="","-",+C57+1)</f>
        <v>2052</v>
      </c>
      <c r="D58" s="523">
        <f>IF(F57+SUM(E$17:E57)=D$10,F57,D$10-SUM(E$17:E57))</f>
        <v>11567.765416092676</v>
      </c>
      <c r="E58" s="522">
        <f>IF(+I14&lt;F57,I14,D58)</f>
        <v>5931.9285714285716</v>
      </c>
      <c r="F58" s="523">
        <f t="shared" si="22"/>
        <v>5635.8368446641043</v>
      </c>
      <c r="G58" s="524">
        <f t="shared" si="24"/>
        <v>7018.5664790687988</v>
      </c>
      <c r="H58" s="491">
        <f t="shared" si="25"/>
        <v>7018.5664790687988</v>
      </c>
      <c r="I58" s="511">
        <f t="shared" si="23"/>
        <v>0</v>
      </c>
      <c r="J58" s="511"/>
      <c r="K58" s="525"/>
      <c r="L58" s="514">
        <f t="shared" si="18"/>
        <v>0</v>
      </c>
      <c r="M58" s="525"/>
      <c r="N58" s="514">
        <f t="shared" si="19"/>
        <v>0</v>
      </c>
      <c r="O58" s="514">
        <f t="shared" si="20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1"/>
        <v/>
      </c>
      <c r="C59" s="507">
        <f>IF(D11="","-",+C58+1)</f>
        <v>2053</v>
      </c>
      <c r="D59" s="523">
        <f>IF(F58+SUM(E$17:E58)=D$10,F58,D$10-SUM(E$17:E58))</f>
        <v>5635.8368446641043</v>
      </c>
      <c r="E59" s="522">
        <f>IF(+I14&lt;F58,I14,D59)</f>
        <v>5635.8368446641043</v>
      </c>
      <c r="F59" s="523">
        <f t="shared" si="22"/>
        <v>0</v>
      </c>
      <c r="G59" s="524">
        <f t="shared" si="24"/>
        <v>5991.8154277459307</v>
      </c>
      <c r="H59" s="491">
        <f t="shared" si="25"/>
        <v>5991.8154277459307</v>
      </c>
      <c r="I59" s="511">
        <f t="shared" si="23"/>
        <v>0</v>
      </c>
      <c r="J59" s="511"/>
      <c r="K59" s="525"/>
      <c r="L59" s="514">
        <f t="shared" si="18"/>
        <v>0</v>
      </c>
      <c r="M59" s="525"/>
      <c r="N59" s="514">
        <f t="shared" si="19"/>
        <v>0</v>
      </c>
      <c r="O59" s="514">
        <f t="shared" si="20"/>
        <v>0</v>
      </c>
      <c r="P59" s="272"/>
    </row>
    <row r="60" spans="2:17" ht="12.5">
      <c r="B60" s="195" t="str">
        <f t="shared" si="21"/>
        <v/>
      </c>
      <c r="C60" s="507">
        <f>IF(D11="","-",+C59+1)</f>
        <v>2054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2"/>
        <v>0</v>
      </c>
      <c r="G60" s="524">
        <f t="shared" si="24"/>
        <v>0</v>
      </c>
      <c r="H60" s="491">
        <f t="shared" si="25"/>
        <v>0</v>
      </c>
      <c r="I60" s="511">
        <f t="shared" si="23"/>
        <v>0</v>
      </c>
      <c r="J60" s="511"/>
      <c r="K60" s="525"/>
      <c r="L60" s="514">
        <f t="shared" si="18"/>
        <v>0</v>
      </c>
      <c r="M60" s="525"/>
      <c r="N60" s="514">
        <f t="shared" si="19"/>
        <v>0</v>
      </c>
      <c r="O60" s="514">
        <f t="shared" si="20"/>
        <v>0</v>
      </c>
      <c r="P60" s="272"/>
    </row>
    <row r="61" spans="2:17" ht="12.5">
      <c r="B61" s="195" t="str">
        <f t="shared" si="21"/>
        <v/>
      </c>
      <c r="C61" s="507">
        <f>IF(D11="","-",+C60+1)</f>
        <v>2055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2"/>
        <v>0</v>
      </c>
      <c r="G61" s="526">
        <f t="shared" si="24"/>
        <v>0</v>
      </c>
      <c r="H61" s="491">
        <f t="shared" si="25"/>
        <v>0</v>
      </c>
      <c r="I61" s="511">
        <f t="shared" si="23"/>
        <v>0</v>
      </c>
      <c r="J61" s="511"/>
      <c r="K61" s="525"/>
      <c r="L61" s="514">
        <f t="shared" si="18"/>
        <v>0</v>
      </c>
      <c r="M61" s="525"/>
      <c r="N61" s="514">
        <f t="shared" si="19"/>
        <v>0</v>
      </c>
      <c r="O61" s="514">
        <f t="shared" si="20"/>
        <v>0</v>
      </c>
      <c r="P61" s="272"/>
    </row>
    <row r="62" spans="2:17" ht="12.5">
      <c r="B62" s="195" t="str">
        <f t="shared" si="21"/>
        <v/>
      </c>
      <c r="C62" s="507">
        <f>IF(D11="","-",+C61+1)</f>
        <v>2056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2"/>
        <v>0</v>
      </c>
      <c r="G62" s="526">
        <f t="shared" si="24"/>
        <v>0</v>
      </c>
      <c r="H62" s="491">
        <f t="shared" si="25"/>
        <v>0</v>
      </c>
      <c r="I62" s="511">
        <f t="shared" si="23"/>
        <v>0</v>
      </c>
      <c r="J62" s="511"/>
      <c r="K62" s="525"/>
      <c r="L62" s="514">
        <f t="shared" si="18"/>
        <v>0</v>
      </c>
      <c r="M62" s="525"/>
      <c r="N62" s="514">
        <f t="shared" si="19"/>
        <v>0</v>
      </c>
      <c r="O62" s="514">
        <f t="shared" si="20"/>
        <v>0</v>
      </c>
      <c r="P62" s="272"/>
    </row>
    <row r="63" spans="2:17" ht="12.5">
      <c r="B63" s="195" t="str">
        <f t="shared" si="21"/>
        <v/>
      </c>
      <c r="C63" s="507">
        <f>IF(D11="","-",+C62+1)</f>
        <v>2057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2"/>
        <v>0</v>
      </c>
      <c r="G63" s="526">
        <f t="shared" si="24"/>
        <v>0</v>
      </c>
      <c r="H63" s="491">
        <f t="shared" si="25"/>
        <v>0</v>
      </c>
      <c r="I63" s="511">
        <f t="shared" si="23"/>
        <v>0</v>
      </c>
      <c r="J63" s="511"/>
      <c r="K63" s="525"/>
      <c r="L63" s="514">
        <f t="shared" si="18"/>
        <v>0</v>
      </c>
      <c r="M63" s="525"/>
      <c r="N63" s="514">
        <f t="shared" si="19"/>
        <v>0</v>
      </c>
      <c r="O63" s="514">
        <f t="shared" si="20"/>
        <v>0</v>
      </c>
      <c r="P63" s="272"/>
    </row>
    <row r="64" spans="2:17" ht="12.5">
      <c r="B64" s="195" t="str">
        <f t="shared" si="21"/>
        <v/>
      </c>
      <c r="C64" s="507">
        <f>IF(D11="","-",+C63+1)</f>
        <v>2058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2"/>
        <v>0</v>
      </c>
      <c r="G64" s="526">
        <f t="shared" si="24"/>
        <v>0</v>
      </c>
      <c r="H64" s="491">
        <f t="shared" si="25"/>
        <v>0</v>
      </c>
      <c r="I64" s="511">
        <f t="shared" si="23"/>
        <v>0</v>
      </c>
      <c r="J64" s="511"/>
      <c r="K64" s="525"/>
      <c r="L64" s="514">
        <f t="shared" si="18"/>
        <v>0</v>
      </c>
      <c r="M64" s="525"/>
      <c r="N64" s="514">
        <f t="shared" si="19"/>
        <v>0</v>
      </c>
      <c r="O64" s="514">
        <f t="shared" si="20"/>
        <v>0</v>
      </c>
      <c r="P64" s="272"/>
    </row>
    <row r="65" spans="1:16" ht="12.5">
      <c r="B65" s="195" t="str">
        <f t="shared" si="21"/>
        <v/>
      </c>
      <c r="C65" s="507">
        <f>IF(D11="","-",+C64+1)</f>
        <v>2059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2"/>
        <v>0</v>
      </c>
      <c r="G65" s="526">
        <f t="shared" si="24"/>
        <v>0</v>
      </c>
      <c r="H65" s="491">
        <f t="shared" si="25"/>
        <v>0</v>
      </c>
      <c r="I65" s="511">
        <f t="shared" si="23"/>
        <v>0</v>
      </c>
      <c r="J65" s="511"/>
      <c r="K65" s="525"/>
      <c r="L65" s="514">
        <f t="shared" si="18"/>
        <v>0</v>
      </c>
      <c r="M65" s="525"/>
      <c r="N65" s="514">
        <f t="shared" si="19"/>
        <v>0</v>
      </c>
      <c r="O65" s="514">
        <f t="shared" si="20"/>
        <v>0</v>
      </c>
      <c r="P65" s="272"/>
    </row>
    <row r="66" spans="1:16" ht="12.5">
      <c r="B66" s="195" t="str">
        <f t="shared" si="21"/>
        <v/>
      </c>
      <c r="C66" s="507">
        <f>IF(D11="","-",+C65+1)</f>
        <v>2060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2"/>
        <v>0</v>
      </c>
      <c r="G66" s="526">
        <f t="shared" si="24"/>
        <v>0</v>
      </c>
      <c r="H66" s="491">
        <f t="shared" si="25"/>
        <v>0</v>
      </c>
      <c r="I66" s="511">
        <f t="shared" si="23"/>
        <v>0</v>
      </c>
      <c r="J66" s="511"/>
      <c r="K66" s="525"/>
      <c r="L66" s="514">
        <f t="shared" si="18"/>
        <v>0</v>
      </c>
      <c r="M66" s="525"/>
      <c r="N66" s="514">
        <f t="shared" si="19"/>
        <v>0</v>
      </c>
      <c r="O66" s="514">
        <f t="shared" si="20"/>
        <v>0</v>
      </c>
      <c r="P66" s="272"/>
    </row>
    <row r="67" spans="1:16" ht="12.5">
      <c r="B67" s="195" t="str">
        <f t="shared" si="21"/>
        <v/>
      </c>
      <c r="C67" s="507">
        <f>IF(D11="","-",+C66+1)</f>
        <v>2061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2"/>
        <v>0</v>
      </c>
      <c r="G67" s="526">
        <f t="shared" si="24"/>
        <v>0</v>
      </c>
      <c r="H67" s="491">
        <f t="shared" si="25"/>
        <v>0</v>
      </c>
      <c r="I67" s="511">
        <f t="shared" si="23"/>
        <v>0</v>
      </c>
      <c r="J67" s="511"/>
      <c r="K67" s="525"/>
      <c r="L67" s="514">
        <f t="shared" si="18"/>
        <v>0</v>
      </c>
      <c r="M67" s="525"/>
      <c r="N67" s="514">
        <f t="shared" si="19"/>
        <v>0</v>
      </c>
      <c r="O67" s="514">
        <f t="shared" si="20"/>
        <v>0</v>
      </c>
      <c r="P67" s="272"/>
    </row>
    <row r="68" spans="1:16" ht="12.5">
      <c r="B68" s="195" t="str">
        <f t="shared" si="21"/>
        <v/>
      </c>
      <c r="C68" s="507">
        <f>IF(D11="","-",+C67+1)</f>
        <v>2062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2"/>
        <v>0</v>
      </c>
      <c r="G68" s="526">
        <f t="shared" si="24"/>
        <v>0</v>
      </c>
      <c r="H68" s="491">
        <f t="shared" si="25"/>
        <v>0</v>
      </c>
      <c r="I68" s="511">
        <f t="shared" si="23"/>
        <v>0</v>
      </c>
      <c r="J68" s="511"/>
      <c r="K68" s="525"/>
      <c r="L68" s="514">
        <f t="shared" si="18"/>
        <v>0</v>
      </c>
      <c r="M68" s="525"/>
      <c r="N68" s="514">
        <f t="shared" si="19"/>
        <v>0</v>
      </c>
      <c r="O68" s="514">
        <f t="shared" si="20"/>
        <v>0</v>
      </c>
      <c r="P68" s="272"/>
    </row>
    <row r="69" spans="1:16" ht="12.5">
      <c r="B69" s="195" t="str">
        <f t="shared" si="21"/>
        <v/>
      </c>
      <c r="C69" s="507">
        <f>IF(D11="","-",+C68+1)</f>
        <v>2063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2"/>
        <v>0</v>
      </c>
      <c r="G69" s="526">
        <f t="shared" si="24"/>
        <v>0</v>
      </c>
      <c r="H69" s="491">
        <f t="shared" si="25"/>
        <v>0</v>
      </c>
      <c r="I69" s="511">
        <f t="shared" si="23"/>
        <v>0</v>
      </c>
      <c r="J69" s="511"/>
      <c r="K69" s="525"/>
      <c r="L69" s="514">
        <f t="shared" si="18"/>
        <v>0</v>
      </c>
      <c r="M69" s="525"/>
      <c r="N69" s="514">
        <f t="shared" si="19"/>
        <v>0</v>
      </c>
      <c r="O69" s="514">
        <f t="shared" si="20"/>
        <v>0</v>
      </c>
      <c r="P69" s="272"/>
    </row>
    <row r="70" spans="1:16" ht="12.5">
      <c r="B70" s="195" t="str">
        <f t="shared" si="21"/>
        <v/>
      </c>
      <c r="C70" s="507">
        <f>IF(D11="","-",+C69+1)</f>
        <v>2064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2"/>
        <v>0</v>
      </c>
      <c r="G70" s="526">
        <f t="shared" si="24"/>
        <v>0</v>
      </c>
      <c r="H70" s="491">
        <f t="shared" si="25"/>
        <v>0</v>
      </c>
      <c r="I70" s="511">
        <f t="shared" si="23"/>
        <v>0</v>
      </c>
      <c r="J70" s="511"/>
      <c r="K70" s="525"/>
      <c r="L70" s="514">
        <f t="shared" si="18"/>
        <v>0</v>
      </c>
      <c r="M70" s="525"/>
      <c r="N70" s="514">
        <f t="shared" si="19"/>
        <v>0</v>
      </c>
      <c r="O70" s="514">
        <f t="shared" si="20"/>
        <v>0</v>
      </c>
      <c r="P70" s="272"/>
    </row>
    <row r="71" spans="1:16" ht="12.5">
      <c r="B71" s="195" t="str">
        <f t="shared" si="21"/>
        <v/>
      </c>
      <c r="C71" s="507">
        <f>IF(D11="","-",+C70+1)</f>
        <v>2065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2"/>
        <v>0</v>
      </c>
      <c r="G71" s="526">
        <f t="shared" si="24"/>
        <v>0</v>
      </c>
      <c r="H71" s="491">
        <f t="shared" si="25"/>
        <v>0</v>
      </c>
      <c r="I71" s="511">
        <f t="shared" si="23"/>
        <v>0</v>
      </c>
      <c r="J71" s="511"/>
      <c r="K71" s="525"/>
      <c r="L71" s="514">
        <f t="shared" si="18"/>
        <v>0</v>
      </c>
      <c r="M71" s="525"/>
      <c r="N71" s="514">
        <f t="shared" si="19"/>
        <v>0</v>
      </c>
      <c r="O71" s="514">
        <f t="shared" si="20"/>
        <v>0</v>
      </c>
      <c r="P71" s="272"/>
    </row>
    <row r="72" spans="1:16" ht="13" thickBot="1">
      <c r="B72" s="195" t="str">
        <f t="shared" si="21"/>
        <v/>
      </c>
      <c r="C72" s="527">
        <f>IF(D11="","-",+C71+1)</f>
        <v>2066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2"/>
        <v>0</v>
      </c>
      <c r="G72" s="530">
        <f t="shared" si="24"/>
        <v>0</v>
      </c>
      <c r="H72" s="471">
        <f t="shared" si="25"/>
        <v>0</v>
      </c>
      <c r="I72" s="531">
        <f t="shared" si="23"/>
        <v>0</v>
      </c>
      <c r="J72" s="511"/>
      <c r="K72" s="532"/>
      <c r="L72" s="533">
        <f t="shared" si="18"/>
        <v>0</v>
      </c>
      <c r="M72" s="532"/>
      <c r="N72" s="533">
        <f t="shared" si="19"/>
        <v>0</v>
      </c>
      <c r="O72" s="533">
        <f t="shared" si="20"/>
        <v>0</v>
      </c>
      <c r="P72" s="272"/>
    </row>
    <row r="73" spans="1:16" ht="12.5">
      <c r="C73" s="374" t="s">
        <v>78</v>
      </c>
      <c r="D73" s="375"/>
      <c r="E73" s="375">
        <f>SUM(E17:E72)</f>
        <v>249141.00000000006</v>
      </c>
      <c r="F73" s="375"/>
      <c r="G73" s="375">
        <f>SUM(G17:G72)</f>
        <v>921388.75558598782</v>
      </c>
      <c r="H73" s="375">
        <f>SUM(H17:H72)</f>
        <v>921388.75558598782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26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26366.872043271276</v>
      </c>
      <c r="N87" s="546">
        <f>IF(J92&lt;D11,0,VLOOKUP(J92,C17:O72,11))</f>
        <v>26366.872043271276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27647.182105326981</v>
      </c>
      <c r="N88" s="550">
        <f>IF(J92&lt;D11,0,VLOOKUP(J92,C99:P154,7))</f>
        <v>27647.182105326981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Whitney repl CB and Switches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1280.3100620557052</v>
      </c>
      <c r="N89" s="555">
        <f>+N88-N87</f>
        <v>1280.3100620557052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PID 452, UIP 10586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249141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2011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6076.6097560975613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2011</v>
      </c>
      <c r="D99" s="508">
        <v>0</v>
      </c>
      <c r="E99" s="516">
        <v>2965.9642857142858</v>
      </c>
      <c r="F99" s="515">
        <v>246175.03571428571</v>
      </c>
      <c r="G99" s="574">
        <v>123087.51785714286</v>
      </c>
      <c r="H99" s="575">
        <v>21475.853068363114</v>
      </c>
      <c r="I99" s="576">
        <v>21475.853068363114</v>
      </c>
      <c r="J99" s="613">
        <f t="shared" ref="J99:J130" si="26">+I99-H99</f>
        <v>0</v>
      </c>
      <c r="K99" s="514"/>
      <c r="L99" s="512">
        <f t="shared" ref="L99:L104" si="27">H99</f>
        <v>21475.853068363114</v>
      </c>
      <c r="M99" s="597">
        <f t="shared" ref="M99:M130" si="28">IF(L99&lt;&gt;0,+H99-L99,0)</f>
        <v>0</v>
      </c>
      <c r="N99" s="512">
        <f t="shared" ref="N99:N104" si="29">I99</f>
        <v>21475.853068363114</v>
      </c>
      <c r="O99" s="513">
        <f t="shared" ref="O99:O130" si="30">IF(N99&lt;&gt;0,+I99-N99,0)</f>
        <v>0</v>
      </c>
      <c r="P99" s="513">
        <f t="shared" ref="P99:P130" si="31">+O99-M99</f>
        <v>0</v>
      </c>
      <c r="Q99" s="269"/>
    </row>
    <row r="100" spans="1:17" ht="12.5">
      <c r="B100" s="195" t="str">
        <f t="shared" ref="B100:B131" si="32">IF(D100=F99,"","IU")</f>
        <v/>
      </c>
      <c r="C100" s="507">
        <f>IF(D93="","-",+C99+1)</f>
        <v>2012</v>
      </c>
      <c r="D100" s="508">
        <v>246175.03571428571</v>
      </c>
      <c r="E100" s="516">
        <v>5931.9285714285716</v>
      </c>
      <c r="F100" s="515">
        <v>240243.10714285713</v>
      </c>
      <c r="G100" s="515">
        <v>243209.07142857142</v>
      </c>
      <c r="H100" s="516">
        <v>41721.09968063391</v>
      </c>
      <c r="I100" s="510">
        <v>41721.09968063391</v>
      </c>
      <c r="J100" s="613">
        <f t="shared" si="26"/>
        <v>0</v>
      </c>
      <c r="K100" s="514"/>
      <c r="L100" s="518">
        <f t="shared" si="27"/>
        <v>41721.09968063391</v>
      </c>
      <c r="M100" s="519">
        <f t="shared" si="28"/>
        <v>0</v>
      </c>
      <c r="N100" s="518">
        <f t="shared" si="29"/>
        <v>41721.09968063391</v>
      </c>
      <c r="O100" s="514">
        <f t="shared" si="30"/>
        <v>0</v>
      </c>
      <c r="P100" s="514">
        <f t="shared" si="31"/>
        <v>0</v>
      </c>
      <c r="Q100" s="269"/>
    </row>
    <row r="101" spans="1:17" ht="12.5">
      <c r="B101" s="195" t="str">
        <f t="shared" si="32"/>
        <v/>
      </c>
      <c r="C101" s="507">
        <f>IF(D93="","-",+C100+1)</f>
        <v>2013</v>
      </c>
      <c r="D101" s="508">
        <v>240243.10714285713</v>
      </c>
      <c r="E101" s="516">
        <v>5931.9285714285716</v>
      </c>
      <c r="F101" s="515">
        <v>234311.17857142855</v>
      </c>
      <c r="G101" s="515">
        <v>237277.14285714284</v>
      </c>
      <c r="H101" s="516">
        <v>38033.557147693406</v>
      </c>
      <c r="I101" s="510">
        <v>38033.557147693406</v>
      </c>
      <c r="J101" s="613">
        <v>0</v>
      </c>
      <c r="K101" s="514"/>
      <c r="L101" s="518">
        <f t="shared" si="27"/>
        <v>38033.557147693406</v>
      </c>
      <c r="M101" s="519">
        <f t="shared" ref="M101:M106" si="33">IF(L101&lt;&gt;0,+H101-L101,0)</f>
        <v>0</v>
      </c>
      <c r="N101" s="518">
        <f t="shared" si="29"/>
        <v>38033.557147693406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2"/>
        <v/>
      </c>
      <c r="C102" s="507">
        <f>IF(D93="","-",+C101+1)</f>
        <v>2014</v>
      </c>
      <c r="D102" s="508">
        <v>234311.17857142855</v>
      </c>
      <c r="E102" s="516">
        <v>5931.9285714285716</v>
      </c>
      <c r="F102" s="515">
        <v>228379.24999999997</v>
      </c>
      <c r="G102" s="515">
        <v>231345.21428571426</v>
      </c>
      <c r="H102" s="516">
        <v>37377.170497097119</v>
      </c>
      <c r="I102" s="510">
        <v>37377.170497097119</v>
      </c>
      <c r="J102" s="514">
        <v>0</v>
      </c>
      <c r="K102" s="514"/>
      <c r="L102" s="518">
        <f t="shared" si="27"/>
        <v>37377.170497097119</v>
      </c>
      <c r="M102" s="519">
        <f t="shared" si="33"/>
        <v>0</v>
      </c>
      <c r="N102" s="518">
        <f t="shared" si="29"/>
        <v>37377.170497097119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2"/>
        <v/>
      </c>
      <c r="C103" s="507">
        <f>IF(D93="","-",+C102+1)</f>
        <v>2015</v>
      </c>
      <c r="D103" s="508">
        <v>228379.24999999997</v>
      </c>
      <c r="E103" s="516">
        <v>5931.9285714285716</v>
      </c>
      <c r="F103" s="515">
        <v>222447.32142857139</v>
      </c>
      <c r="G103" s="515">
        <v>225413.28571428568</v>
      </c>
      <c r="H103" s="516">
        <v>35634.384288114808</v>
      </c>
      <c r="I103" s="510">
        <v>35634.384288114808</v>
      </c>
      <c r="J103" s="514">
        <f t="shared" si="26"/>
        <v>0</v>
      </c>
      <c r="K103" s="514"/>
      <c r="L103" s="518">
        <f t="shared" si="27"/>
        <v>35634.384288114808</v>
      </c>
      <c r="M103" s="519">
        <f t="shared" si="33"/>
        <v>0</v>
      </c>
      <c r="N103" s="518">
        <f t="shared" si="29"/>
        <v>35634.384288114808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2"/>
        <v/>
      </c>
      <c r="C104" s="507">
        <f>IF(D93="","-",+C103+1)</f>
        <v>2016</v>
      </c>
      <c r="D104" s="508">
        <v>222447.32142857139</v>
      </c>
      <c r="E104" s="516">
        <v>5793.9767441860467</v>
      </c>
      <c r="F104" s="515">
        <v>216653.34468438535</v>
      </c>
      <c r="G104" s="515">
        <v>219550.33305647835</v>
      </c>
      <c r="H104" s="516">
        <v>33665.888954411937</v>
      </c>
      <c r="I104" s="510">
        <v>33665.888954411937</v>
      </c>
      <c r="J104" s="514">
        <f t="shared" si="26"/>
        <v>0</v>
      </c>
      <c r="K104" s="514"/>
      <c r="L104" s="518">
        <f t="shared" si="27"/>
        <v>33665.888954411937</v>
      </c>
      <c r="M104" s="519">
        <f t="shared" si="33"/>
        <v>0</v>
      </c>
      <c r="N104" s="518">
        <f t="shared" si="29"/>
        <v>33665.888954411937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2"/>
        <v/>
      </c>
      <c r="C105" s="507">
        <f>IF(D93="","-",+C104+1)</f>
        <v>2017</v>
      </c>
      <c r="D105" s="508">
        <v>216653.34468438535</v>
      </c>
      <c r="E105" s="516">
        <v>5931.9285714285716</v>
      </c>
      <c r="F105" s="515">
        <v>210721.41611295677</v>
      </c>
      <c r="G105" s="515">
        <v>213687.38039867106</v>
      </c>
      <c r="H105" s="516">
        <v>31888.846157126722</v>
      </c>
      <c r="I105" s="510">
        <v>31888.846157126722</v>
      </c>
      <c r="J105" s="514">
        <f t="shared" si="26"/>
        <v>0</v>
      </c>
      <c r="K105" s="514"/>
      <c r="L105" s="518">
        <f>H105</f>
        <v>31888.846157126722</v>
      </c>
      <c r="M105" s="519">
        <f t="shared" si="33"/>
        <v>0</v>
      </c>
      <c r="N105" s="518">
        <f>I105</f>
        <v>31888.846157126722</v>
      </c>
      <c r="O105" s="514">
        <f>IF(N105&lt;&gt;0,+I105-N105,0)</f>
        <v>0</v>
      </c>
      <c r="P105" s="514">
        <f>+O105-M105</f>
        <v>0</v>
      </c>
      <c r="Q105" s="269"/>
    </row>
    <row r="106" spans="1:17" ht="12.5">
      <c r="B106" s="195" t="str">
        <f t="shared" si="32"/>
        <v/>
      </c>
      <c r="C106" s="507">
        <f>IF(D93="","-",+C105+1)</f>
        <v>2018</v>
      </c>
      <c r="D106" s="508">
        <v>210721.41611295677</v>
      </c>
      <c r="E106" s="516">
        <v>5931.9285714285716</v>
      </c>
      <c r="F106" s="515">
        <v>204789.48754152819</v>
      </c>
      <c r="G106" s="515">
        <v>207755.45182724248</v>
      </c>
      <c r="H106" s="516">
        <v>27871.857013447705</v>
      </c>
      <c r="I106" s="510">
        <v>27871.857013447705</v>
      </c>
      <c r="J106" s="514">
        <f t="shared" si="26"/>
        <v>0</v>
      </c>
      <c r="K106" s="514"/>
      <c r="L106" s="518">
        <f>H106</f>
        <v>27871.857013447705</v>
      </c>
      <c r="M106" s="519">
        <f t="shared" si="33"/>
        <v>0</v>
      </c>
      <c r="N106" s="518">
        <f>I106</f>
        <v>27871.857013447705</v>
      </c>
      <c r="O106" s="514">
        <f t="shared" si="30"/>
        <v>0</v>
      </c>
      <c r="P106" s="514">
        <f t="shared" si="31"/>
        <v>0</v>
      </c>
      <c r="Q106" s="269"/>
    </row>
    <row r="107" spans="1:17" ht="12.5">
      <c r="B107" s="195" t="str">
        <f t="shared" si="32"/>
        <v/>
      </c>
      <c r="C107" s="507">
        <f>IF(D93="","-",+C106+1)</f>
        <v>2019</v>
      </c>
      <c r="D107" s="508">
        <v>204789.48754152819</v>
      </c>
      <c r="E107" s="516">
        <v>5793.9767441860467</v>
      </c>
      <c r="F107" s="515">
        <v>198995.51079734214</v>
      </c>
      <c r="G107" s="515">
        <v>201892.49916943518</v>
      </c>
      <c r="H107" s="516">
        <v>27404.660198025118</v>
      </c>
      <c r="I107" s="510">
        <v>27404.660198025118</v>
      </c>
      <c r="J107" s="514">
        <f t="shared" si="26"/>
        <v>0</v>
      </c>
      <c r="K107" s="514"/>
      <c r="L107" s="518">
        <f>H107</f>
        <v>27404.660198025118</v>
      </c>
      <c r="M107" s="519">
        <f t="shared" ref="M107:M108" si="34">IF(L107&lt;&gt;0,+H107-L107,0)</f>
        <v>0</v>
      </c>
      <c r="N107" s="518">
        <f>I107</f>
        <v>27404.660198025118</v>
      </c>
      <c r="O107" s="514">
        <f t="shared" si="30"/>
        <v>0</v>
      </c>
      <c r="P107" s="514">
        <f t="shared" si="31"/>
        <v>0</v>
      </c>
      <c r="Q107" s="269"/>
    </row>
    <row r="108" spans="1:17" ht="12.5">
      <c r="B108" s="195" t="str">
        <f t="shared" si="32"/>
        <v/>
      </c>
      <c r="C108" s="507">
        <f>IF(D93="","-",+C107+1)</f>
        <v>2020</v>
      </c>
      <c r="D108" s="508">
        <v>198995.51079734214</v>
      </c>
      <c r="E108" s="516">
        <v>5931.9285714285716</v>
      </c>
      <c r="F108" s="515">
        <v>193063.58222591356</v>
      </c>
      <c r="G108" s="515">
        <v>196029.54651162785</v>
      </c>
      <c r="H108" s="516">
        <v>27019.578173065966</v>
      </c>
      <c r="I108" s="510">
        <v>27019.578173065966</v>
      </c>
      <c r="J108" s="514">
        <f t="shared" si="26"/>
        <v>0</v>
      </c>
      <c r="K108" s="514"/>
      <c r="L108" s="518">
        <f>H108</f>
        <v>27019.578173065966</v>
      </c>
      <c r="M108" s="519">
        <f t="shared" si="34"/>
        <v>0</v>
      </c>
      <c r="N108" s="518">
        <f>I108</f>
        <v>27019.578173065966</v>
      </c>
      <c r="O108" s="514">
        <f t="shared" si="30"/>
        <v>0</v>
      </c>
      <c r="P108" s="514">
        <f t="shared" si="31"/>
        <v>0</v>
      </c>
      <c r="Q108" s="269"/>
    </row>
    <row r="109" spans="1:17" ht="12.5">
      <c r="B109" s="195" t="str">
        <f t="shared" si="32"/>
        <v/>
      </c>
      <c r="C109" s="507">
        <f>IF(D93="","-",+C108+1)</f>
        <v>2021</v>
      </c>
      <c r="D109" s="374">
        <f>IF(F108+SUM(E$99:E108)=D$92,F108,D$92-SUM(E$99:E108))</f>
        <v>193063.58222591356</v>
      </c>
      <c r="E109" s="522">
        <f>IF(+J96&lt;F108,J96,D109)</f>
        <v>6076.6097560975613</v>
      </c>
      <c r="F109" s="523">
        <f t="shared" ref="F109:F131" si="35">+D109-E109</f>
        <v>186986.97246981598</v>
      </c>
      <c r="G109" s="523">
        <f t="shared" ref="G109:G130" si="36">+(F109+D109)/2</f>
        <v>190025.27734786476</v>
      </c>
      <c r="H109" s="526">
        <f t="shared" ref="H109:H130" si="37">+J$94*G109+E109</f>
        <v>27647.182105326981</v>
      </c>
      <c r="I109" s="577">
        <f t="shared" ref="I109:I130" si="38">+J$95*G109+E109</f>
        <v>27647.182105326981</v>
      </c>
      <c r="J109" s="514">
        <f t="shared" si="26"/>
        <v>0</v>
      </c>
      <c r="K109" s="514"/>
      <c r="L109" s="525"/>
      <c r="M109" s="514">
        <f t="shared" si="28"/>
        <v>0</v>
      </c>
      <c r="N109" s="525"/>
      <c r="O109" s="514">
        <f t="shared" si="30"/>
        <v>0</v>
      </c>
      <c r="P109" s="514">
        <f t="shared" si="31"/>
        <v>0</v>
      </c>
      <c r="Q109" s="269"/>
    </row>
    <row r="110" spans="1:17" ht="12.5">
      <c r="B110" s="195" t="str">
        <f t="shared" si="32"/>
        <v/>
      </c>
      <c r="C110" s="507">
        <f>IF(D93="","-",+C109+1)</f>
        <v>2022</v>
      </c>
      <c r="D110" s="374">
        <f>IF(F109+SUM(E$99:E109)=D$92,F109,D$92-SUM(E$99:E109))</f>
        <v>186986.97246981598</v>
      </c>
      <c r="E110" s="522">
        <f>IF(+J96&lt;F109,J96,D110)</f>
        <v>6076.6097560975613</v>
      </c>
      <c r="F110" s="523">
        <f t="shared" si="35"/>
        <v>180910.36271371844</v>
      </c>
      <c r="G110" s="523">
        <f t="shared" si="36"/>
        <v>183948.66759176721</v>
      </c>
      <c r="H110" s="526">
        <f t="shared" si="37"/>
        <v>26957.40044990024</v>
      </c>
      <c r="I110" s="577">
        <f t="shared" si="38"/>
        <v>26957.40044990024</v>
      </c>
      <c r="J110" s="514">
        <f t="shared" si="26"/>
        <v>0</v>
      </c>
      <c r="K110" s="514"/>
      <c r="L110" s="525"/>
      <c r="M110" s="514">
        <f t="shared" si="28"/>
        <v>0</v>
      </c>
      <c r="N110" s="525"/>
      <c r="O110" s="514">
        <f t="shared" si="30"/>
        <v>0</v>
      </c>
      <c r="P110" s="514">
        <f t="shared" si="31"/>
        <v>0</v>
      </c>
      <c r="Q110" s="269"/>
    </row>
    <row r="111" spans="1:17" ht="12.5">
      <c r="B111" s="195" t="str">
        <f t="shared" si="32"/>
        <v/>
      </c>
      <c r="C111" s="507">
        <f>IF(D93="","-",+C110+1)</f>
        <v>2023</v>
      </c>
      <c r="D111" s="374">
        <f>IF(F110+SUM(E$99:E110)=D$92,F110,D$92-SUM(E$99:E110))</f>
        <v>180910.36271371844</v>
      </c>
      <c r="E111" s="522">
        <f>IF(+J96&lt;F110,J96,D111)</f>
        <v>6076.6097560975613</v>
      </c>
      <c r="F111" s="523">
        <f t="shared" si="35"/>
        <v>174833.75295762089</v>
      </c>
      <c r="G111" s="523">
        <f t="shared" si="36"/>
        <v>177872.05783566966</v>
      </c>
      <c r="H111" s="526">
        <f t="shared" si="37"/>
        <v>26267.618794473503</v>
      </c>
      <c r="I111" s="577">
        <f t="shared" si="38"/>
        <v>26267.618794473503</v>
      </c>
      <c r="J111" s="514">
        <f t="shared" si="26"/>
        <v>0</v>
      </c>
      <c r="K111" s="514"/>
      <c r="L111" s="525"/>
      <c r="M111" s="514">
        <f t="shared" si="28"/>
        <v>0</v>
      </c>
      <c r="N111" s="525"/>
      <c r="O111" s="514">
        <f t="shared" si="30"/>
        <v>0</v>
      </c>
      <c r="P111" s="514">
        <f t="shared" si="31"/>
        <v>0</v>
      </c>
      <c r="Q111" s="269"/>
    </row>
    <row r="112" spans="1:17" ht="12.5">
      <c r="B112" s="195" t="str">
        <f t="shared" si="32"/>
        <v/>
      </c>
      <c r="C112" s="507">
        <f>IF(D93="","-",+C111+1)</f>
        <v>2024</v>
      </c>
      <c r="D112" s="374">
        <f>IF(F111+SUM(E$99:E111)=D$92,F111,D$92-SUM(E$99:E111))</f>
        <v>174833.75295762089</v>
      </c>
      <c r="E112" s="522">
        <f>IF(+J96&lt;F111,J96,D112)</f>
        <v>6076.6097560975613</v>
      </c>
      <c r="F112" s="523">
        <f t="shared" si="35"/>
        <v>168757.14320152334</v>
      </c>
      <c r="G112" s="523">
        <f t="shared" si="36"/>
        <v>171795.44807957212</v>
      </c>
      <c r="H112" s="526">
        <f t="shared" si="37"/>
        <v>25577.837139046762</v>
      </c>
      <c r="I112" s="577">
        <f t="shared" si="38"/>
        <v>25577.837139046762</v>
      </c>
      <c r="J112" s="514">
        <f t="shared" si="26"/>
        <v>0</v>
      </c>
      <c r="K112" s="514"/>
      <c r="L112" s="525"/>
      <c r="M112" s="514">
        <f t="shared" si="28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 ht="12.5">
      <c r="B113" s="195" t="str">
        <f t="shared" si="32"/>
        <v/>
      </c>
      <c r="C113" s="507">
        <f>IF(D93="","-",+C112+1)</f>
        <v>2025</v>
      </c>
      <c r="D113" s="374">
        <f>IF(F112+SUM(E$99:E112)=D$92,F112,D$92-SUM(E$99:E112))</f>
        <v>168757.14320152334</v>
      </c>
      <c r="E113" s="522">
        <f>IF(+J96&lt;F112,J96,D113)</f>
        <v>6076.6097560975613</v>
      </c>
      <c r="F113" s="523">
        <f t="shared" si="35"/>
        <v>162680.5334454258</v>
      </c>
      <c r="G113" s="523">
        <f t="shared" si="36"/>
        <v>165718.83832347457</v>
      </c>
      <c r="H113" s="526">
        <f t="shared" si="37"/>
        <v>24888.055483620024</v>
      </c>
      <c r="I113" s="577">
        <f t="shared" si="38"/>
        <v>24888.055483620024</v>
      </c>
      <c r="J113" s="514">
        <f t="shared" si="26"/>
        <v>0</v>
      </c>
      <c r="K113" s="514"/>
      <c r="L113" s="525"/>
      <c r="M113" s="514">
        <f t="shared" si="28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 ht="12.5">
      <c r="B114" s="195" t="str">
        <f t="shared" si="32"/>
        <v/>
      </c>
      <c r="C114" s="507">
        <f>IF(D93="","-",+C113+1)</f>
        <v>2026</v>
      </c>
      <c r="D114" s="374">
        <f>IF(F113+SUM(E$99:E113)=D$92,F113,D$92-SUM(E$99:E113))</f>
        <v>162680.5334454258</v>
      </c>
      <c r="E114" s="522">
        <f>IF(+J96&lt;F113,J96,D114)</f>
        <v>6076.6097560975613</v>
      </c>
      <c r="F114" s="523">
        <f t="shared" si="35"/>
        <v>156603.92368932825</v>
      </c>
      <c r="G114" s="523">
        <f t="shared" si="36"/>
        <v>159642.22856737702</v>
      </c>
      <c r="H114" s="526">
        <f t="shared" si="37"/>
        <v>24198.273828193283</v>
      </c>
      <c r="I114" s="577">
        <f t="shared" si="38"/>
        <v>24198.273828193283</v>
      </c>
      <c r="J114" s="514">
        <f t="shared" si="26"/>
        <v>0</v>
      </c>
      <c r="K114" s="514"/>
      <c r="L114" s="525"/>
      <c r="M114" s="514">
        <f t="shared" si="28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 ht="12.5">
      <c r="B115" s="195" t="str">
        <f t="shared" si="32"/>
        <v/>
      </c>
      <c r="C115" s="507">
        <f>IF(D93="","-",+C114+1)</f>
        <v>2027</v>
      </c>
      <c r="D115" s="374">
        <f>IF(F114+SUM(E$99:E114)=D$92,F114,D$92-SUM(E$99:E114))</f>
        <v>156603.92368932825</v>
      </c>
      <c r="E115" s="522">
        <f>IF(+J96&lt;F114,J96,D115)</f>
        <v>6076.6097560975613</v>
      </c>
      <c r="F115" s="523">
        <f t="shared" si="35"/>
        <v>150527.3139332307</v>
      </c>
      <c r="G115" s="523">
        <f t="shared" si="36"/>
        <v>153565.61881127948</v>
      </c>
      <c r="H115" s="526">
        <f t="shared" si="37"/>
        <v>23508.492172766542</v>
      </c>
      <c r="I115" s="577">
        <f t="shared" si="38"/>
        <v>23508.492172766542</v>
      </c>
      <c r="J115" s="514">
        <f t="shared" si="26"/>
        <v>0</v>
      </c>
      <c r="K115" s="514"/>
      <c r="L115" s="525"/>
      <c r="M115" s="514">
        <f t="shared" si="28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 ht="12.5">
      <c r="B116" s="195" t="str">
        <f t="shared" si="32"/>
        <v/>
      </c>
      <c r="C116" s="507">
        <f>IF(D93="","-",+C115+1)</f>
        <v>2028</v>
      </c>
      <c r="D116" s="374">
        <f>IF(F115+SUM(E$99:E115)=D$92,F115,D$92-SUM(E$99:E115))</f>
        <v>150527.3139332307</v>
      </c>
      <c r="E116" s="522">
        <f>IF(+J96&lt;F115,J96,D116)</f>
        <v>6076.6097560975613</v>
      </c>
      <c r="F116" s="523">
        <f t="shared" si="35"/>
        <v>144450.70417713316</v>
      </c>
      <c r="G116" s="523">
        <f t="shared" si="36"/>
        <v>147489.00905518193</v>
      </c>
      <c r="H116" s="526">
        <f t="shared" si="37"/>
        <v>22818.710517339805</v>
      </c>
      <c r="I116" s="577">
        <f t="shared" si="38"/>
        <v>22818.710517339805</v>
      </c>
      <c r="J116" s="514">
        <f t="shared" si="26"/>
        <v>0</v>
      </c>
      <c r="K116" s="514"/>
      <c r="L116" s="525"/>
      <c r="M116" s="514">
        <f t="shared" si="28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 ht="12.5">
      <c r="B117" s="195" t="str">
        <f t="shared" si="32"/>
        <v/>
      </c>
      <c r="C117" s="507">
        <f>IF(D93="","-",+C116+1)</f>
        <v>2029</v>
      </c>
      <c r="D117" s="374">
        <f>IF(F116+SUM(E$99:E116)=D$92,F116,D$92-SUM(E$99:E116))</f>
        <v>144450.70417713316</v>
      </c>
      <c r="E117" s="522">
        <f>IF(+J96&lt;F116,J96,D117)</f>
        <v>6076.6097560975613</v>
      </c>
      <c r="F117" s="523">
        <f t="shared" si="35"/>
        <v>138374.09442103561</v>
      </c>
      <c r="G117" s="523">
        <f t="shared" si="36"/>
        <v>141412.39929908438</v>
      </c>
      <c r="H117" s="526">
        <f t="shared" si="37"/>
        <v>22128.928861913064</v>
      </c>
      <c r="I117" s="577">
        <f t="shared" si="38"/>
        <v>22128.928861913064</v>
      </c>
      <c r="J117" s="514">
        <f t="shared" si="26"/>
        <v>0</v>
      </c>
      <c r="K117" s="514"/>
      <c r="L117" s="525"/>
      <c r="M117" s="514">
        <f t="shared" si="28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 ht="12.5">
      <c r="B118" s="195" t="str">
        <f t="shared" si="32"/>
        <v/>
      </c>
      <c r="C118" s="507">
        <f>IF(D93="","-",+C117+1)</f>
        <v>2030</v>
      </c>
      <c r="D118" s="374">
        <f>IF(F117+SUM(E$99:E117)=D$92,F117,D$92-SUM(E$99:E117))</f>
        <v>138374.09442103561</v>
      </c>
      <c r="E118" s="522">
        <f>IF(+J96&lt;F117,J96,D118)</f>
        <v>6076.6097560975613</v>
      </c>
      <c r="F118" s="523">
        <f t="shared" si="35"/>
        <v>132297.48466493806</v>
      </c>
      <c r="G118" s="523">
        <f t="shared" si="36"/>
        <v>135335.78954298684</v>
      </c>
      <c r="H118" s="526">
        <f t="shared" si="37"/>
        <v>21439.147206486326</v>
      </c>
      <c r="I118" s="577">
        <f t="shared" si="38"/>
        <v>21439.147206486326</v>
      </c>
      <c r="J118" s="514">
        <f t="shared" si="26"/>
        <v>0</v>
      </c>
      <c r="K118" s="514"/>
      <c r="L118" s="525"/>
      <c r="M118" s="514">
        <f t="shared" si="28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 ht="12.5">
      <c r="B119" s="195" t="str">
        <f t="shared" si="32"/>
        <v/>
      </c>
      <c r="C119" s="507">
        <f>IF(D93="","-",+C118+1)</f>
        <v>2031</v>
      </c>
      <c r="D119" s="374">
        <f>IF(F118+SUM(E$99:E118)=D$92,F118,D$92-SUM(E$99:E118))</f>
        <v>132297.48466493806</v>
      </c>
      <c r="E119" s="522">
        <f>IF(+J96&lt;F118,J96,D119)</f>
        <v>6076.6097560975613</v>
      </c>
      <c r="F119" s="523">
        <f t="shared" si="35"/>
        <v>126220.8749088405</v>
      </c>
      <c r="G119" s="523">
        <f t="shared" si="36"/>
        <v>129259.17978688929</v>
      </c>
      <c r="H119" s="526">
        <f t="shared" si="37"/>
        <v>20749.365551059585</v>
      </c>
      <c r="I119" s="577">
        <f t="shared" si="38"/>
        <v>20749.365551059585</v>
      </c>
      <c r="J119" s="514">
        <f t="shared" si="26"/>
        <v>0</v>
      </c>
      <c r="K119" s="514"/>
      <c r="L119" s="525"/>
      <c r="M119" s="514">
        <f t="shared" si="28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 ht="12.5">
      <c r="B120" s="195" t="str">
        <f t="shared" si="32"/>
        <v/>
      </c>
      <c r="C120" s="507">
        <f>IF(D93="","-",+C119+1)</f>
        <v>2032</v>
      </c>
      <c r="D120" s="374">
        <f>IF(F119+SUM(E$99:E119)=D$92,F119,D$92-SUM(E$99:E119))</f>
        <v>126220.8749088405</v>
      </c>
      <c r="E120" s="522">
        <f>IF(+J96&lt;F119,J96,D120)</f>
        <v>6076.6097560975613</v>
      </c>
      <c r="F120" s="523">
        <f t="shared" si="35"/>
        <v>120144.26515274294</v>
      </c>
      <c r="G120" s="523">
        <f t="shared" si="36"/>
        <v>123182.57003079171</v>
      </c>
      <c r="H120" s="526">
        <f t="shared" si="37"/>
        <v>20059.583895632844</v>
      </c>
      <c r="I120" s="577">
        <f t="shared" si="38"/>
        <v>20059.583895632844</v>
      </c>
      <c r="J120" s="514">
        <f t="shared" si="26"/>
        <v>0</v>
      </c>
      <c r="K120" s="514"/>
      <c r="L120" s="525"/>
      <c r="M120" s="514">
        <f t="shared" si="28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 ht="12.5">
      <c r="B121" s="195" t="str">
        <f t="shared" si="32"/>
        <v/>
      </c>
      <c r="C121" s="507">
        <f>IF(D93="","-",+C120+1)</f>
        <v>2033</v>
      </c>
      <c r="D121" s="374">
        <f>IF(F120+SUM(E$99:E120)=D$92,F120,D$92-SUM(E$99:E120))</f>
        <v>120144.26515274294</v>
      </c>
      <c r="E121" s="522">
        <f>IF(+J96&lt;F120,J96,D121)</f>
        <v>6076.6097560975613</v>
      </c>
      <c r="F121" s="523">
        <f t="shared" si="35"/>
        <v>114067.65539664538</v>
      </c>
      <c r="G121" s="523">
        <f t="shared" si="36"/>
        <v>117105.96027469417</v>
      </c>
      <c r="H121" s="526">
        <f t="shared" si="37"/>
        <v>19369.802240206103</v>
      </c>
      <c r="I121" s="577">
        <f t="shared" si="38"/>
        <v>19369.802240206103</v>
      </c>
      <c r="J121" s="514">
        <f t="shared" si="26"/>
        <v>0</v>
      </c>
      <c r="K121" s="514"/>
      <c r="L121" s="525"/>
      <c r="M121" s="514">
        <f t="shared" si="28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 ht="12.5">
      <c r="B122" s="195" t="str">
        <f t="shared" si="32"/>
        <v/>
      </c>
      <c r="C122" s="507">
        <f>IF(D93="","-",+C121+1)</f>
        <v>2034</v>
      </c>
      <c r="D122" s="374">
        <f>IF(F121+SUM(E$99:E121)=D$92,F121,D$92-SUM(E$99:E121))</f>
        <v>114067.65539664538</v>
      </c>
      <c r="E122" s="522">
        <f>IF(+J96&lt;F121,J96,D122)</f>
        <v>6076.6097560975613</v>
      </c>
      <c r="F122" s="523">
        <f t="shared" si="35"/>
        <v>107991.04564054782</v>
      </c>
      <c r="G122" s="523">
        <f t="shared" si="36"/>
        <v>111029.35051859659</v>
      </c>
      <c r="H122" s="526">
        <f t="shared" si="37"/>
        <v>18680.020584779362</v>
      </c>
      <c r="I122" s="577">
        <f t="shared" si="38"/>
        <v>18680.020584779362</v>
      </c>
      <c r="J122" s="514">
        <f t="shared" si="26"/>
        <v>0</v>
      </c>
      <c r="K122" s="514"/>
      <c r="L122" s="525"/>
      <c r="M122" s="514">
        <f t="shared" si="28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 ht="12.5">
      <c r="B123" s="195" t="str">
        <f t="shared" si="32"/>
        <v/>
      </c>
      <c r="C123" s="507">
        <f>IF(D93="","-",+C122+1)</f>
        <v>2035</v>
      </c>
      <c r="D123" s="374">
        <f>IF(F122+SUM(E$99:E122)=D$92,F122,D$92-SUM(E$99:E122))</f>
        <v>107991.04564054782</v>
      </c>
      <c r="E123" s="522">
        <f>IF(+J96&lt;F122,J96,D123)</f>
        <v>6076.6097560975613</v>
      </c>
      <c r="F123" s="523">
        <f t="shared" si="35"/>
        <v>101914.43588445026</v>
      </c>
      <c r="G123" s="523">
        <f t="shared" si="36"/>
        <v>104952.74076249904</v>
      </c>
      <c r="H123" s="526">
        <f t="shared" si="37"/>
        <v>17990.238929352621</v>
      </c>
      <c r="I123" s="577">
        <f t="shared" si="38"/>
        <v>17990.238929352621</v>
      </c>
      <c r="J123" s="514">
        <f t="shared" si="26"/>
        <v>0</v>
      </c>
      <c r="K123" s="514"/>
      <c r="L123" s="525"/>
      <c r="M123" s="514">
        <f t="shared" si="28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 ht="12.5">
      <c r="B124" s="195" t="str">
        <f t="shared" si="32"/>
        <v/>
      </c>
      <c r="C124" s="507">
        <f>IF(D93="","-",+C123+1)</f>
        <v>2036</v>
      </c>
      <c r="D124" s="374">
        <f>IF(F123+SUM(E$99:E123)=D$92,F123,D$92-SUM(E$99:E123))</f>
        <v>101914.43588445026</v>
      </c>
      <c r="E124" s="522">
        <f>IF(+J96&lt;F123,J96,D124)</f>
        <v>6076.6097560975613</v>
      </c>
      <c r="F124" s="523">
        <f t="shared" si="35"/>
        <v>95837.826128352695</v>
      </c>
      <c r="G124" s="523">
        <f t="shared" si="36"/>
        <v>98876.131006401469</v>
      </c>
      <c r="H124" s="526">
        <f t="shared" si="37"/>
        <v>17300.45727392588</v>
      </c>
      <c r="I124" s="577">
        <f t="shared" si="38"/>
        <v>17300.45727392588</v>
      </c>
      <c r="J124" s="514">
        <f t="shared" si="26"/>
        <v>0</v>
      </c>
      <c r="K124" s="514"/>
      <c r="L124" s="525"/>
      <c r="M124" s="514">
        <f t="shared" si="28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 ht="12.5">
      <c r="B125" s="195" t="str">
        <f t="shared" si="32"/>
        <v/>
      </c>
      <c r="C125" s="507">
        <f>IF(D93="","-",+C124+1)</f>
        <v>2037</v>
      </c>
      <c r="D125" s="374">
        <f>IF(F124+SUM(E$99:E124)=D$92,F124,D$92-SUM(E$99:E124))</f>
        <v>95837.826128352695</v>
      </c>
      <c r="E125" s="522">
        <f>IF(+J96&lt;F124,J96,D125)</f>
        <v>6076.6097560975613</v>
      </c>
      <c r="F125" s="523">
        <f t="shared" si="35"/>
        <v>89761.216372255134</v>
      </c>
      <c r="G125" s="523">
        <f t="shared" si="36"/>
        <v>92799.521250303922</v>
      </c>
      <c r="H125" s="526">
        <f t="shared" si="37"/>
        <v>16610.675618499139</v>
      </c>
      <c r="I125" s="577">
        <f t="shared" si="38"/>
        <v>16610.675618499139</v>
      </c>
      <c r="J125" s="514">
        <f t="shared" si="26"/>
        <v>0</v>
      </c>
      <c r="K125" s="514"/>
      <c r="L125" s="525"/>
      <c r="M125" s="514">
        <f t="shared" si="28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 ht="12.5">
      <c r="B126" s="195" t="str">
        <f t="shared" si="32"/>
        <v/>
      </c>
      <c r="C126" s="507">
        <f>IF(D93="","-",+C125+1)</f>
        <v>2038</v>
      </c>
      <c r="D126" s="374">
        <f>IF(F125+SUM(E$99:E125)=D$92,F125,D$92-SUM(E$99:E125))</f>
        <v>89761.216372255134</v>
      </c>
      <c r="E126" s="522">
        <f>IF(+J96&lt;F125,J96,D126)</f>
        <v>6076.6097560975613</v>
      </c>
      <c r="F126" s="523">
        <f t="shared" si="35"/>
        <v>83684.606616157573</v>
      </c>
      <c r="G126" s="523">
        <f t="shared" si="36"/>
        <v>86722.911494206346</v>
      </c>
      <c r="H126" s="526">
        <f t="shared" si="37"/>
        <v>15920.893963072394</v>
      </c>
      <c r="I126" s="577">
        <f t="shared" si="38"/>
        <v>15920.893963072394</v>
      </c>
      <c r="J126" s="514">
        <f t="shared" si="26"/>
        <v>0</v>
      </c>
      <c r="K126" s="514"/>
      <c r="L126" s="525"/>
      <c r="M126" s="514">
        <f t="shared" si="28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 ht="12.5">
      <c r="B127" s="195" t="str">
        <f t="shared" si="32"/>
        <v/>
      </c>
      <c r="C127" s="507">
        <f>IF(D93="","-",+C126+1)</f>
        <v>2039</v>
      </c>
      <c r="D127" s="374">
        <f>IF(F126+SUM(E$99:E126)=D$92,F126,D$92-SUM(E$99:E126))</f>
        <v>83684.606616157573</v>
      </c>
      <c r="E127" s="522">
        <f>IF(+J96&lt;F126,J96,D127)</f>
        <v>6076.6097560975613</v>
      </c>
      <c r="F127" s="523">
        <f t="shared" si="35"/>
        <v>77607.996860060011</v>
      </c>
      <c r="G127" s="523">
        <f t="shared" si="36"/>
        <v>80646.301738108799</v>
      </c>
      <c r="H127" s="526">
        <f t="shared" si="37"/>
        <v>15231.112307645655</v>
      </c>
      <c r="I127" s="577">
        <f t="shared" si="38"/>
        <v>15231.112307645655</v>
      </c>
      <c r="J127" s="514">
        <f t="shared" si="26"/>
        <v>0</v>
      </c>
      <c r="K127" s="514"/>
      <c r="L127" s="525"/>
      <c r="M127" s="514">
        <f t="shared" si="28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 ht="12.5">
      <c r="B128" s="195" t="str">
        <f t="shared" si="32"/>
        <v/>
      </c>
      <c r="C128" s="507">
        <f>IF(D93="","-",+C127+1)</f>
        <v>2040</v>
      </c>
      <c r="D128" s="374">
        <f>IF(F127+SUM(E$99:E127)=D$92,F127,D$92-SUM(E$99:E127))</f>
        <v>77607.996860060011</v>
      </c>
      <c r="E128" s="522">
        <f>IF(+J96&lt;F127,J96,D128)</f>
        <v>6076.6097560975613</v>
      </c>
      <c r="F128" s="523">
        <f t="shared" si="35"/>
        <v>71531.38710396245</v>
      </c>
      <c r="G128" s="523">
        <f t="shared" si="36"/>
        <v>74569.691982011223</v>
      </c>
      <c r="H128" s="526">
        <f t="shared" si="37"/>
        <v>14541.330652218912</v>
      </c>
      <c r="I128" s="577">
        <f t="shared" si="38"/>
        <v>14541.330652218912</v>
      </c>
      <c r="J128" s="514">
        <f t="shared" si="26"/>
        <v>0</v>
      </c>
      <c r="K128" s="514"/>
      <c r="L128" s="525"/>
      <c r="M128" s="514">
        <f t="shared" si="28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 ht="12.5">
      <c r="B129" s="195" t="str">
        <f t="shared" si="32"/>
        <v/>
      </c>
      <c r="C129" s="507">
        <f>IF(D93="","-",+C128+1)</f>
        <v>2041</v>
      </c>
      <c r="D129" s="374">
        <f>IF(F128+SUM(E$99:E128)=D$92,F128,D$92-SUM(E$99:E128))</f>
        <v>71531.38710396245</v>
      </c>
      <c r="E129" s="522">
        <f>IF(+J96&lt;F128,J96,D129)</f>
        <v>6076.6097560975613</v>
      </c>
      <c r="F129" s="523">
        <f t="shared" si="35"/>
        <v>65454.777347864889</v>
      </c>
      <c r="G129" s="523">
        <f t="shared" si="36"/>
        <v>68493.082225913677</v>
      </c>
      <c r="H129" s="526">
        <f t="shared" si="37"/>
        <v>13851.548996792173</v>
      </c>
      <c r="I129" s="577">
        <f t="shared" si="38"/>
        <v>13851.548996792173</v>
      </c>
      <c r="J129" s="514">
        <f t="shared" si="26"/>
        <v>0</v>
      </c>
      <c r="K129" s="514"/>
      <c r="L129" s="525"/>
      <c r="M129" s="514">
        <f t="shared" si="28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 ht="12.5">
      <c r="B130" s="195" t="str">
        <f t="shared" si="32"/>
        <v/>
      </c>
      <c r="C130" s="507">
        <f>IF(D93="","-",+C129+1)</f>
        <v>2042</v>
      </c>
      <c r="D130" s="374">
        <f>IF(F129+SUM(E$99:E129)=D$92,F129,D$92-SUM(E$99:E129))</f>
        <v>65454.777347864889</v>
      </c>
      <c r="E130" s="522">
        <f>IF(+J96&lt;F129,J96,D130)</f>
        <v>6076.6097560975613</v>
      </c>
      <c r="F130" s="523">
        <f t="shared" si="35"/>
        <v>59378.167591767327</v>
      </c>
      <c r="G130" s="523">
        <f t="shared" si="36"/>
        <v>62416.472469816108</v>
      </c>
      <c r="H130" s="526">
        <f t="shared" si="37"/>
        <v>13161.76734136543</v>
      </c>
      <c r="I130" s="577">
        <f t="shared" si="38"/>
        <v>13161.76734136543</v>
      </c>
      <c r="J130" s="514">
        <f t="shared" si="26"/>
        <v>0</v>
      </c>
      <c r="K130" s="514"/>
      <c r="L130" s="525"/>
      <c r="M130" s="514">
        <f t="shared" si="28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 ht="12.5">
      <c r="B131" s="195" t="str">
        <f t="shared" si="32"/>
        <v/>
      </c>
      <c r="C131" s="507">
        <f>IF(D93="","-",+C130+1)</f>
        <v>2043</v>
      </c>
      <c r="D131" s="374">
        <f>IF(F130+SUM(E$99:E130)=D$92,F130,D$92-SUM(E$99:E130))</f>
        <v>59378.167591767327</v>
      </c>
      <c r="E131" s="522">
        <f>IF(+J96&lt;F130,J96,D131)</f>
        <v>6076.6097560975613</v>
      </c>
      <c r="F131" s="523">
        <f t="shared" si="35"/>
        <v>53301.557835669766</v>
      </c>
      <c r="G131" s="523">
        <f t="shared" ref="G131:G154" si="39">+(F131+D131)/2</f>
        <v>56339.862713718547</v>
      </c>
      <c r="H131" s="526">
        <f t="shared" ref="H131:H154" si="40">+J$94*G131+E131</f>
        <v>12471.985685938689</v>
      </c>
      <c r="I131" s="577">
        <f t="shared" ref="I131:I154" si="41">+J$95*G131+E131</f>
        <v>12471.985685938689</v>
      </c>
      <c r="J131" s="514">
        <f t="shared" ref="J131:J154" si="42">+I131-H131</f>
        <v>0</v>
      </c>
      <c r="K131" s="514"/>
      <c r="L131" s="525"/>
      <c r="M131" s="514">
        <f t="shared" ref="M131:M154" si="43">IF(L131&lt;&gt;0,+H131-L131,0)</f>
        <v>0</v>
      </c>
      <c r="N131" s="525"/>
      <c r="O131" s="514">
        <f t="shared" ref="O131:O154" si="44">IF(N131&lt;&gt;0,+I131-N131,0)</f>
        <v>0</v>
      </c>
      <c r="P131" s="514">
        <f t="shared" ref="P131:P154" si="45">+O131-M131</f>
        <v>0</v>
      </c>
      <c r="Q131" s="269"/>
    </row>
    <row r="132" spans="2:17" ht="12.5">
      <c r="B132" s="195" t="str">
        <f t="shared" ref="B132:B154" si="46">IF(D132=F131,"","IU")</f>
        <v/>
      </c>
      <c r="C132" s="507">
        <f>IF(D93="","-",+C131+1)</f>
        <v>2044</v>
      </c>
      <c r="D132" s="374">
        <f>IF(F131+SUM(E$99:E131)=D$92,F131,D$92-SUM(E$99:E131))</f>
        <v>53301.557835669766</v>
      </c>
      <c r="E132" s="522">
        <f>IF(+J96&lt;F131,J96,D132)</f>
        <v>6076.6097560975613</v>
      </c>
      <c r="F132" s="523">
        <f t="shared" ref="F132:F154" si="47">+D132-E132</f>
        <v>47224.948079572205</v>
      </c>
      <c r="G132" s="523">
        <f t="shared" si="39"/>
        <v>50263.252957620985</v>
      </c>
      <c r="H132" s="526">
        <f t="shared" si="40"/>
        <v>11782.204030511948</v>
      </c>
      <c r="I132" s="577">
        <f t="shared" si="41"/>
        <v>11782.204030511948</v>
      </c>
      <c r="J132" s="514">
        <f t="shared" si="42"/>
        <v>0</v>
      </c>
      <c r="K132" s="514"/>
      <c r="L132" s="525"/>
      <c r="M132" s="514">
        <f t="shared" si="43"/>
        <v>0</v>
      </c>
      <c r="N132" s="525"/>
      <c r="O132" s="514">
        <f t="shared" si="44"/>
        <v>0</v>
      </c>
      <c r="P132" s="514">
        <f t="shared" si="45"/>
        <v>0</v>
      </c>
      <c r="Q132" s="269"/>
    </row>
    <row r="133" spans="2:17" ht="12.5">
      <c r="B133" s="195" t="str">
        <f t="shared" si="46"/>
        <v/>
      </c>
      <c r="C133" s="507">
        <f>IF(D93="","-",+C132+1)</f>
        <v>2045</v>
      </c>
      <c r="D133" s="374">
        <f>IF(F132+SUM(E$99:E132)=D$92,F132,D$92-SUM(E$99:E132))</f>
        <v>47224.948079572205</v>
      </c>
      <c r="E133" s="522">
        <f>IF(+J96&lt;F132,J96,D133)</f>
        <v>6076.6097560975613</v>
      </c>
      <c r="F133" s="523">
        <f t="shared" si="47"/>
        <v>41148.338323474643</v>
      </c>
      <c r="G133" s="523">
        <f t="shared" si="39"/>
        <v>44186.643201523424</v>
      </c>
      <c r="H133" s="526">
        <f t="shared" si="40"/>
        <v>11092.422375085207</v>
      </c>
      <c r="I133" s="577">
        <f t="shared" si="41"/>
        <v>11092.422375085207</v>
      </c>
      <c r="J133" s="514">
        <f t="shared" si="42"/>
        <v>0</v>
      </c>
      <c r="K133" s="514"/>
      <c r="L133" s="525"/>
      <c r="M133" s="514">
        <f t="shared" si="43"/>
        <v>0</v>
      </c>
      <c r="N133" s="525"/>
      <c r="O133" s="514">
        <f t="shared" si="44"/>
        <v>0</v>
      </c>
      <c r="P133" s="514">
        <f t="shared" si="45"/>
        <v>0</v>
      </c>
      <c r="Q133" s="269"/>
    </row>
    <row r="134" spans="2:17" ht="12.5">
      <c r="B134" s="195" t="str">
        <f t="shared" si="46"/>
        <v/>
      </c>
      <c r="C134" s="507">
        <f>IF(D93="","-",+C133+1)</f>
        <v>2046</v>
      </c>
      <c r="D134" s="374">
        <f>IF(F133+SUM(E$99:E133)=D$92,F133,D$92-SUM(E$99:E133))</f>
        <v>41148.338323474643</v>
      </c>
      <c r="E134" s="522">
        <f>IF(+J96&lt;F133,J96,D134)</f>
        <v>6076.6097560975613</v>
      </c>
      <c r="F134" s="523">
        <f t="shared" si="47"/>
        <v>35071.728567377082</v>
      </c>
      <c r="G134" s="523">
        <f t="shared" si="39"/>
        <v>38110.033445425863</v>
      </c>
      <c r="H134" s="526">
        <f t="shared" si="40"/>
        <v>10402.640719658466</v>
      </c>
      <c r="I134" s="577">
        <f t="shared" si="41"/>
        <v>10402.640719658466</v>
      </c>
      <c r="J134" s="514">
        <f t="shared" si="42"/>
        <v>0</v>
      </c>
      <c r="K134" s="514"/>
      <c r="L134" s="525"/>
      <c r="M134" s="514">
        <f t="shared" si="43"/>
        <v>0</v>
      </c>
      <c r="N134" s="525"/>
      <c r="O134" s="514">
        <f t="shared" si="44"/>
        <v>0</v>
      </c>
      <c r="P134" s="514">
        <f t="shared" si="45"/>
        <v>0</v>
      </c>
      <c r="Q134" s="269"/>
    </row>
    <row r="135" spans="2:17" ht="12.5">
      <c r="B135" s="195" t="str">
        <f t="shared" si="46"/>
        <v/>
      </c>
      <c r="C135" s="507">
        <f>IF(D93="","-",+C134+1)</f>
        <v>2047</v>
      </c>
      <c r="D135" s="374">
        <f>IF(F134+SUM(E$99:E134)=D$92,F134,D$92-SUM(E$99:E134))</f>
        <v>35071.728567377082</v>
      </c>
      <c r="E135" s="522">
        <f>IF(+J96&lt;F134,J96,D135)</f>
        <v>6076.6097560975613</v>
      </c>
      <c r="F135" s="523">
        <f t="shared" si="47"/>
        <v>28995.118811279521</v>
      </c>
      <c r="G135" s="523">
        <f t="shared" si="39"/>
        <v>32033.423689328301</v>
      </c>
      <c r="H135" s="526">
        <f t="shared" si="40"/>
        <v>9712.8590642317249</v>
      </c>
      <c r="I135" s="577">
        <f t="shared" si="41"/>
        <v>9712.8590642317249</v>
      </c>
      <c r="J135" s="514">
        <f t="shared" si="42"/>
        <v>0</v>
      </c>
      <c r="K135" s="514"/>
      <c r="L135" s="525"/>
      <c r="M135" s="514">
        <f t="shared" si="43"/>
        <v>0</v>
      </c>
      <c r="N135" s="525"/>
      <c r="O135" s="514">
        <f t="shared" si="44"/>
        <v>0</v>
      </c>
      <c r="P135" s="514">
        <f t="shared" si="45"/>
        <v>0</v>
      </c>
      <c r="Q135" s="269"/>
    </row>
    <row r="136" spans="2:17" ht="12.5">
      <c r="B136" s="195" t="str">
        <f t="shared" si="46"/>
        <v/>
      </c>
      <c r="C136" s="507">
        <f>IF(D93="","-",+C135+1)</f>
        <v>2048</v>
      </c>
      <c r="D136" s="374">
        <f>IF(F135+SUM(E$99:E135)=D$92,F135,D$92-SUM(E$99:E135))</f>
        <v>28995.118811279521</v>
      </c>
      <c r="E136" s="522">
        <f>IF(+J96&lt;F135,J96,D136)</f>
        <v>6076.6097560975613</v>
      </c>
      <c r="F136" s="523">
        <f t="shared" si="47"/>
        <v>22918.509055181959</v>
      </c>
      <c r="G136" s="523">
        <f t="shared" si="39"/>
        <v>25956.81393323074</v>
      </c>
      <c r="H136" s="526">
        <f t="shared" si="40"/>
        <v>9023.0774088049839</v>
      </c>
      <c r="I136" s="577">
        <f t="shared" si="41"/>
        <v>9023.0774088049839</v>
      </c>
      <c r="J136" s="514">
        <f t="shared" si="42"/>
        <v>0</v>
      </c>
      <c r="K136" s="514"/>
      <c r="L136" s="525"/>
      <c r="M136" s="514">
        <f t="shared" si="43"/>
        <v>0</v>
      </c>
      <c r="N136" s="525"/>
      <c r="O136" s="514">
        <f t="shared" si="44"/>
        <v>0</v>
      </c>
      <c r="P136" s="514">
        <f t="shared" si="45"/>
        <v>0</v>
      </c>
      <c r="Q136" s="269"/>
    </row>
    <row r="137" spans="2:17" ht="12.5">
      <c r="B137" s="195" t="str">
        <f t="shared" si="46"/>
        <v/>
      </c>
      <c r="C137" s="507">
        <f>IF(D93="","-",+C136+1)</f>
        <v>2049</v>
      </c>
      <c r="D137" s="374">
        <f>IF(F136+SUM(E$99:E136)=D$92,F136,D$92-SUM(E$99:E136))</f>
        <v>22918.509055181959</v>
      </c>
      <c r="E137" s="522">
        <f>IF(+J96&lt;F136,J96,D137)</f>
        <v>6076.6097560975613</v>
      </c>
      <c r="F137" s="523">
        <f t="shared" si="47"/>
        <v>16841.899299084398</v>
      </c>
      <c r="G137" s="523">
        <f t="shared" si="39"/>
        <v>19880.204177133179</v>
      </c>
      <c r="H137" s="526">
        <f t="shared" si="40"/>
        <v>8333.2957533782428</v>
      </c>
      <c r="I137" s="577">
        <f t="shared" si="41"/>
        <v>8333.2957533782428</v>
      </c>
      <c r="J137" s="514">
        <f t="shared" si="42"/>
        <v>0</v>
      </c>
      <c r="K137" s="514"/>
      <c r="L137" s="525"/>
      <c r="M137" s="514">
        <f t="shared" si="43"/>
        <v>0</v>
      </c>
      <c r="N137" s="525"/>
      <c r="O137" s="514">
        <f t="shared" si="44"/>
        <v>0</v>
      </c>
      <c r="P137" s="514">
        <f t="shared" si="45"/>
        <v>0</v>
      </c>
      <c r="Q137" s="269"/>
    </row>
    <row r="138" spans="2:17" ht="12.5">
      <c r="B138" s="195" t="str">
        <f t="shared" si="46"/>
        <v/>
      </c>
      <c r="C138" s="507">
        <f>IF(D93="","-",+C137+1)</f>
        <v>2050</v>
      </c>
      <c r="D138" s="374">
        <f>IF(F137+SUM(E$99:E137)=D$92,F137,D$92-SUM(E$99:E137))</f>
        <v>16841.899299084398</v>
      </c>
      <c r="E138" s="522">
        <f>IF(+J96&lt;F137,J96,D138)</f>
        <v>6076.6097560975613</v>
      </c>
      <c r="F138" s="523">
        <f t="shared" si="47"/>
        <v>10765.289542986837</v>
      </c>
      <c r="G138" s="523">
        <f t="shared" si="39"/>
        <v>13803.594421035617</v>
      </c>
      <c r="H138" s="526">
        <f t="shared" si="40"/>
        <v>7643.5140979515008</v>
      </c>
      <c r="I138" s="577">
        <f t="shared" si="41"/>
        <v>7643.5140979515008</v>
      </c>
      <c r="J138" s="514">
        <f t="shared" si="42"/>
        <v>0</v>
      </c>
      <c r="K138" s="514"/>
      <c r="L138" s="525"/>
      <c r="M138" s="514">
        <f t="shared" si="43"/>
        <v>0</v>
      </c>
      <c r="N138" s="525"/>
      <c r="O138" s="514">
        <f t="shared" si="44"/>
        <v>0</v>
      </c>
      <c r="P138" s="514">
        <f t="shared" si="45"/>
        <v>0</v>
      </c>
      <c r="Q138" s="269"/>
    </row>
    <row r="139" spans="2:17" ht="12.5">
      <c r="B139" s="195" t="str">
        <f t="shared" si="46"/>
        <v/>
      </c>
      <c r="C139" s="507">
        <f>IF(D93="","-",+C138+1)</f>
        <v>2051</v>
      </c>
      <c r="D139" s="374">
        <f>IF(F138+SUM(E$99:E138)=D$92,F138,D$92-SUM(E$99:E138))</f>
        <v>10765.289542986837</v>
      </c>
      <c r="E139" s="522">
        <f>IF(+J96&lt;F138,J96,D139)</f>
        <v>6076.6097560975613</v>
      </c>
      <c r="F139" s="523">
        <f t="shared" si="47"/>
        <v>4688.6797868892754</v>
      </c>
      <c r="G139" s="523">
        <f t="shared" si="39"/>
        <v>7726.9846649380561</v>
      </c>
      <c r="H139" s="526">
        <f t="shared" si="40"/>
        <v>6953.7324425247598</v>
      </c>
      <c r="I139" s="577">
        <f t="shared" si="41"/>
        <v>6953.7324425247598</v>
      </c>
      <c r="J139" s="514">
        <f t="shared" si="42"/>
        <v>0</v>
      </c>
      <c r="K139" s="514"/>
      <c r="L139" s="525"/>
      <c r="M139" s="514">
        <f t="shared" si="43"/>
        <v>0</v>
      </c>
      <c r="N139" s="525"/>
      <c r="O139" s="514">
        <f t="shared" si="44"/>
        <v>0</v>
      </c>
      <c r="P139" s="514">
        <f t="shared" si="45"/>
        <v>0</v>
      </c>
      <c r="Q139" s="269"/>
    </row>
    <row r="140" spans="2:17" ht="12.5">
      <c r="B140" s="195" t="str">
        <f t="shared" si="46"/>
        <v/>
      </c>
      <c r="C140" s="507">
        <f>IF(D93="","-",+C139+1)</f>
        <v>2052</v>
      </c>
      <c r="D140" s="374">
        <f>IF(F139+SUM(E$99:E139)=D$92,F139,D$92-SUM(E$99:E139))</f>
        <v>4688.6797868892754</v>
      </c>
      <c r="E140" s="522">
        <f>IF(+J96&lt;F139,J96,D140)</f>
        <v>4688.6797868892754</v>
      </c>
      <c r="F140" s="523">
        <f t="shared" si="47"/>
        <v>0</v>
      </c>
      <c r="G140" s="523">
        <f t="shared" si="39"/>
        <v>2344.3398934446377</v>
      </c>
      <c r="H140" s="526">
        <f t="shared" si="40"/>
        <v>4954.7957162461889</v>
      </c>
      <c r="I140" s="577">
        <f t="shared" si="41"/>
        <v>4954.7957162461889</v>
      </c>
      <c r="J140" s="514">
        <f t="shared" si="42"/>
        <v>0</v>
      </c>
      <c r="K140" s="514"/>
      <c r="L140" s="525"/>
      <c r="M140" s="514">
        <f t="shared" si="43"/>
        <v>0</v>
      </c>
      <c r="N140" s="525"/>
      <c r="O140" s="514">
        <f t="shared" si="44"/>
        <v>0</v>
      </c>
      <c r="P140" s="514">
        <f t="shared" si="45"/>
        <v>0</v>
      </c>
      <c r="Q140" s="269"/>
    </row>
    <row r="141" spans="2:17" ht="12.5">
      <c r="B141" s="195" t="str">
        <f t="shared" si="46"/>
        <v/>
      </c>
      <c r="C141" s="507">
        <f>IF(D93="","-",+C140+1)</f>
        <v>2053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7"/>
        <v>0</v>
      </c>
      <c r="G141" s="523">
        <f t="shared" si="39"/>
        <v>0</v>
      </c>
      <c r="H141" s="526">
        <f t="shared" si="40"/>
        <v>0</v>
      </c>
      <c r="I141" s="577">
        <f t="shared" si="41"/>
        <v>0</v>
      </c>
      <c r="J141" s="514">
        <f t="shared" si="42"/>
        <v>0</v>
      </c>
      <c r="K141" s="514"/>
      <c r="L141" s="525"/>
      <c r="M141" s="514">
        <f t="shared" si="43"/>
        <v>0</v>
      </c>
      <c r="N141" s="525"/>
      <c r="O141" s="514">
        <f t="shared" si="44"/>
        <v>0</v>
      </c>
      <c r="P141" s="514">
        <f t="shared" si="45"/>
        <v>0</v>
      </c>
      <c r="Q141" s="269"/>
    </row>
    <row r="142" spans="2:17" ht="12.5">
      <c r="B142" s="195" t="str">
        <f t="shared" si="46"/>
        <v/>
      </c>
      <c r="C142" s="507">
        <f>IF(D93="","-",+C141+1)</f>
        <v>2054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7"/>
        <v>0</v>
      </c>
      <c r="G142" s="523">
        <f t="shared" si="39"/>
        <v>0</v>
      </c>
      <c r="H142" s="526">
        <f t="shared" si="40"/>
        <v>0</v>
      </c>
      <c r="I142" s="577">
        <f t="shared" si="41"/>
        <v>0</v>
      </c>
      <c r="J142" s="514">
        <f t="shared" si="42"/>
        <v>0</v>
      </c>
      <c r="K142" s="514"/>
      <c r="L142" s="525"/>
      <c r="M142" s="514">
        <f t="shared" si="43"/>
        <v>0</v>
      </c>
      <c r="N142" s="525"/>
      <c r="O142" s="514">
        <f t="shared" si="44"/>
        <v>0</v>
      </c>
      <c r="P142" s="514">
        <f t="shared" si="45"/>
        <v>0</v>
      </c>
      <c r="Q142" s="269"/>
    </row>
    <row r="143" spans="2:17" ht="12.5">
      <c r="B143" s="195" t="str">
        <f t="shared" si="46"/>
        <v/>
      </c>
      <c r="C143" s="507">
        <f>IF(D93="","-",+C142+1)</f>
        <v>2055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7"/>
        <v>0</v>
      </c>
      <c r="G143" s="523">
        <f t="shared" si="39"/>
        <v>0</v>
      </c>
      <c r="H143" s="526">
        <f t="shared" si="40"/>
        <v>0</v>
      </c>
      <c r="I143" s="577">
        <f t="shared" si="41"/>
        <v>0</v>
      </c>
      <c r="J143" s="514">
        <f t="shared" si="42"/>
        <v>0</v>
      </c>
      <c r="K143" s="514"/>
      <c r="L143" s="525"/>
      <c r="M143" s="514">
        <f t="shared" si="43"/>
        <v>0</v>
      </c>
      <c r="N143" s="525"/>
      <c r="O143" s="514">
        <f t="shared" si="44"/>
        <v>0</v>
      </c>
      <c r="P143" s="514">
        <f t="shared" si="45"/>
        <v>0</v>
      </c>
      <c r="Q143" s="269"/>
    </row>
    <row r="144" spans="2:17" ht="12.5">
      <c r="B144" s="195" t="str">
        <f t="shared" si="46"/>
        <v/>
      </c>
      <c r="C144" s="507">
        <f>IF(D93="","-",+C143+1)</f>
        <v>2056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7"/>
        <v>0</v>
      </c>
      <c r="G144" s="523">
        <f t="shared" si="39"/>
        <v>0</v>
      </c>
      <c r="H144" s="526">
        <f t="shared" si="40"/>
        <v>0</v>
      </c>
      <c r="I144" s="577">
        <f t="shared" si="41"/>
        <v>0</v>
      </c>
      <c r="J144" s="514">
        <f t="shared" si="42"/>
        <v>0</v>
      </c>
      <c r="K144" s="514"/>
      <c r="L144" s="525"/>
      <c r="M144" s="514">
        <f t="shared" si="43"/>
        <v>0</v>
      </c>
      <c r="N144" s="525"/>
      <c r="O144" s="514">
        <f t="shared" si="44"/>
        <v>0</v>
      </c>
      <c r="P144" s="514">
        <f t="shared" si="45"/>
        <v>0</v>
      </c>
      <c r="Q144" s="269"/>
    </row>
    <row r="145" spans="2:17" ht="12.5">
      <c r="B145" s="195" t="str">
        <f t="shared" si="46"/>
        <v/>
      </c>
      <c r="C145" s="507">
        <f>IF(D93="","-",+C144+1)</f>
        <v>2057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7"/>
        <v>0</v>
      </c>
      <c r="G145" s="523">
        <f t="shared" si="39"/>
        <v>0</v>
      </c>
      <c r="H145" s="526">
        <f t="shared" si="40"/>
        <v>0</v>
      </c>
      <c r="I145" s="577">
        <f t="shared" si="41"/>
        <v>0</v>
      </c>
      <c r="J145" s="514">
        <f t="shared" si="42"/>
        <v>0</v>
      </c>
      <c r="K145" s="514"/>
      <c r="L145" s="525"/>
      <c r="M145" s="514">
        <f t="shared" si="43"/>
        <v>0</v>
      </c>
      <c r="N145" s="525"/>
      <c r="O145" s="514">
        <f t="shared" si="44"/>
        <v>0</v>
      </c>
      <c r="P145" s="514">
        <f t="shared" si="45"/>
        <v>0</v>
      </c>
      <c r="Q145" s="269"/>
    </row>
    <row r="146" spans="2:17" ht="12.5">
      <c r="B146" s="195" t="str">
        <f t="shared" si="46"/>
        <v/>
      </c>
      <c r="C146" s="507">
        <f>IF(D93="","-",+C145+1)</f>
        <v>2058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7"/>
        <v>0</v>
      </c>
      <c r="G146" s="523">
        <f t="shared" si="39"/>
        <v>0</v>
      </c>
      <c r="H146" s="526">
        <f t="shared" si="40"/>
        <v>0</v>
      </c>
      <c r="I146" s="577">
        <f t="shared" si="41"/>
        <v>0</v>
      </c>
      <c r="J146" s="514">
        <f t="shared" si="42"/>
        <v>0</v>
      </c>
      <c r="K146" s="514"/>
      <c r="L146" s="525"/>
      <c r="M146" s="514">
        <f t="shared" si="43"/>
        <v>0</v>
      </c>
      <c r="N146" s="525"/>
      <c r="O146" s="514">
        <f t="shared" si="44"/>
        <v>0</v>
      </c>
      <c r="P146" s="514">
        <f t="shared" si="45"/>
        <v>0</v>
      </c>
      <c r="Q146" s="269"/>
    </row>
    <row r="147" spans="2:17" ht="12.5">
      <c r="B147" s="195" t="str">
        <f t="shared" si="46"/>
        <v/>
      </c>
      <c r="C147" s="507">
        <f>IF(D93="","-",+C146+1)</f>
        <v>2059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7"/>
        <v>0</v>
      </c>
      <c r="G147" s="523">
        <f t="shared" si="39"/>
        <v>0</v>
      </c>
      <c r="H147" s="526">
        <f t="shared" si="40"/>
        <v>0</v>
      </c>
      <c r="I147" s="577">
        <f t="shared" si="41"/>
        <v>0</v>
      </c>
      <c r="J147" s="514">
        <f t="shared" si="42"/>
        <v>0</v>
      </c>
      <c r="K147" s="514"/>
      <c r="L147" s="525"/>
      <c r="M147" s="514">
        <f t="shared" si="43"/>
        <v>0</v>
      </c>
      <c r="N147" s="525"/>
      <c r="O147" s="514">
        <f t="shared" si="44"/>
        <v>0</v>
      </c>
      <c r="P147" s="514">
        <f t="shared" si="45"/>
        <v>0</v>
      </c>
      <c r="Q147" s="269"/>
    </row>
    <row r="148" spans="2:17" ht="12.5">
      <c r="B148" s="195" t="str">
        <f t="shared" si="46"/>
        <v/>
      </c>
      <c r="C148" s="507">
        <f>IF(D93="","-",+C147+1)</f>
        <v>2060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7"/>
        <v>0</v>
      </c>
      <c r="G148" s="523">
        <f t="shared" si="39"/>
        <v>0</v>
      </c>
      <c r="H148" s="526">
        <f t="shared" si="40"/>
        <v>0</v>
      </c>
      <c r="I148" s="577">
        <f t="shared" si="41"/>
        <v>0</v>
      </c>
      <c r="J148" s="514">
        <f t="shared" si="42"/>
        <v>0</v>
      </c>
      <c r="K148" s="514"/>
      <c r="L148" s="525"/>
      <c r="M148" s="514">
        <f t="shared" si="43"/>
        <v>0</v>
      </c>
      <c r="N148" s="525"/>
      <c r="O148" s="514">
        <f t="shared" si="44"/>
        <v>0</v>
      </c>
      <c r="P148" s="514">
        <f t="shared" si="45"/>
        <v>0</v>
      </c>
      <c r="Q148" s="269"/>
    </row>
    <row r="149" spans="2:17" ht="12.5">
      <c r="B149" s="195" t="str">
        <f t="shared" si="46"/>
        <v/>
      </c>
      <c r="C149" s="507">
        <f>IF(D93="","-",+C148+1)</f>
        <v>2061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7"/>
        <v>0</v>
      </c>
      <c r="G149" s="523">
        <f t="shared" si="39"/>
        <v>0</v>
      </c>
      <c r="H149" s="526">
        <f t="shared" si="40"/>
        <v>0</v>
      </c>
      <c r="I149" s="577">
        <f t="shared" si="41"/>
        <v>0</v>
      </c>
      <c r="J149" s="514">
        <f t="shared" si="42"/>
        <v>0</v>
      </c>
      <c r="K149" s="514"/>
      <c r="L149" s="525"/>
      <c r="M149" s="514">
        <f t="shared" si="43"/>
        <v>0</v>
      </c>
      <c r="N149" s="525"/>
      <c r="O149" s="514">
        <f t="shared" si="44"/>
        <v>0</v>
      </c>
      <c r="P149" s="514">
        <f t="shared" si="45"/>
        <v>0</v>
      </c>
      <c r="Q149" s="269"/>
    </row>
    <row r="150" spans="2:17" ht="12.5">
      <c r="B150" s="195" t="str">
        <f t="shared" si="46"/>
        <v/>
      </c>
      <c r="C150" s="507">
        <f>IF(D93="","-",+C149+1)</f>
        <v>2062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7"/>
        <v>0</v>
      </c>
      <c r="G150" s="523">
        <f t="shared" si="39"/>
        <v>0</v>
      </c>
      <c r="H150" s="526">
        <f t="shared" si="40"/>
        <v>0</v>
      </c>
      <c r="I150" s="577">
        <f t="shared" si="41"/>
        <v>0</v>
      </c>
      <c r="J150" s="514">
        <f t="shared" si="42"/>
        <v>0</v>
      </c>
      <c r="K150" s="514"/>
      <c r="L150" s="525"/>
      <c r="M150" s="514">
        <f t="shared" si="43"/>
        <v>0</v>
      </c>
      <c r="N150" s="525"/>
      <c r="O150" s="514">
        <f t="shared" si="44"/>
        <v>0</v>
      </c>
      <c r="P150" s="514">
        <f t="shared" si="45"/>
        <v>0</v>
      </c>
      <c r="Q150" s="269"/>
    </row>
    <row r="151" spans="2:17" ht="12.5">
      <c r="B151" s="195" t="str">
        <f t="shared" si="46"/>
        <v/>
      </c>
      <c r="C151" s="507">
        <f>IF(D93="","-",+C150+1)</f>
        <v>2063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7"/>
        <v>0</v>
      </c>
      <c r="G151" s="523">
        <f t="shared" si="39"/>
        <v>0</v>
      </c>
      <c r="H151" s="526">
        <f t="shared" si="40"/>
        <v>0</v>
      </c>
      <c r="I151" s="577">
        <f t="shared" si="41"/>
        <v>0</v>
      </c>
      <c r="J151" s="514">
        <f t="shared" si="42"/>
        <v>0</v>
      </c>
      <c r="K151" s="514"/>
      <c r="L151" s="525"/>
      <c r="M151" s="514">
        <f t="shared" si="43"/>
        <v>0</v>
      </c>
      <c r="N151" s="525"/>
      <c r="O151" s="514">
        <f t="shared" si="44"/>
        <v>0</v>
      </c>
      <c r="P151" s="514">
        <f t="shared" si="45"/>
        <v>0</v>
      </c>
      <c r="Q151" s="269"/>
    </row>
    <row r="152" spans="2:17" ht="12.5">
      <c r="B152" s="195" t="str">
        <f t="shared" si="46"/>
        <v/>
      </c>
      <c r="C152" s="507">
        <f>IF(D93="","-",+C151+1)</f>
        <v>2064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7"/>
        <v>0</v>
      </c>
      <c r="G152" s="523">
        <f t="shared" si="39"/>
        <v>0</v>
      </c>
      <c r="H152" s="526">
        <f t="shared" si="40"/>
        <v>0</v>
      </c>
      <c r="I152" s="577">
        <f t="shared" si="41"/>
        <v>0</v>
      </c>
      <c r="J152" s="514">
        <f t="shared" si="42"/>
        <v>0</v>
      </c>
      <c r="K152" s="514"/>
      <c r="L152" s="525"/>
      <c r="M152" s="514">
        <f t="shared" si="43"/>
        <v>0</v>
      </c>
      <c r="N152" s="525"/>
      <c r="O152" s="514">
        <f t="shared" si="44"/>
        <v>0</v>
      </c>
      <c r="P152" s="514">
        <f t="shared" si="45"/>
        <v>0</v>
      </c>
      <c r="Q152" s="269"/>
    </row>
    <row r="153" spans="2:17" ht="12.5">
      <c r="B153" s="195" t="str">
        <f t="shared" si="46"/>
        <v/>
      </c>
      <c r="C153" s="507">
        <f>IF(D93="","-",+C152+1)</f>
        <v>2065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7"/>
        <v>0</v>
      </c>
      <c r="G153" s="523">
        <f t="shared" si="39"/>
        <v>0</v>
      </c>
      <c r="H153" s="526">
        <f t="shared" si="40"/>
        <v>0</v>
      </c>
      <c r="I153" s="577">
        <f t="shared" si="41"/>
        <v>0</v>
      </c>
      <c r="J153" s="514">
        <f t="shared" si="42"/>
        <v>0</v>
      </c>
      <c r="K153" s="514"/>
      <c r="L153" s="525"/>
      <c r="M153" s="514">
        <f t="shared" si="43"/>
        <v>0</v>
      </c>
      <c r="N153" s="525"/>
      <c r="O153" s="514">
        <f t="shared" si="44"/>
        <v>0</v>
      </c>
      <c r="P153" s="514">
        <f t="shared" si="45"/>
        <v>0</v>
      </c>
      <c r="Q153" s="269"/>
    </row>
    <row r="154" spans="2:17" ht="13" thickBot="1">
      <c r="B154" s="195" t="str">
        <f t="shared" si="46"/>
        <v/>
      </c>
      <c r="C154" s="527">
        <f>IF(D93="","-",+C153+1)</f>
        <v>2066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7"/>
        <v>0</v>
      </c>
      <c r="G154" s="528">
        <f t="shared" si="39"/>
        <v>0</v>
      </c>
      <c r="H154" s="530">
        <f t="shared" si="40"/>
        <v>0</v>
      </c>
      <c r="I154" s="579">
        <f t="shared" si="41"/>
        <v>0</v>
      </c>
      <c r="J154" s="533">
        <f t="shared" si="42"/>
        <v>0</v>
      </c>
      <c r="K154" s="514"/>
      <c r="L154" s="532"/>
      <c r="M154" s="533">
        <f t="shared" si="43"/>
        <v>0</v>
      </c>
      <c r="N154" s="532"/>
      <c r="O154" s="533">
        <f t="shared" si="44"/>
        <v>0</v>
      </c>
      <c r="P154" s="533">
        <f t="shared" si="45"/>
        <v>0</v>
      </c>
      <c r="Q154" s="269"/>
    </row>
    <row r="155" spans="2:17" ht="12.5">
      <c r="C155" s="374" t="s">
        <v>78</v>
      </c>
      <c r="D155" s="375"/>
      <c r="E155" s="375">
        <f>SUM(E99:E154)</f>
        <v>249140.99999999983</v>
      </c>
      <c r="F155" s="375"/>
      <c r="G155" s="375"/>
      <c r="H155" s="375">
        <f>SUM(H99:H154)</f>
        <v>863361.86638592812</v>
      </c>
      <c r="I155" s="375">
        <f>SUM(I99:I154)</f>
        <v>863361.86638592812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9" priority="1" stopIfTrue="1" operator="equal">
      <formula>$I$10</formula>
    </cfRule>
  </conditionalFormatting>
  <conditionalFormatting sqref="C99:C154">
    <cfRule type="cellIs" dxfId="10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/>
  <dimension ref="A1:S137"/>
  <sheetViews>
    <sheetView zoomScale="70" zoomScaleNormal="70" zoomScaleSheetLayoutView="70" workbookViewId="0">
      <selection activeCell="N114" sqref="N114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0.7265625" style="183" customWidth="1"/>
    <col min="4" max="9" width="17.7265625" style="183" customWidth="1"/>
    <col min="10" max="10" width="17.7265625" style="183" bestFit="1" customWidth="1"/>
    <col min="11" max="11" width="2.1796875" style="183" customWidth="1"/>
    <col min="12" max="15" width="17.7265625" style="183" customWidth="1"/>
    <col min="16" max="16" width="19.54296875" style="183" customWidth="1"/>
    <col min="17" max="17" width="2.1796875" style="183" customWidth="1"/>
    <col min="18" max="18" width="16.453125" style="183" customWidth="1"/>
    <col min="19" max="19" width="52.453125" style="183" customWidth="1"/>
    <col min="20" max="16384" width="8.7265625" style="183"/>
  </cols>
  <sheetData>
    <row r="1" spans="1:19" ht="17.5">
      <c r="A1" s="684" t="str">
        <f>'SWE.WS.F.BPU.ATRR.Projected'!A1</f>
        <v xml:space="preserve">AEP West SPP Member Companies </v>
      </c>
      <c r="B1" s="690"/>
      <c r="C1" s="690"/>
      <c r="D1" s="690"/>
      <c r="E1" s="690"/>
      <c r="F1" s="690"/>
      <c r="G1" s="690"/>
      <c r="H1" s="690"/>
      <c r="I1" s="690"/>
      <c r="J1" s="690"/>
      <c r="K1" s="690"/>
      <c r="Q1" s="233"/>
      <c r="R1" s="233"/>
    </row>
    <row r="2" spans="1:19" ht="17.5">
      <c r="A2" s="684" t="str">
        <f>'SWE.WS.F.BPU.ATRR.Projected'!A2</f>
        <v>2023 Cost of Service Formula Rate Projected on 2022 FF1 Balances</v>
      </c>
      <c r="B2" s="690"/>
      <c r="C2" s="690"/>
      <c r="D2" s="690"/>
      <c r="E2" s="690"/>
      <c r="F2" s="690"/>
      <c r="G2" s="690"/>
      <c r="H2" s="690"/>
      <c r="I2" s="690"/>
      <c r="J2" s="690"/>
      <c r="K2" s="690"/>
      <c r="Q2" s="267" t="s">
        <v>111</v>
      </c>
      <c r="R2" s="233"/>
    </row>
    <row r="3" spans="1:19" ht="18">
      <c r="A3" s="687" t="s">
        <v>126</v>
      </c>
      <c r="B3" s="686"/>
      <c r="C3" s="686"/>
      <c r="D3" s="686"/>
      <c r="E3" s="686"/>
      <c r="F3" s="686"/>
      <c r="G3" s="686"/>
      <c r="H3" s="686"/>
      <c r="I3" s="686"/>
      <c r="J3" s="686"/>
      <c r="K3" s="686"/>
      <c r="Q3" s="233"/>
      <c r="R3" s="233"/>
    </row>
    <row r="4" spans="1:19" ht="17.5">
      <c r="A4" s="686" t="str">
        <f>"Based on a Carrying Charge Derived from ""Trued-Up"" "&amp;M16&amp;" Data"</f>
        <v>Based on a Carrying Charge Derived from "Trued-Up" 2021 Data</v>
      </c>
      <c r="B4" s="686"/>
      <c r="C4" s="686"/>
      <c r="D4" s="686"/>
      <c r="E4" s="686"/>
      <c r="F4" s="686"/>
      <c r="G4" s="686"/>
      <c r="H4" s="686"/>
      <c r="I4" s="686"/>
      <c r="J4" s="686"/>
      <c r="K4" s="686"/>
      <c r="Q4" s="233"/>
      <c r="R4" s="233"/>
    </row>
    <row r="5" spans="1:19" ht="18">
      <c r="A5" s="691" t="str">
        <f>'SWE.WS.F.BPU.ATRR.Projected'!A5</f>
        <v>SOUTHWESTERN ELECTRIC POWER COMPANY</v>
      </c>
      <c r="B5" s="692"/>
      <c r="C5" s="692"/>
      <c r="D5" s="692"/>
      <c r="E5" s="692"/>
      <c r="F5" s="692"/>
      <c r="G5" s="692"/>
      <c r="H5" s="692"/>
      <c r="I5" s="692"/>
      <c r="J5" s="692"/>
      <c r="K5" s="692"/>
      <c r="N5" s="249"/>
      <c r="Q5" s="233"/>
      <c r="R5" s="233"/>
    </row>
    <row r="6" spans="1:19" ht="20">
      <c r="A6" s="401"/>
      <c r="C6" s="332"/>
      <c r="D6" s="195"/>
      <c r="I6" s="247"/>
      <c r="K6" s="233"/>
      <c r="Q6" s="233"/>
      <c r="R6" s="233"/>
    </row>
    <row r="7" spans="1:19" ht="12.5">
      <c r="D7" s="195"/>
      <c r="I7" s="247"/>
      <c r="K7" s="233"/>
      <c r="Q7" s="233"/>
      <c r="R7" s="233"/>
    </row>
    <row r="8" spans="1:19" ht="17.5">
      <c r="B8" s="273" t="s">
        <v>0</v>
      </c>
      <c r="C8" s="681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682"/>
      <c r="E8" s="682"/>
      <c r="F8" s="682"/>
      <c r="G8" s="682"/>
      <c r="H8" s="682"/>
      <c r="I8" s="682"/>
      <c r="K8" s="233"/>
      <c r="Q8" s="233"/>
      <c r="R8" s="233"/>
    </row>
    <row r="9" spans="1:19" ht="15.75" customHeight="1">
      <c r="C9" s="402"/>
      <c r="D9" s="402"/>
      <c r="E9" s="402"/>
      <c r="F9" s="402"/>
      <c r="G9" s="402"/>
      <c r="H9" s="402"/>
      <c r="I9" s="402"/>
      <c r="K9" s="233"/>
      <c r="Q9" s="233"/>
      <c r="R9" s="233"/>
    </row>
    <row r="10" spans="1:19" ht="15.5">
      <c r="C10" s="274" t="str">
        <f>"A.   Determine 'R' with hypothetical "&amp;F13&amp;" basis point increase in ROE for Identified Projects"</f>
        <v>A.   Determine 'R' with hypothetical 0 basis point increase in ROE for Identified Projects</v>
      </c>
      <c r="D10" s="195"/>
      <c r="I10" s="247"/>
      <c r="K10" s="233"/>
      <c r="Q10" s="233"/>
      <c r="R10" s="233"/>
    </row>
    <row r="11" spans="1:19" ht="12.5">
      <c r="D11" s="195"/>
      <c r="I11" s="247"/>
      <c r="K11" s="233"/>
      <c r="Q11" s="233"/>
      <c r="R11" s="233"/>
    </row>
    <row r="12" spans="1:19" ht="12.5">
      <c r="C12" s="277" t="str">
        <f>S105</f>
        <v xml:space="preserve">   ROE w/o incentives  (True-Up TCOS, ln 135)</v>
      </c>
      <c r="D12" s="195"/>
      <c r="E12" s="278"/>
      <c r="F12" s="279">
        <f>+R105</f>
        <v>0.105</v>
      </c>
      <c r="G12" s="279"/>
      <c r="H12" s="280"/>
      <c r="I12" s="281"/>
      <c r="J12" s="282"/>
      <c r="K12" s="283"/>
      <c r="L12" s="282"/>
      <c r="M12" s="282"/>
      <c r="N12" s="282"/>
      <c r="O12" s="282"/>
      <c r="P12" s="282"/>
      <c r="Q12" s="283"/>
      <c r="R12" s="272"/>
      <c r="S12" s="269"/>
    </row>
    <row r="13" spans="1:19" ht="13" thickBot="1">
      <c r="C13" s="277" t="s">
        <v>1</v>
      </c>
      <c r="D13" s="195"/>
      <c r="E13" s="278"/>
      <c r="F13" s="403">
        <f>R106</f>
        <v>0</v>
      </c>
      <c r="G13" s="404" t="s">
        <v>155</v>
      </c>
      <c r="L13" s="282"/>
      <c r="M13" s="282"/>
      <c r="N13" s="282"/>
      <c r="O13" s="282"/>
      <c r="P13" s="282"/>
      <c r="Q13" s="283"/>
      <c r="R13" s="272"/>
      <c r="S13" s="269"/>
    </row>
    <row r="14" spans="1:19" ht="13">
      <c r="C14" s="277" t="str">
        <f>"   ROE with additional "&amp;F13&amp;" basis point incentive"</f>
        <v xml:space="preserve">   ROE with additional 0 basis point incentive</v>
      </c>
      <c r="D14" s="278"/>
      <c r="E14" s="278"/>
      <c r="F14" s="285">
        <f>IF((F12+(F13/10000)&gt;0.1245),"ERROR",F12+(F13/10000))</f>
        <v>0.105</v>
      </c>
      <c r="G14" s="286" t="s">
        <v>2</v>
      </c>
      <c r="I14" s="282"/>
      <c r="J14" s="282"/>
      <c r="K14" s="283"/>
      <c r="L14" s="405" t="s">
        <v>81</v>
      </c>
      <c r="M14" s="406"/>
      <c r="N14" s="406"/>
      <c r="O14" s="406"/>
      <c r="P14" s="407"/>
      <c r="Q14" s="283"/>
      <c r="R14" s="272"/>
      <c r="S14" s="269"/>
    </row>
    <row r="15" spans="1:19" ht="12.5">
      <c r="C15" s="277" t="s">
        <v>3</v>
      </c>
      <c r="D15" s="195"/>
      <c r="E15" s="278"/>
      <c r="F15" s="285"/>
      <c r="G15" s="285"/>
      <c r="H15" s="278"/>
      <c r="I15" s="282"/>
      <c r="J15" s="282"/>
      <c r="K15" s="283"/>
      <c r="L15" s="295"/>
      <c r="M15" s="283"/>
      <c r="N15" s="283" t="s">
        <v>9</v>
      </c>
      <c r="O15" s="283" t="s">
        <v>10</v>
      </c>
      <c r="P15" s="297" t="s">
        <v>11</v>
      </c>
      <c r="Q15" s="283"/>
      <c r="R15" s="272"/>
      <c r="S15" s="269"/>
    </row>
    <row r="16" spans="1:19" ht="12.5">
      <c r="C16" s="283"/>
      <c r="D16" s="287" t="s">
        <v>5</v>
      </c>
      <c r="E16" s="287" t="s">
        <v>6</v>
      </c>
      <c r="F16" s="288" t="s">
        <v>7</v>
      </c>
      <c r="G16" s="288"/>
      <c r="H16" s="278"/>
      <c r="I16" s="282"/>
      <c r="J16" s="282"/>
      <c r="K16" s="283"/>
      <c r="L16" s="295" t="s">
        <v>82</v>
      </c>
      <c r="M16" s="408">
        <f>+R104</f>
        <v>2021</v>
      </c>
      <c r="N16" s="233"/>
      <c r="O16" s="233"/>
      <c r="P16" s="302"/>
      <c r="Q16" s="283"/>
      <c r="R16" s="272"/>
      <c r="S16" s="269"/>
    </row>
    <row r="17" spans="3:19" ht="12.5">
      <c r="C17" s="289" t="s">
        <v>8</v>
      </c>
      <c r="D17" s="290">
        <f>R107</f>
        <v>0.51144399173830357</v>
      </c>
      <c r="E17" s="291">
        <f>R108</f>
        <v>3.8440092705067347E-2</v>
      </c>
      <c r="F17" s="409">
        <f>E17*D17</f>
        <v>1.9659954455870089E-2</v>
      </c>
      <c r="G17" s="409"/>
      <c r="H17" s="278"/>
      <c r="I17" s="282"/>
      <c r="J17" s="293"/>
      <c r="K17" s="294"/>
      <c r="L17" s="301"/>
      <c r="M17" s="410" t="s">
        <v>245</v>
      </c>
      <c r="N17" s="411">
        <f>SUM('S.001:S.xyz - blank'!M87)</f>
        <v>79787935.722708017</v>
      </c>
      <c r="O17" s="411">
        <f>SUM('S.001:S.xyz - blank'!N87)</f>
        <v>79787935.722708017</v>
      </c>
      <c r="P17" s="412">
        <f>+O17-N17</f>
        <v>0</v>
      </c>
      <c r="Q17" s="294"/>
      <c r="R17" s="272"/>
      <c r="S17" s="269"/>
    </row>
    <row r="18" spans="3:19" ht="13" thickBot="1">
      <c r="C18" s="289" t="s">
        <v>12</v>
      </c>
      <c r="D18" s="290">
        <f>R109</f>
        <v>0</v>
      </c>
      <c r="E18" s="291">
        <f>R110</f>
        <v>0</v>
      </c>
      <c r="F18" s="409">
        <f>E18*D18</f>
        <v>0</v>
      </c>
      <c r="G18" s="409"/>
      <c r="H18" s="298"/>
      <c r="I18" s="298"/>
      <c r="J18" s="299"/>
      <c r="K18" s="300"/>
      <c r="L18" s="301"/>
      <c r="M18" s="410" t="s">
        <v>246</v>
      </c>
      <c r="N18" s="413">
        <f>SUM('S.001:S.xyz - blank'!M88)</f>
        <v>85637476.7757691</v>
      </c>
      <c r="O18" s="413">
        <f>SUM('S.001:S.xyz - blank'!N88)</f>
        <v>85637476.7757691</v>
      </c>
      <c r="P18" s="308">
        <f>+O18-N18</f>
        <v>0</v>
      </c>
      <c r="Q18" s="300"/>
      <c r="R18" s="272"/>
      <c r="S18" s="269"/>
    </row>
    <row r="19" spans="3:19" ht="12.5">
      <c r="C19" s="303" t="s">
        <v>13</v>
      </c>
      <c r="D19" s="290">
        <f>R111</f>
        <v>0.48855600826169648</v>
      </c>
      <c r="E19" s="291">
        <f>+F14</f>
        <v>0.105</v>
      </c>
      <c r="F19" s="414">
        <f>E19*D19</f>
        <v>5.1298380867478129E-2</v>
      </c>
      <c r="G19" s="414"/>
      <c r="H19" s="298"/>
      <c r="I19" s="298"/>
      <c r="J19" s="285"/>
      <c r="K19" s="300"/>
      <c r="L19" s="301"/>
      <c r="M19" s="410" t="str">
        <f>"True-up Adjustment For "&amp;M16&amp;""</f>
        <v>True-up Adjustment For 2021</v>
      </c>
      <c r="N19" s="415">
        <f>ROUND(N18-N17,0)</f>
        <v>5849541</v>
      </c>
      <c r="O19" s="415">
        <f>+O18-O17</f>
        <v>5849541.053061083</v>
      </c>
      <c r="P19" s="416">
        <f>+P18-P17</f>
        <v>0</v>
      </c>
      <c r="Q19" s="300"/>
      <c r="R19" s="272"/>
      <c r="S19" s="269"/>
    </row>
    <row r="20" spans="3:19" ht="12.5">
      <c r="C20" s="277"/>
      <c r="D20" s="278"/>
      <c r="E20" s="309" t="s">
        <v>15</v>
      </c>
      <c r="F20" s="409">
        <f>SUM(F17:F19)</f>
        <v>7.0958335323348221E-2</v>
      </c>
      <c r="G20" s="409"/>
      <c r="H20" s="417"/>
      <c r="I20" s="298"/>
      <c r="J20" s="299"/>
      <c r="K20" s="300"/>
      <c r="L20" s="301"/>
      <c r="M20" s="233"/>
      <c r="N20" s="310" t="str">
        <f>IF(N19=ROUND(SUM('S.001:S.xyz - blank'!M89),0),"","ERROR")</f>
        <v/>
      </c>
      <c r="O20" s="310"/>
      <c r="P20" s="310" t="str">
        <f>IF(P19=SUM('S.001:S.xyz - blank'!O89),"","ERROR")</f>
        <v/>
      </c>
      <c r="Q20" s="300"/>
      <c r="R20" s="272"/>
      <c r="S20" s="269"/>
    </row>
    <row r="21" spans="3:19" ht="13" thickBot="1">
      <c r="D21" s="311"/>
      <c r="E21" s="311"/>
      <c r="F21" s="298"/>
      <c r="G21" s="298"/>
      <c r="H21" s="298"/>
      <c r="I21" s="298"/>
      <c r="J21" s="298"/>
      <c r="K21" s="312"/>
      <c r="L21" s="418"/>
      <c r="M21" s="419"/>
      <c r="N21" s="420"/>
      <c r="O21" s="420"/>
      <c r="P21" s="308"/>
      <c r="Q21" s="312"/>
      <c r="R21" s="272"/>
      <c r="S21" s="269"/>
    </row>
    <row r="22" spans="3:19" ht="15.5">
      <c r="C22" s="274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311"/>
      <c r="E22" s="311"/>
      <c r="F22" s="313"/>
      <c r="G22" s="313"/>
      <c r="H22" s="298"/>
      <c r="I22" s="278"/>
      <c r="J22" s="298"/>
      <c r="K22" s="312"/>
      <c r="L22" s="298"/>
      <c r="M22" s="298"/>
      <c r="N22" s="298"/>
      <c r="O22" s="298"/>
      <c r="P22" s="298"/>
      <c r="Q22" s="312"/>
      <c r="R22" s="272"/>
      <c r="S22" s="269"/>
    </row>
    <row r="23" spans="3:19" ht="13">
      <c r="C23" s="283"/>
      <c r="D23" s="311"/>
      <c r="E23" s="311"/>
      <c r="F23" s="312"/>
      <c r="G23" s="312"/>
      <c r="H23" s="312"/>
      <c r="I23" s="312"/>
      <c r="J23" s="312"/>
      <c r="K23" s="312"/>
      <c r="L23" s="212" t="s">
        <v>16</v>
      </c>
      <c r="M23" s="312"/>
      <c r="N23" s="312"/>
      <c r="O23" s="312"/>
      <c r="P23" s="312"/>
      <c r="Q23" s="312"/>
      <c r="R23" s="272"/>
      <c r="S23" s="269"/>
    </row>
    <row r="24" spans="3:19" ht="12.5">
      <c r="C24" s="277" t="str">
        <f>S112</f>
        <v xml:space="preserve">   Rate Base  (TCOS, ln 63)</v>
      </c>
      <c r="D24" s="278"/>
      <c r="E24" s="315">
        <f>R112</f>
        <v>1392581419.3466702</v>
      </c>
      <c r="F24" s="316"/>
      <c r="G24" s="316"/>
      <c r="H24" s="312"/>
      <c r="I24" s="312"/>
      <c r="J24" s="312"/>
      <c r="K24" s="312"/>
      <c r="L24" s="183" t="s">
        <v>17</v>
      </c>
      <c r="M24" s="312"/>
      <c r="N24" s="312"/>
      <c r="O24" s="312"/>
      <c r="P24" s="316"/>
      <c r="Q24" s="312"/>
      <c r="R24" s="272"/>
      <c r="S24" s="269"/>
    </row>
    <row r="25" spans="3:19" ht="12.5">
      <c r="C25" s="283" t="s">
        <v>18</v>
      </c>
      <c r="D25" s="280"/>
      <c r="E25" s="317">
        <f>F20</f>
        <v>7.0958335323348221E-2</v>
      </c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272"/>
      <c r="S25" s="269"/>
    </row>
    <row r="26" spans="3:19" ht="12.5">
      <c r="C26" s="318" t="s">
        <v>19</v>
      </c>
      <c r="D26" s="318"/>
      <c r="E26" s="299">
        <f>E24*E25</f>
        <v>98815259.319065228</v>
      </c>
      <c r="F26" s="312"/>
      <c r="G26" s="312"/>
      <c r="H26" s="312"/>
      <c r="I26" s="312"/>
      <c r="J26" s="300"/>
      <c r="K26" s="300"/>
      <c r="L26" s="300"/>
      <c r="M26" s="300"/>
      <c r="N26" s="421"/>
      <c r="O26" s="300"/>
      <c r="P26" s="312"/>
      <c r="Q26" s="300"/>
      <c r="R26" s="272"/>
      <c r="S26" s="269"/>
    </row>
    <row r="27" spans="3:19" ht="12.5">
      <c r="C27" s="319"/>
      <c r="D27" s="282"/>
      <c r="E27" s="282"/>
      <c r="F27" s="312"/>
      <c r="G27" s="312"/>
      <c r="H27" s="312"/>
      <c r="I27" s="312"/>
      <c r="J27" s="300"/>
      <c r="K27" s="300"/>
      <c r="L27" s="300"/>
      <c r="M27" s="300"/>
      <c r="N27" s="310"/>
      <c r="O27" s="300"/>
      <c r="P27" s="312"/>
      <c r="Q27" s="300"/>
      <c r="R27" s="272"/>
      <c r="S27" s="269"/>
    </row>
    <row r="28" spans="3:19" ht="15.5">
      <c r="C28" s="274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320"/>
      <c r="E28" s="320"/>
      <c r="F28" s="321"/>
      <c r="G28" s="321"/>
      <c r="H28" s="321"/>
      <c r="I28" s="321"/>
      <c r="J28" s="322"/>
      <c r="K28" s="322"/>
      <c r="L28" s="322"/>
      <c r="M28" s="322"/>
      <c r="N28" s="422"/>
      <c r="O28" s="322"/>
      <c r="P28" s="321"/>
      <c r="Q28" s="322"/>
      <c r="R28" s="272"/>
      <c r="S28" s="269"/>
    </row>
    <row r="29" spans="3:19" ht="12.5">
      <c r="C29" s="277"/>
      <c r="D29" s="282"/>
      <c r="E29" s="282"/>
      <c r="F29" s="312"/>
      <c r="G29" s="312"/>
      <c r="H29" s="312"/>
      <c r="I29" s="312"/>
      <c r="J29" s="300"/>
      <c r="K29" s="300"/>
      <c r="L29" s="300"/>
      <c r="M29" s="300"/>
      <c r="N29" s="300"/>
      <c r="O29" s="300"/>
      <c r="P29" s="312"/>
      <c r="Q29" s="300"/>
      <c r="R29" s="272"/>
      <c r="S29" s="269"/>
    </row>
    <row r="30" spans="3:19" ht="12.5">
      <c r="C30" s="283" t="s">
        <v>20</v>
      </c>
      <c r="D30" s="309"/>
      <c r="E30" s="323">
        <f>E26</f>
        <v>98815259.319065228</v>
      </c>
      <c r="F30" s="312"/>
      <c r="G30" s="312"/>
      <c r="H30" s="312"/>
      <c r="I30" s="312"/>
      <c r="J30" s="312"/>
      <c r="K30" s="312"/>
      <c r="L30" s="312"/>
      <c r="M30" s="312"/>
      <c r="N30" s="423"/>
      <c r="O30" s="312"/>
      <c r="P30" s="312"/>
      <c r="Q30" s="312"/>
      <c r="R30" s="272"/>
      <c r="S30" s="269"/>
    </row>
    <row r="31" spans="3:19" ht="12.5">
      <c r="C31" s="277" t="str">
        <f>S113</f>
        <v xml:space="preserve">   Tax Rate  (TCOS, ln 99)</v>
      </c>
      <c r="D31" s="309"/>
      <c r="E31" s="324">
        <f>R113</f>
        <v>0.25005299999999997</v>
      </c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272"/>
      <c r="S31" s="269"/>
    </row>
    <row r="32" spans="3:19" ht="12.5">
      <c r="C32" s="283" t="s">
        <v>21</v>
      </c>
      <c r="D32" s="270"/>
      <c r="E32" s="285">
        <f>IF(F17&gt;0,($E31/(1-$E31))*(1-$F17/$F20),0)</f>
        <v>0.24104700314976032</v>
      </c>
      <c r="F32" s="269"/>
      <c r="G32" s="269"/>
      <c r="H32" s="269"/>
      <c r="I32" s="271"/>
      <c r="J32" s="269"/>
      <c r="K32" s="272"/>
      <c r="L32" s="269"/>
      <c r="M32" s="269"/>
      <c r="N32" s="269"/>
      <c r="O32" s="269"/>
      <c r="P32" s="269"/>
      <c r="Q32" s="272"/>
      <c r="R32" s="272"/>
      <c r="S32" s="366"/>
    </row>
    <row r="33" spans="2:19" ht="12.5">
      <c r="C33" s="319" t="s">
        <v>22</v>
      </c>
      <c r="D33" s="270"/>
      <c r="E33" s="326">
        <f>E30*E32</f>
        <v>23819122.124327101</v>
      </c>
      <c r="F33" s="269"/>
      <c r="G33" s="269"/>
      <c r="H33" s="269"/>
      <c r="I33" s="271"/>
      <c r="J33" s="269"/>
      <c r="K33" s="272"/>
      <c r="L33" s="269"/>
      <c r="M33" s="269"/>
      <c r="N33" s="269"/>
      <c r="O33" s="269"/>
      <c r="P33" s="269"/>
      <c r="Q33" s="272"/>
      <c r="R33" s="272"/>
      <c r="S33" s="269"/>
    </row>
    <row r="34" spans="2:19" ht="15.5">
      <c r="C34" s="277" t="str">
        <f>S114</f>
        <v xml:space="preserve">   ITC Adjustment  (TCOS, ln 108)</v>
      </c>
      <c r="D34" s="327"/>
      <c r="E34" s="328">
        <f>R114</f>
        <v>-250546.24186235954</v>
      </c>
      <c r="F34" s="327"/>
      <c r="G34" s="327"/>
      <c r="H34" s="327"/>
      <c r="I34" s="327"/>
      <c r="J34" s="327"/>
      <c r="K34" s="327"/>
      <c r="L34" s="327"/>
      <c r="M34" s="327"/>
      <c r="N34" s="327"/>
      <c r="O34" s="327"/>
      <c r="P34" s="329"/>
      <c r="Q34" s="327"/>
      <c r="R34" s="272"/>
      <c r="S34" s="269"/>
    </row>
    <row r="35" spans="2:19" ht="15.5">
      <c r="C35" s="334" t="str">
        <f>+S115</f>
        <v xml:space="preserve">   Excess DFIT Adjustment  (TCOS, ln 109)</v>
      </c>
      <c r="D35" s="327"/>
      <c r="E35" s="328">
        <f>R115</f>
        <v>-4810113.7689068662</v>
      </c>
      <c r="F35" s="327"/>
      <c r="G35" s="327"/>
      <c r="H35" s="327"/>
      <c r="I35" s="327"/>
      <c r="J35" s="327"/>
      <c r="K35" s="327"/>
      <c r="L35" s="327"/>
      <c r="M35" s="327"/>
      <c r="N35" s="327"/>
      <c r="O35" s="327"/>
      <c r="P35" s="329"/>
      <c r="Q35" s="327"/>
      <c r="R35" s="272"/>
      <c r="S35" s="269"/>
    </row>
    <row r="36" spans="2:19" ht="15.5">
      <c r="C36" s="334" t="str">
        <f>+S116</f>
        <v xml:space="preserve">   Tax Effect of Permanent and Flow Through Differences (TCOS, ln 110)</v>
      </c>
      <c r="D36" s="327"/>
      <c r="E36" s="328">
        <f>R116</f>
        <v>284565.6293044709</v>
      </c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9"/>
      <c r="Q36" s="327"/>
      <c r="R36" s="272"/>
      <c r="S36" s="269"/>
    </row>
    <row r="37" spans="2:19" ht="15.5">
      <c r="C37" s="319" t="s">
        <v>23</v>
      </c>
      <c r="D37" s="327"/>
      <c r="E37" s="328">
        <f>E33+E34+E35+E36</f>
        <v>19043027.742862348</v>
      </c>
      <c r="F37" s="327"/>
      <c r="G37" s="327"/>
      <c r="H37" s="327"/>
      <c r="I37" s="327"/>
      <c r="J37" s="327"/>
      <c r="K37" s="327"/>
      <c r="L37" s="327"/>
      <c r="M37" s="327"/>
      <c r="N37" s="327"/>
      <c r="O37" s="327"/>
      <c r="P37" s="330"/>
      <c r="Q37" s="327"/>
      <c r="R37" s="272"/>
      <c r="S37" s="269"/>
    </row>
    <row r="38" spans="2:19" ht="12.75" customHeight="1">
      <c r="C38" s="331"/>
      <c r="D38" s="327"/>
      <c r="E38" s="327"/>
      <c r="F38" s="327"/>
      <c r="G38" s="327"/>
      <c r="H38" s="327"/>
      <c r="I38" s="327"/>
      <c r="J38" s="327"/>
      <c r="K38" s="327"/>
      <c r="L38" s="327"/>
      <c r="M38" s="327"/>
      <c r="N38" s="327"/>
      <c r="O38" s="327"/>
      <c r="P38" s="330"/>
      <c r="Q38" s="327"/>
      <c r="R38" s="272"/>
      <c r="S38" s="269"/>
    </row>
    <row r="39" spans="2:19" ht="18">
      <c r="B39" s="273" t="s">
        <v>24</v>
      </c>
      <c r="C39" s="332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327"/>
      <c r="E39" s="327"/>
      <c r="F39" s="327"/>
      <c r="G39" s="327"/>
      <c r="H39" s="327"/>
      <c r="I39" s="327"/>
      <c r="J39" s="327"/>
      <c r="K39" s="327"/>
      <c r="L39" s="327"/>
      <c r="M39" s="327"/>
      <c r="N39" s="327"/>
      <c r="O39" s="327"/>
      <c r="P39" s="330"/>
      <c r="Q39" s="327"/>
      <c r="R39" s="272"/>
      <c r="S39" s="269"/>
    </row>
    <row r="40" spans="2:19" ht="18.75" customHeight="1">
      <c r="B40" s="273"/>
      <c r="C40" s="332" t="str">
        <f>"ROE increase."</f>
        <v>ROE increase.</v>
      </c>
      <c r="D40" s="327"/>
      <c r="E40" s="327"/>
      <c r="F40" s="327"/>
      <c r="G40" s="327"/>
      <c r="H40" s="327"/>
      <c r="I40" s="327"/>
      <c r="J40" s="327"/>
      <c r="K40" s="327"/>
      <c r="L40" s="327"/>
      <c r="M40" s="327"/>
      <c r="N40" s="327"/>
      <c r="O40" s="327"/>
      <c r="P40" s="330"/>
      <c r="Q40" s="327"/>
      <c r="R40" s="272"/>
      <c r="S40" s="269"/>
    </row>
    <row r="41" spans="2:19" ht="12.75" customHeight="1">
      <c r="C41" s="331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30"/>
      <c r="Q41" s="327"/>
      <c r="R41" s="272"/>
      <c r="S41" s="269"/>
    </row>
    <row r="42" spans="2:19" ht="15.5">
      <c r="C42" s="274" t="s">
        <v>25</v>
      </c>
      <c r="D42" s="327"/>
      <c r="E42" s="327"/>
      <c r="F42" s="333"/>
      <c r="G42" s="333"/>
      <c r="H42" s="327"/>
      <c r="I42" s="327"/>
      <c r="J42" s="327"/>
      <c r="K42" s="327"/>
      <c r="L42" s="327"/>
      <c r="M42" s="327"/>
      <c r="N42" s="327"/>
      <c r="O42" s="327"/>
      <c r="P42" s="330"/>
      <c r="Q42" s="327"/>
      <c r="R42" s="272"/>
      <c r="S42" s="269"/>
    </row>
    <row r="43" spans="2:19" ht="12.5">
      <c r="B43" s="269"/>
      <c r="C43" s="334"/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28"/>
      <c r="Q43" s="335"/>
      <c r="R43" s="272"/>
      <c r="S43" s="269"/>
    </row>
    <row r="44" spans="2:19" ht="12.75" customHeight="1">
      <c r="B44" s="269"/>
      <c r="C44" s="277" t="str">
        <f>S117</f>
        <v xml:space="preserve">   Net Revenue Requirement  (TCOS, ln 117)</v>
      </c>
      <c r="D44" s="335"/>
      <c r="E44" s="335"/>
      <c r="F44" s="328">
        <f>R117</f>
        <v>230492964.19349214</v>
      </c>
      <c r="G44" s="328"/>
      <c r="H44" s="335"/>
      <c r="I44" s="335"/>
      <c r="J44" s="335"/>
      <c r="K44" s="335"/>
      <c r="L44" s="335"/>
      <c r="M44" s="335"/>
      <c r="N44" s="335"/>
      <c r="O44" s="335"/>
      <c r="P44" s="328"/>
      <c r="Q44" s="335"/>
      <c r="R44" s="272"/>
      <c r="S44" s="269"/>
    </row>
    <row r="45" spans="2:19" ht="12.5">
      <c r="B45" s="269"/>
      <c r="C45" s="277" t="str">
        <f>S118</f>
        <v xml:space="preserve">   Return  (TCOS, ln 112)</v>
      </c>
      <c r="D45" s="335"/>
      <c r="E45" s="335"/>
      <c r="F45" s="328">
        <f>R118</f>
        <v>98815259.319065228</v>
      </c>
      <c r="G45" s="336"/>
      <c r="H45" s="337"/>
      <c r="I45" s="337"/>
      <c r="J45" s="337"/>
      <c r="K45" s="337"/>
      <c r="L45" s="337"/>
      <c r="M45" s="337"/>
      <c r="N45" s="337"/>
      <c r="O45" s="337"/>
      <c r="P45" s="328"/>
      <c r="Q45" s="337"/>
      <c r="R45" s="272"/>
      <c r="S45" s="269"/>
    </row>
    <row r="46" spans="2:19" ht="12.5">
      <c r="B46" s="269"/>
      <c r="C46" s="277" t="str">
        <f>S119</f>
        <v xml:space="preserve">   Income Taxes  (TCOS, ln 111)</v>
      </c>
      <c r="D46" s="335"/>
      <c r="E46" s="335"/>
      <c r="F46" s="328">
        <f>R119</f>
        <v>19043027.742862348</v>
      </c>
      <c r="G46" s="328"/>
      <c r="H46" s="335"/>
      <c r="I46" s="335"/>
      <c r="J46" s="338"/>
      <c r="K46" s="338"/>
      <c r="L46" s="338"/>
      <c r="M46" s="338"/>
      <c r="N46" s="338"/>
      <c r="O46" s="338"/>
      <c r="P46" s="335"/>
      <c r="Q46" s="338"/>
      <c r="R46" s="272"/>
      <c r="S46" s="269"/>
    </row>
    <row r="47" spans="2:19" ht="12.5">
      <c r="B47" s="269"/>
      <c r="C47" s="277" t="str">
        <f>S120</f>
        <v xml:space="preserve">  Gross Margin Taxes  (TCOS, ln 116)</v>
      </c>
      <c r="D47" s="335"/>
      <c r="E47" s="335"/>
      <c r="F47" s="339">
        <f>R120</f>
        <v>96697.562582519677</v>
      </c>
      <c r="G47" s="328"/>
      <c r="H47" s="335"/>
      <c r="I47" s="335"/>
      <c r="J47" s="338"/>
      <c r="K47" s="338"/>
      <c r="L47" s="338"/>
      <c r="M47" s="338"/>
      <c r="N47" s="338"/>
      <c r="O47" s="338"/>
      <c r="P47" s="335"/>
      <c r="Q47" s="338"/>
      <c r="R47" s="272"/>
      <c r="S47" s="269"/>
    </row>
    <row r="48" spans="2:19" ht="12.5">
      <c r="B48" s="269"/>
      <c r="C48" s="340" t="s">
        <v>26</v>
      </c>
      <c r="D48" s="335"/>
      <c r="E48" s="335"/>
      <c r="F48" s="336">
        <f>F44-F45-F46-F47</f>
        <v>112537979.56898205</v>
      </c>
      <c r="G48" s="336"/>
      <c r="H48" s="341"/>
      <c r="I48" s="335"/>
      <c r="J48" s="341"/>
      <c r="K48" s="341"/>
      <c r="L48" s="341"/>
      <c r="M48" s="341"/>
      <c r="N48" s="341"/>
      <c r="O48" s="341"/>
      <c r="P48" s="341"/>
      <c r="Q48" s="341"/>
      <c r="R48" s="272"/>
      <c r="S48" s="269"/>
    </row>
    <row r="49" spans="2:19" ht="12.5">
      <c r="B49" s="269"/>
      <c r="C49" s="334"/>
      <c r="D49" s="335"/>
      <c r="E49" s="335"/>
      <c r="F49" s="328"/>
      <c r="G49" s="328"/>
      <c r="H49" s="342"/>
      <c r="I49" s="343"/>
      <c r="J49" s="343"/>
      <c r="K49" s="343"/>
      <c r="L49" s="343"/>
      <c r="M49" s="343"/>
      <c r="N49" s="343"/>
      <c r="O49" s="343"/>
      <c r="P49" s="343"/>
      <c r="Q49" s="343"/>
      <c r="R49" s="272"/>
      <c r="S49" s="269"/>
    </row>
    <row r="50" spans="2:19" ht="15.5">
      <c r="B50" s="269"/>
      <c r="C50" s="274" t="str">
        <f>"B.   Determine Net Revenue Requirement with hypothetical "&amp;F13&amp;" basis point increase in ROE."</f>
        <v>B.   Determine Net Revenue Requirement with hypothetical 0 basis point increase in ROE.</v>
      </c>
      <c r="D50" s="344"/>
      <c r="E50" s="344"/>
      <c r="F50" s="328"/>
      <c r="G50" s="328"/>
      <c r="H50" s="342"/>
      <c r="I50" s="343"/>
      <c r="J50" s="343"/>
      <c r="K50" s="343"/>
      <c r="L50" s="343"/>
      <c r="M50" s="343"/>
      <c r="N50" s="343"/>
      <c r="O50" s="343"/>
      <c r="P50" s="343"/>
      <c r="Q50" s="343"/>
      <c r="R50" s="272"/>
      <c r="S50" s="269"/>
    </row>
    <row r="51" spans="2:19" ht="12.5">
      <c r="B51" s="269"/>
      <c r="C51" s="334"/>
      <c r="D51" s="344"/>
      <c r="E51" s="344"/>
      <c r="F51" s="328"/>
      <c r="G51" s="328"/>
      <c r="H51" s="342"/>
      <c r="I51" s="343"/>
      <c r="J51" s="343"/>
      <c r="K51" s="343"/>
      <c r="L51" s="343"/>
      <c r="M51" s="343"/>
      <c r="N51" s="343"/>
      <c r="O51" s="343"/>
      <c r="P51" s="343"/>
      <c r="Q51" s="343"/>
      <c r="R51" s="272"/>
      <c r="S51" s="269"/>
    </row>
    <row r="52" spans="2:19" ht="13">
      <c r="B52" s="269"/>
      <c r="C52" s="334" t="str">
        <f>C48</f>
        <v xml:space="preserve">   Net Revenue Requirement, Less Return and Taxes</v>
      </c>
      <c r="D52" s="344"/>
      <c r="E52" s="344"/>
      <c r="F52" s="328">
        <f>F48</f>
        <v>112537979.56898205</v>
      </c>
      <c r="G52" s="328"/>
      <c r="H52" s="335"/>
      <c r="I52" s="335"/>
      <c r="J52" s="335"/>
      <c r="K52" s="335"/>
      <c r="L52" s="335"/>
      <c r="M52" s="335"/>
      <c r="N52" s="335"/>
      <c r="O52" s="335"/>
      <c r="P52" s="347"/>
      <c r="Q52" s="335"/>
      <c r="R52" s="272"/>
      <c r="S52" s="269"/>
    </row>
    <row r="53" spans="2:19" ht="13">
      <c r="B53" s="269"/>
      <c r="C53" s="283" t="s">
        <v>93</v>
      </c>
      <c r="D53" s="349"/>
      <c r="E53" s="340"/>
      <c r="F53" s="350">
        <f>E26</f>
        <v>98815259.319065228</v>
      </c>
      <c r="G53" s="350"/>
      <c r="H53" s="340"/>
      <c r="I53" s="351"/>
      <c r="J53" s="340"/>
      <c r="K53" s="340"/>
      <c r="L53" s="340"/>
      <c r="M53" s="340"/>
      <c r="N53" s="340"/>
      <c r="O53" s="340"/>
      <c r="P53" s="340"/>
      <c r="Q53" s="340"/>
      <c r="R53" s="272"/>
      <c r="S53" s="269"/>
    </row>
    <row r="54" spans="2:19" ht="12.75" customHeight="1">
      <c r="B54" s="269"/>
      <c r="C54" s="277" t="s">
        <v>27</v>
      </c>
      <c r="D54" s="335"/>
      <c r="E54" s="335"/>
      <c r="F54" s="424">
        <f>E37</f>
        <v>19043027.742862348</v>
      </c>
      <c r="G54" s="352"/>
      <c r="H54" s="269"/>
      <c r="I54" s="271"/>
      <c r="J54" s="269"/>
      <c r="K54" s="272"/>
      <c r="L54" s="269"/>
      <c r="M54" s="269"/>
      <c r="N54" s="269"/>
      <c r="O54" s="269"/>
      <c r="P54" s="269"/>
      <c r="Q54" s="272"/>
      <c r="R54" s="272"/>
      <c r="S54" s="269"/>
    </row>
    <row r="55" spans="2:19" ht="12.5">
      <c r="B55" s="269"/>
      <c r="C55" s="340" t="str">
        <f>"   Net Revenue Requirement, with "&amp;F13&amp;" Basis Point ROE increase"</f>
        <v xml:space="preserve">   Net Revenue Requirement, with 0 Basis Point ROE increase</v>
      </c>
      <c r="D55" s="270"/>
      <c r="E55" s="269"/>
      <c r="F55" s="326">
        <f>SUM(F52:F54)</f>
        <v>230396266.63090962</v>
      </c>
      <c r="G55" s="326"/>
      <c r="H55" s="269"/>
      <c r="I55" s="271"/>
      <c r="J55" s="269"/>
      <c r="K55" s="272"/>
      <c r="L55" s="269"/>
      <c r="M55" s="269"/>
      <c r="N55" s="269"/>
      <c r="O55" s="269"/>
      <c r="P55" s="269"/>
      <c r="Q55" s="272"/>
      <c r="R55" s="272"/>
      <c r="S55" s="269"/>
    </row>
    <row r="56" spans="2:19" ht="12.5">
      <c r="B56" s="269"/>
      <c r="C56" s="353" t="str">
        <f>"   Gross Margin Tax with "&amp;F13&amp;" Basis Point ROE Increase (II C. below)"</f>
        <v xml:space="preserve">   Gross Margin Tax with 0 Basis Point ROE Increase (II C. below)</v>
      </c>
      <c r="D56" s="227"/>
      <c r="E56" s="227"/>
      <c r="F56" s="354">
        <f>+F71</f>
        <v>132763.17948608703</v>
      </c>
      <c r="G56" s="350"/>
      <c r="H56" s="269"/>
      <c r="I56" s="271"/>
      <c r="J56" s="269"/>
      <c r="K56" s="272"/>
      <c r="L56" s="269"/>
      <c r="M56" s="269"/>
      <c r="N56" s="269"/>
      <c r="O56" s="269"/>
      <c r="P56" s="269"/>
      <c r="Q56" s="272"/>
      <c r="R56" s="272"/>
      <c r="S56" s="269"/>
    </row>
    <row r="57" spans="2:19" ht="12.5">
      <c r="B57" s="269"/>
      <c r="C57" s="340" t="s">
        <v>28</v>
      </c>
      <c r="D57" s="270"/>
      <c r="E57" s="269"/>
      <c r="F57" s="355">
        <f>+F55+F56</f>
        <v>230529029.81039572</v>
      </c>
      <c r="G57" s="355"/>
      <c r="H57" s="269"/>
      <c r="I57" s="271"/>
      <c r="J57" s="269"/>
      <c r="K57" s="272"/>
      <c r="L57" s="269"/>
      <c r="M57" s="269"/>
      <c r="N57" s="269"/>
      <c r="O57" s="269"/>
      <c r="P57" s="269"/>
      <c r="Q57" s="272"/>
      <c r="R57" s="272"/>
      <c r="S57" s="269"/>
    </row>
    <row r="58" spans="2:19" ht="12.5">
      <c r="B58" s="269"/>
      <c r="C58" s="277" t="str">
        <f>S121</f>
        <v xml:space="preserve">   Less: Depreciation  (TCOS, ln 86)</v>
      </c>
      <c r="D58" s="270"/>
      <c r="E58" s="269"/>
      <c r="F58" s="356">
        <f>R121</f>
        <v>51733091.61842034</v>
      </c>
      <c r="G58" s="356"/>
      <c r="H58" s="269"/>
      <c r="I58" s="271"/>
      <c r="J58" s="269"/>
      <c r="K58" s="272"/>
      <c r="L58" s="269"/>
      <c r="M58" s="269"/>
      <c r="N58" s="269"/>
      <c r="O58" s="269"/>
      <c r="P58" s="269"/>
      <c r="Q58" s="272"/>
      <c r="R58" s="272"/>
      <c r="S58" s="269"/>
    </row>
    <row r="59" spans="2:19" ht="12.5">
      <c r="B59" s="269"/>
      <c r="C59" s="340" t="str">
        <f>"   Net Rev. Req, w/"&amp;F13&amp;" Basis Point ROE increase, less Depreciation"</f>
        <v xml:space="preserve">   Net Rev. Req, w/0 Basis Point ROE increase, less Depreciation</v>
      </c>
      <c r="D59" s="270"/>
      <c r="E59" s="269"/>
      <c r="F59" s="326">
        <f>F57-F58</f>
        <v>178795938.19197538</v>
      </c>
      <c r="G59" s="326"/>
      <c r="H59" s="269"/>
      <c r="I59" s="271"/>
      <c r="J59" s="269"/>
      <c r="K59" s="272"/>
      <c r="L59" s="269"/>
      <c r="M59" s="269"/>
      <c r="N59" s="269"/>
      <c r="O59" s="269"/>
      <c r="P59" s="269"/>
      <c r="Q59" s="272"/>
      <c r="R59" s="272"/>
      <c r="S59" s="269"/>
    </row>
    <row r="60" spans="2:19" ht="12.5">
      <c r="B60" s="269"/>
      <c r="C60" s="269"/>
      <c r="D60" s="270"/>
      <c r="E60" s="269"/>
      <c r="F60" s="269"/>
      <c r="G60" s="269"/>
      <c r="H60" s="269"/>
      <c r="I60" s="271"/>
      <c r="J60" s="269"/>
      <c r="K60" s="272"/>
      <c r="L60" s="269"/>
      <c r="M60" s="269"/>
      <c r="N60" s="269"/>
      <c r="O60" s="269"/>
      <c r="P60" s="269"/>
      <c r="Q60" s="272" t="str">
        <f>IF(ROUND(Q59,0)=ROUND(SUM(Q18:Q58),0),"","Error -- check allocations above).")</f>
        <v/>
      </c>
      <c r="R60" s="272"/>
      <c r="S60" s="269"/>
    </row>
    <row r="61" spans="2:19" ht="15.5">
      <c r="B61" s="269"/>
      <c r="C61" s="358" t="str">
        <f>"C.   Determine Gross Margin Tax with hypothetical "&amp;F13&amp;" basis point increase in ROE."</f>
        <v>C.   Determine Gross Margin Tax with hypothetical 0 basis point increase in ROE.</v>
      </c>
      <c r="D61" s="359"/>
      <c r="E61" s="359"/>
      <c r="F61" s="360"/>
      <c r="G61" s="360"/>
      <c r="H61" s="357"/>
      <c r="I61" s="271"/>
      <c r="J61" s="269"/>
      <c r="K61" s="272"/>
      <c r="L61" s="269"/>
      <c r="M61" s="269"/>
      <c r="N61" s="269"/>
      <c r="O61" s="269"/>
      <c r="P61" s="269"/>
      <c r="Q61" s="272"/>
      <c r="R61" s="272"/>
      <c r="S61" s="269"/>
    </row>
    <row r="62" spans="2:19" ht="12.5">
      <c r="B62" s="269"/>
      <c r="C62" s="353" t="str">
        <f>"   Net Revenue Requirement before Gross Margin Taxes, with "&amp;F13&amp;" "</f>
        <v xml:space="preserve">   Net Revenue Requirement before Gross Margin Taxes, with 0 </v>
      </c>
      <c r="D62" s="359"/>
      <c r="E62" s="359"/>
      <c r="F62" s="360">
        <f>+F55</f>
        <v>230396266.63090962</v>
      </c>
      <c r="G62" s="360"/>
      <c r="H62" s="357"/>
      <c r="I62" s="271"/>
      <c r="J62" s="269"/>
      <c r="K62" s="272"/>
      <c r="L62" s="269"/>
      <c r="M62" s="269"/>
      <c r="N62" s="269"/>
      <c r="O62" s="269"/>
      <c r="P62" s="269"/>
      <c r="Q62" s="272"/>
      <c r="R62" s="272"/>
      <c r="S62" s="269"/>
    </row>
    <row r="63" spans="2:19" ht="12.5">
      <c r="B63" s="269"/>
      <c r="C63" s="353" t="s">
        <v>29</v>
      </c>
      <c r="D63" s="359"/>
      <c r="E63" s="359"/>
      <c r="F63" s="360"/>
      <c r="G63" s="360"/>
      <c r="H63" s="357"/>
      <c r="I63" s="271"/>
      <c r="J63" s="269"/>
      <c r="K63" s="272"/>
      <c r="L63" s="269"/>
      <c r="M63" s="269"/>
      <c r="N63" s="269"/>
      <c r="O63" s="269"/>
      <c r="P63" s="269"/>
      <c r="Q63" s="272"/>
      <c r="R63" s="272"/>
      <c r="S63" s="269"/>
    </row>
    <row r="64" spans="2:19" ht="12.5">
      <c r="B64" s="269"/>
      <c r="C64" s="340" t="str">
        <f>S122</f>
        <v xml:space="preserve">       Apportionment Factor to Texas (Worksheet K, ln 12)</v>
      </c>
      <c r="D64" s="325"/>
      <c r="E64" s="357"/>
      <c r="F64" s="362">
        <f>R122</f>
        <v>0.41136014865158921</v>
      </c>
      <c r="G64" s="425"/>
      <c r="H64" s="357"/>
      <c r="I64" s="271"/>
      <c r="J64" s="269"/>
      <c r="K64" s="272"/>
      <c r="L64" s="269"/>
      <c r="M64" s="269"/>
      <c r="N64" s="269"/>
      <c r="O64" s="269"/>
      <c r="P64" s="269"/>
      <c r="Q64" s="272"/>
      <c r="R64" s="272"/>
      <c r="S64" s="269"/>
    </row>
    <row r="65" spans="2:19" ht="12.5">
      <c r="B65" s="269"/>
      <c r="C65" s="340" t="s">
        <v>30</v>
      </c>
      <c r="D65" s="325"/>
      <c r="E65" s="357"/>
      <c r="F65" s="360">
        <f>+F64*F62</f>
        <v>94775842.490062162</v>
      </c>
      <c r="G65" s="360"/>
      <c r="H65" s="357"/>
      <c r="I65" s="271"/>
      <c r="J65" s="269"/>
      <c r="K65" s="272"/>
      <c r="L65" s="269"/>
      <c r="M65" s="269"/>
      <c r="N65" s="269"/>
      <c r="O65" s="269"/>
      <c r="P65" s="269"/>
      <c r="Q65" s="272"/>
      <c r="R65" s="272"/>
      <c r="S65" s="269"/>
    </row>
    <row r="66" spans="2:19" ht="12.5">
      <c r="B66" s="269"/>
      <c r="C66" s="340" t="str">
        <f>+'SWE.WS.F.BPU.ATRR.Projected'!C66</f>
        <v xml:space="preserve">       Taxable Percentage of Revenue (22%)</v>
      </c>
      <c r="D66" s="325"/>
      <c r="E66" s="357"/>
      <c r="F66" s="363">
        <f>+'SWE.WS.F.BPU.ATRR.Projected'!F66</f>
        <v>0.14000000000000001</v>
      </c>
      <c r="G66" s="426"/>
      <c r="H66" s="357"/>
      <c r="I66" s="271"/>
      <c r="J66" s="269"/>
      <c r="K66" s="272"/>
      <c r="L66" s="269"/>
      <c r="M66" s="269"/>
      <c r="N66" s="269"/>
      <c r="O66" s="269"/>
      <c r="P66" s="269"/>
      <c r="Q66" s="272"/>
      <c r="R66" s="272"/>
      <c r="S66" s="269"/>
    </row>
    <row r="67" spans="2:19" ht="12.5">
      <c r="B67" s="269"/>
      <c r="C67" s="340" t="s">
        <v>31</v>
      </c>
      <c r="D67" s="325"/>
      <c r="E67" s="357"/>
      <c r="F67" s="360">
        <f>+F65*F66</f>
        <v>13268617.948608704</v>
      </c>
      <c r="G67" s="360"/>
      <c r="H67" s="357"/>
      <c r="I67" s="271"/>
      <c r="J67" s="269"/>
      <c r="K67" s="272"/>
      <c r="L67" s="269"/>
      <c r="M67" s="269"/>
      <c r="N67" s="269"/>
      <c r="O67" s="269"/>
      <c r="P67" s="269"/>
      <c r="Q67" s="272"/>
      <c r="R67" s="272"/>
      <c r="S67" s="269"/>
    </row>
    <row r="68" spans="2:19" ht="12.5">
      <c r="B68" s="269"/>
      <c r="C68" s="340" t="s">
        <v>32</v>
      </c>
      <c r="D68" s="325"/>
      <c r="E68" s="357"/>
      <c r="F68" s="363">
        <v>0.01</v>
      </c>
      <c r="G68" s="426"/>
      <c r="H68" s="357"/>
      <c r="I68" s="271"/>
      <c r="J68" s="269"/>
      <c r="K68" s="272"/>
      <c r="L68" s="269"/>
      <c r="M68" s="269"/>
      <c r="N68" s="269"/>
      <c r="O68" s="269"/>
      <c r="P68" s="269"/>
      <c r="Q68" s="272"/>
      <c r="R68" s="272"/>
      <c r="S68" s="269"/>
    </row>
    <row r="69" spans="2:19" ht="12.5">
      <c r="B69" s="269"/>
      <c r="C69" s="340" t="s">
        <v>33</v>
      </c>
      <c r="D69" s="325"/>
      <c r="E69" s="357"/>
      <c r="F69" s="360">
        <f>+F67*F68</f>
        <v>132686.17948608703</v>
      </c>
      <c r="G69" s="360"/>
      <c r="H69" s="357"/>
      <c r="I69" s="271"/>
      <c r="J69" s="269"/>
      <c r="K69" s="272"/>
      <c r="L69" s="269"/>
      <c r="M69" s="269"/>
      <c r="N69" s="269"/>
      <c r="O69" s="269"/>
      <c r="P69" s="269"/>
      <c r="Q69" s="272"/>
      <c r="R69" s="272"/>
      <c r="S69" s="269"/>
    </row>
    <row r="70" spans="2:19" ht="12.5">
      <c r="B70" s="269"/>
      <c r="C70" s="340" t="s">
        <v>34</v>
      </c>
      <c r="D70" s="325"/>
      <c r="E70" s="357"/>
      <c r="F70" s="364">
        <f>+ROUND((F69*F66*F64)/(1-F68)*F68,0)</f>
        <v>77</v>
      </c>
      <c r="G70" s="427"/>
      <c r="H70" s="357"/>
      <c r="I70" s="271"/>
      <c r="J70" s="269"/>
      <c r="K70" s="272"/>
      <c r="L70" s="269"/>
      <c r="M70" s="269"/>
      <c r="N70" s="269"/>
      <c r="O70" s="269"/>
      <c r="P70" s="269"/>
      <c r="Q70" s="272"/>
      <c r="R70" s="272"/>
      <c r="S70" s="269"/>
    </row>
    <row r="71" spans="2:19" ht="12.5">
      <c r="B71" s="269"/>
      <c r="C71" s="340" t="s">
        <v>35</v>
      </c>
      <c r="D71" s="325"/>
      <c r="E71" s="357"/>
      <c r="F71" s="360">
        <f>+F69+F70</f>
        <v>132763.17948608703</v>
      </c>
      <c r="G71" s="360"/>
      <c r="H71" s="357"/>
      <c r="I71" s="271"/>
      <c r="J71" s="269"/>
      <c r="K71" s="272"/>
      <c r="L71" s="269"/>
      <c r="M71" s="269"/>
      <c r="N71" s="269"/>
      <c r="O71" s="269"/>
      <c r="P71" s="269"/>
      <c r="Q71" s="272"/>
      <c r="R71" s="272"/>
      <c r="S71" s="269"/>
    </row>
    <row r="72" spans="2:19" ht="12.5">
      <c r="B72" s="269"/>
      <c r="C72" s="269"/>
      <c r="D72" s="270"/>
      <c r="E72" s="269"/>
      <c r="F72" s="269"/>
      <c r="G72" s="269"/>
      <c r="H72" s="269"/>
      <c r="I72" s="271"/>
      <c r="J72" s="269"/>
      <c r="K72" s="272"/>
      <c r="L72" s="269"/>
      <c r="M72" s="269"/>
      <c r="N72" s="269"/>
      <c r="O72" s="269"/>
      <c r="P72" s="269"/>
      <c r="Q72" s="272"/>
      <c r="R72" s="272"/>
      <c r="S72" s="269"/>
    </row>
    <row r="73" spans="2:19" ht="15.5">
      <c r="B73" s="269"/>
      <c r="C73" s="274" t="str">
        <f>"D.   Determine FCR with hypothetical "&amp;F13&amp;" basis point ROE increase."</f>
        <v>D.   Determine FCR with hypothetical 0 basis point ROE increase.</v>
      </c>
      <c r="D73" s="270"/>
      <c r="E73" s="269"/>
      <c r="F73" s="269"/>
      <c r="G73" s="269"/>
      <c r="H73" s="269"/>
      <c r="I73" s="247"/>
      <c r="J73" s="269"/>
      <c r="K73" s="272"/>
      <c r="L73" s="269"/>
      <c r="M73" s="269"/>
      <c r="N73" s="269"/>
      <c r="O73" s="269"/>
      <c r="P73" s="269"/>
      <c r="Q73" s="272"/>
      <c r="R73" s="272"/>
      <c r="S73" s="269"/>
    </row>
    <row r="74" spans="2:19" ht="12.5">
      <c r="B74" s="269"/>
      <c r="C74" s="269"/>
      <c r="D74" s="270"/>
      <c r="E74" s="269"/>
      <c r="F74" s="269"/>
      <c r="G74" s="269"/>
      <c r="H74" s="269"/>
      <c r="I74" s="271"/>
      <c r="J74" s="269"/>
      <c r="K74" s="272"/>
      <c r="L74" s="269"/>
      <c r="M74" s="269"/>
      <c r="N74" s="269"/>
      <c r="O74" s="269"/>
      <c r="P74" s="269"/>
      <c r="Q74" s="272"/>
      <c r="R74" s="272"/>
      <c r="S74" s="269"/>
    </row>
    <row r="75" spans="2:19" ht="12.5">
      <c r="B75" s="269"/>
      <c r="C75" s="334" t="str">
        <f>S123</f>
        <v xml:space="preserve">   Net Transmission Plant  (TCOS, ln 37)</v>
      </c>
      <c r="D75" s="270"/>
      <c r="E75" s="269"/>
      <c r="F75" s="326">
        <f>R123</f>
        <v>1574779464.1137781</v>
      </c>
      <c r="G75" s="326"/>
      <c r="I75" s="247"/>
      <c r="J75" s="269"/>
      <c r="K75" s="272"/>
      <c r="L75" s="269"/>
      <c r="M75" s="269"/>
      <c r="N75" s="269"/>
      <c r="O75" s="269"/>
      <c r="P75" s="269"/>
      <c r="Q75" s="272"/>
      <c r="R75" s="272"/>
      <c r="S75" s="269"/>
    </row>
    <row r="76" spans="2:19" ht="14">
      <c r="B76" s="269"/>
      <c r="C76" s="340" t="str">
        <f>"   Net Revenue Requirement, with "&amp;F13&amp;" Basis Point ROE increase"</f>
        <v xml:space="preserve">   Net Revenue Requirement, with 0 Basis Point ROE increase</v>
      </c>
      <c r="D76" s="270"/>
      <c r="E76" s="269"/>
      <c r="F76" s="428">
        <f>+F57</f>
        <v>230529029.81039572</v>
      </c>
      <c r="G76" s="428"/>
      <c r="I76" s="247"/>
      <c r="J76" s="269"/>
      <c r="K76" s="272"/>
      <c r="L76" s="269"/>
      <c r="M76" s="269"/>
      <c r="N76" s="269"/>
      <c r="O76" s="269"/>
      <c r="P76" s="269"/>
      <c r="Q76" s="272"/>
      <c r="R76" s="272"/>
      <c r="S76" s="269"/>
    </row>
    <row r="77" spans="2:19" ht="12.5">
      <c r="B77" s="269"/>
      <c r="C77" s="340" t="str">
        <f>"   FCR with "&amp;F13&amp;" Basis Point increase in ROE"</f>
        <v xml:space="preserve">   FCR with 0 Basis Point increase in ROE</v>
      </c>
      <c r="D77" s="270"/>
      <c r="E77" s="269"/>
      <c r="F77" s="366">
        <f>IF(F75=0,0,F76/F75)</f>
        <v>0.14638813564928477</v>
      </c>
      <c r="G77" s="366"/>
      <c r="I77" s="247"/>
      <c r="J77" s="269"/>
      <c r="K77" s="272"/>
      <c r="L77" s="269"/>
      <c r="M77" s="269"/>
      <c r="N77" s="269"/>
      <c r="O77" s="269"/>
      <c r="P77" s="269"/>
      <c r="Q77" s="272"/>
      <c r="R77" s="272"/>
      <c r="S77" s="269"/>
    </row>
    <row r="78" spans="2:19" ht="12.5">
      <c r="B78" s="269"/>
      <c r="D78" s="270"/>
      <c r="E78" s="269"/>
      <c r="F78" s="357"/>
      <c r="G78" s="357"/>
      <c r="H78" s="429"/>
      <c r="I78" s="247"/>
      <c r="J78" s="269"/>
      <c r="K78" s="272"/>
      <c r="L78" s="269"/>
      <c r="M78" s="269"/>
      <c r="N78" s="269"/>
      <c r="O78" s="269"/>
      <c r="P78" s="269"/>
      <c r="Q78" s="272"/>
      <c r="R78" s="272"/>
      <c r="S78" s="269"/>
    </row>
    <row r="79" spans="2:19" ht="12.5">
      <c r="B79" s="269"/>
      <c r="C79" s="340" t="str">
        <f>"   Net Rev. Req, w / "&amp;F13&amp;" Basis Point ROE increase, less Dep."</f>
        <v xml:space="preserve">   Net Rev. Req, w / 0 Basis Point ROE increase, less Dep.</v>
      </c>
      <c r="D79" s="270"/>
      <c r="E79" s="269"/>
      <c r="F79" s="326">
        <f>+F59</f>
        <v>178795938.19197538</v>
      </c>
      <c r="G79" s="326"/>
      <c r="I79" s="247"/>
      <c r="J79" s="269"/>
      <c r="K79" s="272"/>
      <c r="L79" s="269"/>
      <c r="M79" s="269"/>
      <c r="N79" s="269"/>
      <c r="O79" s="269"/>
      <c r="P79" s="269"/>
      <c r="Q79" s="272"/>
      <c r="R79" s="272"/>
      <c r="S79" s="269"/>
    </row>
    <row r="80" spans="2:19" ht="12.5">
      <c r="B80" s="269"/>
      <c r="C80" s="340" t="str">
        <f>"   FCR with "&amp;F13&amp;" Basis Point ROE increase, less Depreciation"</f>
        <v xml:space="preserve">   FCR with 0 Basis Point ROE increase, less Depreciation</v>
      </c>
      <c r="D80" s="270"/>
      <c r="E80" s="269"/>
      <c r="F80" s="366">
        <f>IF(F75=0,0,F79/F75)</f>
        <v>0.11353712838298566</v>
      </c>
      <c r="G80" s="366"/>
      <c r="H80" s="275"/>
      <c r="I80" s="247"/>
      <c r="J80" s="269"/>
      <c r="K80" s="272"/>
      <c r="L80" s="269"/>
      <c r="M80" s="269"/>
      <c r="N80" s="269"/>
      <c r="O80" s="269"/>
      <c r="P80" s="269"/>
      <c r="Q80" s="272"/>
      <c r="R80" s="272"/>
      <c r="S80" s="269"/>
    </row>
    <row r="81" spans="2:19" ht="12.5">
      <c r="B81" s="269"/>
      <c r="C81" s="334" t="str">
        <f>S124</f>
        <v xml:space="preserve">   FCR less Depreciation  (TCOS, ln 10)</v>
      </c>
      <c r="D81" s="270"/>
      <c r="E81" s="269"/>
      <c r="F81" s="367">
        <f>R124</f>
        <v>0.11351422637179906</v>
      </c>
      <c r="G81" s="367"/>
      <c r="H81" s="430"/>
      <c r="I81" s="247"/>
      <c r="J81" s="269"/>
      <c r="K81" s="272"/>
      <c r="L81" s="269"/>
      <c r="M81" s="269"/>
      <c r="N81" s="269"/>
      <c r="O81" s="269"/>
      <c r="P81" s="269"/>
      <c r="Q81" s="272"/>
      <c r="R81" s="272"/>
      <c r="S81" s="269"/>
    </row>
    <row r="82" spans="2:19" ht="12.5">
      <c r="B82" s="269"/>
      <c r="C82" s="340" t="str">
        <f>"   Incremental FCR with "&amp;F13&amp;" Basis Point ROE increase, less Depreciation"</f>
        <v xml:space="preserve">   Incremental FCR with 0 Basis Point ROE increase, less Depreciation</v>
      </c>
      <c r="D82" s="270"/>
      <c r="E82" s="269"/>
      <c r="F82" s="366">
        <f>F80-F81</f>
        <v>2.2902011186598514E-5</v>
      </c>
      <c r="G82" s="366"/>
      <c r="I82" s="247"/>
      <c r="J82" s="269"/>
      <c r="K82" s="272"/>
      <c r="L82" s="269"/>
      <c r="M82" s="269"/>
      <c r="N82" s="269"/>
      <c r="O82" s="269"/>
      <c r="P82" s="269"/>
      <c r="Q82" s="272"/>
      <c r="R82" s="272"/>
      <c r="S82" s="269"/>
    </row>
    <row r="83" spans="2:19" ht="12.5">
      <c r="B83" s="269"/>
      <c r="C83" s="340"/>
      <c r="D83" s="270"/>
      <c r="E83" s="269"/>
      <c r="F83" s="366"/>
      <c r="G83" s="366"/>
      <c r="H83" s="269"/>
      <c r="I83" s="271"/>
      <c r="J83" s="269"/>
      <c r="K83" s="272"/>
      <c r="L83" s="269"/>
      <c r="M83" s="269"/>
      <c r="N83" s="269"/>
      <c r="O83" s="269"/>
      <c r="P83" s="269"/>
      <c r="Q83" s="272"/>
      <c r="R83" s="272"/>
      <c r="S83" s="269"/>
    </row>
    <row r="84" spans="2:19" ht="18">
      <c r="B84" s="273" t="s">
        <v>36</v>
      </c>
      <c r="C84" s="332" t="s">
        <v>37</v>
      </c>
      <c r="D84" s="270"/>
      <c r="E84" s="269"/>
      <c r="F84" s="366"/>
      <c r="G84" s="366"/>
      <c r="H84" s="269"/>
      <c r="I84" s="271"/>
      <c r="J84" s="269"/>
      <c r="K84" s="272"/>
      <c r="L84" s="269"/>
      <c r="M84" s="269"/>
      <c r="N84" s="269"/>
      <c r="O84" s="269"/>
      <c r="P84" s="269"/>
      <c r="Q84" s="272"/>
      <c r="R84" s="272"/>
      <c r="S84" s="269"/>
    </row>
    <row r="85" spans="2:19" ht="12.75" customHeight="1">
      <c r="B85" s="273"/>
      <c r="C85" s="332"/>
      <c r="D85" s="270"/>
      <c r="E85" s="269"/>
      <c r="F85" s="366"/>
      <c r="G85" s="366"/>
      <c r="H85" s="269"/>
      <c r="I85" s="271"/>
      <c r="J85" s="269"/>
      <c r="K85" s="272"/>
      <c r="L85" s="269"/>
      <c r="M85" s="269"/>
      <c r="N85" s="269"/>
      <c r="O85" s="269"/>
      <c r="P85" s="269"/>
      <c r="Q85" s="272"/>
      <c r="R85" s="272"/>
      <c r="S85" s="269"/>
    </row>
    <row r="86" spans="2:19" ht="12.75" customHeight="1">
      <c r="B86" s="273"/>
      <c r="C86" s="340" t="s">
        <v>38</v>
      </c>
      <c r="D86" s="270"/>
      <c r="F86" s="361">
        <f>R125</f>
        <v>2172102538</v>
      </c>
      <c r="G86" s="269" t="s">
        <v>39</v>
      </c>
      <c r="I86" s="271"/>
      <c r="J86" s="269"/>
      <c r="K86" s="272"/>
      <c r="L86" s="269"/>
      <c r="M86" s="269"/>
      <c r="N86" s="269"/>
      <c r="O86" s="269"/>
      <c r="P86" s="269"/>
      <c r="Q86" s="272"/>
      <c r="R86" s="272"/>
      <c r="S86" s="269"/>
    </row>
    <row r="87" spans="2:19" ht="12.75" customHeight="1">
      <c r="B87" s="273"/>
      <c r="C87" s="340" t="s">
        <v>40</v>
      </c>
      <c r="D87" s="270"/>
      <c r="F87" s="368">
        <f>R126</f>
        <v>2324483589</v>
      </c>
      <c r="G87" s="269" t="s">
        <v>39</v>
      </c>
      <c r="I87" s="271"/>
      <c r="J87" s="269"/>
      <c r="K87" s="272"/>
      <c r="L87" s="269"/>
      <c r="M87" s="269"/>
      <c r="N87" s="269"/>
      <c r="O87" s="269"/>
      <c r="P87" s="269"/>
      <c r="Q87" s="272"/>
      <c r="R87" s="272"/>
      <c r="S87" s="269"/>
    </row>
    <row r="88" spans="2:19" ht="12.75" customHeight="1">
      <c r="B88" s="273"/>
      <c r="C88" s="340"/>
      <c r="D88" s="270"/>
      <c r="F88" s="271">
        <f>+F87+F86</f>
        <v>4496586127</v>
      </c>
      <c r="G88" s="271"/>
      <c r="H88" s="269"/>
      <c r="I88" s="271"/>
      <c r="J88" s="269"/>
      <c r="K88" s="272"/>
      <c r="L88" s="269"/>
      <c r="M88" s="269"/>
      <c r="N88" s="269"/>
      <c r="O88" s="269"/>
      <c r="P88" s="269"/>
      <c r="Q88" s="272"/>
      <c r="R88" s="272"/>
      <c r="S88" s="269"/>
    </row>
    <row r="89" spans="2:19" ht="12.5">
      <c r="B89" s="269"/>
      <c r="C89" s="340" t="str">
        <f>+S127</f>
        <v>Transmission Plant Average Balance for 2019</v>
      </c>
      <c r="D89" s="325"/>
      <c r="E89" s="191"/>
      <c r="F89" s="351">
        <f>+F88/2</f>
        <v>2248293063.5</v>
      </c>
      <c r="G89" s="351"/>
      <c r="I89" s="271"/>
      <c r="J89" s="269"/>
      <c r="K89" s="272"/>
      <c r="L89" s="269"/>
      <c r="M89" s="269"/>
      <c r="N89" s="269"/>
      <c r="O89" s="269"/>
      <c r="P89" s="269"/>
      <c r="Q89" s="272"/>
      <c r="R89" s="272"/>
      <c r="S89" s="269"/>
    </row>
    <row r="90" spans="2:19" ht="12.5">
      <c r="B90" s="269"/>
      <c r="C90" s="277" t="str">
        <f>S128</f>
        <v>Annual Depreciation Expense  (True-Up TCOS,  ln 86)</v>
      </c>
      <c r="D90" s="325"/>
      <c r="E90" s="357"/>
      <c r="F90" s="351">
        <f>R128</f>
        <v>54560968</v>
      </c>
      <c r="G90" s="351"/>
      <c r="I90" s="271"/>
      <c r="J90" s="269"/>
      <c r="K90" s="272"/>
      <c r="L90" s="269"/>
      <c r="M90" s="269"/>
      <c r="N90" s="269"/>
      <c r="O90" s="269"/>
      <c r="P90" s="269"/>
      <c r="Q90" s="272"/>
      <c r="R90" s="272"/>
      <c r="S90" s="269"/>
    </row>
    <row r="91" spans="2:19" ht="12.5">
      <c r="B91" s="269"/>
      <c r="C91" s="340" t="s">
        <v>41</v>
      </c>
      <c r="D91" s="270"/>
      <c r="E91" s="269"/>
      <c r="F91" s="366">
        <f>IF(F89=0,0,F90/F89)</f>
        <v>2.4267729543702345E-2</v>
      </c>
      <c r="G91" s="366"/>
      <c r="H91" s="269"/>
      <c r="I91" s="370"/>
      <c r="J91" s="269"/>
      <c r="K91" s="272"/>
      <c r="L91" s="269"/>
      <c r="M91" s="269"/>
      <c r="N91" s="269"/>
      <c r="O91" s="269"/>
      <c r="P91" s="269"/>
      <c r="Q91" s="272"/>
      <c r="R91" s="272"/>
      <c r="S91" s="269"/>
    </row>
    <row r="92" spans="2:19" ht="12.5">
      <c r="B92" s="269"/>
      <c r="C92" s="340" t="s">
        <v>42</v>
      </c>
      <c r="D92" s="270"/>
      <c r="E92" s="269"/>
      <c r="F92" s="371">
        <f>IF(F91=0,0,1/F91)</f>
        <v>41.206986347822856</v>
      </c>
      <c r="G92" s="371"/>
      <c r="H92" s="269"/>
      <c r="I92" s="271"/>
      <c r="J92" s="269"/>
      <c r="K92" s="272"/>
      <c r="L92" s="269"/>
      <c r="M92" s="269"/>
      <c r="N92" s="269"/>
      <c r="O92" s="269"/>
      <c r="P92" s="269"/>
      <c r="Q92" s="272"/>
      <c r="R92" s="272"/>
      <c r="S92" s="269"/>
    </row>
    <row r="93" spans="2:19" ht="12.5">
      <c r="B93" s="269"/>
      <c r="C93" s="340" t="s">
        <v>43</v>
      </c>
      <c r="D93" s="270"/>
      <c r="E93" s="269"/>
      <c r="F93" s="372">
        <f>ROUND(F92,0)</f>
        <v>41</v>
      </c>
      <c r="G93" s="372"/>
      <c r="H93" s="269"/>
      <c r="I93" s="271"/>
      <c r="J93" s="269"/>
      <c r="K93" s="272"/>
      <c r="L93" s="269"/>
      <c r="M93" s="269"/>
      <c r="N93" s="269"/>
      <c r="O93" s="269"/>
      <c r="P93" s="269"/>
      <c r="Q93" s="272"/>
      <c r="R93" s="272"/>
      <c r="S93" s="269"/>
    </row>
    <row r="94" spans="2:19" ht="12.5">
      <c r="B94" s="269"/>
      <c r="C94" s="340"/>
      <c r="D94" s="270"/>
      <c r="E94" s="269"/>
      <c r="F94" s="372"/>
      <c r="G94" s="372"/>
      <c r="H94" s="269"/>
      <c r="I94" s="271"/>
      <c r="J94" s="269"/>
      <c r="K94" s="272"/>
      <c r="L94" s="269"/>
      <c r="M94" s="269"/>
      <c r="N94" s="269"/>
      <c r="O94" s="269"/>
      <c r="P94" s="269"/>
      <c r="Q94" s="272"/>
      <c r="R94" s="272"/>
      <c r="S94" s="269"/>
    </row>
    <row r="95" spans="2:19" ht="12.5">
      <c r="B95" s="269"/>
      <c r="C95" s="340"/>
      <c r="D95" s="270"/>
      <c r="E95" s="269"/>
      <c r="F95" s="372"/>
      <c r="G95" s="372"/>
      <c r="H95" s="269"/>
      <c r="I95" s="271"/>
      <c r="J95" s="269"/>
      <c r="K95" s="272"/>
      <c r="L95" s="269"/>
      <c r="M95" s="269"/>
      <c r="N95" s="269"/>
      <c r="O95" s="269"/>
      <c r="P95" s="269"/>
      <c r="Q95" s="272"/>
      <c r="R95" s="272"/>
      <c r="S95" s="269"/>
    </row>
    <row r="96" spans="2:19" ht="12.5">
      <c r="B96" s="269"/>
      <c r="C96" s="340"/>
      <c r="D96" s="270"/>
      <c r="E96" s="269"/>
      <c r="F96" s="372"/>
      <c r="G96" s="372"/>
      <c r="H96" s="269"/>
      <c r="I96" s="271"/>
      <c r="J96" s="269"/>
      <c r="K96" s="272"/>
      <c r="L96" s="269"/>
      <c r="M96" s="269"/>
      <c r="N96" s="269"/>
      <c r="O96" s="269"/>
      <c r="P96" s="269"/>
      <c r="Q96" s="272"/>
      <c r="R96" s="272"/>
      <c r="S96" s="269"/>
    </row>
    <row r="97" spans="3:19" ht="13">
      <c r="C97" s="269"/>
      <c r="D97" s="270"/>
      <c r="E97" s="269"/>
      <c r="F97" s="269"/>
      <c r="G97" s="269"/>
      <c r="H97" s="269"/>
      <c r="I97" s="271"/>
      <c r="J97" s="269"/>
      <c r="K97" s="272"/>
      <c r="L97" s="269"/>
      <c r="M97" s="269"/>
      <c r="N97" s="269"/>
      <c r="O97" s="269"/>
      <c r="P97" s="269"/>
      <c r="Q97" s="272"/>
      <c r="R97" s="377" t="s">
        <v>112</v>
      </c>
      <c r="S97" s="262" t="s">
        <v>118</v>
      </c>
    </row>
    <row r="98" spans="3:19" ht="12.5">
      <c r="C98" s="269"/>
      <c r="D98" s="270"/>
      <c r="E98" s="269"/>
      <c r="F98" s="269"/>
      <c r="G98" s="269"/>
      <c r="H98" s="269"/>
      <c r="I98" s="271"/>
      <c r="J98" s="269"/>
      <c r="K98" s="272"/>
      <c r="L98" s="269"/>
      <c r="M98" s="269"/>
      <c r="N98" s="269"/>
      <c r="O98" s="269"/>
      <c r="P98" s="269"/>
      <c r="Q98" s="272"/>
    </row>
    <row r="99" spans="3:19" ht="13">
      <c r="C99" s="267" t="s">
        <v>109</v>
      </c>
      <c r="J99" s="233"/>
      <c r="L99" s="267" t="s">
        <v>108</v>
      </c>
      <c r="N99" s="269"/>
      <c r="O99" s="269"/>
      <c r="P99" s="269"/>
      <c r="Q99" s="272"/>
    </row>
    <row r="100" spans="3:19" ht="12.5">
      <c r="C100" s="269"/>
      <c r="D100" s="270"/>
      <c r="E100" s="269"/>
      <c r="F100" s="269"/>
      <c r="G100" s="269"/>
      <c r="H100" s="269"/>
      <c r="I100" s="271"/>
      <c r="J100" s="269"/>
      <c r="K100" s="272"/>
      <c r="L100" s="269"/>
      <c r="M100" s="269"/>
      <c r="N100" s="269"/>
      <c r="O100" s="269"/>
      <c r="P100" s="269"/>
      <c r="Q100" s="272"/>
      <c r="S100" s="262" t="s">
        <v>106</v>
      </c>
    </row>
    <row r="101" spans="3:19" ht="13">
      <c r="C101" s="269"/>
      <c r="D101" s="270"/>
      <c r="E101" s="269"/>
      <c r="F101" s="269"/>
      <c r="G101" s="269"/>
      <c r="H101" s="269"/>
      <c r="I101" s="271"/>
      <c r="J101" s="269"/>
      <c r="K101" s="272"/>
      <c r="L101" s="269"/>
      <c r="M101" s="269"/>
      <c r="N101" s="269"/>
      <c r="O101" s="269"/>
      <c r="P101" s="269"/>
      <c r="Q101" s="272"/>
      <c r="R101" s="377" t="s">
        <v>103</v>
      </c>
      <c r="S101" s="236" t="s">
        <v>120</v>
      </c>
    </row>
    <row r="102" spans="3:19" ht="13.5" thickBot="1">
      <c r="C102" s="269"/>
      <c r="D102" s="270"/>
      <c r="E102" s="269"/>
      <c r="F102" s="269"/>
      <c r="G102" s="269"/>
      <c r="H102" s="269"/>
      <c r="I102" s="271"/>
      <c r="J102" s="269"/>
      <c r="K102" s="272"/>
      <c r="L102" s="269"/>
      <c r="M102" s="269"/>
      <c r="N102" s="269"/>
      <c r="O102" s="269"/>
      <c r="P102" s="269"/>
      <c r="Q102" s="272"/>
      <c r="R102" s="378" t="s">
        <v>138</v>
      </c>
    </row>
    <row r="103" spans="3:19" ht="12.5">
      <c r="C103" s="269"/>
      <c r="D103" s="270"/>
      <c r="E103" s="269"/>
      <c r="F103" s="269"/>
      <c r="G103" s="269"/>
      <c r="H103" s="269"/>
      <c r="I103" s="271"/>
      <c r="J103" s="269"/>
      <c r="K103" s="272"/>
      <c r="L103" s="269"/>
      <c r="M103" s="269"/>
      <c r="N103" s="269"/>
      <c r="O103" s="269"/>
      <c r="P103" s="269"/>
      <c r="Q103" s="272"/>
      <c r="R103" s="431" t="s">
        <v>160</v>
      </c>
      <c r="S103" s="432" t="s">
        <v>127</v>
      </c>
    </row>
    <row r="104" spans="3:19" ht="12.5">
      <c r="C104" s="269"/>
      <c r="D104" s="270"/>
      <c r="E104" s="269"/>
      <c r="F104" s="269"/>
      <c r="G104" s="269"/>
      <c r="H104" s="269"/>
      <c r="I104" s="271"/>
      <c r="J104" s="269"/>
      <c r="K104" s="272"/>
      <c r="L104" s="269"/>
      <c r="M104" s="269"/>
      <c r="N104" s="269"/>
      <c r="O104" s="269"/>
      <c r="P104" s="269"/>
      <c r="Q104" s="272"/>
      <c r="R104" s="433">
        <v>2021</v>
      </c>
      <c r="S104" s="434" t="s">
        <v>82</v>
      </c>
    </row>
    <row r="105" spans="3:19" ht="12.5">
      <c r="C105" s="269"/>
      <c r="D105" s="270"/>
      <c r="E105" s="269"/>
      <c r="F105" s="269"/>
      <c r="G105" s="269"/>
      <c r="H105" s="269"/>
      <c r="I105" s="271"/>
      <c r="J105" s="269"/>
      <c r="K105" s="272"/>
      <c r="L105" s="269"/>
      <c r="M105" s="269"/>
      <c r="N105" s="269"/>
      <c r="O105" s="269"/>
      <c r="P105" s="269"/>
      <c r="Q105" s="272"/>
      <c r="R105" s="435">
        <v>0.105</v>
      </c>
      <c r="S105" s="382" t="s">
        <v>434</v>
      </c>
    </row>
    <row r="106" spans="3:19" ht="12.5">
      <c r="C106" s="269"/>
      <c r="D106" s="270"/>
      <c r="E106" s="269"/>
      <c r="F106" s="269"/>
      <c r="G106" s="269"/>
      <c r="H106" s="269"/>
      <c r="I106" s="271"/>
      <c r="J106" s="269"/>
      <c r="K106" s="272"/>
      <c r="L106" s="269"/>
      <c r="M106" s="269"/>
      <c r="N106" s="269"/>
      <c r="O106" s="269"/>
      <c r="P106" s="269"/>
      <c r="Q106" s="272"/>
      <c r="R106" s="436">
        <v>0</v>
      </c>
      <c r="S106" s="382" t="s">
        <v>1</v>
      </c>
    </row>
    <row r="107" spans="3:19" ht="12.5">
      <c r="C107" s="269"/>
      <c r="D107" s="270"/>
      <c r="E107" s="269"/>
      <c r="F107" s="269"/>
      <c r="G107" s="269"/>
      <c r="H107" s="269"/>
      <c r="I107" s="271"/>
      <c r="J107" s="269"/>
      <c r="K107" s="272"/>
      <c r="L107" s="269"/>
      <c r="M107" s="269"/>
      <c r="N107" s="269"/>
      <c r="O107" s="269"/>
      <c r="P107" s="269"/>
      <c r="Q107" s="272"/>
      <c r="R107" s="435">
        <v>0.51144399173830357</v>
      </c>
      <c r="S107" s="385" t="s">
        <v>98</v>
      </c>
    </row>
    <row r="108" spans="3:19" ht="12.5">
      <c r="C108" s="269"/>
      <c r="D108" s="270"/>
      <c r="E108" s="269"/>
      <c r="F108" s="269"/>
      <c r="G108" s="269"/>
      <c r="H108" s="269"/>
      <c r="I108" s="271"/>
      <c r="J108" s="269"/>
      <c r="K108" s="272"/>
      <c r="L108" s="269"/>
      <c r="M108" s="269"/>
      <c r="N108" s="269"/>
      <c r="O108" s="269"/>
      <c r="P108" s="269"/>
      <c r="Q108" s="272"/>
      <c r="R108" s="437">
        <v>3.8440092705067347E-2</v>
      </c>
      <c r="S108" s="385" t="s">
        <v>99</v>
      </c>
    </row>
    <row r="109" spans="3:19" ht="12.5">
      <c r="C109" s="269"/>
      <c r="D109" s="270"/>
      <c r="E109" s="269"/>
      <c r="F109" s="269"/>
      <c r="G109" s="269"/>
      <c r="H109" s="269"/>
      <c r="I109" s="271"/>
      <c r="J109" s="269"/>
      <c r="K109" s="272"/>
      <c r="L109" s="269"/>
      <c r="M109" s="269"/>
      <c r="N109" s="269"/>
      <c r="O109" s="269"/>
      <c r="P109" s="269"/>
      <c r="Q109" s="272"/>
      <c r="R109" s="435">
        <v>0</v>
      </c>
      <c r="S109" s="385" t="s">
        <v>100</v>
      </c>
    </row>
    <row r="110" spans="3:19" ht="12.5">
      <c r="C110" s="269"/>
      <c r="D110" s="270"/>
      <c r="E110" s="269"/>
      <c r="F110" s="269"/>
      <c r="G110" s="269"/>
      <c r="H110" s="269"/>
      <c r="I110" s="271"/>
      <c r="J110" s="269"/>
      <c r="K110" s="272"/>
      <c r="L110" s="269"/>
      <c r="M110" s="269"/>
      <c r="N110" s="269"/>
      <c r="O110" s="269"/>
      <c r="P110" s="269"/>
      <c r="Q110" s="272"/>
      <c r="R110" s="437">
        <v>0</v>
      </c>
      <c r="S110" s="385" t="s">
        <v>101</v>
      </c>
    </row>
    <row r="111" spans="3:19" ht="12.5">
      <c r="C111" s="269"/>
      <c r="D111" s="270"/>
      <c r="E111" s="269"/>
      <c r="F111" s="269"/>
      <c r="G111" s="269"/>
      <c r="H111" s="269"/>
      <c r="I111" s="271"/>
      <c r="J111" s="269"/>
      <c r="K111" s="272"/>
      <c r="L111" s="269"/>
      <c r="M111" s="269"/>
      <c r="N111" s="269"/>
      <c r="O111" s="269"/>
      <c r="P111" s="269"/>
      <c r="Q111" s="272"/>
      <c r="R111" s="435">
        <v>0.48855600826169648</v>
      </c>
      <c r="S111" s="387" t="s">
        <v>102</v>
      </c>
    </row>
    <row r="112" spans="3:19" ht="12.5">
      <c r="C112" s="269"/>
      <c r="D112" s="270"/>
      <c r="E112" s="269"/>
      <c r="F112" s="269"/>
      <c r="G112" s="269"/>
      <c r="H112" s="269"/>
      <c r="I112" s="271"/>
      <c r="J112" s="269"/>
      <c r="K112" s="272"/>
      <c r="L112" s="269"/>
      <c r="M112" s="269"/>
      <c r="N112" s="269"/>
      <c r="O112" s="269"/>
      <c r="P112" s="269"/>
      <c r="Q112" s="272"/>
      <c r="R112" s="438">
        <v>1392581419.3466702</v>
      </c>
      <c r="S112" s="439" t="s">
        <v>449</v>
      </c>
    </row>
    <row r="113" spans="3:19" ht="12.5">
      <c r="C113" s="269"/>
      <c r="D113" s="270"/>
      <c r="E113" s="269"/>
      <c r="F113" s="269"/>
      <c r="G113" s="269"/>
      <c r="H113" s="269"/>
      <c r="I113" s="271"/>
      <c r="J113" s="269"/>
      <c r="K113" s="272"/>
      <c r="L113" s="269"/>
      <c r="M113" s="269"/>
      <c r="N113" s="269"/>
      <c r="O113" s="269"/>
      <c r="P113" s="269"/>
      <c r="Q113" s="272"/>
      <c r="R113" s="440">
        <v>0.25005299999999997</v>
      </c>
      <c r="S113" s="441" t="s">
        <v>450</v>
      </c>
    </row>
    <row r="114" spans="3:19" ht="12.5">
      <c r="C114" s="269"/>
      <c r="D114" s="270"/>
      <c r="E114" s="269"/>
      <c r="F114" s="269"/>
      <c r="G114" s="269"/>
      <c r="H114" s="269"/>
      <c r="I114" s="271"/>
      <c r="J114" s="269"/>
      <c r="K114" s="272"/>
      <c r="L114" s="269"/>
      <c r="M114" s="269"/>
      <c r="N114" s="269"/>
      <c r="O114" s="269"/>
      <c r="P114" s="269"/>
      <c r="Q114" s="272"/>
      <c r="R114" s="438">
        <v>-250546.24186235954</v>
      </c>
      <c r="S114" s="441" t="s">
        <v>451</v>
      </c>
    </row>
    <row r="115" spans="3:19" ht="12.5">
      <c r="C115" s="269"/>
      <c r="D115" s="270"/>
      <c r="E115" s="269"/>
      <c r="F115" s="269"/>
      <c r="G115" s="269"/>
      <c r="H115" s="269"/>
      <c r="I115" s="271"/>
      <c r="J115" s="269"/>
      <c r="K115" s="272"/>
      <c r="L115" s="269"/>
      <c r="M115" s="269"/>
      <c r="N115" s="269"/>
      <c r="O115" s="269"/>
      <c r="P115" s="269"/>
      <c r="Q115" s="272"/>
      <c r="R115" s="438">
        <v>-4810113.7689068662</v>
      </c>
      <c r="S115" s="442" t="s">
        <v>436</v>
      </c>
    </row>
    <row r="116" spans="3:19" ht="12.5">
      <c r="C116" s="269"/>
      <c r="D116" s="270"/>
      <c r="E116" s="269"/>
      <c r="F116" s="269"/>
      <c r="G116" s="269"/>
      <c r="H116" s="269"/>
      <c r="I116" s="271"/>
      <c r="J116" s="269"/>
      <c r="K116" s="272"/>
      <c r="L116" s="269"/>
      <c r="M116" s="269"/>
      <c r="N116" s="269"/>
      <c r="O116" s="269"/>
      <c r="P116" s="269"/>
      <c r="Q116" s="272"/>
      <c r="R116" s="438">
        <v>284565.6293044709</v>
      </c>
      <c r="S116" s="442" t="s">
        <v>437</v>
      </c>
    </row>
    <row r="117" spans="3:19" ht="12.5">
      <c r="C117" s="269"/>
      <c r="D117" s="270"/>
      <c r="E117" s="269"/>
      <c r="F117" s="269"/>
      <c r="G117" s="269"/>
      <c r="H117" s="269"/>
      <c r="I117" s="271"/>
      <c r="J117" s="269"/>
      <c r="K117" s="272"/>
      <c r="L117" s="269"/>
      <c r="M117" s="269"/>
      <c r="N117" s="269"/>
      <c r="O117" s="269"/>
      <c r="P117" s="269"/>
      <c r="Q117" s="272"/>
      <c r="R117" s="438">
        <v>230492964.19349214</v>
      </c>
      <c r="S117" s="441" t="s">
        <v>452</v>
      </c>
    </row>
    <row r="118" spans="3:19" ht="12.5">
      <c r="C118" s="269"/>
      <c r="D118" s="270"/>
      <c r="E118" s="269"/>
      <c r="F118" s="269"/>
      <c r="G118" s="269"/>
      <c r="H118" s="269"/>
      <c r="I118" s="271"/>
      <c r="J118" s="269"/>
      <c r="K118" s="272"/>
      <c r="L118" s="269"/>
      <c r="M118" s="269"/>
      <c r="N118" s="269"/>
      <c r="O118" s="269"/>
      <c r="P118" s="269"/>
      <c r="Q118" s="272"/>
      <c r="R118" s="438">
        <v>98815259.319065228</v>
      </c>
      <c r="S118" s="441" t="s">
        <v>453</v>
      </c>
    </row>
    <row r="119" spans="3:19" ht="12.5">
      <c r="C119" s="269"/>
      <c r="D119" s="270"/>
      <c r="E119" s="269"/>
      <c r="F119" s="269"/>
      <c r="G119" s="269"/>
      <c r="H119" s="269"/>
      <c r="I119" s="271"/>
      <c r="J119" s="269"/>
      <c r="K119" s="272"/>
      <c r="L119" s="269"/>
      <c r="M119" s="269"/>
      <c r="N119" s="269"/>
      <c r="O119" s="269"/>
      <c r="P119" s="269"/>
      <c r="Q119" s="272"/>
      <c r="R119" s="438">
        <v>19043027.742862348</v>
      </c>
      <c r="S119" s="441" t="s">
        <v>454</v>
      </c>
    </row>
    <row r="120" spans="3:19" ht="12.5">
      <c r="C120" s="269"/>
      <c r="D120" s="270"/>
      <c r="E120" s="269"/>
      <c r="F120" s="269"/>
      <c r="G120" s="269"/>
      <c r="H120" s="269"/>
      <c r="I120" s="271"/>
      <c r="J120" s="269"/>
      <c r="K120" s="272"/>
      <c r="L120" s="269"/>
      <c r="M120" s="269"/>
      <c r="N120" s="269"/>
      <c r="O120" s="269"/>
      <c r="P120" s="269"/>
      <c r="Q120" s="272"/>
      <c r="R120" s="438">
        <v>96697.562582519677</v>
      </c>
      <c r="S120" s="441" t="s">
        <v>455</v>
      </c>
    </row>
    <row r="121" spans="3:19" ht="12.5">
      <c r="C121" s="269"/>
      <c r="D121" s="270"/>
      <c r="E121" s="269"/>
      <c r="F121" s="269"/>
      <c r="G121" s="269"/>
      <c r="H121" s="269"/>
      <c r="I121" s="271"/>
      <c r="J121" s="269"/>
      <c r="K121" s="272"/>
      <c r="L121" s="269"/>
      <c r="M121" s="269"/>
      <c r="N121" s="269"/>
      <c r="O121" s="269"/>
      <c r="P121" s="269"/>
      <c r="Q121" s="272"/>
      <c r="R121" s="438">
        <v>51733091.61842034</v>
      </c>
      <c r="S121" s="441" t="s">
        <v>456</v>
      </c>
    </row>
    <row r="122" spans="3:19" ht="12.5">
      <c r="C122" s="269"/>
      <c r="D122" s="270"/>
      <c r="E122" s="269"/>
      <c r="F122" s="269"/>
      <c r="G122" s="269"/>
      <c r="H122" s="269"/>
      <c r="I122" s="271"/>
      <c r="J122" s="269"/>
      <c r="K122" s="272"/>
      <c r="L122" s="269"/>
      <c r="M122" s="269"/>
      <c r="N122" s="269"/>
      <c r="O122" s="269"/>
      <c r="P122" s="269"/>
      <c r="Q122" s="272"/>
      <c r="R122" s="440">
        <v>0.41136014865158921</v>
      </c>
      <c r="S122" s="441" t="s">
        <v>105</v>
      </c>
    </row>
    <row r="123" spans="3:19" ht="12.5">
      <c r="C123" s="269"/>
      <c r="D123" s="270"/>
      <c r="E123" s="269"/>
      <c r="F123" s="269"/>
      <c r="G123" s="269"/>
      <c r="H123" s="269"/>
      <c r="I123" s="271"/>
      <c r="J123" s="269"/>
      <c r="K123" s="272"/>
      <c r="L123" s="269"/>
      <c r="M123" s="269"/>
      <c r="N123" s="269"/>
      <c r="O123" s="269"/>
      <c r="P123" s="269"/>
      <c r="Q123" s="272"/>
      <c r="R123" s="438">
        <v>1574779464.1137781</v>
      </c>
      <c r="S123" s="441" t="s">
        <v>438</v>
      </c>
    </row>
    <row r="124" spans="3:19" ht="12.5">
      <c r="C124" s="269"/>
      <c r="D124" s="270"/>
      <c r="E124" s="269"/>
      <c r="F124" s="269"/>
      <c r="G124" s="269"/>
      <c r="H124" s="269"/>
      <c r="I124" s="271"/>
      <c r="J124" s="269"/>
      <c r="K124" s="272"/>
      <c r="L124" s="269"/>
      <c r="M124" s="269"/>
      <c r="N124" s="269"/>
      <c r="O124" s="269"/>
      <c r="P124" s="269"/>
      <c r="Q124" s="272"/>
      <c r="R124" s="440">
        <v>0.11351422637179906</v>
      </c>
      <c r="S124" s="443" t="s">
        <v>439</v>
      </c>
    </row>
    <row r="125" spans="3:19" ht="12.5">
      <c r="C125" s="269"/>
      <c r="D125" s="270"/>
      <c r="E125" s="269"/>
      <c r="F125" s="269"/>
      <c r="G125" s="269"/>
      <c r="H125" s="269"/>
      <c r="I125" s="271"/>
      <c r="J125" s="269"/>
      <c r="K125" s="272"/>
      <c r="L125" s="269"/>
      <c r="M125" s="269"/>
      <c r="N125" s="269"/>
      <c r="O125" s="269"/>
      <c r="P125" s="269"/>
      <c r="Q125" s="272"/>
      <c r="R125" s="444">
        <v>2172102538</v>
      </c>
      <c r="S125" s="385" t="s">
        <v>38</v>
      </c>
    </row>
    <row r="126" spans="3:19" ht="12.5">
      <c r="C126" s="269"/>
      <c r="D126" s="270"/>
      <c r="E126" s="269"/>
      <c r="F126" s="269"/>
      <c r="G126" s="269"/>
      <c r="H126" s="269"/>
      <c r="I126" s="271"/>
      <c r="J126" s="269"/>
      <c r="K126" s="272"/>
      <c r="L126" s="269"/>
      <c r="M126" s="269"/>
      <c r="N126" s="269"/>
      <c r="O126" s="269"/>
      <c r="P126" s="269"/>
      <c r="Q126" s="272"/>
      <c r="R126" s="445">
        <v>2324483589</v>
      </c>
      <c r="S126" s="387" t="s">
        <v>40</v>
      </c>
    </row>
    <row r="127" spans="3:19" ht="12.5">
      <c r="C127" s="269"/>
      <c r="D127" s="270"/>
      <c r="E127" s="269"/>
      <c r="F127" s="269"/>
      <c r="G127" s="269"/>
      <c r="H127" s="269"/>
      <c r="I127" s="271"/>
      <c r="J127" s="269"/>
      <c r="K127" s="272"/>
      <c r="L127" s="269"/>
      <c r="M127" s="269"/>
      <c r="N127" s="269"/>
      <c r="O127" s="269"/>
      <c r="P127" s="269"/>
      <c r="Q127" s="272"/>
      <c r="R127" s="445">
        <v>2244208888.5384617</v>
      </c>
      <c r="S127" s="395" t="s">
        <v>447</v>
      </c>
    </row>
    <row r="128" spans="3:19" ht="13" thickBot="1">
      <c r="C128" s="269"/>
      <c r="D128" s="270"/>
      <c r="E128" s="269"/>
      <c r="F128" s="269"/>
      <c r="G128" s="269"/>
      <c r="H128" s="269"/>
      <c r="I128" s="271"/>
      <c r="J128" s="269"/>
      <c r="K128" s="272"/>
      <c r="L128" s="269"/>
      <c r="M128" s="269"/>
      <c r="N128" s="269"/>
      <c r="O128" s="269"/>
      <c r="P128" s="269"/>
      <c r="Q128" s="272"/>
      <c r="R128" s="446">
        <v>54560968</v>
      </c>
      <c r="S128" s="397" t="s">
        <v>448</v>
      </c>
    </row>
    <row r="129" spans="3:19" ht="12.5">
      <c r="C129" s="269"/>
      <c r="D129" s="270"/>
      <c r="E129" s="269"/>
      <c r="F129" s="269"/>
      <c r="G129" s="269"/>
      <c r="H129" s="269"/>
      <c r="I129" s="271"/>
      <c r="J129" s="269"/>
      <c r="K129" s="272"/>
      <c r="L129" s="269"/>
      <c r="M129" s="269"/>
      <c r="N129" s="269"/>
      <c r="O129" s="269"/>
      <c r="P129" s="269"/>
      <c r="Q129" s="272"/>
      <c r="R129" s="269"/>
      <c r="S129" s="269"/>
    </row>
    <row r="130" spans="3:19" ht="13">
      <c r="C130" s="269"/>
      <c r="D130" s="270"/>
      <c r="E130" s="269"/>
      <c r="F130" s="269"/>
      <c r="G130" s="269"/>
      <c r="H130" s="269"/>
      <c r="I130" s="271"/>
      <c r="J130" s="269"/>
      <c r="K130" s="272"/>
      <c r="L130" s="269"/>
      <c r="M130" s="269"/>
      <c r="N130" s="269"/>
      <c r="O130" s="269"/>
      <c r="P130" s="269"/>
      <c r="Q130" s="272"/>
      <c r="R130" s="377" t="s">
        <v>104</v>
      </c>
      <c r="S130" s="269" t="s">
        <v>116</v>
      </c>
    </row>
    <row r="131" spans="3:19" ht="13.5" thickBot="1">
      <c r="C131" s="269"/>
      <c r="D131" s="270"/>
      <c r="E131" s="269"/>
      <c r="F131" s="269"/>
      <c r="G131" s="269"/>
      <c r="H131" s="269"/>
      <c r="I131" s="271"/>
      <c r="J131" s="269"/>
      <c r="K131" s="272"/>
      <c r="L131" s="269"/>
      <c r="M131" s="269"/>
      <c r="N131" s="269"/>
      <c r="O131" s="269"/>
      <c r="P131" s="269"/>
      <c r="Q131" s="272"/>
      <c r="R131" s="378" t="s">
        <v>139</v>
      </c>
      <c r="S131" s="269"/>
    </row>
    <row r="132" spans="3:19" ht="12.5">
      <c r="C132" s="269"/>
      <c r="D132" s="270"/>
      <c r="E132" s="269"/>
      <c r="F132" s="269"/>
      <c r="G132" s="269"/>
      <c r="H132" s="269"/>
      <c r="I132" s="271"/>
      <c r="J132" s="269"/>
      <c r="K132" s="272"/>
      <c r="L132" s="269"/>
      <c r="M132" s="269"/>
      <c r="N132" s="269"/>
      <c r="O132" s="269"/>
      <c r="P132" s="269"/>
      <c r="Q132" s="272"/>
      <c r="R132" s="447">
        <v>79787935.722708017</v>
      </c>
      <c r="S132" s="183" t="s">
        <v>121</v>
      </c>
    </row>
    <row r="133" spans="3:19" ht="12.5">
      <c r="C133" s="269"/>
      <c r="D133" s="270"/>
      <c r="E133" s="269"/>
      <c r="F133" s="269"/>
      <c r="G133" s="269"/>
      <c r="H133" s="269"/>
      <c r="I133" s="271"/>
      <c r="J133" s="269"/>
      <c r="K133" s="272"/>
      <c r="L133" s="269"/>
      <c r="M133" s="269"/>
      <c r="N133" s="269"/>
      <c r="O133" s="269"/>
      <c r="P133" s="269"/>
      <c r="Q133" s="272"/>
      <c r="R133" s="448">
        <v>79787935.722708017</v>
      </c>
      <c r="S133" s="183" t="s">
        <v>122</v>
      </c>
    </row>
    <row r="134" spans="3:19" ht="12.5">
      <c r="C134" s="269"/>
      <c r="D134" s="270"/>
      <c r="E134" s="269"/>
      <c r="F134" s="269"/>
      <c r="G134" s="269"/>
      <c r="H134" s="269"/>
      <c r="I134" s="271"/>
      <c r="J134" s="269"/>
      <c r="K134" s="272"/>
      <c r="L134" s="269"/>
      <c r="M134" s="269"/>
      <c r="N134" s="269"/>
      <c r="O134" s="269"/>
      <c r="P134" s="269"/>
      <c r="Q134" s="272"/>
      <c r="R134" s="448">
        <v>85637476.7757691</v>
      </c>
      <c r="S134" s="183" t="s">
        <v>123</v>
      </c>
    </row>
    <row r="135" spans="3:19" ht="13" thickBot="1">
      <c r="C135" s="269"/>
      <c r="D135" s="270"/>
      <c r="E135" s="269"/>
      <c r="F135" s="269"/>
      <c r="G135" s="269"/>
      <c r="H135" s="269"/>
      <c r="I135" s="271"/>
      <c r="J135" s="269"/>
      <c r="K135" s="272"/>
      <c r="L135" s="269"/>
      <c r="M135" s="269"/>
      <c r="N135" s="269"/>
      <c r="O135" s="269"/>
      <c r="P135" s="269"/>
      <c r="Q135" s="272"/>
      <c r="R135" s="449">
        <v>85637476.7757691</v>
      </c>
      <c r="S135" s="183" t="s">
        <v>124</v>
      </c>
    </row>
    <row r="136" spans="3:19" ht="12.75" customHeight="1">
      <c r="R136" s="269"/>
      <c r="S136" s="269"/>
    </row>
    <row r="137" spans="3:19" ht="12.75" customHeight="1">
      <c r="R137" s="377" t="s">
        <v>114</v>
      </c>
      <c r="S137" s="262" t="s">
        <v>119</v>
      </c>
    </row>
  </sheetData>
  <mergeCells count="6">
    <mergeCell ref="C8:I8"/>
    <mergeCell ref="A1:K1"/>
    <mergeCell ref="A2:K2"/>
    <mergeCell ref="A3:K3"/>
    <mergeCell ref="A4:K4"/>
    <mergeCell ref="A5:K5"/>
  </mergeCells>
  <phoneticPr fontId="0" type="noConversion"/>
  <printOptions horizontalCentered="1"/>
  <pageMargins left="0.25" right="0.25" top="0.75" bottom="0.25" header="0.25" footer="0.5"/>
  <pageSetup scale="41" fitToHeight="5" orientation="landscape" horizontalDpi="1200" verticalDpi="1200" r:id="rId1"/>
  <headerFooter alignWithMargins="0">
    <oddHeader xml:space="preserve">&amp;R&amp;16AEP - SPP Formula Rate
SWEPCO TCOS - WS G
Page: &amp;P of &amp;N
</oddHeader>
    <oddFooter>&amp;L&amp;A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78"/>
  <dimension ref="A1:Q162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27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49181.318200671747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49181.318200671747</v>
      </c>
      <c r="O6" s="269"/>
      <c r="P6" s="269"/>
    </row>
    <row r="7" spans="1:17" ht="13.5" thickBot="1">
      <c r="C7" s="467" t="s">
        <v>48</v>
      </c>
      <c r="D7" s="620" t="s">
        <v>279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278</v>
      </c>
      <c r="E9" s="666" t="s">
        <v>488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421517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10036.119047619048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450200</v>
      </c>
      <c r="E17" s="509">
        <v>5359.5238095238092</v>
      </c>
      <c r="F17" s="508">
        <v>444840.47619047621</v>
      </c>
      <c r="G17" s="509">
        <v>71516.261736212298</v>
      </c>
      <c r="H17" s="510">
        <v>71516.261736212298</v>
      </c>
      <c r="I17" s="517">
        <v>0</v>
      </c>
      <c r="J17" s="511"/>
      <c r="K17" s="512">
        <f t="shared" ref="K17:K22" si="0">G17</f>
        <v>71516.261736212298</v>
      </c>
      <c r="L17" s="597">
        <f t="shared" ref="L17:L48" si="1">IF(K17&lt;&gt;0,+G17-K17,0)</f>
        <v>0</v>
      </c>
      <c r="M17" s="512">
        <f t="shared" ref="M17:M22" si="2">H17</f>
        <v>71516.261736212298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424657.47619047621</v>
      </c>
      <c r="E18" s="609">
        <v>10238.5</v>
      </c>
      <c r="F18" s="608">
        <v>414418.97619047621</v>
      </c>
      <c r="G18" s="609">
        <v>68251.803233746105</v>
      </c>
      <c r="H18" s="610">
        <v>68251.803233746105</v>
      </c>
      <c r="I18" s="596">
        <v>0</v>
      </c>
      <c r="J18" s="511"/>
      <c r="K18" s="518">
        <f t="shared" si="0"/>
        <v>68251.803233746105</v>
      </c>
      <c r="L18" s="519">
        <f t="shared" ref="L18:L23" si="6">IF(K18&lt;&gt;0,+G18-K18,0)</f>
        <v>0</v>
      </c>
      <c r="M18" s="518">
        <f t="shared" si="2"/>
        <v>68251.803233746105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/>
      </c>
      <c r="C19" s="507">
        <f>IF(D11="","-",+C18+1)</f>
        <v>2014</v>
      </c>
      <c r="D19" s="608">
        <v>414418.97619047621</v>
      </c>
      <c r="E19" s="609">
        <v>10238.5</v>
      </c>
      <c r="F19" s="608">
        <v>404180.47619047621</v>
      </c>
      <c r="G19" s="609">
        <v>64766.693467581994</v>
      </c>
      <c r="H19" s="610">
        <v>64766.693467581994</v>
      </c>
      <c r="I19" s="596">
        <v>0</v>
      </c>
      <c r="J19" s="511"/>
      <c r="K19" s="518">
        <f t="shared" si="0"/>
        <v>64766.693467581994</v>
      </c>
      <c r="L19" s="519">
        <f t="shared" si="6"/>
        <v>0</v>
      </c>
      <c r="M19" s="518">
        <f t="shared" si="2"/>
        <v>64766.693467581994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608">
        <v>395680.47619047621</v>
      </c>
      <c r="E20" s="609">
        <v>10036.119047619048</v>
      </c>
      <c r="F20" s="608">
        <v>385644.35714285716</v>
      </c>
      <c r="G20" s="609">
        <v>60827.332352293794</v>
      </c>
      <c r="H20" s="610">
        <v>60827.332352293794</v>
      </c>
      <c r="I20" s="511">
        <v>0</v>
      </c>
      <c r="J20" s="511"/>
      <c r="K20" s="518">
        <f t="shared" si="0"/>
        <v>60827.332352293794</v>
      </c>
      <c r="L20" s="519">
        <f t="shared" si="6"/>
        <v>0</v>
      </c>
      <c r="M20" s="518">
        <f t="shared" si="2"/>
        <v>60827.332352293794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608">
        <v>385644.35714285716</v>
      </c>
      <c r="E21" s="609">
        <v>10036.119047619048</v>
      </c>
      <c r="F21" s="608">
        <v>375608.23809523811</v>
      </c>
      <c r="G21" s="609">
        <v>58895.229275947575</v>
      </c>
      <c r="H21" s="610">
        <v>58895.229275947575</v>
      </c>
      <c r="I21" s="511">
        <f t="shared" ref="I21:I49" si="9">H21-G21</f>
        <v>0</v>
      </c>
      <c r="J21" s="511"/>
      <c r="K21" s="518">
        <f t="shared" si="0"/>
        <v>58895.229275947575</v>
      </c>
      <c r="L21" s="519">
        <f t="shared" si="6"/>
        <v>0</v>
      </c>
      <c r="M21" s="518">
        <f t="shared" si="2"/>
        <v>58895.229275947575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08">
        <v>375608.23809523811</v>
      </c>
      <c r="E22" s="609">
        <v>9802.7209302325573</v>
      </c>
      <c r="F22" s="608">
        <v>365805.51716500556</v>
      </c>
      <c r="G22" s="609">
        <v>55730.535228858629</v>
      </c>
      <c r="H22" s="610">
        <v>55730.535228858629</v>
      </c>
      <c r="I22" s="511">
        <f t="shared" si="9"/>
        <v>0</v>
      </c>
      <c r="J22" s="511"/>
      <c r="K22" s="518">
        <f t="shared" si="0"/>
        <v>55730.535228858629</v>
      </c>
      <c r="L22" s="519">
        <f t="shared" si="6"/>
        <v>0</v>
      </c>
      <c r="M22" s="518">
        <f t="shared" si="2"/>
        <v>55730.535228858629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365805.51716500556</v>
      </c>
      <c r="E23" s="609">
        <v>10280.90243902439</v>
      </c>
      <c r="F23" s="608">
        <v>355524.61472598114</v>
      </c>
      <c r="G23" s="609">
        <v>56119.304010268112</v>
      </c>
      <c r="H23" s="610">
        <v>56119.304010268112</v>
      </c>
      <c r="I23" s="511">
        <f t="shared" si="9"/>
        <v>0</v>
      </c>
      <c r="J23" s="511"/>
      <c r="K23" s="518">
        <f>G23</f>
        <v>56119.304010268112</v>
      </c>
      <c r="L23" s="519">
        <f t="shared" si="6"/>
        <v>0</v>
      </c>
      <c r="M23" s="518">
        <f>H23</f>
        <v>56119.304010268112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355524.61472598114</v>
      </c>
      <c r="E24" s="609">
        <v>10280.90243902439</v>
      </c>
      <c r="F24" s="608">
        <v>345243.71228695672</v>
      </c>
      <c r="G24" s="609">
        <v>54812.661978610966</v>
      </c>
      <c r="H24" s="610">
        <v>54812.661978610966</v>
      </c>
      <c r="I24" s="511">
        <f t="shared" si="9"/>
        <v>0</v>
      </c>
      <c r="J24" s="511"/>
      <c r="K24" s="518">
        <f>G24</f>
        <v>54812.661978610966</v>
      </c>
      <c r="L24" s="519">
        <f t="shared" ref="L24" si="10">IF(K24&lt;&gt;0,+G24-K24,0)</f>
        <v>0</v>
      </c>
      <c r="M24" s="518">
        <f>H24</f>
        <v>54812.661978610966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08">
        <v>345243.71228695672</v>
      </c>
      <c r="E25" s="609">
        <v>10280.90243902439</v>
      </c>
      <c r="F25" s="608">
        <v>334962.80984793231</v>
      </c>
      <c r="G25" s="609">
        <v>45085.524504887275</v>
      </c>
      <c r="H25" s="610">
        <v>45085.524504887275</v>
      </c>
      <c r="I25" s="511">
        <f t="shared" si="9"/>
        <v>0</v>
      </c>
      <c r="J25" s="511"/>
      <c r="K25" s="518">
        <f>G25</f>
        <v>45085.524504887275</v>
      </c>
      <c r="L25" s="519">
        <f t="shared" ref="L25" si="11">IF(K25&lt;&gt;0,+G25-K25,0)</f>
        <v>0</v>
      </c>
      <c r="M25" s="518">
        <f>H25</f>
        <v>45085.524504887275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608">
        <v>335440.99135672417</v>
      </c>
      <c r="E26" s="609">
        <v>10036.119047619048</v>
      </c>
      <c r="F26" s="608">
        <v>325404.87230910512</v>
      </c>
      <c r="G26" s="609">
        <v>45062.451608216499</v>
      </c>
      <c r="H26" s="610">
        <v>45062.451608216499</v>
      </c>
      <c r="I26" s="511">
        <f t="shared" si="9"/>
        <v>0</v>
      </c>
      <c r="J26" s="511"/>
      <c r="K26" s="518">
        <f>G26</f>
        <v>45062.451608216499</v>
      </c>
      <c r="L26" s="519">
        <f t="shared" ref="L26" si="12">IF(K26&lt;&gt;0,+G26-K26,0)</f>
        <v>0</v>
      </c>
      <c r="M26" s="518">
        <f>H26</f>
        <v>45062.451608216499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608">
        <v>324926.69080031331</v>
      </c>
      <c r="E27" s="609">
        <v>10036.119047619048</v>
      </c>
      <c r="F27" s="608">
        <v>314890.57175269426</v>
      </c>
      <c r="G27" s="609">
        <v>46007.95617660469</v>
      </c>
      <c r="H27" s="610">
        <v>46007.95617660469</v>
      </c>
      <c r="I27" s="511">
        <f t="shared" si="9"/>
        <v>0</v>
      </c>
      <c r="J27" s="511"/>
      <c r="K27" s="518">
        <f>G27</f>
        <v>46007.95617660469</v>
      </c>
      <c r="L27" s="519">
        <f t="shared" ref="L27" si="13">IF(K27&lt;&gt;0,+G27-K27,0)</f>
        <v>0</v>
      </c>
      <c r="M27" s="518">
        <f>H27</f>
        <v>46007.95617660469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314890.57175269426</v>
      </c>
      <c r="E28" s="522">
        <f>IF(+I14&lt;F27,I14,D28)</f>
        <v>10036.119047619048</v>
      </c>
      <c r="F28" s="523">
        <f t="shared" ref="F28:F49" si="14">+D28-E28</f>
        <v>304854.45270507521</v>
      </c>
      <c r="G28" s="524">
        <f t="shared" ref="G28:G53" si="15">+I$12*((D28+F28)/2)+E28</f>
        <v>49181.318200671747</v>
      </c>
      <c r="H28" s="491">
        <f t="shared" ref="H28:H53" si="16">+I$13*((D28+F28)/2)+E28</f>
        <v>49181.318200671747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304854.45270507521</v>
      </c>
      <c r="E29" s="522">
        <f>IF(+I14&lt;F28,I14,D29)</f>
        <v>10036.119047619048</v>
      </c>
      <c r="F29" s="523">
        <f t="shared" si="14"/>
        <v>294818.33365745615</v>
      </c>
      <c r="G29" s="524">
        <f t="shared" si="15"/>
        <v>47913.487517604881</v>
      </c>
      <c r="H29" s="491">
        <f t="shared" si="16"/>
        <v>47913.487517604881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294818.33365745615</v>
      </c>
      <c r="E30" s="522">
        <f>IF(+I14&lt;F29,I14,D30)</f>
        <v>10036.119047619048</v>
      </c>
      <c r="F30" s="523">
        <f t="shared" si="14"/>
        <v>284782.2146098371</v>
      </c>
      <c r="G30" s="524">
        <f t="shared" si="15"/>
        <v>46645.656834538007</v>
      </c>
      <c r="H30" s="491">
        <f t="shared" si="16"/>
        <v>46645.656834538007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284782.2146098371</v>
      </c>
      <c r="E31" s="522">
        <f>IF(+I14&lt;F30,I14,D31)</f>
        <v>10036.119047619048</v>
      </c>
      <c r="F31" s="523">
        <f t="shared" si="14"/>
        <v>274746.09556221805</v>
      </c>
      <c r="G31" s="524">
        <f t="shared" si="15"/>
        <v>45377.826151471141</v>
      </c>
      <c r="H31" s="491">
        <f t="shared" si="16"/>
        <v>45377.826151471141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274746.09556221805</v>
      </c>
      <c r="E32" s="522">
        <f>IF(+I14&lt;F31,I14,D32)</f>
        <v>10036.119047619048</v>
      </c>
      <c r="F32" s="523">
        <f t="shared" si="14"/>
        <v>264709.97651459899</v>
      </c>
      <c r="G32" s="524">
        <f t="shared" si="15"/>
        <v>44109.995468404275</v>
      </c>
      <c r="H32" s="491">
        <f t="shared" si="16"/>
        <v>44109.995468404275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264709.97651459899</v>
      </c>
      <c r="E33" s="522">
        <f>IF(+I14&lt;F32,I14,D33)</f>
        <v>10036.119047619048</v>
      </c>
      <c r="F33" s="523">
        <f t="shared" si="14"/>
        <v>254673.85746697994</v>
      </c>
      <c r="G33" s="524">
        <f t="shared" si="15"/>
        <v>42842.164785337409</v>
      </c>
      <c r="H33" s="491">
        <f t="shared" si="16"/>
        <v>42842.164785337409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254673.85746697994</v>
      </c>
      <c r="E34" s="522">
        <f>IF(+I14&lt;F33,I14,D34)</f>
        <v>10036.119047619048</v>
      </c>
      <c r="F34" s="523">
        <f t="shared" si="14"/>
        <v>244637.73841936089</v>
      </c>
      <c r="G34" s="524">
        <f t="shared" si="15"/>
        <v>41574.334102270535</v>
      </c>
      <c r="H34" s="491">
        <f t="shared" si="16"/>
        <v>41574.334102270535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244637.73841936089</v>
      </c>
      <c r="E35" s="522">
        <f>IF(+I14&lt;F34,I14,D35)</f>
        <v>10036.119047619048</v>
      </c>
      <c r="F35" s="523">
        <f t="shared" si="14"/>
        <v>234601.61937174184</v>
      </c>
      <c r="G35" s="524">
        <f t="shared" si="15"/>
        <v>40306.503419203669</v>
      </c>
      <c r="H35" s="491">
        <f t="shared" si="16"/>
        <v>40306.503419203669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234601.61937174184</v>
      </c>
      <c r="E36" s="522">
        <f>IF(+I14&lt;F35,I14,D36)</f>
        <v>10036.119047619048</v>
      </c>
      <c r="F36" s="523">
        <f t="shared" si="14"/>
        <v>224565.50032412278</v>
      </c>
      <c r="G36" s="524">
        <f t="shared" si="15"/>
        <v>39038.672736136803</v>
      </c>
      <c r="H36" s="491">
        <f t="shared" si="16"/>
        <v>39038.672736136803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224565.50032412278</v>
      </c>
      <c r="E37" s="522">
        <f>IF(+I14&lt;F36,I14,D37)</f>
        <v>10036.119047619048</v>
      </c>
      <c r="F37" s="523">
        <f t="shared" si="14"/>
        <v>214529.38127650373</v>
      </c>
      <c r="G37" s="524">
        <f t="shared" si="15"/>
        <v>37770.842053069937</v>
      </c>
      <c r="H37" s="491">
        <f t="shared" si="16"/>
        <v>37770.842053069937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214529.38127650373</v>
      </c>
      <c r="E38" s="522">
        <f>IF(+I14&lt;F37,I14,D38)</f>
        <v>10036.119047619048</v>
      </c>
      <c r="F38" s="523">
        <f t="shared" si="14"/>
        <v>204493.26222888468</v>
      </c>
      <c r="G38" s="524">
        <f t="shared" si="15"/>
        <v>36503.011370003063</v>
      </c>
      <c r="H38" s="491">
        <f t="shared" si="16"/>
        <v>36503.011370003063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204493.26222888468</v>
      </c>
      <c r="E39" s="522">
        <f>IF(+I14&lt;F38,I14,D39)</f>
        <v>10036.119047619048</v>
      </c>
      <c r="F39" s="523">
        <f t="shared" si="14"/>
        <v>194457.14318126562</v>
      </c>
      <c r="G39" s="524">
        <f t="shared" si="15"/>
        <v>35235.180686936197</v>
      </c>
      <c r="H39" s="491">
        <f t="shared" si="16"/>
        <v>35235.180686936197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194457.14318126562</v>
      </c>
      <c r="E40" s="522">
        <f>IF(+I14&lt;F39,I14,D40)</f>
        <v>10036.119047619048</v>
      </c>
      <c r="F40" s="523">
        <f t="shared" si="14"/>
        <v>184421.02413364657</v>
      </c>
      <c r="G40" s="524">
        <f t="shared" si="15"/>
        <v>33967.350003869331</v>
      </c>
      <c r="H40" s="491">
        <f t="shared" si="16"/>
        <v>33967.350003869331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184421.02413364657</v>
      </c>
      <c r="E41" s="522">
        <f>IF(+I14&lt;F40,I14,D41)</f>
        <v>10036.119047619048</v>
      </c>
      <c r="F41" s="523">
        <f t="shared" si="14"/>
        <v>174384.90508602752</v>
      </c>
      <c r="G41" s="524">
        <f t="shared" si="15"/>
        <v>32699.519320802458</v>
      </c>
      <c r="H41" s="491">
        <f t="shared" si="16"/>
        <v>32699.519320802458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174384.90508602752</v>
      </c>
      <c r="E42" s="522">
        <f>IF(+I14&lt;F41,I14,D42)</f>
        <v>10036.119047619048</v>
      </c>
      <c r="F42" s="523">
        <f t="shared" si="14"/>
        <v>164348.78603840846</v>
      </c>
      <c r="G42" s="524">
        <f t="shared" si="15"/>
        <v>31431.688637735591</v>
      </c>
      <c r="H42" s="491">
        <f t="shared" si="16"/>
        <v>31431.688637735591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164348.78603840846</v>
      </c>
      <c r="E43" s="522">
        <f>IF(+I14&lt;F42,I14,D43)</f>
        <v>10036.119047619048</v>
      </c>
      <c r="F43" s="523">
        <f t="shared" si="14"/>
        <v>154312.66699078941</v>
      </c>
      <c r="G43" s="524">
        <f t="shared" si="15"/>
        <v>30163.857954668725</v>
      </c>
      <c r="H43" s="491">
        <f t="shared" si="16"/>
        <v>30163.857954668725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154312.66699078941</v>
      </c>
      <c r="E44" s="522">
        <f>IF(+I14&lt;F43,I14,D44)</f>
        <v>10036.119047619048</v>
      </c>
      <c r="F44" s="523">
        <f t="shared" si="14"/>
        <v>144276.54794317036</v>
      </c>
      <c r="G44" s="524">
        <f t="shared" si="15"/>
        <v>28896.027271601859</v>
      </c>
      <c r="H44" s="491">
        <f t="shared" si="16"/>
        <v>28896.027271601859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144276.54794317036</v>
      </c>
      <c r="E45" s="522">
        <f>IF(+I14&lt;F44,I14,D45)</f>
        <v>10036.119047619048</v>
      </c>
      <c r="F45" s="523">
        <f t="shared" si="14"/>
        <v>134240.4288955513</v>
      </c>
      <c r="G45" s="524">
        <f t="shared" si="15"/>
        <v>27628.196588534985</v>
      </c>
      <c r="H45" s="491">
        <f t="shared" si="16"/>
        <v>27628.196588534985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134240.4288955513</v>
      </c>
      <c r="E46" s="522">
        <f>IF(+I14&lt;F45,I14,D46)</f>
        <v>10036.119047619048</v>
      </c>
      <c r="F46" s="523">
        <f t="shared" si="14"/>
        <v>124204.30984793225</v>
      </c>
      <c r="G46" s="524">
        <f t="shared" si="15"/>
        <v>26360.365905468119</v>
      </c>
      <c r="H46" s="491">
        <f t="shared" si="16"/>
        <v>26360.365905468119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124204.30984793225</v>
      </c>
      <c r="E47" s="522">
        <f>IF(+I14&lt;F46,I14,D47)</f>
        <v>10036.119047619048</v>
      </c>
      <c r="F47" s="523">
        <f t="shared" si="14"/>
        <v>114168.1908003132</v>
      </c>
      <c r="G47" s="524">
        <f t="shared" si="15"/>
        <v>25092.535222401253</v>
      </c>
      <c r="H47" s="491">
        <f t="shared" si="16"/>
        <v>25092.535222401253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114168.1908003132</v>
      </c>
      <c r="E48" s="522">
        <f>IF(+I14&lt;F47,I14,D48)</f>
        <v>10036.119047619048</v>
      </c>
      <c r="F48" s="523">
        <f t="shared" si="14"/>
        <v>104132.07175269414</v>
      </c>
      <c r="G48" s="524">
        <f t="shared" si="15"/>
        <v>23824.70453933438</v>
      </c>
      <c r="H48" s="491">
        <f t="shared" si="16"/>
        <v>23824.70453933438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104132.07175269414</v>
      </c>
      <c r="E49" s="522">
        <f>IF(+I14&lt;F48,I14,D49)</f>
        <v>10036.119047619048</v>
      </c>
      <c r="F49" s="523">
        <f t="shared" si="14"/>
        <v>94095.952705075091</v>
      </c>
      <c r="G49" s="524">
        <f t="shared" si="15"/>
        <v>22556.873856267513</v>
      </c>
      <c r="H49" s="491">
        <f t="shared" si="16"/>
        <v>22556.873856267513</v>
      </c>
      <c r="I49" s="511">
        <f t="shared" si="9"/>
        <v>0</v>
      </c>
      <c r="J49" s="511"/>
      <c r="K49" s="525"/>
      <c r="L49" s="514">
        <f t="shared" ref="L49:L72" si="17">IF(K49&lt;&gt;0,+G49-K49,0)</f>
        <v>0</v>
      </c>
      <c r="M49" s="525"/>
      <c r="N49" s="514">
        <f t="shared" ref="N49:N72" si="18">IF(M49&lt;&gt;0,+H49-M49,0)</f>
        <v>0</v>
      </c>
      <c r="O49" s="514">
        <f t="shared" ref="O49:O72" si="19">+N49-L49</f>
        <v>0</v>
      </c>
      <c r="P49" s="272"/>
    </row>
    <row r="50" spans="2:17" ht="12.5">
      <c r="B50" s="195" t="str">
        <f t="shared" ref="B50:B72" si="20">IF(D50=F49,"","IU")</f>
        <v/>
      </c>
      <c r="C50" s="507">
        <f>IF(D11="","-",+C49+1)</f>
        <v>2045</v>
      </c>
      <c r="D50" s="523">
        <f>IF(F49+SUM(E$17:E49)=D$10,F49,D$10-SUM(E$17:E49))</f>
        <v>94095.952705075091</v>
      </c>
      <c r="E50" s="522">
        <f>IF(+I14&lt;F49,I14,D50)</f>
        <v>10036.119047619048</v>
      </c>
      <c r="F50" s="523">
        <f t="shared" ref="F50:F72" si="21">+D50-E50</f>
        <v>84059.833657456038</v>
      </c>
      <c r="G50" s="524">
        <f t="shared" si="15"/>
        <v>21289.043173200647</v>
      </c>
      <c r="H50" s="491">
        <f t="shared" si="16"/>
        <v>21289.043173200647</v>
      </c>
      <c r="I50" s="511">
        <f t="shared" ref="I50:I72" si="22">H50-G50</f>
        <v>0</v>
      </c>
      <c r="J50" s="511"/>
      <c r="K50" s="525"/>
      <c r="L50" s="514">
        <f t="shared" si="17"/>
        <v>0</v>
      </c>
      <c r="M50" s="525"/>
      <c r="N50" s="514">
        <f t="shared" si="18"/>
        <v>0</v>
      </c>
      <c r="O50" s="514">
        <f t="shared" si="19"/>
        <v>0</v>
      </c>
      <c r="P50" s="272"/>
    </row>
    <row r="51" spans="2:17" ht="12.5">
      <c r="B51" s="195" t="str">
        <f t="shared" si="20"/>
        <v/>
      </c>
      <c r="C51" s="507">
        <f>IF(D11="","-",+C50+1)</f>
        <v>2046</v>
      </c>
      <c r="D51" s="523">
        <f>IF(F50+SUM(E$17:E50)=D$10,F50,D$10-SUM(E$17:E50))</f>
        <v>84059.833657456038</v>
      </c>
      <c r="E51" s="522">
        <f>IF(+I14&lt;F50,I14,D51)</f>
        <v>10036.119047619048</v>
      </c>
      <c r="F51" s="523">
        <f t="shared" si="21"/>
        <v>74023.714609836985</v>
      </c>
      <c r="G51" s="524">
        <f t="shared" si="15"/>
        <v>20021.212490133777</v>
      </c>
      <c r="H51" s="491">
        <f t="shared" si="16"/>
        <v>20021.212490133777</v>
      </c>
      <c r="I51" s="511">
        <f t="shared" si="22"/>
        <v>0</v>
      </c>
      <c r="J51" s="511"/>
      <c r="K51" s="525"/>
      <c r="L51" s="514">
        <f t="shared" si="17"/>
        <v>0</v>
      </c>
      <c r="M51" s="525"/>
      <c r="N51" s="514">
        <f t="shared" si="18"/>
        <v>0</v>
      </c>
      <c r="O51" s="514">
        <f t="shared" si="19"/>
        <v>0</v>
      </c>
      <c r="P51" s="272"/>
    </row>
    <row r="52" spans="2:17" ht="12.5">
      <c r="B52" s="195" t="str">
        <f t="shared" si="20"/>
        <v/>
      </c>
      <c r="C52" s="507">
        <f>IF(D11="","-",+C51+1)</f>
        <v>2047</v>
      </c>
      <c r="D52" s="523">
        <f>IF(F51+SUM(E$17:E51)=D$10,F51,D$10-SUM(E$17:E51))</f>
        <v>74023.714609836985</v>
      </c>
      <c r="E52" s="522">
        <f>IF(+I14&lt;F51,I14,D52)</f>
        <v>10036.119047619048</v>
      </c>
      <c r="F52" s="523">
        <f t="shared" si="21"/>
        <v>63987.595562217939</v>
      </c>
      <c r="G52" s="524">
        <f t="shared" si="15"/>
        <v>18753.381807066908</v>
      </c>
      <c r="H52" s="491">
        <f t="shared" si="16"/>
        <v>18753.381807066908</v>
      </c>
      <c r="I52" s="511">
        <f t="shared" si="22"/>
        <v>0</v>
      </c>
      <c r="J52" s="511"/>
      <c r="K52" s="525"/>
      <c r="L52" s="514">
        <f t="shared" si="17"/>
        <v>0</v>
      </c>
      <c r="M52" s="525"/>
      <c r="N52" s="514">
        <f t="shared" si="18"/>
        <v>0</v>
      </c>
      <c r="O52" s="514">
        <f t="shared" si="19"/>
        <v>0</v>
      </c>
      <c r="P52" s="272"/>
    </row>
    <row r="53" spans="2:17" ht="12.5">
      <c r="B53" s="195" t="str">
        <f t="shared" si="20"/>
        <v/>
      </c>
      <c r="C53" s="507">
        <f>IF(D11="","-",+C52+1)</f>
        <v>2048</v>
      </c>
      <c r="D53" s="523">
        <f>IF(F52+SUM(E$17:E52)=D$10,F52,D$10-SUM(E$17:E52))</f>
        <v>63987.595562217939</v>
      </c>
      <c r="E53" s="522">
        <f>IF(+I14&lt;F52,I14,D53)</f>
        <v>10036.119047619048</v>
      </c>
      <c r="F53" s="523">
        <f t="shared" si="21"/>
        <v>53951.476514598893</v>
      </c>
      <c r="G53" s="524">
        <f t="shared" si="15"/>
        <v>17485.551124000041</v>
      </c>
      <c r="H53" s="491">
        <f t="shared" si="16"/>
        <v>17485.551124000041</v>
      </c>
      <c r="I53" s="511">
        <f t="shared" si="22"/>
        <v>0</v>
      </c>
      <c r="J53" s="511"/>
      <c r="K53" s="525"/>
      <c r="L53" s="514">
        <f t="shared" si="17"/>
        <v>0</v>
      </c>
      <c r="M53" s="525"/>
      <c r="N53" s="514">
        <f t="shared" si="18"/>
        <v>0</v>
      </c>
      <c r="O53" s="514">
        <f t="shared" si="19"/>
        <v>0</v>
      </c>
      <c r="P53" s="272"/>
    </row>
    <row r="54" spans="2:17" ht="12.5">
      <c r="B54" s="195" t="str">
        <f t="shared" si="20"/>
        <v/>
      </c>
      <c r="C54" s="507">
        <f>IF(D11="","-",+C53+1)</f>
        <v>2049</v>
      </c>
      <c r="D54" s="523">
        <f>IF(F53+SUM(E$17:E53)=D$10,F53,D$10-SUM(E$17:E53))</f>
        <v>53951.476514598893</v>
      </c>
      <c r="E54" s="522">
        <f>IF(+I14&lt;F53,I14,D54)</f>
        <v>10036.119047619048</v>
      </c>
      <c r="F54" s="523">
        <f t="shared" si="21"/>
        <v>43915.357466979847</v>
      </c>
      <c r="G54" s="524">
        <f t="shared" ref="G54:G72" si="23">+I$12*((D54+F54)/2)+E54</f>
        <v>16217.720440933175</v>
      </c>
      <c r="H54" s="491">
        <f t="shared" ref="H54:H72" si="24">+I$13*((D54+F54)/2)+E54</f>
        <v>16217.720440933175</v>
      </c>
      <c r="I54" s="511">
        <f t="shared" si="22"/>
        <v>0</v>
      </c>
      <c r="J54" s="511"/>
      <c r="K54" s="525"/>
      <c r="L54" s="514">
        <f t="shared" si="17"/>
        <v>0</v>
      </c>
      <c r="M54" s="525"/>
      <c r="N54" s="514">
        <f t="shared" si="18"/>
        <v>0</v>
      </c>
      <c r="O54" s="514">
        <f t="shared" si="19"/>
        <v>0</v>
      </c>
      <c r="P54" s="272"/>
    </row>
    <row r="55" spans="2:17" ht="12.5">
      <c r="B55" s="195" t="str">
        <f t="shared" si="20"/>
        <v/>
      </c>
      <c r="C55" s="507">
        <f>IF(D11="","-",+C54+1)</f>
        <v>2050</v>
      </c>
      <c r="D55" s="523">
        <f>IF(F54+SUM(E$17:E54)=D$10,F54,D$10-SUM(E$17:E54))</f>
        <v>43915.357466979847</v>
      </c>
      <c r="E55" s="522">
        <f>IF(+I14&lt;F54,I14,D55)</f>
        <v>10036.119047619048</v>
      </c>
      <c r="F55" s="523">
        <f t="shared" si="21"/>
        <v>33879.238419360801</v>
      </c>
      <c r="G55" s="524">
        <f t="shared" si="23"/>
        <v>14949.889757866307</v>
      </c>
      <c r="H55" s="491">
        <f t="shared" si="24"/>
        <v>14949.889757866307</v>
      </c>
      <c r="I55" s="511">
        <f t="shared" si="22"/>
        <v>0</v>
      </c>
      <c r="J55" s="511"/>
      <c r="K55" s="525"/>
      <c r="L55" s="514">
        <f t="shared" si="17"/>
        <v>0</v>
      </c>
      <c r="M55" s="525"/>
      <c r="N55" s="514">
        <f t="shared" si="18"/>
        <v>0</v>
      </c>
      <c r="O55" s="514">
        <f t="shared" si="19"/>
        <v>0</v>
      </c>
      <c r="P55" s="272"/>
    </row>
    <row r="56" spans="2:17" ht="12.5">
      <c r="B56" s="195" t="str">
        <f t="shared" si="20"/>
        <v/>
      </c>
      <c r="C56" s="507">
        <f>IF(D11="","-",+C55+1)</f>
        <v>2051</v>
      </c>
      <c r="D56" s="523">
        <f>IF(F55+SUM(E$17:E55)=D$10,F55,D$10-SUM(E$17:E55))</f>
        <v>33879.238419360801</v>
      </c>
      <c r="E56" s="522">
        <f>IF(+I14&lt;F55,I14,D56)</f>
        <v>10036.119047619048</v>
      </c>
      <c r="F56" s="523">
        <f t="shared" si="21"/>
        <v>23843.119371741755</v>
      </c>
      <c r="G56" s="524">
        <f t="shared" si="23"/>
        <v>13682.059074799439</v>
      </c>
      <c r="H56" s="491">
        <f t="shared" si="24"/>
        <v>13682.059074799439</v>
      </c>
      <c r="I56" s="511">
        <f t="shared" si="22"/>
        <v>0</v>
      </c>
      <c r="J56" s="511"/>
      <c r="K56" s="525"/>
      <c r="L56" s="514">
        <f t="shared" si="17"/>
        <v>0</v>
      </c>
      <c r="M56" s="525"/>
      <c r="N56" s="514">
        <f t="shared" si="18"/>
        <v>0</v>
      </c>
      <c r="O56" s="514">
        <f t="shared" si="19"/>
        <v>0</v>
      </c>
      <c r="P56" s="272"/>
    </row>
    <row r="57" spans="2:17" ht="12.5">
      <c r="B57" s="195" t="str">
        <f t="shared" si="20"/>
        <v/>
      </c>
      <c r="C57" s="507">
        <f>IF(D11="","-",+C56+1)</f>
        <v>2052</v>
      </c>
      <c r="D57" s="523">
        <f>IF(F56+SUM(E$17:E56)=D$10,F56,D$10-SUM(E$17:E56))</f>
        <v>23843.119371741755</v>
      </c>
      <c r="E57" s="522">
        <f>IF(+I14&lt;F56,I14,D57)</f>
        <v>10036.119047619048</v>
      </c>
      <c r="F57" s="523">
        <f t="shared" si="21"/>
        <v>13807.000324122708</v>
      </c>
      <c r="G57" s="524">
        <f t="shared" si="23"/>
        <v>12414.228391732573</v>
      </c>
      <c r="H57" s="491">
        <f t="shared" si="24"/>
        <v>12414.228391732573</v>
      </c>
      <c r="I57" s="511">
        <f t="shared" si="22"/>
        <v>0</v>
      </c>
      <c r="J57" s="511"/>
      <c r="K57" s="525"/>
      <c r="L57" s="514">
        <f t="shared" si="17"/>
        <v>0</v>
      </c>
      <c r="M57" s="525"/>
      <c r="N57" s="514">
        <f t="shared" si="18"/>
        <v>0</v>
      </c>
      <c r="O57" s="514">
        <f t="shared" si="19"/>
        <v>0</v>
      </c>
      <c r="P57" s="272"/>
    </row>
    <row r="58" spans="2:17" ht="12.5">
      <c r="B58" s="195" t="str">
        <f t="shared" si="20"/>
        <v/>
      </c>
      <c r="C58" s="507">
        <f>IF(D11="","-",+C57+1)</f>
        <v>2053</v>
      </c>
      <c r="D58" s="523">
        <f>IF(F57+SUM(E$17:E57)=D$10,F57,D$10-SUM(E$17:E57))</f>
        <v>13807.000324122708</v>
      </c>
      <c r="E58" s="522">
        <f>IF(+I14&lt;F57,I14,D58)</f>
        <v>10036.119047619048</v>
      </c>
      <c r="F58" s="523">
        <f t="shared" si="21"/>
        <v>3770.88127650366</v>
      </c>
      <c r="G58" s="524">
        <f t="shared" si="23"/>
        <v>11146.397708665705</v>
      </c>
      <c r="H58" s="491">
        <f t="shared" si="24"/>
        <v>11146.397708665705</v>
      </c>
      <c r="I58" s="511">
        <f t="shared" si="22"/>
        <v>0</v>
      </c>
      <c r="J58" s="511"/>
      <c r="K58" s="525"/>
      <c r="L58" s="514">
        <f t="shared" si="17"/>
        <v>0</v>
      </c>
      <c r="M58" s="525"/>
      <c r="N58" s="514">
        <f t="shared" si="18"/>
        <v>0</v>
      </c>
      <c r="O58" s="514">
        <f t="shared" si="19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0"/>
        <v/>
      </c>
      <c r="C59" s="507">
        <f>IF(D11="","-",+C58+1)</f>
        <v>2054</v>
      </c>
      <c r="D59" s="523">
        <f>IF(F58+SUM(E$17:E58)=D$10,F58,D$10-SUM(E$17:E58))</f>
        <v>3770.88127650366</v>
      </c>
      <c r="E59" s="522">
        <f>IF(+I14&lt;F58,I14,D59)</f>
        <v>3770.88127650366</v>
      </c>
      <c r="F59" s="523">
        <f t="shared" si="21"/>
        <v>0</v>
      </c>
      <c r="G59" s="524">
        <f t="shared" si="23"/>
        <v>4009.0629362602717</v>
      </c>
      <c r="H59" s="491">
        <f t="shared" si="24"/>
        <v>4009.0629362602717</v>
      </c>
      <c r="I59" s="511">
        <f t="shared" si="22"/>
        <v>0</v>
      </c>
      <c r="J59" s="511"/>
      <c r="K59" s="525"/>
      <c r="L59" s="514">
        <f t="shared" si="17"/>
        <v>0</v>
      </c>
      <c r="M59" s="525"/>
      <c r="N59" s="514">
        <f t="shared" si="18"/>
        <v>0</v>
      </c>
      <c r="O59" s="514">
        <f t="shared" si="19"/>
        <v>0</v>
      </c>
      <c r="P59" s="272"/>
    </row>
    <row r="60" spans="2:17" ht="12.5">
      <c r="B60" s="195" t="str">
        <f t="shared" si="20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23"/>
        <v>0</v>
      </c>
      <c r="H60" s="491">
        <f t="shared" si="24"/>
        <v>0</v>
      </c>
      <c r="I60" s="511">
        <f t="shared" si="22"/>
        <v>0</v>
      </c>
      <c r="J60" s="511"/>
      <c r="K60" s="525"/>
      <c r="L60" s="514">
        <f t="shared" si="17"/>
        <v>0</v>
      </c>
      <c r="M60" s="525"/>
      <c r="N60" s="514">
        <f t="shared" si="18"/>
        <v>0</v>
      </c>
      <c r="O60" s="514">
        <f t="shared" si="19"/>
        <v>0</v>
      </c>
      <c r="P60" s="272"/>
    </row>
    <row r="61" spans="2:17" ht="12.5">
      <c r="B61" s="195" t="str">
        <f t="shared" si="20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23"/>
        <v>0</v>
      </c>
      <c r="H61" s="491">
        <f t="shared" si="24"/>
        <v>0</v>
      </c>
      <c r="I61" s="511">
        <f t="shared" si="22"/>
        <v>0</v>
      </c>
      <c r="J61" s="511"/>
      <c r="K61" s="525"/>
      <c r="L61" s="514">
        <f t="shared" si="17"/>
        <v>0</v>
      </c>
      <c r="M61" s="525"/>
      <c r="N61" s="514">
        <f t="shared" si="18"/>
        <v>0</v>
      </c>
      <c r="O61" s="514">
        <f t="shared" si="19"/>
        <v>0</v>
      </c>
      <c r="P61" s="272"/>
    </row>
    <row r="62" spans="2:17" ht="12.5">
      <c r="B62" s="195" t="str">
        <f t="shared" si="20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23"/>
        <v>0</v>
      </c>
      <c r="H62" s="491">
        <f t="shared" si="24"/>
        <v>0</v>
      </c>
      <c r="I62" s="511">
        <f t="shared" si="22"/>
        <v>0</v>
      </c>
      <c r="J62" s="511"/>
      <c r="K62" s="525"/>
      <c r="L62" s="514">
        <f t="shared" si="17"/>
        <v>0</v>
      </c>
      <c r="M62" s="525"/>
      <c r="N62" s="514">
        <f t="shared" si="18"/>
        <v>0</v>
      </c>
      <c r="O62" s="514">
        <f t="shared" si="19"/>
        <v>0</v>
      </c>
      <c r="P62" s="272"/>
    </row>
    <row r="63" spans="2:17" ht="12.5">
      <c r="B63" s="195" t="str">
        <f t="shared" si="20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23"/>
        <v>0</v>
      </c>
      <c r="H63" s="491">
        <f t="shared" si="24"/>
        <v>0</v>
      </c>
      <c r="I63" s="511">
        <f t="shared" si="22"/>
        <v>0</v>
      </c>
      <c r="J63" s="511"/>
      <c r="K63" s="525"/>
      <c r="L63" s="514">
        <f t="shared" si="17"/>
        <v>0</v>
      </c>
      <c r="M63" s="525"/>
      <c r="N63" s="514">
        <f t="shared" si="18"/>
        <v>0</v>
      </c>
      <c r="O63" s="514">
        <f t="shared" si="19"/>
        <v>0</v>
      </c>
      <c r="P63" s="272"/>
    </row>
    <row r="64" spans="2:17" ht="12.5">
      <c r="B64" s="195" t="str">
        <f t="shared" si="20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23"/>
        <v>0</v>
      </c>
      <c r="H64" s="491">
        <f t="shared" si="24"/>
        <v>0</v>
      </c>
      <c r="I64" s="511">
        <f t="shared" si="22"/>
        <v>0</v>
      </c>
      <c r="J64" s="511"/>
      <c r="K64" s="525"/>
      <c r="L64" s="514">
        <f t="shared" si="17"/>
        <v>0</v>
      </c>
      <c r="M64" s="525"/>
      <c r="N64" s="514">
        <f t="shared" si="18"/>
        <v>0</v>
      </c>
      <c r="O64" s="514">
        <f t="shared" si="19"/>
        <v>0</v>
      </c>
      <c r="P64" s="272"/>
    </row>
    <row r="65" spans="1:16" ht="12.5">
      <c r="B65" s="195" t="str">
        <f t="shared" si="20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23"/>
        <v>0</v>
      </c>
      <c r="H65" s="491">
        <f t="shared" si="24"/>
        <v>0</v>
      </c>
      <c r="I65" s="511">
        <f t="shared" si="22"/>
        <v>0</v>
      </c>
      <c r="J65" s="511"/>
      <c r="K65" s="525"/>
      <c r="L65" s="514">
        <f t="shared" si="17"/>
        <v>0</v>
      </c>
      <c r="M65" s="525"/>
      <c r="N65" s="514">
        <f t="shared" si="18"/>
        <v>0</v>
      </c>
      <c r="O65" s="514">
        <f t="shared" si="19"/>
        <v>0</v>
      </c>
      <c r="P65" s="272"/>
    </row>
    <row r="66" spans="1:16" ht="12.5">
      <c r="B66" s="195" t="str">
        <f t="shared" si="20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23"/>
        <v>0</v>
      </c>
      <c r="H66" s="491">
        <f t="shared" si="24"/>
        <v>0</v>
      </c>
      <c r="I66" s="511">
        <f t="shared" si="22"/>
        <v>0</v>
      </c>
      <c r="J66" s="511"/>
      <c r="K66" s="525"/>
      <c r="L66" s="514">
        <f t="shared" si="17"/>
        <v>0</v>
      </c>
      <c r="M66" s="525"/>
      <c r="N66" s="514">
        <f t="shared" si="18"/>
        <v>0</v>
      </c>
      <c r="O66" s="514">
        <f t="shared" si="19"/>
        <v>0</v>
      </c>
      <c r="P66" s="272"/>
    </row>
    <row r="67" spans="1:16" ht="12.5">
      <c r="B67" s="195" t="str">
        <f t="shared" si="20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23"/>
        <v>0</v>
      </c>
      <c r="H67" s="491">
        <f t="shared" si="24"/>
        <v>0</v>
      </c>
      <c r="I67" s="511">
        <f t="shared" si="22"/>
        <v>0</v>
      </c>
      <c r="J67" s="511"/>
      <c r="K67" s="525"/>
      <c r="L67" s="514">
        <f t="shared" si="17"/>
        <v>0</v>
      </c>
      <c r="M67" s="525"/>
      <c r="N67" s="514">
        <f t="shared" si="18"/>
        <v>0</v>
      </c>
      <c r="O67" s="514">
        <f t="shared" si="19"/>
        <v>0</v>
      </c>
      <c r="P67" s="272"/>
    </row>
    <row r="68" spans="1:16" ht="12.5">
      <c r="B68" s="195" t="str">
        <f t="shared" si="20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23"/>
        <v>0</v>
      </c>
      <c r="H68" s="491">
        <f t="shared" si="24"/>
        <v>0</v>
      </c>
      <c r="I68" s="511">
        <f t="shared" si="22"/>
        <v>0</v>
      </c>
      <c r="J68" s="511"/>
      <c r="K68" s="525"/>
      <c r="L68" s="514">
        <f t="shared" si="17"/>
        <v>0</v>
      </c>
      <c r="M68" s="525"/>
      <c r="N68" s="514">
        <f t="shared" si="18"/>
        <v>0</v>
      </c>
      <c r="O68" s="514">
        <f t="shared" si="19"/>
        <v>0</v>
      </c>
      <c r="P68" s="272"/>
    </row>
    <row r="69" spans="1:16" ht="12.5">
      <c r="B69" s="195" t="str">
        <f t="shared" si="20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23"/>
        <v>0</v>
      </c>
      <c r="H69" s="491">
        <f t="shared" si="24"/>
        <v>0</v>
      </c>
      <c r="I69" s="511">
        <f t="shared" si="22"/>
        <v>0</v>
      </c>
      <c r="J69" s="511"/>
      <c r="K69" s="525"/>
      <c r="L69" s="514">
        <f t="shared" si="17"/>
        <v>0</v>
      </c>
      <c r="M69" s="525"/>
      <c r="N69" s="514">
        <f t="shared" si="18"/>
        <v>0</v>
      </c>
      <c r="O69" s="514">
        <f t="shared" si="19"/>
        <v>0</v>
      </c>
      <c r="P69" s="272"/>
    </row>
    <row r="70" spans="1:16" ht="12.5">
      <c r="B70" s="195" t="str">
        <f t="shared" si="20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23"/>
        <v>0</v>
      </c>
      <c r="H70" s="491">
        <f t="shared" si="24"/>
        <v>0</v>
      </c>
      <c r="I70" s="511">
        <f t="shared" si="22"/>
        <v>0</v>
      </c>
      <c r="J70" s="511"/>
      <c r="K70" s="525"/>
      <c r="L70" s="514">
        <f t="shared" si="17"/>
        <v>0</v>
      </c>
      <c r="M70" s="525"/>
      <c r="N70" s="514">
        <f t="shared" si="18"/>
        <v>0</v>
      </c>
      <c r="O70" s="514">
        <f t="shared" si="19"/>
        <v>0</v>
      </c>
      <c r="P70" s="272"/>
    </row>
    <row r="71" spans="1:16" ht="12.5">
      <c r="B71" s="195" t="str">
        <f t="shared" si="20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23"/>
        <v>0</v>
      </c>
      <c r="H71" s="491">
        <f t="shared" si="24"/>
        <v>0</v>
      </c>
      <c r="I71" s="511">
        <f t="shared" si="22"/>
        <v>0</v>
      </c>
      <c r="J71" s="511"/>
      <c r="K71" s="525"/>
      <c r="L71" s="514">
        <f t="shared" si="17"/>
        <v>0</v>
      </c>
      <c r="M71" s="525"/>
      <c r="N71" s="514">
        <f t="shared" si="18"/>
        <v>0</v>
      </c>
      <c r="O71" s="514">
        <f t="shared" si="19"/>
        <v>0</v>
      </c>
      <c r="P71" s="272"/>
    </row>
    <row r="72" spans="1:16" ht="13" thickBot="1">
      <c r="B72" s="195" t="str">
        <f t="shared" si="20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23"/>
        <v>0</v>
      </c>
      <c r="H72" s="471">
        <f t="shared" si="24"/>
        <v>0</v>
      </c>
      <c r="I72" s="531">
        <f t="shared" si="22"/>
        <v>0</v>
      </c>
      <c r="J72" s="511"/>
      <c r="K72" s="532"/>
      <c r="L72" s="533">
        <f t="shared" si="17"/>
        <v>0</v>
      </c>
      <c r="M72" s="532"/>
      <c r="N72" s="533">
        <f t="shared" si="18"/>
        <v>0</v>
      </c>
      <c r="O72" s="533">
        <f t="shared" si="19"/>
        <v>0</v>
      </c>
      <c r="P72" s="272"/>
    </row>
    <row r="73" spans="1:16" ht="12.5">
      <c r="C73" s="374" t="s">
        <v>78</v>
      </c>
      <c r="D73" s="375"/>
      <c r="E73" s="375">
        <f>SUM(E17:E72)</f>
        <v>421517</v>
      </c>
      <c r="F73" s="375"/>
      <c r="G73" s="375">
        <f>SUM(G17:G72)</f>
        <v>1566164.4131042187</v>
      </c>
      <c r="H73" s="375">
        <f>SUM(H17:H72)</f>
        <v>1566164.4131042187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27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45062.451608216499</v>
      </c>
      <c r="N87" s="546">
        <f>IF(J92&lt;D11,0,VLOOKUP(J92,C17:O72,11))</f>
        <v>45062.451608216499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47880.533130342868</v>
      </c>
      <c r="N88" s="550">
        <f>IF(J92&lt;D11,0,VLOOKUP(J92,C99:P154,7))</f>
        <v>47880.533130342868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Linwood - Powell Street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2818.0815221263692</v>
      </c>
      <c r="N89" s="555">
        <f>+N88-N87</f>
        <v>2818.0815221263692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TP2009015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421517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10280.90243902439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5119.25</v>
      </c>
      <c r="F99" s="515">
        <v>424897.75</v>
      </c>
      <c r="G99" s="574">
        <v>212448.875</v>
      </c>
      <c r="H99" s="575">
        <v>36381.937261919113</v>
      </c>
      <c r="I99" s="576">
        <v>36381.937261919113</v>
      </c>
      <c r="J99" s="613">
        <f t="shared" ref="J99:J130" si="25">+I99-H99</f>
        <v>0</v>
      </c>
      <c r="K99" s="514"/>
      <c r="L99" s="512">
        <f t="shared" ref="L99:L104" si="26">H99</f>
        <v>36381.937261919113</v>
      </c>
      <c r="M99" s="597">
        <f t="shared" ref="M99:M130" si="27">IF(L99&lt;&gt;0,+H99-L99,0)</f>
        <v>0</v>
      </c>
      <c r="N99" s="512">
        <f t="shared" ref="N99:N104" si="28">I99</f>
        <v>36381.937261919113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 ht="12.5">
      <c r="B100" s="195" t="str">
        <f t="shared" ref="B100:B131" si="31">IF(D100=F99,"","IU")</f>
        <v/>
      </c>
      <c r="C100" s="507">
        <f>IF(D93="","-",+C99+1)</f>
        <v>2013</v>
      </c>
      <c r="D100" s="508">
        <v>424897.75</v>
      </c>
      <c r="E100" s="516">
        <v>10238.5</v>
      </c>
      <c r="F100" s="515">
        <v>414659.25</v>
      </c>
      <c r="G100" s="515">
        <v>419778.5</v>
      </c>
      <c r="H100" s="575">
        <v>67031.047857906437</v>
      </c>
      <c r="I100" s="576">
        <v>67031.047857906437</v>
      </c>
      <c r="J100" s="613">
        <v>0</v>
      </c>
      <c r="K100" s="514"/>
      <c r="L100" s="518">
        <f t="shared" si="26"/>
        <v>67031.047857906437</v>
      </c>
      <c r="M100" s="519">
        <f t="shared" ref="M100:M105" si="32">IF(L100&lt;&gt;0,+H100-L100,0)</f>
        <v>0</v>
      </c>
      <c r="N100" s="518">
        <f t="shared" si="28"/>
        <v>67031.047857906437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1"/>
        <v>IU</v>
      </c>
      <c r="C101" s="507">
        <f>IF(D93="","-",+C100+1)</f>
        <v>2014</v>
      </c>
      <c r="D101" s="508">
        <v>406159.25</v>
      </c>
      <c r="E101" s="516">
        <v>10036.119047619048</v>
      </c>
      <c r="F101" s="515">
        <v>396123.13095238095</v>
      </c>
      <c r="G101" s="515">
        <v>401141.19047619047</v>
      </c>
      <c r="H101" s="575">
        <v>64560.617511183853</v>
      </c>
      <c r="I101" s="576">
        <v>64560.617511183853</v>
      </c>
      <c r="J101" s="514">
        <v>0</v>
      </c>
      <c r="K101" s="514"/>
      <c r="L101" s="518">
        <f t="shared" si="26"/>
        <v>64560.617511183853</v>
      </c>
      <c r="M101" s="519">
        <f t="shared" si="32"/>
        <v>0</v>
      </c>
      <c r="N101" s="518">
        <f t="shared" si="28"/>
        <v>64560.617511183853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1"/>
        <v/>
      </c>
      <c r="C102" s="507">
        <f>IF(D93="","-",+C101+1)</f>
        <v>2015</v>
      </c>
      <c r="D102" s="508">
        <v>396123.13095238095</v>
      </c>
      <c r="E102" s="516">
        <v>10036.119047619048</v>
      </c>
      <c r="F102" s="515">
        <v>386087.01190476189</v>
      </c>
      <c r="G102" s="515">
        <v>391105.07142857142</v>
      </c>
      <c r="H102" s="575">
        <v>61571.595440980236</v>
      </c>
      <c r="I102" s="576">
        <v>61571.595440980236</v>
      </c>
      <c r="J102" s="514">
        <f t="shared" si="25"/>
        <v>0</v>
      </c>
      <c r="K102" s="514"/>
      <c r="L102" s="518">
        <f t="shared" si="26"/>
        <v>61571.595440980236</v>
      </c>
      <c r="M102" s="519">
        <f t="shared" si="32"/>
        <v>0</v>
      </c>
      <c r="N102" s="518">
        <f t="shared" si="28"/>
        <v>61571.595440980236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1"/>
        <v/>
      </c>
      <c r="C103" s="507">
        <f>IF(D93="","-",+C102+1)</f>
        <v>2016</v>
      </c>
      <c r="D103" s="508">
        <v>386087.01190476189</v>
      </c>
      <c r="E103" s="516">
        <v>9802.7209302325573</v>
      </c>
      <c r="F103" s="515">
        <v>376284.29097452934</v>
      </c>
      <c r="G103" s="515">
        <v>381185.65143964562</v>
      </c>
      <c r="H103" s="575">
        <v>58194.234916187183</v>
      </c>
      <c r="I103" s="576">
        <v>58194.234916187183</v>
      </c>
      <c r="J103" s="514">
        <f t="shared" si="25"/>
        <v>0</v>
      </c>
      <c r="K103" s="514"/>
      <c r="L103" s="518">
        <f t="shared" si="26"/>
        <v>58194.234916187183</v>
      </c>
      <c r="M103" s="519">
        <f t="shared" si="32"/>
        <v>0</v>
      </c>
      <c r="N103" s="518">
        <f t="shared" si="28"/>
        <v>58194.234916187183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1"/>
        <v/>
      </c>
      <c r="C104" s="507">
        <f>IF(D93="","-",+C103+1)</f>
        <v>2017</v>
      </c>
      <c r="D104" s="508">
        <v>376284.29097452934</v>
      </c>
      <c r="E104" s="516">
        <v>10036.119047619048</v>
      </c>
      <c r="F104" s="515">
        <v>366248.17192691029</v>
      </c>
      <c r="G104" s="515">
        <v>371266.23145071982</v>
      </c>
      <c r="H104" s="575">
        <v>55134.369370776643</v>
      </c>
      <c r="I104" s="576">
        <v>55134.369370776643</v>
      </c>
      <c r="J104" s="514">
        <f t="shared" si="25"/>
        <v>0</v>
      </c>
      <c r="K104" s="514"/>
      <c r="L104" s="518">
        <f t="shared" si="26"/>
        <v>55134.369370776643</v>
      </c>
      <c r="M104" s="519">
        <f t="shared" si="32"/>
        <v>0</v>
      </c>
      <c r="N104" s="518">
        <f t="shared" si="28"/>
        <v>55134.369370776643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1"/>
        <v/>
      </c>
      <c r="C105" s="507">
        <f>IF(D93="","-",+C104+1)</f>
        <v>2018</v>
      </c>
      <c r="D105" s="508">
        <v>366248.17192691029</v>
      </c>
      <c r="E105" s="516">
        <v>10036.119047619048</v>
      </c>
      <c r="F105" s="515">
        <v>356212.05287929124</v>
      </c>
      <c r="G105" s="515">
        <v>361230.11240310076</v>
      </c>
      <c r="H105" s="575">
        <v>48183.675453584445</v>
      </c>
      <c r="I105" s="576">
        <v>48183.675453584445</v>
      </c>
      <c r="J105" s="514">
        <f t="shared" si="25"/>
        <v>0</v>
      </c>
      <c r="K105" s="514"/>
      <c r="L105" s="518">
        <f t="shared" ref="L105" si="33">H105</f>
        <v>48183.675453584445</v>
      </c>
      <c r="M105" s="519">
        <f t="shared" si="32"/>
        <v>0</v>
      </c>
      <c r="N105" s="518">
        <f t="shared" ref="N105" si="34">I105</f>
        <v>48183.675453584445</v>
      </c>
      <c r="O105" s="514">
        <f t="shared" si="29"/>
        <v>0</v>
      </c>
      <c r="P105" s="514">
        <f t="shared" si="30"/>
        <v>0</v>
      </c>
      <c r="Q105" s="269"/>
    </row>
    <row r="106" spans="1:17" ht="12.5">
      <c r="B106" s="195" t="str">
        <f t="shared" si="31"/>
        <v/>
      </c>
      <c r="C106" s="507">
        <f>IF(D93="","-",+C105+1)</f>
        <v>2019</v>
      </c>
      <c r="D106" s="508">
        <v>356212.05287929124</v>
      </c>
      <c r="E106" s="516">
        <v>9802.7209302325573</v>
      </c>
      <c r="F106" s="515">
        <v>346409.33194905869</v>
      </c>
      <c r="G106" s="515">
        <v>351310.69241417496</v>
      </c>
      <c r="H106" s="575">
        <v>47407.209452315969</v>
      </c>
      <c r="I106" s="576">
        <v>47407.209452315969</v>
      </c>
      <c r="J106" s="514">
        <f t="shared" si="25"/>
        <v>0</v>
      </c>
      <c r="K106" s="514"/>
      <c r="L106" s="518">
        <f t="shared" ref="L106:L107" si="35">H106</f>
        <v>47407.209452315969</v>
      </c>
      <c r="M106" s="519">
        <f t="shared" ref="M106:M107" si="36">IF(L106&lt;&gt;0,+H106-L106,0)</f>
        <v>0</v>
      </c>
      <c r="N106" s="518">
        <f t="shared" ref="N106:N107" si="37">I106</f>
        <v>47407.209452315969</v>
      </c>
      <c r="O106" s="514">
        <f t="shared" si="29"/>
        <v>0</v>
      </c>
      <c r="P106" s="514">
        <f t="shared" si="30"/>
        <v>0</v>
      </c>
      <c r="Q106" s="269"/>
    </row>
    <row r="107" spans="1:17" ht="12.5">
      <c r="B107" s="195" t="str">
        <f t="shared" si="31"/>
        <v/>
      </c>
      <c r="C107" s="507">
        <f>IF(D93="","-",+C106+1)</f>
        <v>2020</v>
      </c>
      <c r="D107" s="508">
        <v>346409.33194905869</v>
      </c>
      <c r="E107" s="516">
        <v>10036.119047619048</v>
      </c>
      <c r="F107" s="515">
        <v>336373.21290143963</v>
      </c>
      <c r="G107" s="515">
        <v>341391.27242524916</v>
      </c>
      <c r="H107" s="575">
        <v>46760.886604706458</v>
      </c>
      <c r="I107" s="576">
        <v>46760.886604706458</v>
      </c>
      <c r="J107" s="514">
        <f t="shared" si="25"/>
        <v>0</v>
      </c>
      <c r="K107" s="514"/>
      <c r="L107" s="518">
        <f t="shared" si="35"/>
        <v>46760.886604706458</v>
      </c>
      <c r="M107" s="519">
        <f t="shared" si="36"/>
        <v>0</v>
      </c>
      <c r="N107" s="518">
        <f t="shared" si="37"/>
        <v>46760.886604706458</v>
      </c>
      <c r="O107" s="514">
        <f t="shared" si="29"/>
        <v>0</v>
      </c>
      <c r="P107" s="514">
        <f t="shared" si="30"/>
        <v>0</v>
      </c>
      <c r="Q107" s="269"/>
    </row>
    <row r="108" spans="1:17" ht="12.5">
      <c r="B108" s="195" t="str">
        <f t="shared" si="31"/>
        <v/>
      </c>
      <c r="C108" s="507">
        <f>IF(D93="","-",+C107+1)</f>
        <v>2021</v>
      </c>
      <c r="D108" s="374">
        <f>IF(F107+SUM(E$99:E107)=D$92,F107,D$92-SUM(E$99:E107))</f>
        <v>336373.21290143963</v>
      </c>
      <c r="E108" s="522">
        <f>IF(+J96&lt;F107,J96,D108)</f>
        <v>10280.90243902439</v>
      </c>
      <c r="F108" s="523">
        <f t="shared" ref="F108:F131" si="38">+D108-E108</f>
        <v>326092.31046241522</v>
      </c>
      <c r="G108" s="523">
        <f t="shared" ref="G108:G130" si="39">+(F108+D108)/2</f>
        <v>331232.76168192743</v>
      </c>
      <c r="H108" s="526">
        <f t="shared" ref="H108:H130" si="40">+J$94*G108+E108</f>
        <v>47880.533130342868</v>
      </c>
      <c r="I108" s="577">
        <f t="shared" ref="I108:I130" si="41">+J$95*G108+E108</f>
        <v>47880.533130342868</v>
      </c>
      <c r="J108" s="514">
        <f t="shared" si="25"/>
        <v>0</v>
      </c>
      <c r="K108" s="514"/>
      <c r="L108" s="525"/>
      <c r="M108" s="514">
        <f t="shared" si="27"/>
        <v>0</v>
      </c>
      <c r="N108" s="525"/>
      <c r="O108" s="514">
        <f t="shared" si="29"/>
        <v>0</v>
      </c>
      <c r="P108" s="514">
        <f t="shared" si="30"/>
        <v>0</v>
      </c>
      <c r="Q108" s="269"/>
    </row>
    <row r="109" spans="1:17" ht="12.5">
      <c r="B109" s="195" t="str">
        <f t="shared" si="31"/>
        <v/>
      </c>
      <c r="C109" s="507">
        <f>IF(D93="","-",+C108+1)</f>
        <v>2022</v>
      </c>
      <c r="D109" s="374">
        <f>IF(F108+SUM(E$99:E108)=D$92,F108,D$92-SUM(E$99:E108))</f>
        <v>326092.31046241522</v>
      </c>
      <c r="E109" s="522">
        <f>IF(+J96&lt;F108,J96,D109)</f>
        <v>10280.90243902439</v>
      </c>
      <c r="F109" s="523">
        <f t="shared" si="38"/>
        <v>315811.4080233908</v>
      </c>
      <c r="G109" s="523">
        <f t="shared" si="39"/>
        <v>320951.85924290301</v>
      </c>
      <c r="H109" s="526">
        <f t="shared" si="40"/>
        <v>46713.504443573067</v>
      </c>
      <c r="I109" s="577">
        <f t="shared" si="41"/>
        <v>46713.504443573067</v>
      </c>
      <c r="J109" s="514">
        <f t="shared" si="25"/>
        <v>0</v>
      </c>
      <c r="K109" s="514"/>
      <c r="L109" s="525"/>
      <c r="M109" s="514">
        <f t="shared" si="27"/>
        <v>0</v>
      </c>
      <c r="N109" s="525"/>
      <c r="O109" s="514">
        <f t="shared" si="29"/>
        <v>0</v>
      </c>
      <c r="P109" s="514">
        <f t="shared" si="30"/>
        <v>0</v>
      </c>
      <c r="Q109" s="269"/>
    </row>
    <row r="110" spans="1:17" ht="12.5">
      <c r="B110" s="195" t="str">
        <f t="shared" si="31"/>
        <v/>
      </c>
      <c r="C110" s="507">
        <f>IF(D93="","-",+C109+1)</f>
        <v>2023</v>
      </c>
      <c r="D110" s="374">
        <f>IF(F109+SUM(E$99:E109)=D$92,F109,D$92-SUM(E$99:E109))</f>
        <v>315811.4080233908</v>
      </c>
      <c r="E110" s="522">
        <f>IF(+J96&lt;F109,J96,D110)</f>
        <v>10280.90243902439</v>
      </c>
      <c r="F110" s="523">
        <f t="shared" si="38"/>
        <v>305530.50558436639</v>
      </c>
      <c r="G110" s="523">
        <f t="shared" si="39"/>
        <v>310670.95680387859</v>
      </c>
      <c r="H110" s="526">
        <f t="shared" si="40"/>
        <v>45546.475756803266</v>
      </c>
      <c r="I110" s="577">
        <f t="shared" si="41"/>
        <v>45546.475756803266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 ht="12.5">
      <c r="B111" s="195" t="str">
        <f t="shared" si="31"/>
        <v/>
      </c>
      <c r="C111" s="507">
        <f>IF(D93="","-",+C110+1)</f>
        <v>2024</v>
      </c>
      <c r="D111" s="374">
        <f>IF(F110+SUM(E$99:E110)=D$92,F110,D$92-SUM(E$99:E110))</f>
        <v>305530.50558436639</v>
      </c>
      <c r="E111" s="522">
        <f>IF(+J96&lt;F110,J96,D111)</f>
        <v>10280.90243902439</v>
      </c>
      <c r="F111" s="523">
        <f t="shared" si="38"/>
        <v>295249.60314534197</v>
      </c>
      <c r="G111" s="523">
        <f t="shared" si="39"/>
        <v>300390.05436485418</v>
      </c>
      <c r="H111" s="526">
        <f t="shared" si="40"/>
        <v>44379.447070033479</v>
      </c>
      <c r="I111" s="577">
        <f t="shared" si="41"/>
        <v>44379.447070033479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 ht="12.5">
      <c r="B112" s="195" t="str">
        <f t="shared" si="31"/>
        <v/>
      </c>
      <c r="C112" s="507">
        <f>IF(D93="","-",+C111+1)</f>
        <v>2025</v>
      </c>
      <c r="D112" s="374">
        <f>IF(F111+SUM(E$99:E111)=D$92,F111,D$92-SUM(E$99:E111))</f>
        <v>295249.60314534197</v>
      </c>
      <c r="E112" s="522">
        <f>IF(+J96&lt;F111,J96,D112)</f>
        <v>10280.90243902439</v>
      </c>
      <c r="F112" s="523">
        <f t="shared" si="38"/>
        <v>284968.70070631756</v>
      </c>
      <c r="G112" s="523">
        <f t="shared" si="39"/>
        <v>290109.15192582976</v>
      </c>
      <c r="H112" s="526">
        <f t="shared" si="40"/>
        <v>43212.418383263677</v>
      </c>
      <c r="I112" s="577">
        <f t="shared" si="41"/>
        <v>43212.418383263677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 ht="12.5">
      <c r="B113" s="195" t="str">
        <f t="shared" si="31"/>
        <v/>
      </c>
      <c r="C113" s="507">
        <f>IF(D93="","-",+C112+1)</f>
        <v>2026</v>
      </c>
      <c r="D113" s="374">
        <f>IF(F112+SUM(E$99:E112)=D$92,F112,D$92-SUM(E$99:E112))</f>
        <v>284968.70070631756</v>
      </c>
      <c r="E113" s="522">
        <f>IF(+J96&lt;F112,J96,D113)</f>
        <v>10280.90243902439</v>
      </c>
      <c r="F113" s="523">
        <f t="shared" si="38"/>
        <v>274687.79826729314</v>
      </c>
      <c r="G113" s="523">
        <f t="shared" si="39"/>
        <v>279828.24948680535</v>
      </c>
      <c r="H113" s="526">
        <f t="shared" si="40"/>
        <v>42045.389696493876</v>
      </c>
      <c r="I113" s="577">
        <f t="shared" si="41"/>
        <v>42045.389696493876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 ht="12.5">
      <c r="B114" s="195" t="str">
        <f t="shared" si="31"/>
        <v/>
      </c>
      <c r="C114" s="507">
        <f>IF(D93="","-",+C113+1)</f>
        <v>2027</v>
      </c>
      <c r="D114" s="374">
        <f>IF(F113+SUM(E$99:E113)=D$92,F113,D$92-SUM(E$99:E113))</f>
        <v>274687.79826729314</v>
      </c>
      <c r="E114" s="522">
        <f>IF(+J96&lt;F113,J96,D114)</f>
        <v>10280.90243902439</v>
      </c>
      <c r="F114" s="523">
        <f t="shared" si="38"/>
        <v>264406.89582826872</v>
      </c>
      <c r="G114" s="523">
        <f t="shared" si="39"/>
        <v>269547.34704778093</v>
      </c>
      <c r="H114" s="526">
        <f t="shared" si="40"/>
        <v>40878.361009724074</v>
      </c>
      <c r="I114" s="577">
        <f t="shared" si="41"/>
        <v>40878.361009724074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 ht="12.5">
      <c r="B115" s="195" t="str">
        <f t="shared" si="31"/>
        <v/>
      </c>
      <c r="C115" s="507">
        <f>IF(D93="","-",+C114+1)</f>
        <v>2028</v>
      </c>
      <c r="D115" s="374">
        <f>IF(F114+SUM(E$99:E114)=D$92,F114,D$92-SUM(E$99:E114))</f>
        <v>264406.89582826872</v>
      </c>
      <c r="E115" s="522">
        <f>IF(+J96&lt;F114,J96,D115)</f>
        <v>10280.90243902439</v>
      </c>
      <c r="F115" s="523">
        <f t="shared" si="38"/>
        <v>254125.99338924434</v>
      </c>
      <c r="G115" s="523">
        <f t="shared" si="39"/>
        <v>259266.44460875652</v>
      </c>
      <c r="H115" s="526">
        <f t="shared" si="40"/>
        <v>39711.33232295428</v>
      </c>
      <c r="I115" s="577">
        <f t="shared" si="41"/>
        <v>39711.33232295428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 ht="12.5">
      <c r="B116" s="195" t="str">
        <f t="shared" si="31"/>
        <v/>
      </c>
      <c r="C116" s="507">
        <f>IF(D93="","-",+C115+1)</f>
        <v>2029</v>
      </c>
      <c r="D116" s="374">
        <f>IF(F115+SUM(E$99:E115)=D$92,F115,D$92-SUM(E$99:E115))</f>
        <v>254125.99338924434</v>
      </c>
      <c r="E116" s="522">
        <f>IF(+J96&lt;F115,J96,D116)</f>
        <v>10280.90243902439</v>
      </c>
      <c r="F116" s="523">
        <f t="shared" si="38"/>
        <v>243845.09095021995</v>
      </c>
      <c r="G116" s="523">
        <f t="shared" si="39"/>
        <v>248985.54216973216</v>
      </c>
      <c r="H116" s="526">
        <f t="shared" si="40"/>
        <v>38544.303636184486</v>
      </c>
      <c r="I116" s="577">
        <f t="shared" si="41"/>
        <v>38544.303636184486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 ht="12.5">
      <c r="B117" s="195" t="str">
        <f t="shared" si="31"/>
        <v/>
      </c>
      <c r="C117" s="507">
        <f>IF(D93="","-",+C116+1)</f>
        <v>2030</v>
      </c>
      <c r="D117" s="374">
        <f>IF(F116+SUM(E$99:E116)=D$92,F116,D$92-SUM(E$99:E116))</f>
        <v>243845.09095021995</v>
      </c>
      <c r="E117" s="522">
        <f>IF(+J96&lt;F116,J96,D117)</f>
        <v>10280.90243902439</v>
      </c>
      <c r="F117" s="523">
        <f t="shared" si="38"/>
        <v>233564.18851119556</v>
      </c>
      <c r="G117" s="523">
        <f t="shared" si="39"/>
        <v>238704.63973070774</v>
      </c>
      <c r="H117" s="526">
        <f t="shared" si="40"/>
        <v>37377.274949414685</v>
      </c>
      <c r="I117" s="577">
        <f t="shared" si="41"/>
        <v>37377.274949414685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 ht="12.5">
      <c r="B118" s="195" t="str">
        <f t="shared" si="31"/>
        <v/>
      </c>
      <c r="C118" s="507">
        <f>IF(D93="","-",+C117+1)</f>
        <v>2031</v>
      </c>
      <c r="D118" s="374">
        <f>IF(F117+SUM(E$99:E117)=D$92,F117,D$92-SUM(E$99:E117))</f>
        <v>233564.18851119556</v>
      </c>
      <c r="E118" s="522">
        <f>IF(+J96&lt;F117,J96,D118)</f>
        <v>10280.90243902439</v>
      </c>
      <c r="F118" s="523">
        <f t="shared" si="38"/>
        <v>223283.28607217118</v>
      </c>
      <c r="G118" s="523">
        <f t="shared" si="39"/>
        <v>228423.73729168338</v>
      </c>
      <c r="H118" s="526">
        <f t="shared" si="40"/>
        <v>36210.246262644898</v>
      </c>
      <c r="I118" s="577">
        <f t="shared" si="41"/>
        <v>36210.246262644898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 ht="12.5">
      <c r="B119" s="195" t="str">
        <f t="shared" si="31"/>
        <v/>
      </c>
      <c r="C119" s="507">
        <f>IF(D93="","-",+C118+1)</f>
        <v>2032</v>
      </c>
      <c r="D119" s="374">
        <f>IF(F118+SUM(E$99:E118)=D$92,F118,D$92-SUM(E$99:E118))</f>
        <v>223283.28607217118</v>
      </c>
      <c r="E119" s="522">
        <f>IF(+J96&lt;F118,J96,D119)</f>
        <v>10280.90243902439</v>
      </c>
      <c r="F119" s="523">
        <f t="shared" si="38"/>
        <v>213002.38363314679</v>
      </c>
      <c r="G119" s="523">
        <f t="shared" si="39"/>
        <v>218142.83485265897</v>
      </c>
      <c r="H119" s="526">
        <f t="shared" si="40"/>
        <v>35043.217575875096</v>
      </c>
      <c r="I119" s="577">
        <f t="shared" si="41"/>
        <v>35043.217575875096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 ht="12.5">
      <c r="B120" s="195" t="str">
        <f t="shared" si="31"/>
        <v/>
      </c>
      <c r="C120" s="507">
        <f>IF(D93="","-",+C119+1)</f>
        <v>2033</v>
      </c>
      <c r="D120" s="374">
        <f>IF(F119+SUM(E$99:E119)=D$92,F119,D$92-SUM(E$99:E119))</f>
        <v>213002.38363314679</v>
      </c>
      <c r="E120" s="522">
        <f>IF(+J96&lt;F119,J96,D120)</f>
        <v>10280.90243902439</v>
      </c>
      <c r="F120" s="523">
        <f t="shared" si="38"/>
        <v>202721.4811941224</v>
      </c>
      <c r="G120" s="523">
        <f t="shared" si="39"/>
        <v>207861.93241363461</v>
      </c>
      <c r="H120" s="526">
        <f t="shared" si="40"/>
        <v>33876.188889105309</v>
      </c>
      <c r="I120" s="577">
        <f t="shared" si="41"/>
        <v>33876.188889105309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 ht="12.5">
      <c r="B121" s="195" t="str">
        <f t="shared" si="31"/>
        <v/>
      </c>
      <c r="C121" s="507">
        <f>IF(D93="","-",+C120+1)</f>
        <v>2034</v>
      </c>
      <c r="D121" s="374">
        <f>IF(F120+SUM(E$99:E120)=D$92,F120,D$92-SUM(E$99:E120))</f>
        <v>202721.4811941224</v>
      </c>
      <c r="E121" s="522">
        <f>IF(+J96&lt;F120,J96,D121)</f>
        <v>10280.90243902439</v>
      </c>
      <c r="F121" s="523">
        <f t="shared" si="38"/>
        <v>192440.57875509802</v>
      </c>
      <c r="G121" s="523">
        <f t="shared" si="39"/>
        <v>197581.0299746102</v>
      </c>
      <c r="H121" s="526">
        <f t="shared" si="40"/>
        <v>32709.160202335508</v>
      </c>
      <c r="I121" s="577">
        <f t="shared" si="41"/>
        <v>32709.160202335508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 ht="12.5">
      <c r="B122" s="195" t="str">
        <f t="shared" si="31"/>
        <v/>
      </c>
      <c r="C122" s="507">
        <f>IF(D93="","-",+C121+1)</f>
        <v>2035</v>
      </c>
      <c r="D122" s="374">
        <f>IF(F121+SUM(E$99:E121)=D$92,F121,D$92-SUM(E$99:E121))</f>
        <v>192440.57875509802</v>
      </c>
      <c r="E122" s="522">
        <f>IF(+J96&lt;F121,J96,D122)</f>
        <v>10280.90243902439</v>
      </c>
      <c r="F122" s="523">
        <f t="shared" si="38"/>
        <v>182159.67631607363</v>
      </c>
      <c r="G122" s="523">
        <f t="shared" si="39"/>
        <v>187300.12753558584</v>
      </c>
      <c r="H122" s="526">
        <f t="shared" si="40"/>
        <v>31542.131515565714</v>
      </c>
      <c r="I122" s="577">
        <f t="shared" si="41"/>
        <v>31542.131515565714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 ht="12.5">
      <c r="B123" s="195" t="str">
        <f t="shared" si="31"/>
        <v/>
      </c>
      <c r="C123" s="507">
        <f>IF(D93="","-",+C122+1)</f>
        <v>2036</v>
      </c>
      <c r="D123" s="374">
        <f>IF(F122+SUM(E$99:E122)=D$92,F122,D$92-SUM(E$99:E122))</f>
        <v>182159.67631607363</v>
      </c>
      <c r="E123" s="522">
        <f>IF(+J96&lt;F122,J96,D123)</f>
        <v>10280.90243902439</v>
      </c>
      <c r="F123" s="523">
        <f t="shared" si="38"/>
        <v>171878.77387704924</v>
      </c>
      <c r="G123" s="523">
        <f t="shared" si="39"/>
        <v>177019.22509656142</v>
      </c>
      <c r="H123" s="526">
        <f t="shared" si="40"/>
        <v>30375.102828795916</v>
      </c>
      <c r="I123" s="577">
        <f t="shared" si="41"/>
        <v>30375.102828795916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 ht="12.5">
      <c r="B124" s="195" t="str">
        <f t="shared" si="31"/>
        <v/>
      </c>
      <c r="C124" s="507">
        <f>IF(D93="","-",+C123+1)</f>
        <v>2037</v>
      </c>
      <c r="D124" s="374">
        <f>IF(F123+SUM(E$99:E123)=D$92,F123,D$92-SUM(E$99:E123))</f>
        <v>171878.77387704924</v>
      </c>
      <c r="E124" s="522">
        <f>IF(+J96&lt;F123,J96,D124)</f>
        <v>10280.90243902439</v>
      </c>
      <c r="F124" s="523">
        <f t="shared" si="38"/>
        <v>161597.87143802486</v>
      </c>
      <c r="G124" s="523">
        <f t="shared" si="39"/>
        <v>166738.32265753706</v>
      </c>
      <c r="H124" s="526">
        <f t="shared" si="40"/>
        <v>29208.074142026126</v>
      </c>
      <c r="I124" s="577">
        <f t="shared" si="41"/>
        <v>29208.074142026126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 ht="12.5">
      <c r="B125" s="195" t="str">
        <f t="shared" si="31"/>
        <v/>
      </c>
      <c r="C125" s="507">
        <f>IF(D93="","-",+C124+1)</f>
        <v>2038</v>
      </c>
      <c r="D125" s="374">
        <f>IF(F124+SUM(E$99:E124)=D$92,F124,D$92-SUM(E$99:E124))</f>
        <v>161597.87143802486</v>
      </c>
      <c r="E125" s="522">
        <f>IF(+J96&lt;F124,J96,D125)</f>
        <v>10280.90243902439</v>
      </c>
      <c r="F125" s="523">
        <f t="shared" si="38"/>
        <v>151316.96899900047</v>
      </c>
      <c r="G125" s="523">
        <f t="shared" si="39"/>
        <v>156457.42021851265</v>
      </c>
      <c r="H125" s="526">
        <f t="shared" si="40"/>
        <v>28041.045455256328</v>
      </c>
      <c r="I125" s="577">
        <f t="shared" si="41"/>
        <v>28041.045455256328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 ht="12.5">
      <c r="B126" s="195" t="str">
        <f t="shared" si="31"/>
        <v/>
      </c>
      <c r="C126" s="507">
        <f>IF(D93="","-",+C125+1)</f>
        <v>2039</v>
      </c>
      <c r="D126" s="374">
        <f>IF(F125+SUM(E$99:E125)=D$92,F125,D$92-SUM(E$99:E125))</f>
        <v>151316.96899900047</v>
      </c>
      <c r="E126" s="522">
        <f>IF(+J96&lt;F125,J96,D126)</f>
        <v>10280.90243902439</v>
      </c>
      <c r="F126" s="523">
        <f t="shared" si="38"/>
        <v>141036.06655997608</v>
      </c>
      <c r="G126" s="523">
        <f t="shared" si="39"/>
        <v>146176.51777948829</v>
      </c>
      <c r="H126" s="526">
        <f t="shared" si="40"/>
        <v>26874.016768486534</v>
      </c>
      <c r="I126" s="577">
        <f t="shared" si="41"/>
        <v>26874.016768486534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 ht="12.5">
      <c r="B127" s="195" t="str">
        <f t="shared" si="31"/>
        <v/>
      </c>
      <c r="C127" s="507">
        <f>IF(D93="","-",+C126+1)</f>
        <v>2040</v>
      </c>
      <c r="D127" s="374">
        <f>IF(F126+SUM(E$99:E126)=D$92,F126,D$92-SUM(E$99:E126))</f>
        <v>141036.06655997608</v>
      </c>
      <c r="E127" s="522">
        <f>IF(+J96&lt;F126,J96,D127)</f>
        <v>10280.90243902439</v>
      </c>
      <c r="F127" s="523">
        <f t="shared" si="38"/>
        <v>130755.1641209517</v>
      </c>
      <c r="G127" s="523">
        <f t="shared" si="39"/>
        <v>135895.61534046388</v>
      </c>
      <c r="H127" s="526">
        <f t="shared" si="40"/>
        <v>25706.988081716736</v>
      </c>
      <c r="I127" s="577">
        <f t="shared" si="41"/>
        <v>25706.988081716736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 ht="12.5">
      <c r="B128" s="195" t="str">
        <f t="shared" si="31"/>
        <v/>
      </c>
      <c r="C128" s="507">
        <f>IF(D93="","-",+C127+1)</f>
        <v>2041</v>
      </c>
      <c r="D128" s="374">
        <f>IF(F127+SUM(E$99:E127)=D$92,F127,D$92-SUM(E$99:E127))</f>
        <v>130755.1641209517</v>
      </c>
      <c r="E128" s="522">
        <f>IF(+J96&lt;F127,J96,D128)</f>
        <v>10280.90243902439</v>
      </c>
      <c r="F128" s="523">
        <f t="shared" si="38"/>
        <v>120474.26168192731</v>
      </c>
      <c r="G128" s="523">
        <f t="shared" si="39"/>
        <v>125614.7129014395</v>
      </c>
      <c r="H128" s="526">
        <f t="shared" si="40"/>
        <v>24539.959394946942</v>
      </c>
      <c r="I128" s="577">
        <f t="shared" si="41"/>
        <v>24539.959394946942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 ht="12.5">
      <c r="B129" s="195" t="str">
        <f t="shared" si="31"/>
        <v/>
      </c>
      <c r="C129" s="507">
        <f>IF(D93="","-",+C128+1)</f>
        <v>2042</v>
      </c>
      <c r="D129" s="374">
        <f>IF(F128+SUM(E$99:E128)=D$92,F128,D$92-SUM(E$99:E128))</f>
        <v>120474.26168192731</v>
      </c>
      <c r="E129" s="522">
        <f>IF(+J96&lt;F128,J96,D129)</f>
        <v>10280.90243902439</v>
      </c>
      <c r="F129" s="523">
        <f t="shared" si="38"/>
        <v>110193.35924290292</v>
      </c>
      <c r="G129" s="523">
        <f t="shared" si="39"/>
        <v>115333.81046241512</v>
      </c>
      <c r="H129" s="526">
        <f t="shared" si="40"/>
        <v>23372.930708177148</v>
      </c>
      <c r="I129" s="577">
        <f t="shared" si="41"/>
        <v>23372.930708177148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 ht="12.5">
      <c r="B130" s="195" t="str">
        <f t="shared" si="31"/>
        <v/>
      </c>
      <c r="C130" s="507">
        <f>IF(D93="","-",+C129+1)</f>
        <v>2043</v>
      </c>
      <c r="D130" s="374">
        <f>IF(F129+SUM(E$99:E129)=D$92,F129,D$92-SUM(E$99:E129))</f>
        <v>110193.35924290292</v>
      </c>
      <c r="E130" s="522">
        <f>IF(+J96&lt;F129,J96,D130)</f>
        <v>10280.90243902439</v>
      </c>
      <c r="F130" s="523">
        <f t="shared" si="38"/>
        <v>99912.456803878536</v>
      </c>
      <c r="G130" s="523">
        <f t="shared" si="39"/>
        <v>105052.90802339073</v>
      </c>
      <c r="H130" s="526">
        <f t="shared" si="40"/>
        <v>22205.902021407353</v>
      </c>
      <c r="I130" s="577">
        <f t="shared" si="41"/>
        <v>22205.902021407353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 ht="12.5">
      <c r="B131" s="195" t="str">
        <f t="shared" si="31"/>
        <v/>
      </c>
      <c r="C131" s="507">
        <f>IF(D93="","-",+C130+1)</f>
        <v>2044</v>
      </c>
      <c r="D131" s="374">
        <f>IF(F130+SUM(E$99:E130)=D$92,F130,D$92-SUM(E$99:E130))</f>
        <v>99912.456803878536</v>
      </c>
      <c r="E131" s="522">
        <f>IF(+J96&lt;F130,J96,D131)</f>
        <v>10280.90243902439</v>
      </c>
      <c r="F131" s="523">
        <f t="shared" si="38"/>
        <v>89631.55436485415</v>
      </c>
      <c r="G131" s="523">
        <f t="shared" ref="G131:G154" si="42">+(F131+D131)/2</f>
        <v>94772.005584366343</v>
      </c>
      <c r="H131" s="526">
        <f t="shared" ref="H131:H154" si="43">+J$94*G131+E131</f>
        <v>21038.873334637556</v>
      </c>
      <c r="I131" s="577">
        <f t="shared" ref="I131:I154" si="44">+J$95*G131+E131</f>
        <v>21038.873334637556</v>
      </c>
      <c r="J131" s="514">
        <f t="shared" ref="J131:J154" si="45">+I131-H131</f>
        <v>0</v>
      </c>
      <c r="K131" s="514"/>
      <c r="L131" s="525"/>
      <c r="M131" s="514">
        <f t="shared" ref="M131:M154" si="46">IF(L131&lt;&gt;0,+H131-L131,0)</f>
        <v>0</v>
      </c>
      <c r="N131" s="525"/>
      <c r="O131" s="514">
        <f t="shared" ref="O131:O154" si="47">IF(N131&lt;&gt;0,+I131-N131,0)</f>
        <v>0</v>
      </c>
      <c r="P131" s="514">
        <f t="shared" ref="P131:P154" si="48">+O131-M131</f>
        <v>0</v>
      </c>
      <c r="Q131" s="269"/>
    </row>
    <row r="132" spans="2:17" ht="12.5">
      <c r="B132" s="195" t="str">
        <f t="shared" ref="B132:B154" si="49">IF(D132=F131,"","IU")</f>
        <v/>
      </c>
      <c r="C132" s="507">
        <f>IF(D93="","-",+C131+1)</f>
        <v>2045</v>
      </c>
      <c r="D132" s="374">
        <f>IF(F131+SUM(E$99:E131)=D$92,F131,D$92-SUM(E$99:E131))</f>
        <v>89631.55436485415</v>
      </c>
      <c r="E132" s="522">
        <f>IF(+J96&lt;F131,J96,D132)</f>
        <v>10280.90243902439</v>
      </c>
      <c r="F132" s="523">
        <f t="shared" ref="F132:F154" si="50">+D132-E132</f>
        <v>79350.651925829763</v>
      </c>
      <c r="G132" s="523">
        <f t="shared" si="42"/>
        <v>84491.103145341956</v>
      </c>
      <c r="H132" s="526">
        <f t="shared" si="43"/>
        <v>19871.844647867762</v>
      </c>
      <c r="I132" s="577">
        <f t="shared" si="44"/>
        <v>19871.844647867762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  <c r="Q132" s="269"/>
    </row>
    <row r="133" spans="2:17" ht="12.5">
      <c r="B133" s="195" t="str">
        <f t="shared" si="49"/>
        <v/>
      </c>
      <c r="C133" s="507">
        <f>IF(D93="","-",+C132+1)</f>
        <v>2046</v>
      </c>
      <c r="D133" s="374">
        <f>IF(F132+SUM(E$99:E132)=D$92,F132,D$92-SUM(E$99:E132))</f>
        <v>79350.651925829763</v>
      </c>
      <c r="E133" s="522">
        <f>IF(+J96&lt;F132,J96,D133)</f>
        <v>10280.90243902439</v>
      </c>
      <c r="F133" s="523">
        <f t="shared" si="50"/>
        <v>69069.749486805376</v>
      </c>
      <c r="G133" s="523">
        <f t="shared" si="42"/>
        <v>74210.20070631757</v>
      </c>
      <c r="H133" s="526">
        <f t="shared" si="43"/>
        <v>18704.815961097964</v>
      </c>
      <c r="I133" s="577">
        <f t="shared" si="44"/>
        <v>18704.815961097964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  <c r="Q133" s="269"/>
    </row>
    <row r="134" spans="2:17" ht="12.5">
      <c r="B134" s="195" t="str">
        <f t="shared" si="49"/>
        <v/>
      </c>
      <c r="C134" s="507">
        <f>IF(D93="","-",+C133+1)</f>
        <v>2047</v>
      </c>
      <c r="D134" s="374">
        <f>IF(F133+SUM(E$99:E133)=D$92,F133,D$92-SUM(E$99:E133))</f>
        <v>69069.749486805376</v>
      </c>
      <c r="E134" s="522">
        <f>IF(+J96&lt;F133,J96,D134)</f>
        <v>10280.90243902439</v>
      </c>
      <c r="F134" s="523">
        <f t="shared" si="50"/>
        <v>58788.84704778099</v>
      </c>
      <c r="G134" s="523">
        <f t="shared" si="42"/>
        <v>63929.298267293183</v>
      </c>
      <c r="H134" s="526">
        <f t="shared" si="43"/>
        <v>17537.78727432817</v>
      </c>
      <c r="I134" s="577">
        <f t="shared" si="44"/>
        <v>17537.78727432817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  <c r="Q134" s="269"/>
    </row>
    <row r="135" spans="2:17" ht="12.5">
      <c r="B135" s="195" t="str">
        <f t="shared" si="49"/>
        <v/>
      </c>
      <c r="C135" s="507">
        <f>IF(D93="","-",+C134+1)</f>
        <v>2048</v>
      </c>
      <c r="D135" s="374">
        <f>IF(F134+SUM(E$99:E134)=D$92,F134,D$92-SUM(E$99:E134))</f>
        <v>58788.84704778099</v>
      </c>
      <c r="E135" s="522">
        <f>IF(+J96&lt;F134,J96,D135)</f>
        <v>10280.90243902439</v>
      </c>
      <c r="F135" s="523">
        <f t="shared" si="50"/>
        <v>48507.944608756603</v>
      </c>
      <c r="G135" s="523">
        <f t="shared" si="42"/>
        <v>53648.395828268796</v>
      </c>
      <c r="H135" s="526">
        <f t="shared" si="43"/>
        <v>16370.758587558375</v>
      </c>
      <c r="I135" s="577">
        <f t="shared" si="44"/>
        <v>16370.758587558375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  <c r="Q135" s="269"/>
    </row>
    <row r="136" spans="2:17" ht="12.5">
      <c r="B136" s="195" t="str">
        <f t="shared" si="49"/>
        <v/>
      </c>
      <c r="C136" s="507">
        <f>IF(D93="","-",+C135+1)</f>
        <v>2049</v>
      </c>
      <c r="D136" s="374">
        <f>IF(F135+SUM(E$99:E135)=D$92,F135,D$92-SUM(E$99:E135))</f>
        <v>48507.944608756603</v>
      </c>
      <c r="E136" s="522">
        <f>IF(+J96&lt;F135,J96,D136)</f>
        <v>10280.90243902439</v>
      </c>
      <c r="F136" s="523">
        <f t="shared" si="50"/>
        <v>38227.042169732216</v>
      </c>
      <c r="G136" s="523">
        <f t="shared" si="42"/>
        <v>43367.49338924441</v>
      </c>
      <c r="H136" s="526">
        <f t="shared" si="43"/>
        <v>15203.729900788579</v>
      </c>
      <c r="I136" s="577">
        <f t="shared" si="44"/>
        <v>15203.729900788579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  <c r="Q136" s="269"/>
    </row>
    <row r="137" spans="2:17" ht="12.5">
      <c r="B137" s="195" t="str">
        <f t="shared" si="49"/>
        <v/>
      </c>
      <c r="C137" s="507">
        <f>IF(D93="","-",+C136+1)</f>
        <v>2050</v>
      </c>
      <c r="D137" s="374">
        <f>IF(F136+SUM(E$99:E136)=D$92,F136,D$92-SUM(E$99:E136))</f>
        <v>38227.042169732216</v>
      </c>
      <c r="E137" s="522">
        <f>IF(+J96&lt;F136,J96,D137)</f>
        <v>10280.90243902439</v>
      </c>
      <c r="F137" s="523">
        <f t="shared" si="50"/>
        <v>27946.139730707826</v>
      </c>
      <c r="G137" s="523">
        <f t="shared" si="42"/>
        <v>33086.590950220023</v>
      </c>
      <c r="H137" s="526">
        <f t="shared" si="43"/>
        <v>14036.701214018784</v>
      </c>
      <c r="I137" s="577">
        <f t="shared" si="44"/>
        <v>14036.701214018784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  <c r="Q137" s="269"/>
    </row>
    <row r="138" spans="2:17" ht="12.5">
      <c r="B138" s="195" t="str">
        <f t="shared" si="49"/>
        <v/>
      </c>
      <c r="C138" s="507">
        <f>IF(D93="","-",+C137+1)</f>
        <v>2051</v>
      </c>
      <c r="D138" s="374">
        <f>IF(F137+SUM(E$99:E137)=D$92,F137,D$92-SUM(E$99:E137))</f>
        <v>27946.139730707826</v>
      </c>
      <c r="E138" s="522">
        <f>IF(+J96&lt;F137,J96,D138)</f>
        <v>10280.90243902439</v>
      </c>
      <c r="F138" s="523">
        <f t="shared" si="50"/>
        <v>17665.237291683436</v>
      </c>
      <c r="G138" s="523">
        <f t="shared" si="42"/>
        <v>22805.688511195629</v>
      </c>
      <c r="H138" s="526">
        <f t="shared" si="43"/>
        <v>12869.672527248988</v>
      </c>
      <c r="I138" s="577">
        <f t="shared" si="44"/>
        <v>12869.672527248988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  <c r="Q138" s="269"/>
    </row>
    <row r="139" spans="2:17" ht="12.5">
      <c r="B139" s="195" t="str">
        <f t="shared" si="49"/>
        <v/>
      </c>
      <c r="C139" s="507">
        <f>IF(D93="","-",+C138+1)</f>
        <v>2052</v>
      </c>
      <c r="D139" s="374">
        <f>IF(F138+SUM(E$99:E138)=D$92,F138,D$92-SUM(E$99:E138))</f>
        <v>17665.237291683436</v>
      </c>
      <c r="E139" s="522">
        <f>IF(+J96&lt;F138,J96,D139)</f>
        <v>10280.90243902439</v>
      </c>
      <c r="F139" s="523">
        <f t="shared" si="50"/>
        <v>7384.3348526590453</v>
      </c>
      <c r="G139" s="523">
        <f t="shared" si="42"/>
        <v>12524.78607217124</v>
      </c>
      <c r="H139" s="526">
        <f t="shared" si="43"/>
        <v>11702.643840479192</v>
      </c>
      <c r="I139" s="577">
        <f t="shared" si="44"/>
        <v>11702.643840479192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  <c r="Q139" s="269"/>
    </row>
    <row r="140" spans="2:17" ht="12.5">
      <c r="B140" s="195" t="str">
        <f t="shared" si="49"/>
        <v/>
      </c>
      <c r="C140" s="507">
        <f>IF(D93="","-",+C139+1)</f>
        <v>2053</v>
      </c>
      <c r="D140" s="374">
        <f>IF(F139+SUM(E$99:E139)=D$92,F139,D$92-SUM(E$99:E139))</f>
        <v>7384.3348526590453</v>
      </c>
      <c r="E140" s="522">
        <f>IF(+J96&lt;F139,J96,D140)</f>
        <v>7384.3348526590453</v>
      </c>
      <c r="F140" s="523">
        <f t="shared" si="50"/>
        <v>0</v>
      </c>
      <c r="G140" s="523">
        <f t="shared" si="42"/>
        <v>3692.1674263295226</v>
      </c>
      <c r="H140" s="526">
        <f t="shared" si="43"/>
        <v>7803.4483816939974</v>
      </c>
      <c r="I140" s="577">
        <f t="shared" si="44"/>
        <v>7803.4483816939974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  <c r="Q140" s="269"/>
    </row>
    <row r="141" spans="2:17" ht="12.5">
      <c r="B141" s="195" t="str">
        <f t="shared" si="49"/>
        <v/>
      </c>
      <c r="C141" s="507">
        <f>IF(D93="","-",+C140+1)</f>
        <v>2054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0"/>
        <v>0</v>
      </c>
      <c r="G141" s="523">
        <f t="shared" si="42"/>
        <v>0</v>
      </c>
      <c r="H141" s="526">
        <f t="shared" si="43"/>
        <v>0</v>
      </c>
      <c r="I141" s="577">
        <f t="shared" si="44"/>
        <v>0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  <c r="Q141" s="269"/>
    </row>
    <row r="142" spans="2:17" ht="12.5">
      <c r="B142" s="195" t="str">
        <f t="shared" si="49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0"/>
        <v>0</v>
      </c>
      <c r="G142" s="523">
        <f t="shared" si="42"/>
        <v>0</v>
      </c>
      <c r="H142" s="526">
        <f t="shared" si="43"/>
        <v>0</v>
      </c>
      <c r="I142" s="577">
        <f t="shared" si="44"/>
        <v>0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  <c r="Q142" s="269"/>
    </row>
    <row r="143" spans="2:17" ht="12.5">
      <c r="B143" s="195" t="str">
        <f t="shared" si="49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0"/>
        <v>0</v>
      </c>
      <c r="G143" s="523">
        <f t="shared" si="42"/>
        <v>0</v>
      </c>
      <c r="H143" s="526">
        <f t="shared" si="43"/>
        <v>0</v>
      </c>
      <c r="I143" s="577">
        <f t="shared" si="44"/>
        <v>0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  <c r="Q143" s="269"/>
    </row>
    <row r="144" spans="2:17" ht="12.5">
      <c r="B144" s="195" t="str">
        <f t="shared" si="49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0"/>
        <v>0</v>
      </c>
      <c r="G144" s="523">
        <f t="shared" si="42"/>
        <v>0</v>
      </c>
      <c r="H144" s="526">
        <f t="shared" si="43"/>
        <v>0</v>
      </c>
      <c r="I144" s="577">
        <f t="shared" si="44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  <c r="Q144" s="269"/>
    </row>
    <row r="145" spans="2:17" ht="12.5">
      <c r="B145" s="195" t="str">
        <f t="shared" si="49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0"/>
        <v>0</v>
      </c>
      <c r="G145" s="523">
        <f t="shared" si="42"/>
        <v>0</v>
      </c>
      <c r="H145" s="526">
        <f t="shared" si="43"/>
        <v>0</v>
      </c>
      <c r="I145" s="577">
        <f t="shared" si="44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  <c r="Q145" s="269"/>
    </row>
    <row r="146" spans="2:17" ht="12.5">
      <c r="B146" s="195" t="str">
        <f t="shared" si="49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0"/>
        <v>0</v>
      </c>
      <c r="G146" s="523">
        <f t="shared" si="42"/>
        <v>0</v>
      </c>
      <c r="H146" s="526">
        <f t="shared" si="43"/>
        <v>0</v>
      </c>
      <c r="I146" s="577">
        <f t="shared" si="44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  <c r="Q146" s="269"/>
    </row>
    <row r="147" spans="2:17" ht="12.5">
      <c r="B147" s="195" t="str">
        <f t="shared" si="49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0"/>
        <v>0</v>
      </c>
      <c r="G147" s="523">
        <f t="shared" si="42"/>
        <v>0</v>
      </c>
      <c r="H147" s="526">
        <f t="shared" si="43"/>
        <v>0</v>
      </c>
      <c r="I147" s="577">
        <f t="shared" si="44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  <c r="Q147" s="269"/>
    </row>
    <row r="148" spans="2:17" ht="12.5">
      <c r="B148" s="195" t="str">
        <f t="shared" si="49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0"/>
        <v>0</v>
      </c>
      <c r="G148" s="523">
        <f t="shared" si="42"/>
        <v>0</v>
      </c>
      <c r="H148" s="526">
        <f t="shared" si="43"/>
        <v>0</v>
      </c>
      <c r="I148" s="577">
        <f t="shared" si="44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  <c r="Q148" s="269"/>
    </row>
    <row r="149" spans="2:17" ht="12.5">
      <c r="B149" s="195" t="str">
        <f t="shared" si="49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0"/>
        <v>0</v>
      </c>
      <c r="G149" s="523">
        <f t="shared" si="42"/>
        <v>0</v>
      </c>
      <c r="H149" s="526">
        <f t="shared" si="43"/>
        <v>0</v>
      </c>
      <c r="I149" s="577">
        <f t="shared" si="44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  <c r="Q149" s="269"/>
    </row>
    <row r="150" spans="2:17" ht="12.5">
      <c r="B150" s="195" t="str">
        <f t="shared" si="49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0"/>
        <v>0</v>
      </c>
      <c r="G150" s="523">
        <f t="shared" si="42"/>
        <v>0</v>
      </c>
      <c r="H150" s="526">
        <f t="shared" si="43"/>
        <v>0</v>
      </c>
      <c r="I150" s="577">
        <f t="shared" si="44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  <c r="Q150" s="269"/>
    </row>
    <row r="151" spans="2:17" ht="12.5">
      <c r="B151" s="195" t="str">
        <f t="shared" si="49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0"/>
        <v>0</v>
      </c>
      <c r="G151" s="523">
        <f t="shared" si="42"/>
        <v>0</v>
      </c>
      <c r="H151" s="526">
        <f t="shared" si="43"/>
        <v>0</v>
      </c>
      <c r="I151" s="577">
        <f t="shared" si="44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  <c r="Q151" s="269"/>
    </row>
    <row r="152" spans="2:17" ht="12.5">
      <c r="B152" s="195" t="str">
        <f t="shared" si="49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0"/>
        <v>0</v>
      </c>
      <c r="G152" s="523">
        <f t="shared" si="42"/>
        <v>0</v>
      </c>
      <c r="H152" s="526">
        <f t="shared" si="43"/>
        <v>0</v>
      </c>
      <c r="I152" s="577">
        <f t="shared" si="44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  <c r="Q152" s="269"/>
    </row>
    <row r="153" spans="2:17" ht="12.5">
      <c r="B153" s="195" t="str">
        <f t="shared" si="49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0"/>
        <v>0</v>
      </c>
      <c r="G153" s="523">
        <f t="shared" si="42"/>
        <v>0</v>
      </c>
      <c r="H153" s="526">
        <f t="shared" si="43"/>
        <v>0</v>
      </c>
      <c r="I153" s="577">
        <f t="shared" si="44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  <c r="Q153" s="269"/>
    </row>
    <row r="154" spans="2:17" ht="13" thickBot="1">
      <c r="B154" s="195" t="str">
        <f t="shared" si="49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0"/>
        <v>0</v>
      </c>
      <c r="G154" s="528">
        <f t="shared" si="42"/>
        <v>0</v>
      </c>
      <c r="H154" s="530">
        <f t="shared" si="43"/>
        <v>0</v>
      </c>
      <c r="I154" s="579">
        <f t="shared" si="44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  <c r="Q154" s="269"/>
    </row>
    <row r="155" spans="2:17" ht="12.5">
      <c r="C155" s="374" t="s">
        <v>78</v>
      </c>
      <c r="D155" s="375"/>
      <c r="E155" s="375">
        <f>SUM(E99:E154)</f>
        <v>421517.00000000017</v>
      </c>
      <c r="F155" s="375"/>
      <c r="G155" s="375"/>
      <c r="H155" s="375">
        <f>SUM(H99:H154)</f>
        <v>1446359.853784407</v>
      </c>
      <c r="I155" s="375">
        <f>SUM(I99:I154)</f>
        <v>1446359.853784407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7" priority="1" stopIfTrue="1" operator="equal">
      <formula>$I$10</formula>
    </cfRule>
  </conditionalFormatting>
  <conditionalFormatting sqref="C99:C154">
    <cfRule type="cellIs" dxfId="10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9"/>
  <dimension ref="A1:Q162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28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615062.20403380867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615062.20403380867</v>
      </c>
      <c r="O6" s="269"/>
      <c r="P6" s="269"/>
    </row>
    <row r="7" spans="1:17" ht="13.5" thickBot="1">
      <c r="C7" s="467" t="s">
        <v>48</v>
      </c>
      <c r="D7" s="620" t="s">
        <v>462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280</v>
      </c>
      <c r="E9" s="666" t="s">
        <v>489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5268479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125439.97619047618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5819300</v>
      </c>
      <c r="E17" s="509">
        <v>69277.380952380947</v>
      </c>
      <c r="F17" s="508">
        <v>5750022.6190476194</v>
      </c>
      <c r="G17" s="509">
        <v>924421.55024775688</v>
      </c>
      <c r="H17" s="510">
        <v>924421.55024775688</v>
      </c>
      <c r="I17" s="517">
        <v>0</v>
      </c>
      <c r="J17" s="511"/>
      <c r="K17" s="512">
        <f t="shared" ref="K17:K22" si="0">G17</f>
        <v>924421.55024775688</v>
      </c>
      <c r="L17" s="597">
        <f t="shared" ref="L17:L48" si="1">IF(K17&lt;&gt;0,+G17-K17,0)</f>
        <v>0</v>
      </c>
      <c r="M17" s="512">
        <f t="shared" ref="M17:M22" si="2">H17</f>
        <v>924421.55024775688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5198431.6190476194</v>
      </c>
      <c r="E18" s="609">
        <v>125421.64285714286</v>
      </c>
      <c r="F18" s="608">
        <v>5073009.9761904767</v>
      </c>
      <c r="G18" s="609">
        <v>835577.50676548237</v>
      </c>
      <c r="H18" s="610">
        <v>835577.50676548237</v>
      </c>
      <c r="I18" s="596">
        <v>0</v>
      </c>
      <c r="J18" s="511"/>
      <c r="K18" s="518">
        <f t="shared" si="0"/>
        <v>835577.50676548237</v>
      </c>
      <c r="L18" s="519">
        <f t="shared" ref="L18:L23" si="6">IF(K18&lt;&gt;0,+G18-K18,0)</f>
        <v>0</v>
      </c>
      <c r="M18" s="518">
        <f t="shared" si="2"/>
        <v>835577.50676548237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608">
        <v>5073787.9761904757</v>
      </c>
      <c r="E19" s="609">
        <v>125440.16666666667</v>
      </c>
      <c r="F19" s="608">
        <v>4948347.8095238088</v>
      </c>
      <c r="G19" s="609">
        <v>793024.28464727127</v>
      </c>
      <c r="H19" s="610">
        <v>793024.28464727127</v>
      </c>
      <c r="I19" s="596">
        <v>0</v>
      </c>
      <c r="J19" s="511"/>
      <c r="K19" s="518">
        <f t="shared" si="0"/>
        <v>793024.28464727127</v>
      </c>
      <c r="L19" s="519">
        <f t="shared" si="6"/>
        <v>0</v>
      </c>
      <c r="M19" s="518">
        <f t="shared" si="2"/>
        <v>793024.28464727127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/>
      </c>
      <c r="C20" s="507">
        <f>IF(D11="","-",+C19+1)</f>
        <v>2015</v>
      </c>
      <c r="D20" s="608">
        <v>4948347.8095238088</v>
      </c>
      <c r="E20" s="609">
        <v>125440.16666666667</v>
      </c>
      <c r="F20" s="608">
        <v>4822907.6428571418</v>
      </c>
      <c r="G20" s="609">
        <v>760640.25789050967</v>
      </c>
      <c r="H20" s="610">
        <v>760640.25789050967</v>
      </c>
      <c r="I20" s="511">
        <v>0</v>
      </c>
      <c r="J20" s="511"/>
      <c r="K20" s="518">
        <f t="shared" si="0"/>
        <v>760640.25789050967</v>
      </c>
      <c r="L20" s="519">
        <f t="shared" si="6"/>
        <v>0</v>
      </c>
      <c r="M20" s="518">
        <f t="shared" si="2"/>
        <v>760640.25789050967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>IU</v>
      </c>
      <c r="C21" s="507">
        <f>IF(D12="","-",+C20+1)</f>
        <v>2016</v>
      </c>
      <c r="D21" s="608">
        <v>4822899.6428571427</v>
      </c>
      <c r="E21" s="609">
        <v>125439.97619047618</v>
      </c>
      <c r="F21" s="608">
        <v>4697459.666666667</v>
      </c>
      <c r="G21" s="609">
        <v>736485.41228285304</v>
      </c>
      <c r="H21" s="610">
        <v>736485.41228285304</v>
      </c>
      <c r="I21" s="511">
        <f t="shared" ref="I21:I48" si="9">H21-G21</f>
        <v>0</v>
      </c>
      <c r="J21" s="511"/>
      <c r="K21" s="518">
        <f t="shared" si="0"/>
        <v>736485.41228285304</v>
      </c>
      <c r="L21" s="519">
        <f t="shared" si="6"/>
        <v>0</v>
      </c>
      <c r="M21" s="518">
        <f t="shared" si="2"/>
        <v>736485.41228285304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08">
        <v>4697459.666666667</v>
      </c>
      <c r="E22" s="609">
        <v>122522.76744186046</v>
      </c>
      <c r="F22" s="608">
        <v>4574936.8992248066</v>
      </c>
      <c r="G22" s="609">
        <v>696913.1190640803</v>
      </c>
      <c r="H22" s="610">
        <v>696913.1190640803</v>
      </c>
      <c r="I22" s="511">
        <f t="shared" si="9"/>
        <v>0</v>
      </c>
      <c r="J22" s="511"/>
      <c r="K22" s="518">
        <f t="shared" si="0"/>
        <v>696913.1190640803</v>
      </c>
      <c r="L22" s="519">
        <f t="shared" si="6"/>
        <v>0</v>
      </c>
      <c r="M22" s="518">
        <f t="shared" si="2"/>
        <v>696913.1190640803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4574936.8992248066</v>
      </c>
      <c r="E23" s="609">
        <v>128499.48780487805</v>
      </c>
      <c r="F23" s="608">
        <v>4446437.4114199281</v>
      </c>
      <c r="G23" s="609">
        <v>701781.20735784783</v>
      </c>
      <c r="H23" s="610">
        <v>701781.20735784783</v>
      </c>
      <c r="I23" s="511">
        <f t="shared" si="9"/>
        <v>0</v>
      </c>
      <c r="J23" s="511"/>
      <c r="K23" s="518">
        <f>G23</f>
        <v>701781.20735784783</v>
      </c>
      <c r="L23" s="519">
        <f t="shared" si="6"/>
        <v>0</v>
      </c>
      <c r="M23" s="518">
        <f>H23</f>
        <v>701781.20735784783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4446437.4114199281</v>
      </c>
      <c r="E24" s="609">
        <v>128499.48780487805</v>
      </c>
      <c r="F24" s="608">
        <v>4317937.9236150496</v>
      </c>
      <c r="G24" s="609">
        <v>685449.68074254401</v>
      </c>
      <c r="H24" s="610">
        <v>685449.68074254401</v>
      </c>
      <c r="I24" s="511">
        <f t="shared" si="9"/>
        <v>0</v>
      </c>
      <c r="J24" s="511"/>
      <c r="K24" s="518">
        <f>G24</f>
        <v>685449.68074254401</v>
      </c>
      <c r="L24" s="519">
        <f t="shared" ref="L24" si="10">IF(K24&lt;&gt;0,+G24-K24,0)</f>
        <v>0</v>
      </c>
      <c r="M24" s="518">
        <f>H24</f>
        <v>685449.68074254401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08">
        <v>4317937.9236150496</v>
      </c>
      <c r="E25" s="609">
        <v>128499.48780487805</v>
      </c>
      <c r="F25" s="608">
        <v>4189438.4358101715</v>
      </c>
      <c r="G25" s="609">
        <v>563802.60432385455</v>
      </c>
      <c r="H25" s="610">
        <v>563802.60432385455</v>
      </c>
      <c r="I25" s="511">
        <f t="shared" si="9"/>
        <v>0</v>
      </c>
      <c r="J25" s="511"/>
      <c r="K25" s="518">
        <f>G25</f>
        <v>563802.60432385455</v>
      </c>
      <c r="L25" s="519">
        <f t="shared" ref="L25" si="11">IF(K25&lt;&gt;0,+G25-K25,0)</f>
        <v>0</v>
      </c>
      <c r="M25" s="518">
        <f>H25</f>
        <v>563802.60432385455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608">
        <v>4195415.1561731901</v>
      </c>
      <c r="E26" s="609">
        <v>125439.97619047618</v>
      </c>
      <c r="F26" s="608">
        <v>4069975.1799827139</v>
      </c>
      <c r="G26" s="609">
        <v>563524.4472824221</v>
      </c>
      <c r="H26" s="610">
        <v>563524.4472824221</v>
      </c>
      <c r="I26" s="511">
        <f t="shared" si="9"/>
        <v>0</v>
      </c>
      <c r="J26" s="511"/>
      <c r="K26" s="518">
        <f>G26</f>
        <v>563524.4472824221</v>
      </c>
      <c r="L26" s="519">
        <f t="shared" ref="L26" si="12">IF(K26&lt;&gt;0,+G26-K26,0)</f>
        <v>0</v>
      </c>
      <c r="M26" s="518">
        <f>H26</f>
        <v>563524.4472824221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608">
        <v>4063998.4596196958</v>
      </c>
      <c r="E27" s="609">
        <v>125439.97619047618</v>
      </c>
      <c r="F27" s="608">
        <v>3938558.4834292196</v>
      </c>
      <c r="G27" s="609">
        <v>575360.12029871624</v>
      </c>
      <c r="H27" s="610">
        <v>575360.12029871624</v>
      </c>
      <c r="I27" s="511">
        <f t="shared" si="9"/>
        <v>0</v>
      </c>
      <c r="J27" s="511"/>
      <c r="K27" s="518">
        <f>G27</f>
        <v>575360.12029871624</v>
      </c>
      <c r="L27" s="519">
        <f t="shared" ref="L27" si="13">IF(K27&lt;&gt;0,+G27-K27,0)</f>
        <v>0</v>
      </c>
      <c r="M27" s="518">
        <f>H27</f>
        <v>575360.12029871624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3938558.4834292196</v>
      </c>
      <c r="E28" s="522">
        <f>IF(+I14&lt;F27,I14,D28)</f>
        <v>125439.97619047618</v>
      </c>
      <c r="F28" s="523">
        <f t="shared" ref="F28:F48" si="14">+D28-E28</f>
        <v>3813118.5072387434</v>
      </c>
      <c r="G28" s="524">
        <f t="shared" ref="G28:G53" si="15">+I$12*((D28+F28)/2)+E28</f>
        <v>615062.20403380867</v>
      </c>
      <c r="H28" s="491">
        <f t="shared" ref="H28:H53" si="16">+I$13*((D28+F28)/2)+E28</f>
        <v>615062.20403380867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3813118.5072387434</v>
      </c>
      <c r="E29" s="522">
        <f>IF(+I14&lt;F28,I14,D29)</f>
        <v>125439.97619047618</v>
      </c>
      <c r="F29" s="523">
        <f t="shared" si="14"/>
        <v>3687678.5310482671</v>
      </c>
      <c r="G29" s="524">
        <f t="shared" si="15"/>
        <v>599215.77475742484</v>
      </c>
      <c r="H29" s="491">
        <f t="shared" si="16"/>
        <v>599215.77475742484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3687678.5310482671</v>
      </c>
      <c r="E30" s="522">
        <f>IF(+I14&lt;F29,I14,D30)</f>
        <v>125439.97619047618</v>
      </c>
      <c r="F30" s="523">
        <f t="shared" si="14"/>
        <v>3562238.5548577909</v>
      </c>
      <c r="G30" s="524">
        <f t="shared" si="15"/>
        <v>583369.34548104112</v>
      </c>
      <c r="H30" s="491">
        <f t="shared" si="16"/>
        <v>583369.34548104112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3562238.5548577909</v>
      </c>
      <c r="E31" s="522">
        <f>IF(+I14&lt;F30,I14,D31)</f>
        <v>125439.97619047618</v>
      </c>
      <c r="F31" s="523">
        <f t="shared" si="14"/>
        <v>3436798.5786673147</v>
      </c>
      <c r="G31" s="524">
        <f t="shared" si="15"/>
        <v>567522.91620465741</v>
      </c>
      <c r="H31" s="491">
        <f t="shared" si="16"/>
        <v>567522.91620465741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3436798.5786673147</v>
      </c>
      <c r="E32" s="522">
        <f>IF(+I14&lt;F31,I14,D32)</f>
        <v>125439.97619047618</v>
      </c>
      <c r="F32" s="523">
        <f t="shared" si="14"/>
        <v>3311358.6024768385</v>
      </c>
      <c r="G32" s="524">
        <f t="shared" si="15"/>
        <v>551676.48692827369</v>
      </c>
      <c r="H32" s="491">
        <f t="shared" si="16"/>
        <v>551676.48692827369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3311358.6024768385</v>
      </c>
      <c r="E33" s="522">
        <f>IF(+I14&lt;F32,I14,D33)</f>
        <v>125439.97619047618</v>
      </c>
      <c r="F33" s="523">
        <f t="shared" si="14"/>
        <v>3185918.6262863623</v>
      </c>
      <c r="G33" s="524">
        <f t="shared" si="15"/>
        <v>535830.05765188986</v>
      </c>
      <c r="H33" s="491">
        <f t="shared" si="16"/>
        <v>535830.05765188986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3185918.6262863623</v>
      </c>
      <c r="E34" s="522">
        <f>IF(+I14&lt;F33,I14,D34)</f>
        <v>125439.97619047618</v>
      </c>
      <c r="F34" s="523">
        <f t="shared" si="14"/>
        <v>3060478.6500958861</v>
      </c>
      <c r="G34" s="524">
        <f t="shared" si="15"/>
        <v>519983.62837550614</v>
      </c>
      <c r="H34" s="491">
        <f t="shared" si="16"/>
        <v>519983.62837550614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3060478.6500958861</v>
      </c>
      <c r="E35" s="522">
        <f>IF(+I14&lt;F34,I14,D35)</f>
        <v>125439.97619047618</v>
      </c>
      <c r="F35" s="523">
        <f t="shared" si="14"/>
        <v>2935038.6739054099</v>
      </c>
      <c r="G35" s="524">
        <f t="shared" si="15"/>
        <v>504137.19909912243</v>
      </c>
      <c r="H35" s="491">
        <f t="shared" si="16"/>
        <v>504137.19909912243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2935038.6739054099</v>
      </c>
      <c r="E36" s="522">
        <f>IF(+I14&lt;F35,I14,D36)</f>
        <v>125439.97619047618</v>
      </c>
      <c r="F36" s="523">
        <f t="shared" si="14"/>
        <v>2809598.6977149337</v>
      </c>
      <c r="G36" s="524">
        <f t="shared" si="15"/>
        <v>488290.76982273872</v>
      </c>
      <c r="H36" s="491">
        <f t="shared" si="16"/>
        <v>488290.76982273872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2809598.6977149337</v>
      </c>
      <c r="E37" s="522">
        <f>IF(+I14&lt;F36,I14,D37)</f>
        <v>125439.97619047618</v>
      </c>
      <c r="F37" s="523">
        <f t="shared" si="14"/>
        <v>2684158.7215244574</v>
      </c>
      <c r="G37" s="524">
        <f t="shared" si="15"/>
        <v>472444.34054635488</v>
      </c>
      <c r="H37" s="491">
        <f t="shared" si="16"/>
        <v>472444.34054635488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2684158.7215244574</v>
      </c>
      <c r="E38" s="522">
        <f>IF(+I14&lt;F37,I14,D38)</f>
        <v>125439.97619047618</v>
      </c>
      <c r="F38" s="523">
        <f t="shared" si="14"/>
        <v>2558718.7453339812</v>
      </c>
      <c r="G38" s="524">
        <f t="shared" si="15"/>
        <v>456597.91126997117</v>
      </c>
      <c r="H38" s="491">
        <f t="shared" si="16"/>
        <v>456597.91126997117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2558718.7453339812</v>
      </c>
      <c r="E39" s="522">
        <f>IF(+I14&lt;F38,I14,D39)</f>
        <v>125439.97619047618</v>
      </c>
      <c r="F39" s="523">
        <f t="shared" si="14"/>
        <v>2433278.769143505</v>
      </c>
      <c r="G39" s="524">
        <f t="shared" si="15"/>
        <v>440751.48199358734</v>
      </c>
      <c r="H39" s="491">
        <f t="shared" si="16"/>
        <v>440751.48199358734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2433278.769143505</v>
      </c>
      <c r="E40" s="522">
        <f>IF(+I14&lt;F39,I14,D40)</f>
        <v>125439.97619047618</v>
      </c>
      <c r="F40" s="523">
        <f t="shared" si="14"/>
        <v>2307838.7929530288</v>
      </c>
      <c r="G40" s="524">
        <f t="shared" si="15"/>
        <v>424905.05271720374</v>
      </c>
      <c r="H40" s="491">
        <f t="shared" si="16"/>
        <v>424905.05271720374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2307838.7929530288</v>
      </c>
      <c r="E41" s="522">
        <f>IF(+I14&lt;F40,I14,D41)</f>
        <v>125439.97619047618</v>
      </c>
      <c r="F41" s="523">
        <f t="shared" si="14"/>
        <v>2182398.8167625526</v>
      </c>
      <c r="G41" s="524">
        <f t="shared" si="15"/>
        <v>409058.62344081991</v>
      </c>
      <c r="H41" s="491">
        <f t="shared" si="16"/>
        <v>409058.62344081991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2182398.8167625526</v>
      </c>
      <c r="E42" s="522">
        <f>IF(+I14&lt;F41,I14,D42)</f>
        <v>125439.97619047618</v>
      </c>
      <c r="F42" s="523">
        <f t="shared" si="14"/>
        <v>2056958.8405720764</v>
      </c>
      <c r="G42" s="524">
        <f t="shared" si="15"/>
        <v>393212.19416443619</v>
      </c>
      <c r="H42" s="491">
        <f t="shared" si="16"/>
        <v>393212.19416443619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2056958.8405720764</v>
      </c>
      <c r="E43" s="522">
        <f>IF(+I14&lt;F42,I14,D43)</f>
        <v>125439.97619047618</v>
      </c>
      <c r="F43" s="523">
        <f t="shared" si="14"/>
        <v>1931518.8643816002</v>
      </c>
      <c r="G43" s="524">
        <f t="shared" si="15"/>
        <v>377365.76488805242</v>
      </c>
      <c r="H43" s="491">
        <f t="shared" si="16"/>
        <v>377365.76488805242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1931518.8643816002</v>
      </c>
      <c r="E44" s="522">
        <f>IF(+I14&lt;F43,I14,D44)</f>
        <v>125439.97619047618</v>
      </c>
      <c r="F44" s="523">
        <f t="shared" si="14"/>
        <v>1806078.888191124</v>
      </c>
      <c r="G44" s="524">
        <f t="shared" si="15"/>
        <v>361519.33561166865</v>
      </c>
      <c r="H44" s="491">
        <f t="shared" si="16"/>
        <v>361519.33561166865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1806078.888191124</v>
      </c>
      <c r="E45" s="522">
        <f>IF(+I14&lt;F44,I14,D45)</f>
        <v>125439.97619047618</v>
      </c>
      <c r="F45" s="523">
        <f t="shared" si="14"/>
        <v>1680638.9120006477</v>
      </c>
      <c r="G45" s="524">
        <f t="shared" si="15"/>
        <v>345672.90633528493</v>
      </c>
      <c r="H45" s="491">
        <f t="shared" si="16"/>
        <v>345672.90633528493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1680638.9120006477</v>
      </c>
      <c r="E46" s="522">
        <f>IF(+I14&lt;F45,I14,D46)</f>
        <v>125439.97619047618</v>
      </c>
      <c r="F46" s="523">
        <f t="shared" si="14"/>
        <v>1555198.9358101715</v>
      </c>
      <c r="G46" s="524">
        <f t="shared" si="15"/>
        <v>329826.47705890116</v>
      </c>
      <c r="H46" s="491">
        <f t="shared" si="16"/>
        <v>329826.47705890116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1555198.9358101715</v>
      </c>
      <c r="E47" s="522">
        <f>IF(+I14&lt;F46,I14,D47)</f>
        <v>125439.97619047618</v>
      </c>
      <c r="F47" s="523">
        <f t="shared" si="14"/>
        <v>1429758.9596196953</v>
      </c>
      <c r="G47" s="524">
        <f t="shared" si="15"/>
        <v>313980.04778251739</v>
      </c>
      <c r="H47" s="491">
        <f t="shared" si="16"/>
        <v>313980.04778251739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1429758.9596196953</v>
      </c>
      <c r="E48" s="522">
        <f>IF(+I14&lt;F47,I14,D48)</f>
        <v>125439.97619047618</v>
      </c>
      <c r="F48" s="523">
        <f t="shared" si="14"/>
        <v>1304318.9834292191</v>
      </c>
      <c r="G48" s="524">
        <f t="shared" si="15"/>
        <v>298133.61850613367</v>
      </c>
      <c r="H48" s="491">
        <f t="shared" si="16"/>
        <v>298133.61850613367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1304318.9834292191</v>
      </c>
      <c r="E49" s="522">
        <f>IF(+I14&lt;F48,I14,D49)</f>
        <v>125439.97619047618</v>
      </c>
      <c r="F49" s="523">
        <f t="shared" ref="F49:F72" si="17">+D49-E49</f>
        <v>1178879.0072387429</v>
      </c>
      <c r="G49" s="524">
        <f t="shared" si="15"/>
        <v>282287.1892297499</v>
      </c>
      <c r="H49" s="491">
        <f t="shared" si="16"/>
        <v>282287.1892297499</v>
      </c>
      <c r="I49" s="511">
        <f t="shared" ref="I49:I72" si="18">H49-G49</f>
        <v>0</v>
      </c>
      <c r="J49" s="511"/>
      <c r="K49" s="525"/>
      <c r="L49" s="514">
        <f t="shared" ref="L49:L72" si="19">IF(K49&lt;&gt;0,+G49-K49,0)</f>
        <v>0</v>
      </c>
      <c r="M49" s="525"/>
      <c r="N49" s="514">
        <f t="shared" ref="N49:N72" si="20">IF(M49&lt;&gt;0,+H49-M49,0)</f>
        <v>0</v>
      </c>
      <c r="O49" s="514">
        <f t="shared" ref="O49:O72" si="21">+N49-L49</f>
        <v>0</v>
      </c>
      <c r="P49" s="272"/>
    </row>
    <row r="50" spans="2:17" ht="12.5">
      <c r="B50" s="195" t="str">
        <f t="shared" ref="B50:B72" si="22">IF(D50=F49,"","IU")</f>
        <v/>
      </c>
      <c r="C50" s="507">
        <f>IF(D11="","-",+C49+1)</f>
        <v>2045</v>
      </c>
      <c r="D50" s="523">
        <f>IF(F49+SUM(E$17:E49)=D$10,F49,D$10-SUM(E$17:E49))</f>
        <v>1178879.0072387429</v>
      </c>
      <c r="E50" s="522">
        <f>IF(+I14&lt;F49,I14,D50)</f>
        <v>125439.97619047618</v>
      </c>
      <c r="F50" s="523">
        <f t="shared" si="17"/>
        <v>1053439.0310482667</v>
      </c>
      <c r="G50" s="524">
        <f t="shared" si="15"/>
        <v>266440.75995336613</v>
      </c>
      <c r="H50" s="491">
        <f t="shared" si="16"/>
        <v>266440.75995336613</v>
      </c>
      <c r="I50" s="511">
        <f t="shared" si="18"/>
        <v>0</v>
      </c>
      <c r="J50" s="511"/>
      <c r="K50" s="525"/>
      <c r="L50" s="514">
        <f t="shared" si="19"/>
        <v>0</v>
      </c>
      <c r="M50" s="525"/>
      <c r="N50" s="514">
        <f t="shared" si="20"/>
        <v>0</v>
      </c>
      <c r="O50" s="514">
        <f t="shared" si="21"/>
        <v>0</v>
      </c>
      <c r="P50" s="272"/>
    </row>
    <row r="51" spans="2:17" ht="12.5">
      <c r="B51" s="195" t="str">
        <f t="shared" si="22"/>
        <v/>
      </c>
      <c r="C51" s="507">
        <f>IF(D11="","-",+C50+1)</f>
        <v>2046</v>
      </c>
      <c r="D51" s="523">
        <f>IF(F50+SUM(E$17:E50)=D$10,F50,D$10-SUM(E$17:E50))</f>
        <v>1053439.0310482667</v>
      </c>
      <c r="E51" s="522">
        <f>IF(+I14&lt;F50,I14,D51)</f>
        <v>125439.97619047618</v>
      </c>
      <c r="F51" s="523">
        <f t="shared" si="17"/>
        <v>927999.05485779047</v>
      </c>
      <c r="G51" s="524">
        <f t="shared" si="15"/>
        <v>250594.33067698241</v>
      </c>
      <c r="H51" s="491">
        <f t="shared" si="16"/>
        <v>250594.33067698241</v>
      </c>
      <c r="I51" s="511">
        <f t="shared" si="18"/>
        <v>0</v>
      </c>
      <c r="J51" s="511"/>
      <c r="K51" s="525"/>
      <c r="L51" s="514">
        <f t="shared" si="19"/>
        <v>0</v>
      </c>
      <c r="M51" s="525"/>
      <c r="N51" s="514">
        <f t="shared" si="20"/>
        <v>0</v>
      </c>
      <c r="O51" s="514">
        <f t="shared" si="21"/>
        <v>0</v>
      </c>
      <c r="P51" s="272"/>
    </row>
    <row r="52" spans="2:17" ht="12.5">
      <c r="B52" s="195" t="str">
        <f t="shared" si="22"/>
        <v/>
      </c>
      <c r="C52" s="507">
        <f>IF(D11="","-",+C51+1)</f>
        <v>2047</v>
      </c>
      <c r="D52" s="523">
        <f>IF(F51+SUM(E$17:E51)=D$10,F51,D$10-SUM(E$17:E51))</f>
        <v>927999.05485779047</v>
      </c>
      <c r="E52" s="522">
        <f>IF(+I14&lt;F51,I14,D52)</f>
        <v>125439.97619047618</v>
      </c>
      <c r="F52" s="523">
        <f t="shared" si="17"/>
        <v>802559.07866731426</v>
      </c>
      <c r="G52" s="524">
        <f t="shared" si="15"/>
        <v>234747.90140059867</v>
      </c>
      <c r="H52" s="491">
        <f t="shared" si="16"/>
        <v>234747.90140059867</v>
      </c>
      <c r="I52" s="511">
        <f t="shared" si="18"/>
        <v>0</v>
      </c>
      <c r="J52" s="511"/>
      <c r="K52" s="525"/>
      <c r="L52" s="514">
        <f t="shared" si="19"/>
        <v>0</v>
      </c>
      <c r="M52" s="525"/>
      <c r="N52" s="514">
        <f t="shared" si="20"/>
        <v>0</v>
      </c>
      <c r="O52" s="514">
        <f t="shared" si="21"/>
        <v>0</v>
      </c>
      <c r="P52" s="272"/>
    </row>
    <row r="53" spans="2:17" ht="12.5">
      <c r="B53" s="195" t="str">
        <f t="shared" si="22"/>
        <v/>
      </c>
      <c r="C53" s="507">
        <f>IF(D11="","-",+C52+1)</f>
        <v>2048</v>
      </c>
      <c r="D53" s="523">
        <f>IF(F52+SUM(E$17:E52)=D$10,F52,D$10-SUM(E$17:E52))</f>
        <v>802559.07866731426</v>
      </c>
      <c r="E53" s="522">
        <f>IF(+I14&lt;F52,I14,D53)</f>
        <v>125439.97619047618</v>
      </c>
      <c r="F53" s="523">
        <f t="shared" si="17"/>
        <v>677119.10247683804</v>
      </c>
      <c r="G53" s="524">
        <f t="shared" si="15"/>
        <v>218901.47212421492</v>
      </c>
      <c r="H53" s="491">
        <f t="shared" si="16"/>
        <v>218901.47212421492</v>
      </c>
      <c r="I53" s="511">
        <f t="shared" si="18"/>
        <v>0</v>
      </c>
      <c r="J53" s="511"/>
      <c r="K53" s="525"/>
      <c r="L53" s="514">
        <f t="shared" si="19"/>
        <v>0</v>
      </c>
      <c r="M53" s="525"/>
      <c r="N53" s="514">
        <f t="shared" si="20"/>
        <v>0</v>
      </c>
      <c r="O53" s="514">
        <f t="shared" si="21"/>
        <v>0</v>
      </c>
      <c r="P53" s="272"/>
    </row>
    <row r="54" spans="2:17" ht="12.5">
      <c r="B54" s="195" t="str">
        <f t="shared" si="22"/>
        <v/>
      </c>
      <c r="C54" s="507">
        <f>IF(D11="","-",+C53+1)</f>
        <v>2049</v>
      </c>
      <c r="D54" s="523">
        <f>IF(F53+SUM(E$17:E53)=D$10,F53,D$10-SUM(E$17:E53))</f>
        <v>677119.10247683804</v>
      </c>
      <c r="E54" s="522">
        <f>IF(+I14&lt;F53,I14,D54)</f>
        <v>125439.97619047618</v>
      </c>
      <c r="F54" s="523">
        <f t="shared" si="17"/>
        <v>551679.12628636183</v>
      </c>
      <c r="G54" s="524">
        <f t="shared" ref="G54:G72" si="23">+I$12*((D54+F54)/2)+E54</f>
        <v>203055.04284783115</v>
      </c>
      <c r="H54" s="491">
        <f t="shared" ref="H54:H72" si="24">+I$13*((D54+F54)/2)+E54</f>
        <v>203055.04284783115</v>
      </c>
      <c r="I54" s="511">
        <f t="shared" si="18"/>
        <v>0</v>
      </c>
      <c r="J54" s="511"/>
      <c r="K54" s="525"/>
      <c r="L54" s="514">
        <f t="shared" si="19"/>
        <v>0</v>
      </c>
      <c r="M54" s="525"/>
      <c r="N54" s="514">
        <f t="shared" si="20"/>
        <v>0</v>
      </c>
      <c r="O54" s="514">
        <f t="shared" si="21"/>
        <v>0</v>
      </c>
      <c r="P54" s="272"/>
    </row>
    <row r="55" spans="2:17" ht="12.5">
      <c r="B55" s="195" t="str">
        <f t="shared" si="22"/>
        <v/>
      </c>
      <c r="C55" s="507">
        <f>IF(D11="","-",+C54+1)</f>
        <v>2050</v>
      </c>
      <c r="D55" s="523">
        <f>IF(F54+SUM(E$17:E54)=D$10,F54,D$10-SUM(E$17:E54))</f>
        <v>551679.12628636183</v>
      </c>
      <c r="E55" s="522">
        <f>IF(+I14&lt;F54,I14,D55)</f>
        <v>125439.97619047618</v>
      </c>
      <c r="F55" s="523">
        <f t="shared" si="17"/>
        <v>426239.15009588562</v>
      </c>
      <c r="G55" s="524">
        <f t="shared" si="23"/>
        <v>187208.61357144741</v>
      </c>
      <c r="H55" s="491">
        <f t="shared" si="24"/>
        <v>187208.61357144741</v>
      </c>
      <c r="I55" s="511">
        <f t="shared" si="18"/>
        <v>0</v>
      </c>
      <c r="J55" s="511"/>
      <c r="K55" s="525"/>
      <c r="L55" s="514">
        <f t="shared" si="19"/>
        <v>0</v>
      </c>
      <c r="M55" s="525"/>
      <c r="N55" s="514">
        <f t="shared" si="20"/>
        <v>0</v>
      </c>
      <c r="O55" s="514">
        <f t="shared" si="21"/>
        <v>0</v>
      </c>
      <c r="P55" s="272"/>
    </row>
    <row r="56" spans="2:17" ht="12.5">
      <c r="B56" s="195" t="str">
        <f t="shared" si="22"/>
        <v/>
      </c>
      <c r="C56" s="507">
        <f>IF(D11="","-",+C55+1)</f>
        <v>2051</v>
      </c>
      <c r="D56" s="523">
        <f>IF(F55+SUM(E$17:E55)=D$10,F55,D$10-SUM(E$17:E55))</f>
        <v>426239.15009588562</v>
      </c>
      <c r="E56" s="522">
        <f>IF(+I14&lt;F55,I14,D56)</f>
        <v>125439.97619047618</v>
      </c>
      <c r="F56" s="523">
        <f t="shared" si="17"/>
        <v>300799.17390540941</v>
      </c>
      <c r="G56" s="524">
        <f t="shared" si="23"/>
        <v>171362.18429506366</v>
      </c>
      <c r="H56" s="491">
        <f t="shared" si="24"/>
        <v>171362.18429506366</v>
      </c>
      <c r="I56" s="511">
        <f t="shared" si="18"/>
        <v>0</v>
      </c>
      <c r="J56" s="511"/>
      <c r="K56" s="525"/>
      <c r="L56" s="514">
        <f t="shared" si="19"/>
        <v>0</v>
      </c>
      <c r="M56" s="525"/>
      <c r="N56" s="514">
        <f t="shared" si="20"/>
        <v>0</v>
      </c>
      <c r="O56" s="514">
        <f t="shared" si="21"/>
        <v>0</v>
      </c>
      <c r="P56" s="272"/>
    </row>
    <row r="57" spans="2:17" ht="12.5">
      <c r="B57" s="195" t="str">
        <f t="shared" si="22"/>
        <v/>
      </c>
      <c r="C57" s="507">
        <f>IF(D11="","-",+C56+1)</f>
        <v>2052</v>
      </c>
      <c r="D57" s="523">
        <f>IF(F56+SUM(E$17:E56)=D$10,F56,D$10-SUM(E$17:E56))</f>
        <v>300799.17390540941</v>
      </c>
      <c r="E57" s="522">
        <f>IF(+I14&lt;F56,I14,D57)</f>
        <v>125439.97619047618</v>
      </c>
      <c r="F57" s="523">
        <f t="shared" si="17"/>
        <v>175359.19771493322</v>
      </c>
      <c r="G57" s="524">
        <f t="shared" si="23"/>
        <v>155515.75501867992</v>
      </c>
      <c r="H57" s="491">
        <f t="shared" si="24"/>
        <v>155515.75501867992</v>
      </c>
      <c r="I57" s="511">
        <f t="shared" si="18"/>
        <v>0</v>
      </c>
      <c r="J57" s="511"/>
      <c r="K57" s="525"/>
      <c r="L57" s="514">
        <f t="shared" si="19"/>
        <v>0</v>
      </c>
      <c r="M57" s="525"/>
      <c r="N57" s="514">
        <f t="shared" si="20"/>
        <v>0</v>
      </c>
      <c r="O57" s="514">
        <f t="shared" si="21"/>
        <v>0</v>
      </c>
      <c r="P57" s="272"/>
    </row>
    <row r="58" spans="2:17" ht="12.5">
      <c r="B58" s="195" t="str">
        <f t="shared" si="22"/>
        <v/>
      </c>
      <c r="C58" s="507">
        <f>IF(D11="","-",+C57+1)</f>
        <v>2053</v>
      </c>
      <c r="D58" s="523">
        <f>IF(F57+SUM(E$17:E57)=D$10,F57,D$10-SUM(E$17:E57))</f>
        <v>175359.19771493322</v>
      </c>
      <c r="E58" s="522">
        <f>IF(+I14&lt;F57,I14,D58)</f>
        <v>125439.97619047618</v>
      </c>
      <c r="F58" s="523">
        <f t="shared" si="17"/>
        <v>49919.22152445704</v>
      </c>
      <c r="G58" s="524">
        <f t="shared" si="23"/>
        <v>139669.32574229618</v>
      </c>
      <c r="H58" s="491">
        <f t="shared" si="24"/>
        <v>139669.32574229618</v>
      </c>
      <c r="I58" s="511">
        <f t="shared" si="18"/>
        <v>0</v>
      </c>
      <c r="J58" s="511"/>
      <c r="K58" s="525"/>
      <c r="L58" s="514">
        <f t="shared" si="19"/>
        <v>0</v>
      </c>
      <c r="M58" s="525"/>
      <c r="N58" s="514">
        <f t="shared" si="20"/>
        <v>0</v>
      </c>
      <c r="O58" s="514">
        <f t="shared" si="2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2"/>
        <v/>
      </c>
      <c r="C59" s="507">
        <f>IF(D11="","-",+C58+1)</f>
        <v>2054</v>
      </c>
      <c r="D59" s="523">
        <f>IF(F58+SUM(E$17:E58)=D$10,F58,D$10-SUM(E$17:E58))</f>
        <v>49919.22152445704</v>
      </c>
      <c r="E59" s="522">
        <f>IF(+I14&lt;F58,I14,D59)</f>
        <v>49919.22152445704</v>
      </c>
      <c r="F59" s="523">
        <f t="shared" si="17"/>
        <v>0</v>
      </c>
      <c r="G59" s="524">
        <f t="shared" si="23"/>
        <v>53072.2889812711</v>
      </c>
      <c r="H59" s="491">
        <f t="shared" si="24"/>
        <v>53072.2889812711</v>
      </c>
      <c r="I59" s="511">
        <f t="shared" si="18"/>
        <v>0</v>
      </c>
      <c r="J59" s="511"/>
      <c r="K59" s="525"/>
      <c r="L59" s="514">
        <f t="shared" si="19"/>
        <v>0</v>
      </c>
      <c r="M59" s="525"/>
      <c r="N59" s="514">
        <f t="shared" si="20"/>
        <v>0</v>
      </c>
      <c r="O59" s="514">
        <f t="shared" si="21"/>
        <v>0</v>
      </c>
      <c r="P59" s="272"/>
    </row>
    <row r="60" spans="2:17" ht="12.5">
      <c r="B60" s="195" t="str">
        <f t="shared" si="22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7"/>
        <v>0</v>
      </c>
      <c r="G60" s="524">
        <f t="shared" si="23"/>
        <v>0</v>
      </c>
      <c r="H60" s="491">
        <f t="shared" si="24"/>
        <v>0</v>
      </c>
      <c r="I60" s="511">
        <f t="shared" si="18"/>
        <v>0</v>
      </c>
      <c r="J60" s="511"/>
      <c r="K60" s="525"/>
      <c r="L60" s="514">
        <f t="shared" si="19"/>
        <v>0</v>
      </c>
      <c r="M60" s="525"/>
      <c r="N60" s="514">
        <f t="shared" si="20"/>
        <v>0</v>
      </c>
      <c r="O60" s="514">
        <f t="shared" si="21"/>
        <v>0</v>
      </c>
      <c r="P60" s="272"/>
    </row>
    <row r="61" spans="2:17" ht="12.5">
      <c r="B61" s="195" t="str">
        <f t="shared" si="22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7"/>
        <v>0</v>
      </c>
      <c r="G61" s="526">
        <f t="shared" si="23"/>
        <v>0</v>
      </c>
      <c r="H61" s="491">
        <f t="shared" si="24"/>
        <v>0</v>
      </c>
      <c r="I61" s="511">
        <f t="shared" si="18"/>
        <v>0</v>
      </c>
      <c r="J61" s="511"/>
      <c r="K61" s="525"/>
      <c r="L61" s="514">
        <f t="shared" si="19"/>
        <v>0</v>
      </c>
      <c r="M61" s="525"/>
      <c r="N61" s="514">
        <f t="shared" si="20"/>
        <v>0</v>
      </c>
      <c r="O61" s="514">
        <f t="shared" si="21"/>
        <v>0</v>
      </c>
      <c r="P61" s="272"/>
    </row>
    <row r="62" spans="2:17" ht="12.5">
      <c r="B62" s="195" t="str">
        <f t="shared" si="22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7"/>
        <v>0</v>
      </c>
      <c r="G62" s="526">
        <f t="shared" si="23"/>
        <v>0</v>
      </c>
      <c r="H62" s="491">
        <f t="shared" si="24"/>
        <v>0</v>
      </c>
      <c r="I62" s="511">
        <f t="shared" si="18"/>
        <v>0</v>
      </c>
      <c r="J62" s="511"/>
      <c r="K62" s="525"/>
      <c r="L62" s="514">
        <f t="shared" si="19"/>
        <v>0</v>
      </c>
      <c r="M62" s="525"/>
      <c r="N62" s="514">
        <f t="shared" si="20"/>
        <v>0</v>
      </c>
      <c r="O62" s="514">
        <f t="shared" si="21"/>
        <v>0</v>
      </c>
      <c r="P62" s="272"/>
    </row>
    <row r="63" spans="2:17" ht="12.5">
      <c r="B63" s="195" t="str">
        <f t="shared" si="22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7"/>
        <v>0</v>
      </c>
      <c r="G63" s="526">
        <f t="shared" si="23"/>
        <v>0</v>
      </c>
      <c r="H63" s="491">
        <f t="shared" si="24"/>
        <v>0</v>
      </c>
      <c r="I63" s="511">
        <f t="shared" si="18"/>
        <v>0</v>
      </c>
      <c r="J63" s="511"/>
      <c r="K63" s="525"/>
      <c r="L63" s="514">
        <f t="shared" si="19"/>
        <v>0</v>
      </c>
      <c r="M63" s="525"/>
      <c r="N63" s="514">
        <f t="shared" si="20"/>
        <v>0</v>
      </c>
      <c r="O63" s="514">
        <f t="shared" si="21"/>
        <v>0</v>
      </c>
      <c r="P63" s="272"/>
    </row>
    <row r="64" spans="2:17" ht="12.5">
      <c r="B64" s="195" t="str">
        <f t="shared" si="22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7"/>
        <v>0</v>
      </c>
      <c r="G64" s="526">
        <f t="shared" si="23"/>
        <v>0</v>
      </c>
      <c r="H64" s="491">
        <f t="shared" si="24"/>
        <v>0</v>
      </c>
      <c r="I64" s="511">
        <f t="shared" si="18"/>
        <v>0</v>
      </c>
      <c r="J64" s="511"/>
      <c r="K64" s="525"/>
      <c r="L64" s="514">
        <f t="shared" si="19"/>
        <v>0</v>
      </c>
      <c r="M64" s="525"/>
      <c r="N64" s="514">
        <f t="shared" si="20"/>
        <v>0</v>
      </c>
      <c r="O64" s="514">
        <f t="shared" si="21"/>
        <v>0</v>
      </c>
      <c r="P64" s="272"/>
    </row>
    <row r="65" spans="1:16" ht="12.5">
      <c r="B65" s="195" t="str">
        <f t="shared" si="22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7"/>
        <v>0</v>
      </c>
      <c r="G65" s="526">
        <f t="shared" si="23"/>
        <v>0</v>
      </c>
      <c r="H65" s="491">
        <f t="shared" si="24"/>
        <v>0</v>
      </c>
      <c r="I65" s="511">
        <f t="shared" si="18"/>
        <v>0</v>
      </c>
      <c r="J65" s="511"/>
      <c r="K65" s="525"/>
      <c r="L65" s="514">
        <f t="shared" si="19"/>
        <v>0</v>
      </c>
      <c r="M65" s="525"/>
      <c r="N65" s="514">
        <f t="shared" si="20"/>
        <v>0</v>
      </c>
      <c r="O65" s="514">
        <f t="shared" si="21"/>
        <v>0</v>
      </c>
      <c r="P65" s="272"/>
    </row>
    <row r="66" spans="1:16" ht="12.5">
      <c r="B66" s="195" t="str">
        <f t="shared" si="22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7"/>
        <v>0</v>
      </c>
      <c r="G66" s="526">
        <f t="shared" si="23"/>
        <v>0</v>
      </c>
      <c r="H66" s="491">
        <f t="shared" si="24"/>
        <v>0</v>
      </c>
      <c r="I66" s="511">
        <f t="shared" si="18"/>
        <v>0</v>
      </c>
      <c r="J66" s="511"/>
      <c r="K66" s="525"/>
      <c r="L66" s="514">
        <f t="shared" si="19"/>
        <v>0</v>
      </c>
      <c r="M66" s="525"/>
      <c r="N66" s="514">
        <f t="shared" si="20"/>
        <v>0</v>
      </c>
      <c r="O66" s="514">
        <f t="shared" si="21"/>
        <v>0</v>
      </c>
      <c r="P66" s="272"/>
    </row>
    <row r="67" spans="1:16" ht="12.5">
      <c r="B67" s="195" t="str">
        <f t="shared" si="22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7"/>
        <v>0</v>
      </c>
      <c r="G67" s="526">
        <f t="shared" si="23"/>
        <v>0</v>
      </c>
      <c r="H67" s="491">
        <f t="shared" si="24"/>
        <v>0</v>
      </c>
      <c r="I67" s="511">
        <f t="shared" si="18"/>
        <v>0</v>
      </c>
      <c r="J67" s="511"/>
      <c r="K67" s="525"/>
      <c r="L67" s="514">
        <f t="shared" si="19"/>
        <v>0</v>
      </c>
      <c r="M67" s="525"/>
      <c r="N67" s="514">
        <f t="shared" si="20"/>
        <v>0</v>
      </c>
      <c r="O67" s="514">
        <f t="shared" si="21"/>
        <v>0</v>
      </c>
      <c r="P67" s="272"/>
    </row>
    <row r="68" spans="1:16" ht="12.5">
      <c r="B68" s="195" t="str">
        <f t="shared" si="22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7"/>
        <v>0</v>
      </c>
      <c r="G68" s="526">
        <f t="shared" si="23"/>
        <v>0</v>
      </c>
      <c r="H68" s="491">
        <f t="shared" si="24"/>
        <v>0</v>
      </c>
      <c r="I68" s="511">
        <f t="shared" si="18"/>
        <v>0</v>
      </c>
      <c r="J68" s="511"/>
      <c r="K68" s="525"/>
      <c r="L68" s="514">
        <f t="shared" si="19"/>
        <v>0</v>
      </c>
      <c r="M68" s="525"/>
      <c r="N68" s="514">
        <f t="shared" si="20"/>
        <v>0</v>
      </c>
      <c r="O68" s="514">
        <f t="shared" si="21"/>
        <v>0</v>
      </c>
      <c r="P68" s="272"/>
    </row>
    <row r="69" spans="1:16" ht="12.5">
      <c r="B69" s="195" t="str">
        <f t="shared" si="22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7"/>
        <v>0</v>
      </c>
      <c r="G69" s="526">
        <f t="shared" si="23"/>
        <v>0</v>
      </c>
      <c r="H69" s="491">
        <f t="shared" si="24"/>
        <v>0</v>
      </c>
      <c r="I69" s="511">
        <f t="shared" si="18"/>
        <v>0</v>
      </c>
      <c r="J69" s="511"/>
      <c r="K69" s="525"/>
      <c r="L69" s="514">
        <f t="shared" si="19"/>
        <v>0</v>
      </c>
      <c r="M69" s="525"/>
      <c r="N69" s="514">
        <f t="shared" si="20"/>
        <v>0</v>
      </c>
      <c r="O69" s="514">
        <f t="shared" si="21"/>
        <v>0</v>
      </c>
      <c r="P69" s="272"/>
    </row>
    <row r="70" spans="1:16" ht="12.5">
      <c r="B70" s="195" t="str">
        <f t="shared" si="22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7"/>
        <v>0</v>
      </c>
      <c r="G70" s="526">
        <f t="shared" si="23"/>
        <v>0</v>
      </c>
      <c r="H70" s="491">
        <f t="shared" si="24"/>
        <v>0</v>
      </c>
      <c r="I70" s="511">
        <f t="shared" si="18"/>
        <v>0</v>
      </c>
      <c r="J70" s="511"/>
      <c r="K70" s="525"/>
      <c r="L70" s="514">
        <f t="shared" si="19"/>
        <v>0</v>
      </c>
      <c r="M70" s="525"/>
      <c r="N70" s="514">
        <f t="shared" si="20"/>
        <v>0</v>
      </c>
      <c r="O70" s="514">
        <f t="shared" si="21"/>
        <v>0</v>
      </c>
      <c r="P70" s="272"/>
    </row>
    <row r="71" spans="1:16" ht="12.5">
      <c r="B71" s="195" t="str">
        <f t="shared" si="22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7"/>
        <v>0</v>
      </c>
      <c r="G71" s="526">
        <f t="shared" si="23"/>
        <v>0</v>
      </c>
      <c r="H71" s="491">
        <f t="shared" si="24"/>
        <v>0</v>
      </c>
      <c r="I71" s="511">
        <f t="shared" si="18"/>
        <v>0</v>
      </c>
      <c r="J71" s="511"/>
      <c r="K71" s="525"/>
      <c r="L71" s="514">
        <f t="shared" si="19"/>
        <v>0</v>
      </c>
      <c r="M71" s="525"/>
      <c r="N71" s="514">
        <f t="shared" si="20"/>
        <v>0</v>
      </c>
      <c r="O71" s="514">
        <f t="shared" si="21"/>
        <v>0</v>
      </c>
      <c r="P71" s="272"/>
    </row>
    <row r="72" spans="1:16" ht="13" thickBot="1">
      <c r="B72" s="195" t="str">
        <f t="shared" si="22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7"/>
        <v>0</v>
      </c>
      <c r="G72" s="530">
        <f t="shared" si="23"/>
        <v>0</v>
      </c>
      <c r="H72" s="471">
        <f t="shared" si="24"/>
        <v>0</v>
      </c>
      <c r="I72" s="531">
        <f t="shared" si="18"/>
        <v>0</v>
      </c>
      <c r="J72" s="511"/>
      <c r="K72" s="532"/>
      <c r="L72" s="533">
        <f t="shared" si="19"/>
        <v>0</v>
      </c>
      <c r="M72" s="532"/>
      <c r="N72" s="533">
        <f t="shared" si="20"/>
        <v>0</v>
      </c>
      <c r="O72" s="533">
        <f t="shared" si="21"/>
        <v>0</v>
      </c>
      <c r="P72" s="272"/>
    </row>
    <row r="73" spans="1:16" ht="12.5">
      <c r="C73" s="374" t="s">
        <v>78</v>
      </c>
      <c r="D73" s="375"/>
      <c r="E73" s="375">
        <f>SUM(E17:E72)</f>
        <v>5268478.9999999963</v>
      </c>
      <c r="F73" s="375"/>
      <c r="G73" s="375">
        <f>SUM(G17:G72)</f>
        <v>19588391.191414233</v>
      </c>
      <c r="H73" s="375">
        <f>SUM(H17:H72)</f>
        <v>19588391.191414233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28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563524.4472824221</v>
      </c>
      <c r="N87" s="546">
        <f>IF(J92&lt;D11,0,VLOOKUP(J92,C17:O72,11))</f>
        <v>563524.4472824221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598883.44661081501</v>
      </c>
      <c r="N88" s="550">
        <f>IF(J92&lt;D11,0,VLOOKUP(J92,C99:P154,7))</f>
        <v>598883.44661081501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Bloomburg-Texarkana Plant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35358.999328392907</v>
      </c>
      <c r="N89" s="555">
        <f>+N88-N87</f>
        <v>35358.999328392907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TP2008027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5268479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128499.48780487805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62710.82142857142</v>
      </c>
      <c r="F99" s="622">
        <v>5204998.1785714282</v>
      </c>
      <c r="G99" s="574">
        <v>2602499.0892857141</v>
      </c>
      <c r="H99" s="576">
        <v>445678.79491286777</v>
      </c>
      <c r="I99" s="576">
        <v>445678.79491286777</v>
      </c>
      <c r="J99" s="514">
        <f t="shared" ref="J99:J130" si="25">+I99-H99</f>
        <v>0</v>
      </c>
      <c r="K99" s="514"/>
      <c r="L99" s="512">
        <f t="shared" ref="L99:L104" si="26">H99</f>
        <v>445678.79491286777</v>
      </c>
      <c r="M99" s="597">
        <f t="shared" ref="M99:M130" si="27">IF(L99&lt;&gt;0,+H99-L99,0)</f>
        <v>0</v>
      </c>
      <c r="N99" s="512">
        <f t="shared" ref="N99:N104" si="28">I99</f>
        <v>445678.79491286777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 ht="12.5">
      <c r="B100" s="195" t="str">
        <f t="shared" ref="B100:B131" si="31">IF(D100=F99,"","IU")</f>
        <v>IU</v>
      </c>
      <c r="C100" s="507">
        <f>IF(D93="","-",+C99+1)</f>
        <v>2013</v>
      </c>
      <c r="D100" s="508">
        <v>5205776.1785714282</v>
      </c>
      <c r="E100" s="516">
        <v>125440.16666666667</v>
      </c>
      <c r="F100" s="515">
        <v>5080336.0119047612</v>
      </c>
      <c r="G100" s="515">
        <v>5143056.0952380951</v>
      </c>
      <c r="H100" s="575">
        <v>821252.98086440889</v>
      </c>
      <c r="I100" s="576">
        <v>821252.98086440889</v>
      </c>
      <c r="J100" s="514">
        <v>0</v>
      </c>
      <c r="K100" s="514"/>
      <c r="L100" s="518">
        <f t="shared" si="26"/>
        <v>821252.98086440889</v>
      </c>
      <c r="M100" s="519">
        <f t="shared" ref="M100:M105" si="32">IF(L100&lt;&gt;0,+H100-L100,0)</f>
        <v>0</v>
      </c>
      <c r="N100" s="518">
        <f t="shared" si="28"/>
        <v>821252.98086440889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1"/>
        <v/>
      </c>
      <c r="C101" s="507">
        <f>IF(D93="","-",+C100+1)</f>
        <v>2014</v>
      </c>
      <c r="D101" s="508">
        <v>5080336.0119047612</v>
      </c>
      <c r="E101" s="516">
        <v>125440.16666666667</v>
      </c>
      <c r="F101" s="515">
        <v>4954895.8452380942</v>
      </c>
      <c r="G101" s="515">
        <v>5017615.9285714272</v>
      </c>
      <c r="H101" s="575">
        <v>807451.88344744302</v>
      </c>
      <c r="I101" s="576">
        <v>807451.88344744302</v>
      </c>
      <c r="J101" s="514">
        <v>0</v>
      </c>
      <c r="K101" s="514"/>
      <c r="L101" s="518">
        <f t="shared" si="26"/>
        <v>807451.88344744302</v>
      </c>
      <c r="M101" s="519">
        <f t="shared" si="32"/>
        <v>0</v>
      </c>
      <c r="N101" s="518">
        <f t="shared" si="28"/>
        <v>807451.88344744302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1"/>
        <v>IU</v>
      </c>
      <c r="C102" s="507">
        <f>IF(D93="","-",+C101+1)</f>
        <v>2015</v>
      </c>
      <c r="D102" s="508">
        <v>4954887.8452380951</v>
      </c>
      <c r="E102" s="516">
        <v>125439.97619047618</v>
      </c>
      <c r="F102" s="515">
        <v>4829447.8690476194</v>
      </c>
      <c r="G102" s="515">
        <v>4892167.8571428573</v>
      </c>
      <c r="H102" s="575">
        <v>770075.44510229141</v>
      </c>
      <c r="I102" s="576">
        <v>770075.44510229141</v>
      </c>
      <c r="J102" s="514">
        <f t="shared" si="25"/>
        <v>0</v>
      </c>
      <c r="K102" s="514"/>
      <c r="L102" s="518">
        <f t="shared" si="26"/>
        <v>770075.44510229141</v>
      </c>
      <c r="M102" s="519">
        <f t="shared" si="32"/>
        <v>0</v>
      </c>
      <c r="N102" s="518">
        <f t="shared" si="28"/>
        <v>770075.44510229141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1"/>
        <v/>
      </c>
      <c r="C103" s="507">
        <f>IF(D93="","-",+C102+1)</f>
        <v>2016</v>
      </c>
      <c r="D103" s="508">
        <v>4829447.8690476194</v>
      </c>
      <c r="E103" s="516">
        <v>122522.76744186046</v>
      </c>
      <c r="F103" s="515">
        <v>4706925.101605759</v>
      </c>
      <c r="G103" s="515">
        <v>4768186.4853266887</v>
      </c>
      <c r="H103" s="575">
        <v>727843.98591080913</v>
      </c>
      <c r="I103" s="576">
        <v>727843.98591080913</v>
      </c>
      <c r="J103" s="514">
        <f t="shared" si="25"/>
        <v>0</v>
      </c>
      <c r="K103" s="514"/>
      <c r="L103" s="518">
        <f t="shared" si="26"/>
        <v>727843.98591080913</v>
      </c>
      <c r="M103" s="519">
        <f t="shared" si="32"/>
        <v>0</v>
      </c>
      <c r="N103" s="518">
        <f t="shared" si="28"/>
        <v>727843.98591080913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1"/>
        <v/>
      </c>
      <c r="C104" s="507">
        <f>IF(D93="","-",+C103+1)</f>
        <v>2017</v>
      </c>
      <c r="D104" s="508">
        <v>4706925.101605759</v>
      </c>
      <c r="E104" s="516">
        <v>125439.97619047618</v>
      </c>
      <c r="F104" s="515">
        <v>4581485.1254152833</v>
      </c>
      <c r="G104" s="515">
        <v>4644205.1135105211</v>
      </c>
      <c r="H104" s="575">
        <v>689578.34111200261</v>
      </c>
      <c r="I104" s="576">
        <v>689578.34111200261</v>
      </c>
      <c r="J104" s="514">
        <f t="shared" si="25"/>
        <v>0</v>
      </c>
      <c r="K104" s="514"/>
      <c r="L104" s="518">
        <f t="shared" si="26"/>
        <v>689578.34111200261</v>
      </c>
      <c r="M104" s="519">
        <f t="shared" si="32"/>
        <v>0</v>
      </c>
      <c r="N104" s="518">
        <f t="shared" si="28"/>
        <v>689578.34111200261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1"/>
        <v/>
      </c>
      <c r="C105" s="507">
        <f>IF(D93="","-",+C104+1)</f>
        <v>2018</v>
      </c>
      <c r="D105" s="508">
        <v>4581485.1254152833</v>
      </c>
      <c r="E105" s="516">
        <v>125439.97619047618</v>
      </c>
      <c r="F105" s="515">
        <v>4456045.1492248075</v>
      </c>
      <c r="G105" s="515">
        <v>4518765.1373200454</v>
      </c>
      <c r="H105" s="575">
        <v>602642.29693406296</v>
      </c>
      <c r="I105" s="576">
        <v>602642.29693406296</v>
      </c>
      <c r="J105" s="514">
        <f t="shared" si="25"/>
        <v>0</v>
      </c>
      <c r="K105" s="514"/>
      <c r="L105" s="518">
        <f t="shared" ref="L105" si="33">H105</f>
        <v>602642.29693406296</v>
      </c>
      <c r="M105" s="519">
        <f t="shared" si="32"/>
        <v>0</v>
      </c>
      <c r="N105" s="518">
        <f t="shared" ref="N105" si="34">I105</f>
        <v>602642.29693406296</v>
      </c>
      <c r="O105" s="514">
        <f t="shared" si="29"/>
        <v>0</v>
      </c>
      <c r="P105" s="514">
        <f t="shared" si="30"/>
        <v>0</v>
      </c>
      <c r="Q105" s="269"/>
    </row>
    <row r="106" spans="1:17" ht="12.5">
      <c r="B106" s="195" t="str">
        <f t="shared" si="31"/>
        <v/>
      </c>
      <c r="C106" s="507">
        <f>IF(D93="","-",+C105+1)</f>
        <v>2019</v>
      </c>
      <c r="D106" s="508">
        <v>4456045.1492248075</v>
      </c>
      <c r="E106" s="516">
        <v>122522.76744186046</v>
      </c>
      <c r="F106" s="515">
        <v>4333522.3817829471</v>
      </c>
      <c r="G106" s="515">
        <v>4394783.7655038778</v>
      </c>
      <c r="H106" s="575">
        <v>592942.82363557536</v>
      </c>
      <c r="I106" s="576">
        <v>592942.82363557536</v>
      </c>
      <c r="J106" s="514">
        <f t="shared" si="25"/>
        <v>0</v>
      </c>
      <c r="K106" s="514"/>
      <c r="L106" s="518">
        <f t="shared" ref="L106:L107" si="35">H106</f>
        <v>592942.82363557536</v>
      </c>
      <c r="M106" s="519">
        <f t="shared" ref="M106:M107" si="36">IF(L106&lt;&gt;0,+H106-L106,0)</f>
        <v>0</v>
      </c>
      <c r="N106" s="518">
        <f t="shared" ref="N106:N107" si="37">I106</f>
        <v>592942.82363557536</v>
      </c>
      <c r="O106" s="514">
        <f t="shared" si="29"/>
        <v>0</v>
      </c>
      <c r="P106" s="514">
        <f t="shared" si="30"/>
        <v>0</v>
      </c>
      <c r="Q106" s="269"/>
    </row>
    <row r="107" spans="1:17" ht="12.5">
      <c r="B107" s="195" t="str">
        <f t="shared" si="31"/>
        <v/>
      </c>
      <c r="C107" s="507">
        <f>IF(D93="","-",+C106+1)</f>
        <v>2020</v>
      </c>
      <c r="D107" s="508">
        <v>4333522.3817829471</v>
      </c>
      <c r="E107" s="516">
        <v>125439.97619047618</v>
      </c>
      <c r="F107" s="515">
        <v>4208082.4055924714</v>
      </c>
      <c r="G107" s="515">
        <v>4270802.3936877092</v>
      </c>
      <c r="H107" s="575">
        <v>584866.55753278674</v>
      </c>
      <c r="I107" s="576">
        <v>584866.55753278674</v>
      </c>
      <c r="J107" s="514">
        <f t="shared" si="25"/>
        <v>0</v>
      </c>
      <c r="K107" s="514"/>
      <c r="L107" s="518">
        <f t="shared" si="35"/>
        <v>584866.55753278674</v>
      </c>
      <c r="M107" s="519">
        <f t="shared" si="36"/>
        <v>0</v>
      </c>
      <c r="N107" s="518">
        <f t="shared" si="37"/>
        <v>584866.55753278674</v>
      </c>
      <c r="O107" s="514">
        <f t="shared" si="29"/>
        <v>0</v>
      </c>
      <c r="P107" s="514">
        <f t="shared" si="30"/>
        <v>0</v>
      </c>
      <c r="Q107" s="269"/>
    </row>
    <row r="108" spans="1:17" ht="12.5">
      <c r="B108" s="195" t="str">
        <f t="shared" si="31"/>
        <v/>
      </c>
      <c r="C108" s="507">
        <f>IF(D93="","-",+C107+1)</f>
        <v>2021</v>
      </c>
      <c r="D108" s="374">
        <f>IF(F107+SUM(E$99:E107)=D$92,F107,D$92-SUM(E$99:E107))</f>
        <v>4208082.4055924714</v>
      </c>
      <c r="E108" s="522">
        <f>IF(+J96&lt;F107,J96,D108)</f>
        <v>128499.48780487805</v>
      </c>
      <c r="F108" s="523">
        <f t="shared" ref="F108:F131" si="38">+D108-E108</f>
        <v>4079582.9177875933</v>
      </c>
      <c r="G108" s="523">
        <f t="shared" ref="G108:G130" si="39">+(F108+D108)/2</f>
        <v>4143832.6616900321</v>
      </c>
      <c r="H108" s="526">
        <f t="shared" ref="H108:H130" si="40">+J$94*G108+E108</f>
        <v>598883.44661081501</v>
      </c>
      <c r="I108" s="577">
        <f t="shared" ref="I108:I130" si="41">+J$95*G108+E108</f>
        <v>598883.44661081501</v>
      </c>
      <c r="J108" s="514">
        <f t="shared" si="25"/>
        <v>0</v>
      </c>
      <c r="K108" s="514"/>
      <c r="L108" s="525"/>
      <c r="M108" s="514">
        <f t="shared" si="27"/>
        <v>0</v>
      </c>
      <c r="N108" s="525"/>
      <c r="O108" s="514">
        <f t="shared" si="29"/>
        <v>0</v>
      </c>
      <c r="P108" s="514">
        <f t="shared" si="30"/>
        <v>0</v>
      </c>
      <c r="Q108" s="269"/>
    </row>
    <row r="109" spans="1:17" ht="12.5">
      <c r="B109" s="195" t="str">
        <f t="shared" si="31"/>
        <v/>
      </c>
      <c r="C109" s="507">
        <f>IF(D93="","-",+C108+1)</f>
        <v>2022</v>
      </c>
      <c r="D109" s="374">
        <f>IF(F108+SUM(E$99:E108)=D$92,F108,D$92-SUM(E$99:E108))</f>
        <v>4079582.9177875933</v>
      </c>
      <c r="E109" s="522">
        <f>IF(+J96&lt;F108,J96,D109)</f>
        <v>128499.48780487805</v>
      </c>
      <c r="F109" s="523">
        <f t="shared" si="38"/>
        <v>3951083.4299827153</v>
      </c>
      <c r="G109" s="523">
        <f t="shared" si="39"/>
        <v>4015333.1738851545</v>
      </c>
      <c r="H109" s="526">
        <f t="shared" si="40"/>
        <v>584296.92666347185</v>
      </c>
      <c r="I109" s="577">
        <f t="shared" si="41"/>
        <v>584296.92666347185</v>
      </c>
      <c r="J109" s="514">
        <f t="shared" si="25"/>
        <v>0</v>
      </c>
      <c r="K109" s="514"/>
      <c r="L109" s="525"/>
      <c r="M109" s="514">
        <f t="shared" si="27"/>
        <v>0</v>
      </c>
      <c r="N109" s="525"/>
      <c r="O109" s="514">
        <f t="shared" si="29"/>
        <v>0</v>
      </c>
      <c r="P109" s="514">
        <f t="shared" si="30"/>
        <v>0</v>
      </c>
      <c r="Q109" s="269"/>
    </row>
    <row r="110" spans="1:17" ht="12.5">
      <c r="B110" s="195" t="str">
        <f t="shared" si="31"/>
        <v/>
      </c>
      <c r="C110" s="507">
        <f>IF(D93="","-",+C109+1)</f>
        <v>2023</v>
      </c>
      <c r="D110" s="374">
        <f>IF(F109+SUM(E$99:E109)=D$92,F109,D$92-SUM(E$99:E109))</f>
        <v>3951083.4299827153</v>
      </c>
      <c r="E110" s="522">
        <f>IF(+J96&lt;F109,J96,D110)</f>
        <v>128499.48780487805</v>
      </c>
      <c r="F110" s="523">
        <f t="shared" si="38"/>
        <v>3822583.9421778372</v>
      </c>
      <c r="G110" s="523">
        <f t="shared" si="39"/>
        <v>3886833.686080276</v>
      </c>
      <c r="H110" s="526">
        <f t="shared" si="40"/>
        <v>569710.40671612869</v>
      </c>
      <c r="I110" s="577">
        <f t="shared" si="41"/>
        <v>569710.40671612869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 ht="12.5">
      <c r="B111" s="195" t="str">
        <f t="shared" si="31"/>
        <v/>
      </c>
      <c r="C111" s="507">
        <f>IF(D93="","-",+C110+1)</f>
        <v>2024</v>
      </c>
      <c r="D111" s="374">
        <f>IF(F110+SUM(E$99:E110)=D$92,F110,D$92-SUM(E$99:E110))</f>
        <v>3822583.9421778372</v>
      </c>
      <c r="E111" s="522">
        <f>IF(+J96&lt;F110,J96,D111)</f>
        <v>128499.48780487805</v>
      </c>
      <c r="F111" s="523">
        <f t="shared" si="38"/>
        <v>3694084.4543729592</v>
      </c>
      <c r="G111" s="523">
        <f t="shared" si="39"/>
        <v>3758334.1982753985</v>
      </c>
      <c r="H111" s="526">
        <f t="shared" si="40"/>
        <v>555123.88676878554</v>
      </c>
      <c r="I111" s="577">
        <f t="shared" si="41"/>
        <v>555123.88676878554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 ht="12.5">
      <c r="B112" s="195" t="str">
        <f t="shared" si="31"/>
        <v/>
      </c>
      <c r="C112" s="507">
        <f>IF(D93="","-",+C111+1)</f>
        <v>2025</v>
      </c>
      <c r="D112" s="374">
        <f>IF(F111+SUM(E$99:E111)=D$92,F111,D$92-SUM(E$99:E111))</f>
        <v>3694084.4543729592</v>
      </c>
      <c r="E112" s="522">
        <f>IF(+J96&lt;F111,J96,D112)</f>
        <v>128499.48780487805</v>
      </c>
      <c r="F112" s="523">
        <f t="shared" si="38"/>
        <v>3565584.9665680812</v>
      </c>
      <c r="G112" s="523">
        <f t="shared" si="39"/>
        <v>3629834.71047052</v>
      </c>
      <c r="H112" s="526">
        <f t="shared" si="40"/>
        <v>540537.36682144238</v>
      </c>
      <c r="I112" s="577">
        <f t="shared" si="41"/>
        <v>540537.36682144238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 ht="12.5">
      <c r="B113" s="195" t="str">
        <f t="shared" si="31"/>
        <v/>
      </c>
      <c r="C113" s="507">
        <f>IF(D93="","-",+C112+1)</f>
        <v>2026</v>
      </c>
      <c r="D113" s="374">
        <f>IF(F112+SUM(E$99:E112)=D$92,F112,D$92-SUM(E$99:E112))</f>
        <v>3565584.9665680812</v>
      </c>
      <c r="E113" s="522">
        <f>IF(+J96&lt;F112,J96,D113)</f>
        <v>128499.48780487805</v>
      </c>
      <c r="F113" s="523">
        <f t="shared" si="38"/>
        <v>3437085.4787632031</v>
      </c>
      <c r="G113" s="523">
        <f t="shared" si="39"/>
        <v>3501335.2226656424</v>
      </c>
      <c r="H113" s="526">
        <f t="shared" si="40"/>
        <v>525950.84687409922</v>
      </c>
      <c r="I113" s="577">
        <f t="shared" si="41"/>
        <v>525950.84687409922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 ht="12.5">
      <c r="B114" s="195" t="str">
        <f t="shared" si="31"/>
        <v/>
      </c>
      <c r="C114" s="507">
        <f>IF(D93="","-",+C113+1)</f>
        <v>2027</v>
      </c>
      <c r="D114" s="374">
        <f>IF(F113+SUM(E$99:E113)=D$92,F113,D$92-SUM(E$99:E113))</f>
        <v>3437085.4787632031</v>
      </c>
      <c r="E114" s="522">
        <f>IF(+J96&lt;F113,J96,D114)</f>
        <v>128499.48780487805</v>
      </c>
      <c r="F114" s="523">
        <f t="shared" si="38"/>
        <v>3308585.9909583251</v>
      </c>
      <c r="G114" s="523">
        <f t="shared" si="39"/>
        <v>3372835.7348607639</v>
      </c>
      <c r="H114" s="526">
        <f t="shared" si="40"/>
        <v>511364.32692675601</v>
      </c>
      <c r="I114" s="577">
        <f t="shared" si="41"/>
        <v>511364.32692675601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 ht="12.5">
      <c r="B115" s="195" t="str">
        <f t="shared" si="31"/>
        <v/>
      </c>
      <c r="C115" s="507">
        <f>IF(D93="","-",+C114+1)</f>
        <v>2028</v>
      </c>
      <c r="D115" s="374">
        <f>IF(F114+SUM(E$99:E114)=D$92,F114,D$92-SUM(E$99:E114))</f>
        <v>3308585.9909583251</v>
      </c>
      <c r="E115" s="522">
        <f>IF(+J96&lt;F114,J96,D115)</f>
        <v>128499.48780487805</v>
      </c>
      <c r="F115" s="523">
        <f t="shared" si="38"/>
        <v>3180086.5031534471</v>
      </c>
      <c r="G115" s="523">
        <f t="shared" si="39"/>
        <v>3244336.2470558863</v>
      </c>
      <c r="H115" s="526">
        <f t="shared" si="40"/>
        <v>496777.80697941291</v>
      </c>
      <c r="I115" s="577">
        <f t="shared" si="41"/>
        <v>496777.80697941291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 ht="12.5">
      <c r="B116" s="195" t="str">
        <f t="shared" si="31"/>
        <v/>
      </c>
      <c r="C116" s="507">
        <f>IF(D93="","-",+C115+1)</f>
        <v>2029</v>
      </c>
      <c r="D116" s="374">
        <f>IF(F115+SUM(E$99:E115)=D$92,F115,D$92-SUM(E$99:E115))</f>
        <v>3180086.5031534471</v>
      </c>
      <c r="E116" s="522">
        <f>IF(+J96&lt;F115,J96,D116)</f>
        <v>128499.48780487805</v>
      </c>
      <c r="F116" s="523">
        <f t="shared" si="38"/>
        <v>3051587.015348569</v>
      </c>
      <c r="G116" s="523">
        <f t="shared" si="39"/>
        <v>3115836.7592510078</v>
      </c>
      <c r="H116" s="526">
        <f t="shared" si="40"/>
        <v>482191.2870320697</v>
      </c>
      <c r="I116" s="577">
        <f t="shared" si="41"/>
        <v>482191.2870320697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 ht="12.5">
      <c r="B117" s="195" t="str">
        <f t="shared" si="31"/>
        <v/>
      </c>
      <c r="C117" s="507">
        <f>IF(D93="","-",+C116+1)</f>
        <v>2030</v>
      </c>
      <c r="D117" s="374">
        <f>IF(F116+SUM(E$99:E116)=D$92,F116,D$92-SUM(E$99:E116))</f>
        <v>3051587.015348569</v>
      </c>
      <c r="E117" s="522">
        <f>IF(+J96&lt;F116,J96,D117)</f>
        <v>128499.48780487805</v>
      </c>
      <c r="F117" s="523">
        <f t="shared" si="38"/>
        <v>2923087.527543691</v>
      </c>
      <c r="G117" s="523">
        <f t="shared" si="39"/>
        <v>2987337.2714461302</v>
      </c>
      <c r="H117" s="526">
        <f t="shared" si="40"/>
        <v>467604.7670847266</v>
      </c>
      <c r="I117" s="577">
        <f t="shared" si="41"/>
        <v>467604.7670847266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 ht="12.5">
      <c r="B118" s="195" t="str">
        <f t="shared" si="31"/>
        <v/>
      </c>
      <c r="C118" s="507">
        <f>IF(D93="","-",+C117+1)</f>
        <v>2031</v>
      </c>
      <c r="D118" s="374">
        <f>IF(F117+SUM(E$99:E117)=D$92,F117,D$92-SUM(E$99:E117))</f>
        <v>2923087.527543691</v>
      </c>
      <c r="E118" s="522">
        <f>IF(+J96&lt;F117,J96,D118)</f>
        <v>128499.48780487805</v>
      </c>
      <c r="F118" s="523">
        <f t="shared" si="38"/>
        <v>2794588.0397388129</v>
      </c>
      <c r="G118" s="523">
        <f t="shared" si="39"/>
        <v>2858837.7836412517</v>
      </c>
      <c r="H118" s="526">
        <f t="shared" si="40"/>
        <v>453018.24713738338</v>
      </c>
      <c r="I118" s="577">
        <f t="shared" si="41"/>
        <v>453018.24713738338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 ht="12.5">
      <c r="B119" s="195" t="str">
        <f t="shared" si="31"/>
        <v/>
      </c>
      <c r="C119" s="507">
        <f>IF(D93="","-",+C118+1)</f>
        <v>2032</v>
      </c>
      <c r="D119" s="374">
        <f>IF(F118+SUM(E$99:E118)=D$92,F118,D$92-SUM(E$99:E118))</f>
        <v>2794588.0397388129</v>
      </c>
      <c r="E119" s="522">
        <f>IF(+J96&lt;F118,J96,D119)</f>
        <v>128499.48780487805</v>
      </c>
      <c r="F119" s="523">
        <f t="shared" si="38"/>
        <v>2666088.5519339349</v>
      </c>
      <c r="G119" s="523">
        <f t="shared" si="39"/>
        <v>2730338.2958363742</v>
      </c>
      <c r="H119" s="526">
        <f t="shared" si="40"/>
        <v>438431.72719004028</v>
      </c>
      <c r="I119" s="577">
        <f t="shared" si="41"/>
        <v>438431.72719004028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 ht="12.5">
      <c r="B120" s="195" t="str">
        <f t="shared" si="31"/>
        <v/>
      </c>
      <c r="C120" s="507">
        <f>IF(D93="","-",+C119+1)</f>
        <v>2033</v>
      </c>
      <c r="D120" s="374">
        <f>IF(F119+SUM(E$99:E119)=D$92,F119,D$92-SUM(E$99:E119))</f>
        <v>2666088.5519339349</v>
      </c>
      <c r="E120" s="522">
        <f>IF(+J96&lt;F119,J96,D120)</f>
        <v>128499.48780487805</v>
      </c>
      <c r="F120" s="523">
        <f t="shared" si="38"/>
        <v>2537589.0641290569</v>
      </c>
      <c r="G120" s="523">
        <f t="shared" si="39"/>
        <v>2601838.8080314957</v>
      </c>
      <c r="H120" s="526">
        <f t="shared" si="40"/>
        <v>423845.20724269707</v>
      </c>
      <c r="I120" s="577">
        <f t="shared" si="41"/>
        <v>423845.20724269707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 ht="12.5">
      <c r="B121" s="195" t="str">
        <f t="shared" si="31"/>
        <v/>
      </c>
      <c r="C121" s="507">
        <f>IF(D93="","-",+C120+1)</f>
        <v>2034</v>
      </c>
      <c r="D121" s="374">
        <f>IF(F120+SUM(E$99:E120)=D$92,F120,D$92-SUM(E$99:E120))</f>
        <v>2537589.0641290569</v>
      </c>
      <c r="E121" s="522">
        <f>IF(+J96&lt;F120,J96,D121)</f>
        <v>128499.48780487805</v>
      </c>
      <c r="F121" s="523">
        <f t="shared" si="38"/>
        <v>2409089.5763241788</v>
      </c>
      <c r="G121" s="523">
        <f t="shared" si="39"/>
        <v>2473339.3202266181</v>
      </c>
      <c r="H121" s="526">
        <f t="shared" si="40"/>
        <v>409258.68729535397</v>
      </c>
      <c r="I121" s="577">
        <f t="shared" si="41"/>
        <v>409258.68729535397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 ht="12.5">
      <c r="B122" s="195" t="str">
        <f t="shared" si="31"/>
        <v/>
      </c>
      <c r="C122" s="507">
        <f>IF(D93="","-",+C121+1)</f>
        <v>2035</v>
      </c>
      <c r="D122" s="374">
        <f>IF(F121+SUM(E$99:E121)=D$92,F121,D$92-SUM(E$99:E121))</f>
        <v>2409089.5763241788</v>
      </c>
      <c r="E122" s="522">
        <f>IF(+J96&lt;F121,J96,D122)</f>
        <v>128499.48780487805</v>
      </c>
      <c r="F122" s="523">
        <f t="shared" si="38"/>
        <v>2280590.0885193008</v>
      </c>
      <c r="G122" s="523">
        <f t="shared" si="39"/>
        <v>2344839.8324217396</v>
      </c>
      <c r="H122" s="526">
        <f t="shared" si="40"/>
        <v>394672.16734801076</v>
      </c>
      <c r="I122" s="577">
        <f t="shared" si="41"/>
        <v>394672.16734801076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 ht="12.5">
      <c r="B123" s="195" t="str">
        <f t="shared" si="31"/>
        <v/>
      </c>
      <c r="C123" s="507">
        <f>IF(D93="","-",+C122+1)</f>
        <v>2036</v>
      </c>
      <c r="D123" s="374">
        <f>IF(F122+SUM(E$99:E122)=D$92,F122,D$92-SUM(E$99:E122))</f>
        <v>2280590.0885193008</v>
      </c>
      <c r="E123" s="522">
        <f>IF(+J96&lt;F122,J96,D123)</f>
        <v>128499.48780487805</v>
      </c>
      <c r="F123" s="523">
        <f t="shared" si="38"/>
        <v>2152090.6007144228</v>
      </c>
      <c r="G123" s="523">
        <f t="shared" si="39"/>
        <v>2216340.344616862</v>
      </c>
      <c r="H123" s="526">
        <f t="shared" si="40"/>
        <v>380085.64740066766</v>
      </c>
      <c r="I123" s="577">
        <f t="shared" si="41"/>
        <v>380085.64740066766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 ht="12.5">
      <c r="B124" s="195" t="str">
        <f t="shared" si="31"/>
        <v/>
      </c>
      <c r="C124" s="507">
        <f>IF(D93="","-",+C123+1)</f>
        <v>2037</v>
      </c>
      <c r="D124" s="374">
        <f>IF(F123+SUM(E$99:E123)=D$92,F123,D$92-SUM(E$99:E123))</f>
        <v>2152090.6007144228</v>
      </c>
      <c r="E124" s="522">
        <f>IF(+J96&lt;F123,J96,D124)</f>
        <v>128499.48780487805</v>
      </c>
      <c r="F124" s="523">
        <f t="shared" si="38"/>
        <v>2023591.1129095447</v>
      </c>
      <c r="G124" s="523">
        <f t="shared" si="39"/>
        <v>2087840.8568119837</v>
      </c>
      <c r="H124" s="526">
        <f t="shared" si="40"/>
        <v>365499.1274533245</v>
      </c>
      <c r="I124" s="577">
        <f t="shared" si="41"/>
        <v>365499.1274533245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 ht="12.5">
      <c r="B125" s="195" t="str">
        <f t="shared" si="31"/>
        <v/>
      </c>
      <c r="C125" s="507">
        <f>IF(D93="","-",+C124+1)</f>
        <v>2038</v>
      </c>
      <c r="D125" s="374">
        <f>IF(F124+SUM(E$99:E124)=D$92,F124,D$92-SUM(E$99:E124))</f>
        <v>2023591.1129095447</v>
      </c>
      <c r="E125" s="522">
        <f>IF(+J96&lt;F124,J96,D125)</f>
        <v>128499.48780487805</v>
      </c>
      <c r="F125" s="523">
        <f t="shared" si="38"/>
        <v>1895091.6251046667</v>
      </c>
      <c r="G125" s="523">
        <f t="shared" si="39"/>
        <v>1959341.3690071057</v>
      </c>
      <c r="H125" s="526">
        <f t="shared" si="40"/>
        <v>350912.60750598134</v>
      </c>
      <c r="I125" s="577">
        <f t="shared" si="41"/>
        <v>350912.60750598134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 ht="12.5">
      <c r="B126" s="195" t="str">
        <f t="shared" si="31"/>
        <v/>
      </c>
      <c r="C126" s="507">
        <f>IF(D93="","-",+C125+1)</f>
        <v>2039</v>
      </c>
      <c r="D126" s="374">
        <f>IF(F125+SUM(E$99:E125)=D$92,F125,D$92-SUM(E$99:E125))</f>
        <v>1895091.6251046667</v>
      </c>
      <c r="E126" s="522">
        <f>IF(+J96&lt;F125,J96,D126)</f>
        <v>128499.48780487805</v>
      </c>
      <c r="F126" s="523">
        <f t="shared" si="38"/>
        <v>1766592.1372997887</v>
      </c>
      <c r="G126" s="523">
        <f t="shared" si="39"/>
        <v>1830841.8812022277</v>
      </c>
      <c r="H126" s="526">
        <f t="shared" si="40"/>
        <v>336326.08755863819</v>
      </c>
      <c r="I126" s="577">
        <f t="shared" si="41"/>
        <v>336326.08755863819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 ht="12.5">
      <c r="B127" s="195" t="str">
        <f t="shared" si="31"/>
        <v/>
      </c>
      <c r="C127" s="507">
        <f>IF(D93="","-",+C126+1)</f>
        <v>2040</v>
      </c>
      <c r="D127" s="374">
        <f>IF(F126+SUM(E$99:E126)=D$92,F126,D$92-SUM(E$99:E126))</f>
        <v>1766592.1372997887</v>
      </c>
      <c r="E127" s="522">
        <f>IF(+J96&lt;F126,J96,D127)</f>
        <v>128499.48780487805</v>
      </c>
      <c r="F127" s="523">
        <f t="shared" si="38"/>
        <v>1638092.6494949106</v>
      </c>
      <c r="G127" s="523">
        <f t="shared" si="39"/>
        <v>1702342.3933973496</v>
      </c>
      <c r="H127" s="526">
        <f t="shared" si="40"/>
        <v>321739.56761129503</v>
      </c>
      <c r="I127" s="577">
        <f t="shared" si="41"/>
        <v>321739.56761129503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 ht="12.5">
      <c r="B128" s="195" t="str">
        <f t="shared" si="31"/>
        <v/>
      </c>
      <c r="C128" s="507">
        <f>IF(D93="","-",+C127+1)</f>
        <v>2041</v>
      </c>
      <c r="D128" s="374">
        <f>IF(F127+SUM(E$99:E127)=D$92,F127,D$92-SUM(E$99:E127))</f>
        <v>1638092.6494949106</v>
      </c>
      <c r="E128" s="522">
        <f>IF(+J96&lt;F127,J96,D128)</f>
        <v>128499.48780487805</v>
      </c>
      <c r="F128" s="523">
        <f t="shared" si="38"/>
        <v>1509593.1616900326</v>
      </c>
      <c r="G128" s="523">
        <f t="shared" si="39"/>
        <v>1573842.9055924716</v>
      </c>
      <c r="H128" s="526">
        <f t="shared" si="40"/>
        <v>307153.04766395187</v>
      </c>
      <c r="I128" s="577">
        <f t="shared" si="41"/>
        <v>307153.04766395187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 ht="12.5">
      <c r="B129" s="195" t="str">
        <f t="shared" si="31"/>
        <v/>
      </c>
      <c r="C129" s="507">
        <f>IF(D93="","-",+C128+1)</f>
        <v>2042</v>
      </c>
      <c r="D129" s="374">
        <f>IF(F128+SUM(E$99:E128)=D$92,F128,D$92-SUM(E$99:E128))</f>
        <v>1509593.1616900326</v>
      </c>
      <c r="E129" s="522">
        <f>IF(+J96&lt;F128,J96,D129)</f>
        <v>128499.48780487805</v>
      </c>
      <c r="F129" s="523">
        <f t="shared" si="38"/>
        <v>1381093.6738851545</v>
      </c>
      <c r="G129" s="523">
        <f t="shared" si="39"/>
        <v>1445343.4177875936</v>
      </c>
      <c r="H129" s="526">
        <f t="shared" si="40"/>
        <v>292566.52771660872</v>
      </c>
      <c r="I129" s="577">
        <f t="shared" si="41"/>
        <v>292566.52771660872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 ht="12.5">
      <c r="B130" s="195" t="str">
        <f t="shared" si="31"/>
        <v/>
      </c>
      <c r="C130" s="507">
        <f>IF(D93="","-",+C129+1)</f>
        <v>2043</v>
      </c>
      <c r="D130" s="374">
        <f>IF(F129+SUM(E$99:E129)=D$92,F129,D$92-SUM(E$99:E129))</f>
        <v>1381093.6738851545</v>
      </c>
      <c r="E130" s="522">
        <f>IF(+J96&lt;F129,J96,D130)</f>
        <v>128499.48780487805</v>
      </c>
      <c r="F130" s="523">
        <f t="shared" si="38"/>
        <v>1252594.1860802765</v>
      </c>
      <c r="G130" s="523">
        <f t="shared" si="39"/>
        <v>1316843.9299827155</v>
      </c>
      <c r="H130" s="526">
        <f t="shared" si="40"/>
        <v>277980.00776926556</v>
      </c>
      <c r="I130" s="577">
        <f t="shared" si="41"/>
        <v>277980.00776926556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 ht="12.5">
      <c r="B131" s="195" t="str">
        <f t="shared" si="31"/>
        <v/>
      </c>
      <c r="C131" s="507">
        <f>IF(D93="","-",+C130+1)</f>
        <v>2044</v>
      </c>
      <c r="D131" s="374">
        <f>IF(F130+SUM(E$99:E130)=D$92,F130,D$92-SUM(E$99:E130))</f>
        <v>1252594.1860802765</v>
      </c>
      <c r="E131" s="522">
        <f>IF(+J96&lt;F130,J96,D131)</f>
        <v>128499.48780487805</v>
      </c>
      <c r="F131" s="523">
        <f t="shared" si="38"/>
        <v>1124094.6982753985</v>
      </c>
      <c r="G131" s="523">
        <f t="shared" ref="G131:G154" si="42">+(F131+D131)/2</f>
        <v>1188344.4421778375</v>
      </c>
      <c r="H131" s="526">
        <f t="shared" ref="H131:H154" si="43">+J$94*G131+E131</f>
        <v>263393.48782192235</v>
      </c>
      <c r="I131" s="577">
        <f t="shared" ref="I131:I154" si="44">+J$95*G131+E131</f>
        <v>263393.48782192235</v>
      </c>
      <c r="J131" s="514">
        <f t="shared" ref="J131:J154" si="45">+I131-H131</f>
        <v>0</v>
      </c>
      <c r="K131" s="514"/>
      <c r="L131" s="525"/>
      <c r="M131" s="514">
        <f t="shared" ref="M131:M154" si="46">IF(L131&lt;&gt;0,+H131-L131,0)</f>
        <v>0</v>
      </c>
      <c r="N131" s="525"/>
      <c r="O131" s="514">
        <f t="shared" ref="O131:O154" si="47">IF(N131&lt;&gt;0,+I131-N131,0)</f>
        <v>0</v>
      </c>
      <c r="P131" s="514">
        <f t="shared" ref="P131:P154" si="48">+O131-M131</f>
        <v>0</v>
      </c>
      <c r="Q131" s="269"/>
    </row>
    <row r="132" spans="2:17" ht="12.5">
      <c r="B132" s="195" t="str">
        <f t="shared" ref="B132:B154" si="49">IF(D132=F131,"","IU")</f>
        <v/>
      </c>
      <c r="C132" s="507">
        <f>IF(D93="","-",+C131+1)</f>
        <v>2045</v>
      </c>
      <c r="D132" s="374">
        <f>IF(F131+SUM(E$99:E131)=D$92,F131,D$92-SUM(E$99:E131))</f>
        <v>1124094.6982753985</v>
      </c>
      <c r="E132" s="522">
        <f>IF(+J96&lt;F131,J96,D132)</f>
        <v>128499.48780487805</v>
      </c>
      <c r="F132" s="523">
        <f t="shared" ref="F132:F154" si="50">+D132-E132</f>
        <v>995595.21047052043</v>
      </c>
      <c r="G132" s="523">
        <f t="shared" si="42"/>
        <v>1059844.9543729594</v>
      </c>
      <c r="H132" s="526">
        <f t="shared" si="43"/>
        <v>248806.96787457922</v>
      </c>
      <c r="I132" s="577">
        <f t="shared" si="44"/>
        <v>248806.96787457922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  <c r="Q132" s="269"/>
    </row>
    <row r="133" spans="2:17" ht="12.5">
      <c r="B133" s="195" t="str">
        <f t="shared" si="49"/>
        <v/>
      </c>
      <c r="C133" s="507">
        <f>IF(D93="","-",+C132+1)</f>
        <v>2046</v>
      </c>
      <c r="D133" s="374">
        <f>IF(F132+SUM(E$99:E132)=D$92,F132,D$92-SUM(E$99:E132))</f>
        <v>995595.21047052043</v>
      </c>
      <c r="E133" s="522">
        <f>IF(+J96&lt;F132,J96,D133)</f>
        <v>128499.48780487805</v>
      </c>
      <c r="F133" s="523">
        <f t="shared" si="50"/>
        <v>867095.72266564239</v>
      </c>
      <c r="G133" s="523">
        <f t="shared" si="42"/>
        <v>931345.46656808141</v>
      </c>
      <c r="H133" s="526">
        <f t="shared" si="43"/>
        <v>234220.44792723606</v>
      </c>
      <c r="I133" s="577">
        <f t="shared" si="44"/>
        <v>234220.44792723606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  <c r="Q133" s="269"/>
    </row>
    <row r="134" spans="2:17" ht="12.5">
      <c r="B134" s="195" t="str">
        <f t="shared" si="49"/>
        <v/>
      </c>
      <c r="C134" s="507">
        <f>IF(D93="","-",+C133+1)</f>
        <v>2047</v>
      </c>
      <c r="D134" s="374">
        <f>IF(F133+SUM(E$99:E133)=D$92,F133,D$92-SUM(E$99:E133))</f>
        <v>867095.72266564239</v>
      </c>
      <c r="E134" s="522">
        <f>IF(+J96&lt;F133,J96,D134)</f>
        <v>128499.48780487805</v>
      </c>
      <c r="F134" s="523">
        <f t="shared" si="50"/>
        <v>738596.23486076435</v>
      </c>
      <c r="G134" s="523">
        <f t="shared" si="42"/>
        <v>802845.97876320337</v>
      </c>
      <c r="H134" s="526">
        <f t="shared" si="43"/>
        <v>219633.92797989291</v>
      </c>
      <c r="I134" s="577">
        <f t="shared" si="44"/>
        <v>219633.92797989291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  <c r="Q134" s="269"/>
    </row>
    <row r="135" spans="2:17" ht="12.5">
      <c r="B135" s="195" t="str">
        <f t="shared" si="49"/>
        <v/>
      </c>
      <c r="C135" s="507">
        <f>IF(D93="","-",+C134+1)</f>
        <v>2048</v>
      </c>
      <c r="D135" s="374">
        <f>IF(F134+SUM(E$99:E134)=D$92,F134,D$92-SUM(E$99:E134))</f>
        <v>738596.23486076435</v>
      </c>
      <c r="E135" s="522">
        <f>IF(+J96&lt;F134,J96,D135)</f>
        <v>128499.48780487805</v>
      </c>
      <c r="F135" s="523">
        <f t="shared" si="50"/>
        <v>610096.74705588631</v>
      </c>
      <c r="G135" s="523">
        <f t="shared" si="42"/>
        <v>674346.49095832533</v>
      </c>
      <c r="H135" s="526">
        <f t="shared" si="43"/>
        <v>205047.40803254972</v>
      </c>
      <c r="I135" s="577">
        <f t="shared" si="44"/>
        <v>205047.40803254972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  <c r="Q135" s="269"/>
    </row>
    <row r="136" spans="2:17" ht="12.5">
      <c r="B136" s="195" t="str">
        <f t="shared" si="49"/>
        <v/>
      </c>
      <c r="C136" s="507">
        <f>IF(D93="","-",+C135+1)</f>
        <v>2049</v>
      </c>
      <c r="D136" s="374">
        <f>IF(F135+SUM(E$99:E135)=D$92,F135,D$92-SUM(E$99:E135))</f>
        <v>610096.74705588631</v>
      </c>
      <c r="E136" s="522">
        <f>IF(+J96&lt;F135,J96,D136)</f>
        <v>128499.48780487805</v>
      </c>
      <c r="F136" s="523">
        <f t="shared" si="50"/>
        <v>481597.25925100828</v>
      </c>
      <c r="G136" s="523">
        <f t="shared" si="42"/>
        <v>545847.00315344729</v>
      </c>
      <c r="H136" s="526">
        <f t="shared" si="43"/>
        <v>190460.88808520659</v>
      </c>
      <c r="I136" s="577">
        <f t="shared" si="44"/>
        <v>190460.88808520659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  <c r="Q136" s="269"/>
    </row>
    <row r="137" spans="2:17" ht="12.5">
      <c r="B137" s="195" t="str">
        <f t="shared" si="49"/>
        <v/>
      </c>
      <c r="C137" s="507">
        <f>IF(D93="","-",+C136+1)</f>
        <v>2050</v>
      </c>
      <c r="D137" s="374">
        <f>IF(F136+SUM(E$99:E136)=D$92,F136,D$92-SUM(E$99:E136))</f>
        <v>481597.25925100828</v>
      </c>
      <c r="E137" s="522">
        <f>IF(+J96&lt;F136,J96,D137)</f>
        <v>128499.48780487805</v>
      </c>
      <c r="F137" s="523">
        <f t="shared" si="50"/>
        <v>353097.77144613024</v>
      </c>
      <c r="G137" s="523">
        <f t="shared" si="42"/>
        <v>417347.51534856926</v>
      </c>
      <c r="H137" s="526">
        <f t="shared" si="43"/>
        <v>175874.36813786344</v>
      </c>
      <c r="I137" s="577">
        <f t="shared" si="44"/>
        <v>175874.36813786344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  <c r="Q137" s="269"/>
    </row>
    <row r="138" spans="2:17" ht="12.5">
      <c r="B138" s="195" t="str">
        <f t="shared" si="49"/>
        <v/>
      </c>
      <c r="C138" s="507">
        <f>IF(D93="","-",+C137+1)</f>
        <v>2051</v>
      </c>
      <c r="D138" s="374">
        <f>IF(F137+SUM(E$99:E137)=D$92,F137,D$92-SUM(E$99:E137))</f>
        <v>353097.77144613024</v>
      </c>
      <c r="E138" s="522">
        <f>IF(+J96&lt;F137,J96,D138)</f>
        <v>128499.48780487805</v>
      </c>
      <c r="F138" s="523">
        <f t="shared" si="50"/>
        <v>224598.2836412522</v>
      </c>
      <c r="G138" s="523">
        <f t="shared" si="42"/>
        <v>288848.02754369122</v>
      </c>
      <c r="H138" s="526">
        <f t="shared" si="43"/>
        <v>161287.84819052025</v>
      </c>
      <c r="I138" s="577">
        <f t="shared" si="44"/>
        <v>161287.84819052025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  <c r="Q138" s="269"/>
    </row>
    <row r="139" spans="2:17" ht="12.5">
      <c r="B139" s="195" t="str">
        <f t="shared" si="49"/>
        <v>IU</v>
      </c>
      <c r="C139" s="507">
        <f>IF(D93="","-",+C138+1)</f>
        <v>2052</v>
      </c>
      <c r="D139" s="374">
        <f>IF(F138+SUM(E$99:E138)=D$92,F138,D$92-SUM(E$99:E138))</f>
        <v>224598.28364124708</v>
      </c>
      <c r="E139" s="522">
        <f>IF(+J96&lt;F138,J96,D139)</f>
        <v>128499.48780487805</v>
      </c>
      <c r="F139" s="523">
        <f t="shared" si="50"/>
        <v>96098.795836369027</v>
      </c>
      <c r="G139" s="523">
        <f t="shared" si="42"/>
        <v>160348.53973880806</v>
      </c>
      <c r="H139" s="526">
        <f t="shared" si="43"/>
        <v>146701.32824317651</v>
      </c>
      <c r="I139" s="577">
        <f t="shared" si="44"/>
        <v>146701.32824317651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  <c r="Q139" s="269"/>
    </row>
    <row r="140" spans="2:17" ht="12.5">
      <c r="B140" s="195" t="str">
        <f t="shared" si="49"/>
        <v/>
      </c>
      <c r="C140" s="507">
        <f>IF(D93="","-",+C139+1)</f>
        <v>2053</v>
      </c>
      <c r="D140" s="374">
        <f>IF(F139+SUM(E$99:E139)=D$92,F139,D$92-SUM(E$99:E139))</f>
        <v>96098.795836369027</v>
      </c>
      <c r="E140" s="522">
        <f>IF(+J96&lt;F139,J96,D140)</f>
        <v>96098.795836369027</v>
      </c>
      <c r="F140" s="523">
        <f t="shared" si="50"/>
        <v>0</v>
      </c>
      <c r="G140" s="523">
        <f t="shared" si="42"/>
        <v>48049.397918184513</v>
      </c>
      <c r="H140" s="526">
        <f t="shared" si="43"/>
        <v>101553.08606868247</v>
      </c>
      <c r="I140" s="577">
        <f t="shared" si="44"/>
        <v>101553.08606868247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  <c r="Q140" s="269"/>
    </row>
    <row r="141" spans="2:17" ht="12.5">
      <c r="B141" s="195" t="str">
        <f t="shared" si="49"/>
        <v/>
      </c>
      <c r="C141" s="507">
        <f>IF(D93="","-",+C140+1)</f>
        <v>2054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0"/>
        <v>0</v>
      </c>
      <c r="G141" s="523">
        <f t="shared" si="42"/>
        <v>0</v>
      </c>
      <c r="H141" s="526">
        <f t="shared" si="43"/>
        <v>0</v>
      </c>
      <c r="I141" s="577">
        <f t="shared" si="44"/>
        <v>0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  <c r="Q141" s="269"/>
    </row>
    <row r="142" spans="2:17" ht="12.5">
      <c r="B142" s="195" t="str">
        <f t="shared" si="49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0"/>
        <v>0</v>
      </c>
      <c r="G142" s="523">
        <f t="shared" si="42"/>
        <v>0</v>
      </c>
      <c r="H142" s="526">
        <f t="shared" si="43"/>
        <v>0</v>
      </c>
      <c r="I142" s="577">
        <f t="shared" si="44"/>
        <v>0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  <c r="Q142" s="269"/>
    </row>
    <row r="143" spans="2:17" ht="12.5">
      <c r="B143" s="195" t="str">
        <f t="shared" si="49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0"/>
        <v>0</v>
      </c>
      <c r="G143" s="523">
        <f t="shared" si="42"/>
        <v>0</v>
      </c>
      <c r="H143" s="526">
        <f t="shared" si="43"/>
        <v>0</v>
      </c>
      <c r="I143" s="577">
        <f t="shared" si="44"/>
        <v>0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  <c r="Q143" s="269"/>
    </row>
    <row r="144" spans="2:17" ht="12.5">
      <c r="B144" s="195" t="str">
        <f t="shared" si="49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0"/>
        <v>0</v>
      </c>
      <c r="G144" s="523">
        <f t="shared" si="42"/>
        <v>0</v>
      </c>
      <c r="H144" s="526">
        <f t="shared" si="43"/>
        <v>0</v>
      </c>
      <c r="I144" s="577">
        <f t="shared" si="44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  <c r="Q144" s="269"/>
    </row>
    <row r="145" spans="2:17" ht="12.5">
      <c r="B145" s="195" t="str">
        <f t="shared" si="49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0"/>
        <v>0</v>
      </c>
      <c r="G145" s="523">
        <f t="shared" si="42"/>
        <v>0</v>
      </c>
      <c r="H145" s="526">
        <f t="shared" si="43"/>
        <v>0</v>
      </c>
      <c r="I145" s="577">
        <f t="shared" si="44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  <c r="Q145" s="269"/>
    </row>
    <row r="146" spans="2:17" ht="12.5">
      <c r="B146" s="195" t="str">
        <f t="shared" si="49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0"/>
        <v>0</v>
      </c>
      <c r="G146" s="523">
        <f t="shared" si="42"/>
        <v>0</v>
      </c>
      <c r="H146" s="526">
        <f t="shared" si="43"/>
        <v>0</v>
      </c>
      <c r="I146" s="577">
        <f t="shared" si="44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  <c r="Q146" s="269"/>
    </row>
    <row r="147" spans="2:17" ht="12.5">
      <c r="B147" s="195" t="str">
        <f t="shared" si="49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0"/>
        <v>0</v>
      </c>
      <c r="G147" s="523">
        <f t="shared" si="42"/>
        <v>0</v>
      </c>
      <c r="H147" s="526">
        <f t="shared" si="43"/>
        <v>0</v>
      </c>
      <c r="I147" s="577">
        <f t="shared" si="44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  <c r="Q147" s="269"/>
    </row>
    <row r="148" spans="2:17" ht="12.5">
      <c r="B148" s="195" t="str">
        <f t="shared" si="49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0"/>
        <v>0</v>
      </c>
      <c r="G148" s="523">
        <f t="shared" si="42"/>
        <v>0</v>
      </c>
      <c r="H148" s="526">
        <f t="shared" si="43"/>
        <v>0</v>
      </c>
      <c r="I148" s="577">
        <f t="shared" si="44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  <c r="Q148" s="269"/>
    </row>
    <row r="149" spans="2:17" ht="12.5">
      <c r="B149" s="195" t="str">
        <f t="shared" si="49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0"/>
        <v>0</v>
      </c>
      <c r="G149" s="523">
        <f t="shared" si="42"/>
        <v>0</v>
      </c>
      <c r="H149" s="526">
        <f t="shared" si="43"/>
        <v>0</v>
      </c>
      <c r="I149" s="577">
        <f t="shared" si="44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  <c r="Q149" s="269"/>
    </row>
    <row r="150" spans="2:17" ht="12.5">
      <c r="B150" s="195" t="str">
        <f t="shared" si="49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0"/>
        <v>0</v>
      </c>
      <c r="G150" s="523">
        <f t="shared" si="42"/>
        <v>0</v>
      </c>
      <c r="H150" s="526">
        <f t="shared" si="43"/>
        <v>0</v>
      </c>
      <c r="I150" s="577">
        <f t="shared" si="44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  <c r="Q150" s="269"/>
    </row>
    <row r="151" spans="2:17" ht="12.5">
      <c r="B151" s="195" t="str">
        <f t="shared" si="49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0"/>
        <v>0</v>
      </c>
      <c r="G151" s="523">
        <f t="shared" si="42"/>
        <v>0</v>
      </c>
      <c r="H151" s="526">
        <f t="shared" si="43"/>
        <v>0</v>
      </c>
      <c r="I151" s="577">
        <f t="shared" si="44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  <c r="Q151" s="269"/>
    </row>
    <row r="152" spans="2:17" ht="12.5">
      <c r="B152" s="195" t="str">
        <f t="shared" si="49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0"/>
        <v>0</v>
      </c>
      <c r="G152" s="523">
        <f t="shared" si="42"/>
        <v>0</v>
      </c>
      <c r="H152" s="526">
        <f t="shared" si="43"/>
        <v>0</v>
      </c>
      <c r="I152" s="577">
        <f t="shared" si="44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  <c r="Q152" s="269"/>
    </row>
    <row r="153" spans="2:17" ht="12.5">
      <c r="B153" s="195" t="str">
        <f t="shared" si="49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0"/>
        <v>0</v>
      </c>
      <c r="G153" s="523">
        <f t="shared" si="42"/>
        <v>0</v>
      </c>
      <c r="H153" s="526">
        <f t="shared" si="43"/>
        <v>0</v>
      </c>
      <c r="I153" s="577">
        <f t="shared" si="44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  <c r="Q153" s="269"/>
    </row>
    <row r="154" spans="2:17" ht="13" thickBot="1">
      <c r="B154" s="195" t="str">
        <f t="shared" si="49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0"/>
        <v>0</v>
      </c>
      <c r="G154" s="528">
        <f t="shared" si="42"/>
        <v>0</v>
      </c>
      <c r="H154" s="530">
        <f t="shared" si="43"/>
        <v>0</v>
      </c>
      <c r="I154" s="579">
        <f t="shared" si="44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  <c r="Q154" s="269"/>
    </row>
    <row r="155" spans="2:17" ht="12.5">
      <c r="C155" s="374" t="s">
        <v>78</v>
      </c>
      <c r="D155" s="375"/>
      <c r="E155" s="375">
        <f>SUM(E99:E154)</f>
        <v>5268479</v>
      </c>
      <c r="F155" s="375"/>
      <c r="G155" s="375"/>
      <c r="H155" s="375">
        <f>SUM(H99:H154)</f>
        <v>18073242.593184803</v>
      </c>
      <c r="I155" s="375">
        <f>SUM(I99:I154)</f>
        <v>18073242.593184803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5" priority="1" stopIfTrue="1" operator="equal">
      <formula>$I$10</formula>
    </cfRule>
  </conditionalFormatting>
  <conditionalFormatting sqref="C99:C154">
    <cfRule type="cellIs" dxfId="10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0"/>
  <dimension ref="A1:Q162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29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222809.21893516878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222809.21893516878</v>
      </c>
      <c r="O6" s="269"/>
      <c r="P6" s="269"/>
    </row>
    <row r="7" spans="1:17" ht="13.5" thickBot="1">
      <c r="C7" s="467" t="s">
        <v>48</v>
      </c>
      <c r="D7" s="620" t="s">
        <v>282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281</v>
      </c>
      <c r="E9" s="666" t="s">
        <v>490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1881887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44806.833333333336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1521900</v>
      </c>
      <c r="E17" s="509">
        <v>0</v>
      </c>
      <c r="F17" s="508">
        <v>1521900</v>
      </c>
      <c r="G17" s="509">
        <v>226337.18116854847</v>
      </c>
      <c r="H17" s="510">
        <v>226337.18116854847</v>
      </c>
      <c r="I17" s="517">
        <v>0</v>
      </c>
      <c r="J17" s="511"/>
      <c r="K17" s="512">
        <f t="shared" ref="K17:K22" si="0">G17</f>
        <v>226337.18116854847</v>
      </c>
      <c r="L17" s="597">
        <f t="shared" ref="L17:L48" si="1">IF(K17&lt;&gt;0,+G17-K17,0)</f>
        <v>0</v>
      </c>
      <c r="M17" s="512">
        <f t="shared" ref="M17:M22" si="2">H17</f>
        <v>226337.18116854847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1886753</v>
      </c>
      <c r="E18" s="609">
        <v>44922.690476190473</v>
      </c>
      <c r="F18" s="608">
        <v>1841830.3095238095</v>
      </c>
      <c r="G18" s="609">
        <v>302755.14118520013</v>
      </c>
      <c r="H18" s="610">
        <v>302755.14118520013</v>
      </c>
      <c r="I18" s="596">
        <v>0</v>
      </c>
      <c r="J18" s="511"/>
      <c r="K18" s="518">
        <f t="shared" si="0"/>
        <v>302755.14118520013</v>
      </c>
      <c r="L18" s="519">
        <f t="shared" ref="L18:L23" si="6">IF(K18&lt;&gt;0,+G18-K18,0)</f>
        <v>0</v>
      </c>
      <c r="M18" s="518">
        <f t="shared" si="2"/>
        <v>302755.14118520013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608">
        <v>1836964.3095238095</v>
      </c>
      <c r="E19" s="609">
        <v>44806.833333333336</v>
      </c>
      <c r="F19" s="608">
        <v>1792157.4761904762</v>
      </c>
      <c r="G19" s="609">
        <v>286587.70931021811</v>
      </c>
      <c r="H19" s="610">
        <v>286587.70931021811</v>
      </c>
      <c r="I19" s="596">
        <v>0</v>
      </c>
      <c r="J19" s="511"/>
      <c r="K19" s="518">
        <f t="shared" si="0"/>
        <v>286587.70931021811</v>
      </c>
      <c r="L19" s="519">
        <f t="shared" si="6"/>
        <v>0</v>
      </c>
      <c r="M19" s="518">
        <f t="shared" si="2"/>
        <v>286587.70931021811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/>
      </c>
      <c r="C20" s="507">
        <f>IF(D11="","-",+C19+1)</f>
        <v>2015</v>
      </c>
      <c r="D20" s="608">
        <v>1792157.4761904762</v>
      </c>
      <c r="E20" s="609">
        <v>44806.833333333336</v>
      </c>
      <c r="F20" s="608">
        <v>1747350.642857143</v>
      </c>
      <c r="G20" s="609">
        <v>274941.30198456615</v>
      </c>
      <c r="H20" s="610">
        <v>274941.30198456615</v>
      </c>
      <c r="I20" s="511">
        <v>0</v>
      </c>
      <c r="J20" s="511"/>
      <c r="K20" s="518">
        <f t="shared" si="0"/>
        <v>274941.30198456615</v>
      </c>
      <c r="L20" s="519">
        <f t="shared" si="6"/>
        <v>0</v>
      </c>
      <c r="M20" s="518">
        <f t="shared" si="2"/>
        <v>274941.30198456615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608">
        <v>1747350.642857143</v>
      </c>
      <c r="E21" s="609">
        <v>44806.833333333336</v>
      </c>
      <c r="F21" s="608">
        <v>1702543.8095238097</v>
      </c>
      <c r="G21" s="609">
        <v>266273.68954480469</v>
      </c>
      <c r="H21" s="610">
        <v>266273.68954480469</v>
      </c>
      <c r="I21" s="511">
        <f t="shared" ref="I21:I48" si="9">H21-G21</f>
        <v>0</v>
      </c>
      <c r="J21" s="511"/>
      <c r="K21" s="518">
        <f t="shared" si="0"/>
        <v>266273.68954480469</v>
      </c>
      <c r="L21" s="519">
        <f t="shared" si="6"/>
        <v>0</v>
      </c>
      <c r="M21" s="518">
        <f t="shared" si="2"/>
        <v>266273.68954480469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08">
        <v>1702543.8095238097</v>
      </c>
      <c r="E22" s="609">
        <v>43764.813953488374</v>
      </c>
      <c r="F22" s="608">
        <v>1658778.9955703213</v>
      </c>
      <c r="G22" s="609">
        <v>251986.21326636171</v>
      </c>
      <c r="H22" s="610">
        <v>251986.21326636171</v>
      </c>
      <c r="I22" s="511">
        <f t="shared" si="9"/>
        <v>0</v>
      </c>
      <c r="J22" s="511"/>
      <c r="K22" s="518">
        <f t="shared" si="0"/>
        <v>251986.21326636171</v>
      </c>
      <c r="L22" s="519">
        <f t="shared" si="6"/>
        <v>0</v>
      </c>
      <c r="M22" s="518">
        <f t="shared" si="2"/>
        <v>251986.21326636171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1658778.9955703213</v>
      </c>
      <c r="E23" s="609">
        <v>45899.682926829271</v>
      </c>
      <c r="F23" s="608">
        <v>1612879.3126434921</v>
      </c>
      <c r="G23" s="609">
        <v>253803.9152686233</v>
      </c>
      <c r="H23" s="610">
        <v>253803.9152686233</v>
      </c>
      <c r="I23" s="511">
        <f t="shared" si="9"/>
        <v>0</v>
      </c>
      <c r="J23" s="511"/>
      <c r="K23" s="518">
        <f>G23</f>
        <v>253803.9152686233</v>
      </c>
      <c r="L23" s="519">
        <f t="shared" si="6"/>
        <v>0</v>
      </c>
      <c r="M23" s="518">
        <f>H23</f>
        <v>253803.9152686233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1612879.3126434921</v>
      </c>
      <c r="E24" s="609">
        <v>45899.682926829271</v>
      </c>
      <c r="F24" s="608">
        <v>1566979.6297166629</v>
      </c>
      <c r="G24" s="609">
        <v>247970.33642594516</v>
      </c>
      <c r="H24" s="610">
        <v>247970.33642594516</v>
      </c>
      <c r="I24" s="511">
        <f t="shared" si="9"/>
        <v>0</v>
      </c>
      <c r="J24" s="511"/>
      <c r="K24" s="518">
        <f>G24</f>
        <v>247970.33642594516</v>
      </c>
      <c r="L24" s="519">
        <f t="shared" ref="L24" si="10">IF(K24&lt;&gt;0,+G24-K24,0)</f>
        <v>0</v>
      </c>
      <c r="M24" s="518">
        <f>H24</f>
        <v>247970.33642594516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08">
        <v>1566979.6297166629</v>
      </c>
      <c r="E25" s="609">
        <v>45899.682926829271</v>
      </c>
      <c r="F25" s="608">
        <v>1521079.9467898337</v>
      </c>
      <c r="G25" s="609">
        <v>203908.67428410932</v>
      </c>
      <c r="H25" s="610">
        <v>203908.67428410932</v>
      </c>
      <c r="I25" s="511">
        <f t="shared" si="9"/>
        <v>0</v>
      </c>
      <c r="J25" s="511"/>
      <c r="K25" s="518">
        <f>G25</f>
        <v>203908.67428410932</v>
      </c>
      <c r="L25" s="519">
        <f t="shared" ref="L25" si="11">IF(K25&lt;&gt;0,+G25-K25,0)</f>
        <v>0</v>
      </c>
      <c r="M25" s="518">
        <f>H25</f>
        <v>203908.67428410932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608">
        <v>1523214.8157631741</v>
      </c>
      <c r="E26" s="609">
        <v>44806.833333333336</v>
      </c>
      <c r="F26" s="608">
        <v>1478407.9824298408</v>
      </c>
      <c r="G26" s="609">
        <v>203899.66288933976</v>
      </c>
      <c r="H26" s="610">
        <v>203899.66288933976</v>
      </c>
      <c r="I26" s="511">
        <f t="shared" si="9"/>
        <v>0</v>
      </c>
      <c r="J26" s="511"/>
      <c r="K26" s="518">
        <f>G26</f>
        <v>203899.66288933976</v>
      </c>
      <c r="L26" s="519">
        <f t="shared" ref="L26" si="12">IF(K26&lt;&gt;0,+G26-K26,0)</f>
        <v>0</v>
      </c>
      <c r="M26" s="518">
        <f>H26</f>
        <v>203899.66288933976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608">
        <v>1476273.1134565</v>
      </c>
      <c r="E27" s="609">
        <v>44806.833333333336</v>
      </c>
      <c r="F27" s="608">
        <v>1431466.2801231667</v>
      </c>
      <c r="G27" s="609">
        <v>208285.89837452956</v>
      </c>
      <c r="H27" s="610">
        <v>208285.89837452956</v>
      </c>
      <c r="I27" s="511">
        <f t="shared" si="9"/>
        <v>0</v>
      </c>
      <c r="J27" s="511"/>
      <c r="K27" s="518">
        <f>G27</f>
        <v>208285.89837452956</v>
      </c>
      <c r="L27" s="519">
        <f t="shared" ref="L27" si="13">IF(K27&lt;&gt;0,+G27-K27,0)</f>
        <v>0</v>
      </c>
      <c r="M27" s="518">
        <f>H27</f>
        <v>208285.89837452956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1431466.2801231667</v>
      </c>
      <c r="E28" s="522">
        <f>IF(+I14&lt;F27,I14,D28)</f>
        <v>44806.833333333336</v>
      </c>
      <c r="F28" s="523">
        <f t="shared" ref="F28:F48" si="14">+D28-E28</f>
        <v>1386659.4467898335</v>
      </c>
      <c r="G28" s="524">
        <f t="shared" ref="G28:G53" si="15">+I$12*((D28+F28)/2)+E28</f>
        <v>222809.21893516878</v>
      </c>
      <c r="H28" s="491">
        <f t="shared" ref="H28:H53" si="16">+I$13*((D28+F28)/2)+E28</f>
        <v>222809.21893516878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1386659.4467898335</v>
      </c>
      <c r="E29" s="522">
        <f>IF(+I14&lt;F28,I14,D29)</f>
        <v>44806.833333333336</v>
      </c>
      <c r="F29" s="523">
        <f t="shared" si="14"/>
        <v>1341852.6134565002</v>
      </c>
      <c r="G29" s="524">
        <f t="shared" si="15"/>
        <v>217148.91560063028</v>
      </c>
      <c r="H29" s="491">
        <f t="shared" si="16"/>
        <v>217148.91560063028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1341852.6134565002</v>
      </c>
      <c r="E30" s="522">
        <f>IF(+I14&lt;F29,I14,D30)</f>
        <v>44806.833333333336</v>
      </c>
      <c r="F30" s="523">
        <f t="shared" si="14"/>
        <v>1297045.780123167</v>
      </c>
      <c r="G30" s="524">
        <f t="shared" si="15"/>
        <v>211488.61226609183</v>
      </c>
      <c r="H30" s="491">
        <f t="shared" si="16"/>
        <v>211488.61226609183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1297045.780123167</v>
      </c>
      <c r="E31" s="522">
        <f>IF(+I14&lt;F30,I14,D31)</f>
        <v>44806.833333333336</v>
      </c>
      <c r="F31" s="523">
        <f t="shared" si="14"/>
        <v>1252238.9467898337</v>
      </c>
      <c r="G31" s="524">
        <f t="shared" si="15"/>
        <v>205828.30893155333</v>
      </c>
      <c r="H31" s="491">
        <f t="shared" si="16"/>
        <v>205828.30893155333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1252238.9467898337</v>
      </c>
      <c r="E32" s="522">
        <f>IF(+I14&lt;F31,I14,D32)</f>
        <v>44806.833333333336</v>
      </c>
      <c r="F32" s="523">
        <f t="shared" si="14"/>
        <v>1207432.1134565005</v>
      </c>
      <c r="G32" s="524">
        <f t="shared" si="15"/>
        <v>200168.00559701488</v>
      </c>
      <c r="H32" s="491">
        <f t="shared" si="16"/>
        <v>200168.00559701488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1207432.1134565005</v>
      </c>
      <c r="E33" s="522">
        <f>IF(+I14&lt;F32,I14,D33)</f>
        <v>44806.833333333336</v>
      </c>
      <c r="F33" s="523">
        <f t="shared" si="14"/>
        <v>1162625.2801231672</v>
      </c>
      <c r="G33" s="524">
        <f t="shared" si="15"/>
        <v>194507.70226247638</v>
      </c>
      <c r="H33" s="491">
        <f t="shared" si="16"/>
        <v>194507.70226247638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1162625.2801231672</v>
      </c>
      <c r="E34" s="522">
        <f>IF(+I14&lt;F33,I14,D34)</f>
        <v>44806.833333333336</v>
      </c>
      <c r="F34" s="523">
        <f t="shared" si="14"/>
        <v>1117818.4467898339</v>
      </c>
      <c r="G34" s="524">
        <f t="shared" si="15"/>
        <v>188847.39892793793</v>
      </c>
      <c r="H34" s="491">
        <f t="shared" si="16"/>
        <v>188847.39892793793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1117818.4467898339</v>
      </c>
      <c r="E35" s="522">
        <f>IF(+I14&lt;F34,I14,D35)</f>
        <v>44806.833333333336</v>
      </c>
      <c r="F35" s="523">
        <f t="shared" si="14"/>
        <v>1073011.6134565007</v>
      </c>
      <c r="G35" s="524">
        <f t="shared" si="15"/>
        <v>183187.09559339943</v>
      </c>
      <c r="H35" s="491">
        <f t="shared" si="16"/>
        <v>183187.09559339943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1073011.6134565007</v>
      </c>
      <c r="E36" s="522">
        <f>IF(+I14&lt;F35,I14,D36)</f>
        <v>44806.833333333336</v>
      </c>
      <c r="F36" s="523">
        <f t="shared" si="14"/>
        <v>1028204.7801231673</v>
      </c>
      <c r="G36" s="524">
        <f t="shared" si="15"/>
        <v>177526.79225886095</v>
      </c>
      <c r="H36" s="491">
        <f t="shared" si="16"/>
        <v>177526.79225886095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1028204.7801231673</v>
      </c>
      <c r="E37" s="522">
        <f>IF(+I14&lt;F36,I14,D37)</f>
        <v>44806.833333333336</v>
      </c>
      <c r="F37" s="523">
        <f t="shared" si="14"/>
        <v>983397.94678983395</v>
      </c>
      <c r="G37" s="524">
        <f t="shared" si="15"/>
        <v>171866.48892432248</v>
      </c>
      <c r="H37" s="491">
        <f t="shared" si="16"/>
        <v>171866.48892432248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983397.94678983395</v>
      </c>
      <c r="E38" s="522">
        <f>IF(+I14&lt;F37,I14,D38)</f>
        <v>44806.833333333336</v>
      </c>
      <c r="F38" s="523">
        <f t="shared" si="14"/>
        <v>938591.11345650058</v>
      </c>
      <c r="G38" s="524">
        <f t="shared" si="15"/>
        <v>166206.18558978397</v>
      </c>
      <c r="H38" s="491">
        <f t="shared" si="16"/>
        <v>166206.18558978397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938591.11345650058</v>
      </c>
      <c r="E39" s="522">
        <f>IF(+I14&lt;F38,I14,D39)</f>
        <v>44806.833333333336</v>
      </c>
      <c r="F39" s="523">
        <f t="shared" si="14"/>
        <v>893784.28012316721</v>
      </c>
      <c r="G39" s="524">
        <f t="shared" si="15"/>
        <v>160545.88225524549</v>
      </c>
      <c r="H39" s="491">
        <f t="shared" si="16"/>
        <v>160545.88225524549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893784.28012316721</v>
      </c>
      <c r="E40" s="522">
        <f>IF(+I14&lt;F39,I14,D40)</f>
        <v>44806.833333333336</v>
      </c>
      <c r="F40" s="523">
        <f t="shared" si="14"/>
        <v>848977.44678983383</v>
      </c>
      <c r="G40" s="524">
        <f t="shared" si="15"/>
        <v>154885.57892070699</v>
      </c>
      <c r="H40" s="491">
        <f t="shared" si="16"/>
        <v>154885.57892070699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848977.44678983383</v>
      </c>
      <c r="E41" s="522">
        <f>IF(+I14&lt;F40,I14,D41)</f>
        <v>44806.833333333336</v>
      </c>
      <c r="F41" s="523">
        <f t="shared" si="14"/>
        <v>804170.61345650046</v>
      </c>
      <c r="G41" s="524">
        <f t="shared" si="15"/>
        <v>149225.27558616851</v>
      </c>
      <c r="H41" s="491">
        <f t="shared" si="16"/>
        <v>149225.27558616851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804170.61345650046</v>
      </c>
      <c r="E42" s="522">
        <f>IF(+I14&lt;F41,I14,D42)</f>
        <v>44806.833333333336</v>
      </c>
      <c r="F42" s="523">
        <f t="shared" si="14"/>
        <v>759363.78012316709</v>
      </c>
      <c r="G42" s="524">
        <f t="shared" si="15"/>
        <v>143564.97225163001</v>
      </c>
      <c r="H42" s="491">
        <f t="shared" si="16"/>
        <v>143564.97225163001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759363.78012316709</v>
      </c>
      <c r="E43" s="522">
        <f>IF(+I14&lt;F42,I14,D43)</f>
        <v>44806.833333333336</v>
      </c>
      <c r="F43" s="523">
        <f t="shared" si="14"/>
        <v>714556.94678983372</v>
      </c>
      <c r="G43" s="524">
        <f t="shared" si="15"/>
        <v>137904.66891709153</v>
      </c>
      <c r="H43" s="491">
        <f t="shared" si="16"/>
        <v>137904.66891709153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714556.94678983372</v>
      </c>
      <c r="E44" s="522">
        <f>IF(+I14&lt;F43,I14,D44)</f>
        <v>44806.833333333336</v>
      </c>
      <c r="F44" s="523">
        <f t="shared" si="14"/>
        <v>669750.11345650034</v>
      </c>
      <c r="G44" s="524">
        <f t="shared" si="15"/>
        <v>132244.36558255303</v>
      </c>
      <c r="H44" s="491">
        <f t="shared" si="16"/>
        <v>132244.36558255303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669750.11345650034</v>
      </c>
      <c r="E45" s="522">
        <f>IF(+I14&lt;F44,I14,D45)</f>
        <v>44806.833333333336</v>
      </c>
      <c r="F45" s="523">
        <f t="shared" si="14"/>
        <v>624943.28012316697</v>
      </c>
      <c r="G45" s="524">
        <f t="shared" si="15"/>
        <v>126584.06224801455</v>
      </c>
      <c r="H45" s="491">
        <f t="shared" si="16"/>
        <v>126584.06224801455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624943.28012316697</v>
      </c>
      <c r="E46" s="522">
        <f>IF(+I14&lt;F45,I14,D46)</f>
        <v>44806.833333333336</v>
      </c>
      <c r="F46" s="523">
        <f t="shared" si="14"/>
        <v>580136.4467898336</v>
      </c>
      <c r="G46" s="524">
        <f t="shared" si="15"/>
        <v>120923.75891347605</v>
      </c>
      <c r="H46" s="491">
        <f t="shared" si="16"/>
        <v>120923.75891347605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580136.4467898336</v>
      </c>
      <c r="E47" s="522">
        <f>IF(+I14&lt;F46,I14,D47)</f>
        <v>44806.833333333336</v>
      </c>
      <c r="F47" s="523">
        <f t="shared" si="14"/>
        <v>535329.61345650023</v>
      </c>
      <c r="G47" s="524">
        <f t="shared" si="15"/>
        <v>115263.45557893757</v>
      </c>
      <c r="H47" s="491">
        <f t="shared" si="16"/>
        <v>115263.45557893757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535329.61345650023</v>
      </c>
      <c r="E48" s="522">
        <f>IF(+I14&lt;F47,I14,D48)</f>
        <v>44806.833333333336</v>
      </c>
      <c r="F48" s="523">
        <f t="shared" si="14"/>
        <v>490522.78012316691</v>
      </c>
      <c r="G48" s="524">
        <f t="shared" si="15"/>
        <v>109603.1522443991</v>
      </c>
      <c r="H48" s="491">
        <f t="shared" si="16"/>
        <v>109603.1522443991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490522.78012316691</v>
      </c>
      <c r="E49" s="522">
        <f>IF(+I14&lt;F48,I14,D49)</f>
        <v>44806.833333333336</v>
      </c>
      <c r="F49" s="523">
        <f t="shared" ref="F49:F72" si="17">+D49-E49</f>
        <v>445715.9467898336</v>
      </c>
      <c r="G49" s="524">
        <f t="shared" si="15"/>
        <v>103942.84890986059</v>
      </c>
      <c r="H49" s="491">
        <f t="shared" si="16"/>
        <v>103942.84890986059</v>
      </c>
      <c r="I49" s="511">
        <f t="shared" ref="I49:I72" si="18">H49-G49</f>
        <v>0</v>
      </c>
      <c r="J49" s="511"/>
      <c r="K49" s="525"/>
      <c r="L49" s="514">
        <f t="shared" ref="L49:L72" si="19">IF(K49&lt;&gt;0,+G49-K49,0)</f>
        <v>0</v>
      </c>
      <c r="M49" s="525"/>
      <c r="N49" s="514">
        <f t="shared" ref="N49:N72" si="20">IF(M49&lt;&gt;0,+H49-M49,0)</f>
        <v>0</v>
      </c>
      <c r="O49" s="514">
        <f t="shared" ref="O49:O72" si="21">+N49-L49</f>
        <v>0</v>
      </c>
      <c r="P49" s="272"/>
    </row>
    <row r="50" spans="2:17" ht="12.5">
      <c r="B50" s="195" t="str">
        <f t="shared" ref="B50:B72" si="22">IF(D50=F49,"","IU")</f>
        <v/>
      </c>
      <c r="C50" s="507">
        <f>IF(D11="","-",+C49+1)</f>
        <v>2045</v>
      </c>
      <c r="D50" s="523">
        <f>IF(F49+SUM(E$17:E49)=D$10,F49,D$10-SUM(E$17:E49))</f>
        <v>445715.9467898336</v>
      </c>
      <c r="E50" s="522">
        <f>IF(+I14&lt;F49,I14,D50)</f>
        <v>44806.833333333336</v>
      </c>
      <c r="F50" s="523">
        <f t="shared" si="17"/>
        <v>400909.11345650029</v>
      </c>
      <c r="G50" s="524">
        <f t="shared" si="15"/>
        <v>98282.545575322118</v>
      </c>
      <c r="H50" s="491">
        <f t="shared" si="16"/>
        <v>98282.545575322118</v>
      </c>
      <c r="I50" s="511">
        <f t="shared" si="18"/>
        <v>0</v>
      </c>
      <c r="J50" s="511"/>
      <c r="K50" s="525"/>
      <c r="L50" s="514">
        <f t="shared" si="19"/>
        <v>0</v>
      </c>
      <c r="M50" s="525"/>
      <c r="N50" s="514">
        <f t="shared" si="20"/>
        <v>0</v>
      </c>
      <c r="O50" s="514">
        <f t="shared" si="21"/>
        <v>0</v>
      </c>
      <c r="P50" s="272"/>
    </row>
    <row r="51" spans="2:17" ht="12.5">
      <c r="B51" s="195" t="str">
        <f t="shared" si="22"/>
        <v/>
      </c>
      <c r="C51" s="507">
        <f>IF(D11="","-",+C50+1)</f>
        <v>2046</v>
      </c>
      <c r="D51" s="523">
        <f>IF(F50+SUM(E$17:E50)=D$10,F50,D$10-SUM(E$17:E50))</f>
        <v>400909.11345650029</v>
      </c>
      <c r="E51" s="522">
        <f>IF(+I14&lt;F50,I14,D51)</f>
        <v>44806.833333333336</v>
      </c>
      <c r="F51" s="523">
        <f t="shared" si="17"/>
        <v>356102.28012316697</v>
      </c>
      <c r="G51" s="524">
        <f t="shared" si="15"/>
        <v>92622.242240783642</v>
      </c>
      <c r="H51" s="491">
        <f t="shared" si="16"/>
        <v>92622.242240783642</v>
      </c>
      <c r="I51" s="511">
        <f t="shared" si="18"/>
        <v>0</v>
      </c>
      <c r="J51" s="511"/>
      <c r="K51" s="525"/>
      <c r="L51" s="514">
        <f t="shared" si="19"/>
        <v>0</v>
      </c>
      <c r="M51" s="525"/>
      <c r="N51" s="514">
        <f t="shared" si="20"/>
        <v>0</v>
      </c>
      <c r="O51" s="514">
        <f t="shared" si="21"/>
        <v>0</v>
      </c>
      <c r="P51" s="272"/>
    </row>
    <row r="52" spans="2:17" ht="12.5">
      <c r="B52" s="195" t="str">
        <f t="shared" si="22"/>
        <v/>
      </c>
      <c r="C52" s="507">
        <f>IF(D11="","-",+C51+1)</f>
        <v>2047</v>
      </c>
      <c r="D52" s="523">
        <f>IF(F51+SUM(E$17:E51)=D$10,F51,D$10-SUM(E$17:E51))</f>
        <v>356102.28012316697</v>
      </c>
      <c r="E52" s="522">
        <f>IF(+I14&lt;F51,I14,D52)</f>
        <v>44806.833333333336</v>
      </c>
      <c r="F52" s="523">
        <f t="shared" si="17"/>
        <v>311295.44678983366</v>
      </c>
      <c r="G52" s="524">
        <f t="shared" si="15"/>
        <v>86961.938906245166</v>
      </c>
      <c r="H52" s="491">
        <f t="shared" si="16"/>
        <v>86961.938906245166</v>
      </c>
      <c r="I52" s="511">
        <f t="shared" si="18"/>
        <v>0</v>
      </c>
      <c r="J52" s="511"/>
      <c r="K52" s="525"/>
      <c r="L52" s="514">
        <f t="shared" si="19"/>
        <v>0</v>
      </c>
      <c r="M52" s="525"/>
      <c r="N52" s="514">
        <f t="shared" si="20"/>
        <v>0</v>
      </c>
      <c r="O52" s="514">
        <f t="shared" si="21"/>
        <v>0</v>
      </c>
      <c r="P52" s="272"/>
    </row>
    <row r="53" spans="2:17" ht="12.5">
      <c r="B53" s="195" t="str">
        <f t="shared" si="22"/>
        <v/>
      </c>
      <c r="C53" s="507">
        <f>IF(D11="","-",+C52+1)</f>
        <v>2048</v>
      </c>
      <c r="D53" s="523">
        <f>IF(F52+SUM(E$17:E52)=D$10,F52,D$10-SUM(E$17:E52))</f>
        <v>311295.44678983366</v>
      </c>
      <c r="E53" s="522">
        <f>IF(+I14&lt;F52,I14,D53)</f>
        <v>44806.833333333336</v>
      </c>
      <c r="F53" s="523">
        <f t="shared" si="17"/>
        <v>266488.61345650034</v>
      </c>
      <c r="G53" s="524">
        <f t="shared" si="15"/>
        <v>81301.635571706662</v>
      </c>
      <c r="H53" s="491">
        <f t="shared" si="16"/>
        <v>81301.635571706662</v>
      </c>
      <c r="I53" s="511">
        <f t="shared" si="18"/>
        <v>0</v>
      </c>
      <c r="J53" s="511"/>
      <c r="K53" s="525"/>
      <c r="L53" s="514">
        <f t="shared" si="19"/>
        <v>0</v>
      </c>
      <c r="M53" s="525"/>
      <c r="N53" s="514">
        <f t="shared" si="20"/>
        <v>0</v>
      </c>
      <c r="O53" s="514">
        <f t="shared" si="21"/>
        <v>0</v>
      </c>
      <c r="P53" s="272"/>
    </row>
    <row r="54" spans="2:17" ht="12.5">
      <c r="B54" s="195" t="str">
        <f t="shared" si="22"/>
        <v/>
      </c>
      <c r="C54" s="507">
        <f>IF(D11="","-",+C53+1)</f>
        <v>2049</v>
      </c>
      <c r="D54" s="523">
        <f>IF(F53+SUM(E$17:E53)=D$10,F53,D$10-SUM(E$17:E53))</f>
        <v>266488.61345650034</v>
      </c>
      <c r="E54" s="522">
        <f>IF(+I14&lt;F53,I14,D54)</f>
        <v>44806.833333333336</v>
      </c>
      <c r="F54" s="523">
        <f t="shared" si="17"/>
        <v>221681.780123167</v>
      </c>
      <c r="G54" s="524">
        <f t="shared" ref="G54:G72" si="23">+I$12*((D54+F54)/2)+E54</f>
        <v>75641.332237168186</v>
      </c>
      <c r="H54" s="491">
        <f t="shared" ref="H54:H72" si="24">+I$13*((D54+F54)/2)+E54</f>
        <v>75641.332237168186</v>
      </c>
      <c r="I54" s="511">
        <f t="shared" si="18"/>
        <v>0</v>
      </c>
      <c r="J54" s="511"/>
      <c r="K54" s="525"/>
      <c r="L54" s="514">
        <f t="shared" si="19"/>
        <v>0</v>
      </c>
      <c r="M54" s="525"/>
      <c r="N54" s="514">
        <f t="shared" si="20"/>
        <v>0</v>
      </c>
      <c r="O54" s="514">
        <f t="shared" si="21"/>
        <v>0</v>
      </c>
      <c r="P54" s="272"/>
    </row>
    <row r="55" spans="2:17" ht="12.5">
      <c r="B55" s="195" t="str">
        <f t="shared" si="22"/>
        <v/>
      </c>
      <c r="C55" s="507">
        <f>IF(D11="","-",+C54+1)</f>
        <v>2050</v>
      </c>
      <c r="D55" s="523">
        <f>IF(F54+SUM(E$17:E54)=D$10,F54,D$10-SUM(E$17:E54))</f>
        <v>221681.780123167</v>
      </c>
      <c r="E55" s="522">
        <f>IF(+I14&lt;F54,I14,D55)</f>
        <v>44806.833333333336</v>
      </c>
      <c r="F55" s="523">
        <f t="shared" si="17"/>
        <v>176874.94678983366</v>
      </c>
      <c r="G55" s="524">
        <f t="shared" si="23"/>
        <v>69981.028902629711</v>
      </c>
      <c r="H55" s="491">
        <f t="shared" si="24"/>
        <v>69981.028902629711</v>
      </c>
      <c r="I55" s="511">
        <f t="shared" si="18"/>
        <v>0</v>
      </c>
      <c r="J55" s="511"/>
      <c r="K55" s="525"/>
      <c r="L55" s="514">
        <f t="shared" si="19"/>
        <v>0</v>
      </c>
      <c r="M55" s="525"/>
      <c r="N55" s="514">
        <f t="shared" si="20"/>
        <v>0</v>
      </c>
      <c r="O55" s="514">
        <f t="shared" si="21"/>
        <v>0</v>
      </c>
      <c r="P55" s="272"/>
    </row>
    <row r="56" spans="2:17" ht="12.5">
      <c r="B56" s="195" t="str">
        <f t="shared" si="22"/>
        <v/>
      </c>
      <c r="C56" s="507">
        <f>IF(D11="","-",+C55+1)</f>
        <v>2051</v>
      </c>
      <c r="D56" s="523">
        <f>IF(F55+SUM(E$17:E55)=D$10,F55,D$10-SUM(E$17:E55))</f>
        <v>176874.94678983366</v>
      </c>
      <c r="E56" s="522">
        <f>IF(+I14&lt;F55,I14,D56)</f>
        <v>44806.833333333336</v>
      </c>
      <c r="F56" s="523">
        <f t="shared" si="17"/>
        <v>132068.11345650032</v>
      </c>
      <c r="G56" s="524">
        <f t="shared" si="23"/>
        <v>64320.72556809122</v>
      </c>
      <c r="H56" s="491">
        <f t="shared" si="24"/>
        <v>64320.72556809122</v>
      </c>
      <c r="I56" s="511">
        <f t="shared" si="18"/>
        <v>0</v>
      </c>
      <c r="J56" s="511"/>
      <c r="K56" s="525"/>
      <c r="L56" s="514">
        <f t="shared" si="19"/>
        <v>0</v>
      </c>
      <c r="M56" s="525"/>
      <c r="N56" s="514">
        <f t="shared" si="20"/>
        <v>0</v>
      </c>
      <c r="O56" s="514">
        <f t="shared" si="21"/>
        <v>0</v>
      </c>
      <c r="P56" s="272"/>
    </row>
    <row r="57" spans="2:17" ht="12.5">
      <c r="B57" s="195" t="str">
        <f t="shared" si="22"/>
        <v/>
      </c>
      <c r="C57" s="507">
        <f>IF(D11="","-",+C56+1)</f>
        <v>2052</v>
      </c>
      <c r="D57" s="523">
        <f>IF(F56+SUM(E$17:E56)=D$10,F56,D$10-SUM(E$17:E56))</f>
        <v>132068.11345650032</v>
      </c>
      <c r="E57" s="522">
        <f>IF(+I14&lt;F56,I14,D57)</f>
        <v>44806.833333333336</v>
      </c>
      <c r="F57" s="523">
        <f t="shared" si="17"/>
        <v>87261.280123166973</v>
      </c>
      <c r="G57" s="524">
        <f t="shared" si="23"/>
        <v>58660.42223355273</v>
      </c>
      <c r="H57" s="491">
        <f t="shared" si="24"/>
        <v>58660.42223355273</v>
      </c>
      <c r="I57" s="511">
        <f t="shared" si="18"/>
        <v>0</v>
      </c>
      <c r="J57" s="511"/>
      <c r="K57" s="525"/>
      <c r="L57" s="514">
        <f t="shared" si="19"/>
        <v>0</v>
      </c>
      <c r="M57" s="525"/>
      <c r="N57" s="514">
        <f t="shared" si="20"/>
        <v>0</v>
      </c>
      <c r="O57" s="514">
        <f t="shared" si="21"/>
        <v>0</v>
      </c>
      <c r="P57" s="272"/>
    </row>
    <row r="58" spans="2:17" ht="12.5">
      <c r="B58" s="195" t="str">
        <f t="shared" si="22"/>
        <v/>
      </c>
      <c r="C58" s="507">
        <f>IF(D11="","-",+C57+1)</f>
        <v>2053</v>
      </c>
      <c r="D58" s="523">
        <f>IF(F57+SUM(E$17:E57)=D$10,F57,D$10-SUM(E$17:E57))</f>
        <v>87261.280123166973</v>
      </c>
      <c r="E58" s="522">
        <f>IF(+I14&lt;F57,I14,D58)</f>
        <v>44806.833333333336</v>
      </c>
      <c r="F58" s="523">
        <f t="shared" si="17"/>
        <v>42454.446789833637</v>
      </c>
      <c r="G58" s="524">
        <f t="shared" si="23"/>
        <v>53000.118899014247</v>
      </c>
      <c r="H58" s="491">
        <f t="shared" si="24"/>
        <v>53000.118899014247</v>
      </c>
      <c r="I58" s="511">
        <f t="shared" si="18"/>
        <v>0</v>
      </c>
      <c r="J58" s="511"/>
      <c r="K58" s="525"/>
      <c r="L58" s="514">
        <f t="shared" si="19"/>
        <v>0</v>
      </c>
      <c r="M58" s="525"/>
      <c r="N58" s="514">
        <f t="shared" si="20"/>
        <v>0</v>
      </c>
      <c r="O58" s="514">
        <f t="shared" si="2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2"/>
        <v/>
      </c>
      <c r="C59" s="507">
        <f>IF(D11="","-",+C58+1)</f>
        <v>2054</v>
      </c>
      <c r="D59" s="523">
        <f>IF(F58+SUM(E$17:E58)=D$10,F58,D$10-SUM(E$17:E58))</f>
        <v>42454.446789833637</v>
      </c>
      <c r="E59" s="522">
        <f>IF(+I14&lt;F58,I14,D59)</f>
        <v>42454.446789833637</v>
      </c>
      <c r="F59" s="523">
        <f t="shared" si="17"/>
        <v>0</v>
      </c>
      <c r="G59" s="524">
        <f t="shared" si="23"/>
        <v>45136.013739039474</v>
      </c>
      <c r="H59" s="491">
        <f t="shared" si="24"/>
        <v>45136.013739039474</v>
      </c>
      <c r="I59" s="511">
        <f t="shared" si="18"/>
        <v>0</v>
      </c>
      <c r="J59" s="511"/>
      <c r="K59" s="525"/>
      <c r="L59" s="514">
        <f t="shared" si="19"/>
        <v>0</v>
      </c>
      <c r="M59" s="525"/>
      <c r="N59" s="514">
        <f t="shared" si="20"/>
        <v>0</v>
      </c>
      <c r="O59" s="514">
        <f t="shared" si="21"/>
        <v>0</v>
      </c>
      <c r="P59" s="272"/>
    </row>
    <row r="60" spans="2:17" ht="12.5">
      <c r="B60" s="195" t="str">
        <f t="shared" si="22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7"/>
        <v>0</v>
      </c>
      <c r="G60" s="524">
        <f t="shared" si="23"/>
        <v>0</v>
      </c>
      <c r="H60" s="491">
        <f t="shared" si="24"/>
        <v>0</v>
      </c>
      <c r="I60" s="511">
        <f t="shared" si="18"/>
        <v>0</v>
      </c>
      <c r="J60" s="511"/>
      <c r="K60" s="525"/>
      <c r="L60" s="514">
        <f t="shared" si="19"/>
        <v>0</v>
      </c>
      <c r="M60" s="525"/>
      <c r="N60" s="514">
        <f t="shared" si="20"/>
        <v>0</v>
      </c>
      <c r="O60" s="514">
        <f t="shared" si="21"/>
        <v>0</v>
      </c>
      <c r="P60" s="272"/>
    </row>
    <row r="61" spans="2:17" ht="12.5">
      <c r="B61" s="195" t="str">
        <f t="shared" si="22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7"/>
        <v>0</v>
      </c>
      <c r="G61" s="526">
        <f t="shared" si="23"/>
        <v>0</v>
      </c>
      <c r="H61" s="491">
        <f t="shared" si="24"/>
        <v>0</v>
      </c>
      <c r="I61" s="511">
        <f t="shared" si="18"/>
        <v>0</v>
      </c>
      <c r="J61" s="511"/>
      <c r="K61" s="525"/>
      <c r="L61" s="514">
        <f t="shared" si="19"/>
        <v>0</v>
      </c>
      <c r="M61" s="525"/>
      <c r="N61" s="514">
        <f t="shared" si="20"/>
        <v>0</v>
      </c>
      <c r="O61" s="514">
        <f t="shared" si="21"/>
        <v>0</v>
      </c>
      <c r="P61" s="272"/>
    </row>
    <row r="62" spans="2:17" ht="12.5">
      <c r="B62" s="195" t="str">
        <f t="shared" si="22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7"/>
        <v>0</v>
      </c>
      <c r="G62" s="526">
        <f t="shared" si="23"/>
        <v>0</v>
      </c>
      <c r="H62" s="491">
        <f t="shared" si="24"/>
        <v>0</v>
      </c>
      <c r="I62" s="511">
        <f t="shared" si="18"/>
        <v>0</v>
      </c>
      <c r="J62" s="511"/>
      <c r="K62" s="525"/>
      <c r="L62" s="514">
        <f t="shared" si="19"/>
        <v>0</v>
      </c>
      <c r="M62" s="525"/>
      <c r="N62" s="514">
        <f t="shared" si="20"/>
        <v>0</v>
      </c>
      <c r="O62" s="514">
        <f t="shared" si="21"/>
        <v>0</v>
      </c>
      <c r="P62" s="272"/>
    </row>
    <row r="63" spans="2:17" ht="12.5">
      <c r="B63" s="195" t="str">
        <f t="shared" si="22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7"/>
        <v>0</v>
      </c>
      <c r="G63" s="526">
        <f t="shared" si="23"/>
        <v>0</v>
      </c>
      <c r="H63" s="491">
        <f t="shared" si="24"/>
        <v>0</v>
      </c>
      <c r="I63" s="511">
        <f t="shared" si="18"/>
        <v>0</v>
      </c>
      <c r="J63" s="511"/>
      <c r="K63" s="525"/>
      <c r="L63" s="514">
        <f t="shared" si="19"/>
        <v>0</v>
      </c>
      <c r="M63" s="525"/>
      <c r="N63" s="514">
        <f t="shared" si="20"/>
        <v>0</v>
      </c>
      <c r="O63" s="514">
        <f t="shared" si="21"/>
        <v>0</v>
      </c>
      <c r="P63" s="272"/>
    </row>
    <row r="64" spans="2:17" ht="12.5">
      <c r="B64" s="195" t="str">
        <f t="shared" si="22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7"/>
        <v>0</v>
      </c>
      <c r="G64" s="526">
        <f t="shared" si="23"/>
        <v>0</v>
      </c>
      <c r="H64" s="491">
        <f t="shared" si="24"/>
        <v>0</v>
      </c>
      <c r="I64" s="511">
        <f t="shared" si="18"/>
        <v>0</v>
      </c>
      <c r="J64" s="511"/>
      <c r="K64" s="525"/>
      <c r="L64" s="514">
        <f t="shared" si="19"/>
        <v>0</v>
      </c>
      <c r="M64" s="525"/>
      <c r="N64" s="514">
        <f t="shared" si="20"/>
        <v>0</v>
      </c>
      <c r="O64" s="514">
        <f t="shared" si="21"/>
        <v>0</v>
      </c>
      <c r="P64" s="272"/>
    </row>
    <row r="65" spans="1:16" ht="12.5">
      <c r="B65" s="195" t="str">
        <f t="shared" si="22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7"/>
        <v>0</v>
      </c>
      <c r="G65" s="526">
        <f t="shared" si="23"/>
        <v>0</v>
      </c>
      <c r="H65" s="491">
        <f t="shared" si="24"/>
        <v>0</v>
      </c>
      <c r="I65" s="511">
        <f t="shared" si="18"/>
        <v>0</v>
      </c>
      <c r="J65" s="511"/>
      <c r="K65" s="525"/>
      <c r="L65" s="514">
        <f t="shared" si="19"/>
        <v>0</v>
      </c>
      <c r="M65" s="525"/>
      <c r="N65" s="514">
        <f t="shared" si="20"/>
        <v>0</v>
      </c>
      <c r="O65" s="514">
        <f t="shared" si="21"/>
        <v>0</v>
      </c>
      <c r="P65" s="272"/>
    </row>
    <row r="66" spans="1:16" ht="12.5">
      <c r="B66" s="195" t="str">
        <f t="shared" si="22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7"/>
        <v>0</v>
      </c>
      <c r="G66" s="526">
        <f t="shared" si="23"/>
        <v>0</v>
      </c>
      <c r="H66" s="491">
        <f t="shared" si="24"/>
        <v>0</v>
      </c>
      <c r="I66" s="511">
        <f t="shared" si="18"/>
        <v>0</v>
      </c>
      <c r="J66" s="511"/>
      <c r="K66" s="525"/>
      <c r="L66" s="514">
        <f t="shared" si="19"/>
        <v>0</v>
      </c>
      <c r="M66" s="525"/>
      <c r="N66" s="514">
        <f t="shared" si="20"/>
        <v>0</v>
      </c>
      <c r="O66" s="514">
        <f t="shared" si="21"/>
        <v>0</v>
      </c>
      <c r="P66" s="272"/>
    </row>
    <row r="67" spans="1:16" ht="12.5">
      <c r="B67" s="195" t="str">
        <f t="shared" si="22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7"/>
        <v>0</v>
      </c>
      <c r="G67" s="526">
        <f t="shared" si="23"/>
        <v>0</v>
      </c>
      <c r="H67" s="491">
        <f t="shared" si="24"/>
        <v>0</v>
      </c>
      <c r="I67" s="511">
        <f t="shared" si="18"/>
        <v>0</v>
      </c>
      <c r="J67" s="511"/>
      <c r="K67" s="525"/>
      <c r="L67" s="514">
        <f t="shared" si="19"/>
        <v>0</v>
      </c>
      <c r="M67" s="525"/>
      <c r="N67" s="514">
        <f t="shared" si="20"/>
        <v>0</v>
      </c>
      <c r="O67" s="514">
        <f t="shared" si="21"/>
        <v>0</v>
      </c>
      <c r="P67" s="272"/>
    </row>
    <row r="68" spans="1:16" ht="12.5">
      <c r="B68" s="195" t="str">
        <f t="shared" si="22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7"/>
        <v>0</v>
      </c>
      <c r="G68" s="526">
        <f t="shared" si="23"/>
        <v>0</v>
      </c>
      <c r="H68" s="491">
        <f t="shared" si="24"/>
        <v>0</v>
      </c>
      <c r="I68" s="511">
        <f t="shared" si="18"/>
        <v>0</v>
      </c>
      <c r="J68" s="511"/>
      <c r="K68" s="525"/>
      <c r="L68" s="514">
        <f t="shared" si="19"/>
        <v>0</v>
      </c>
      <c r="M68" s="525"/>
      <c r="N68" s="514">
        <f t="shared" si="20"/>
        <v>0</v>
      </c>
      <c r="O68" s="514">
        <f t="shared" si="21"/>
        <v>0</v>
      </c>
      <c r="P68" s="272"/>
    </row>
    <row r="69" spans="1:16" ht="12.5">
      <c r="B69" s="195" t="str">
        <f t="shared" si="22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7"/>
        <v>0</v>
      </c>
      <c r="G69" s="526">
        <f t="shared" si="23"/>
        <v>0</v>
      </c>
      <c r="H69" s="491">
        <f t="shared" si="24"/>
        <v>0</v>
      </c>
      <c r="I69" s="511">
        <f t="shared" si="18"/>
        <v>0</v>
      </c>
      <c r="J69" s="511"/>
      <c r="K69" s="525"/>
      <c r="L69" s="514">
        <f t="shared" si="19"/>
        <v>0</v>
      </c>
      <c r="M69" s="525"/>
      <c r="N69" s="514">
        <f t="shared" si="20"/>
        <v>0</v>
      </c>
      <c r="O69" s="514">
        <f t="shared" si="21"/>
        <v>0</v>
      </c>
      <c r="P69" s="272"/>
    </row>
    <row r="70" spans="1:16" ht="12.5">
      <c r="B70" s="195" t="str">
        <f t="shared" si="22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7"/>
        <v>0</v>
      </c>
      <c r="G70" s="526">
        <f t="shared" si="23"/>
        <v>0</v>
      </c>
      <c r="H70" s="491">
        <f t="shared" si="24"/>
        <v>0</v>
      </c>
      <c r="I70" s="511">
        <f t="shared" si="18"/>
        <v>0</v>
      </c>
      <c r="J70" s="511"/>
      <c r="K70" s="525"/>
      <c r="L70" s="514">
        <f t="shared" si="19"/>
        <v>0</v>
      </c>
      <c r="M70" s="525"/>
      <c r="N70" s="514">
        <f t="shared" si="20"/>
        <v>0</v>
      </c>
      <c r="O70" s="514">
        <f t="shared" si="21"/>
        <v>0</v>
      </c>
      <c r="P70" s="272"/>
    </row>
    <row r="71" spans="1:16" ht="12.5">
      <c r="B71" s="195" t="str">
        <f t="shared" si="22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7"/>
        <v>0</v>
      </c>
      <c r="G71" s="526">
        <f t="shared" si="23"/>
        <v>0</v>
      </c>
      <c r="H71" s="491">
        <f t="shared" si="24"/>
        <v>0</v>
      </c>
      <c r="I71" s="511">
        <f t="shared" si="18"/>
        <v>0</v>
      </c>
      <c r="J71" s="511"/>
      <c r="K71" s="525"/>
      <c r="L71" s="514">
        <f t="shared" si="19"/>
        <v>0</v>
      </c>
      <c r="M71" s="525"/>
      <c r="N71" s="514">
        <f t="shared" si="20"/>
        <v>0</v>
      </c>
      <c r="O71" s="514">
        <f t="shared" si="21"/>
        <v>0</v>
      </c>
      <c r="P71" s="272"/>
    </row>
    <row r="72" spans="1:16" ht="13" thickBot="1">
      <c r="B72" s="195" t="str">
        <f t="shared" si="22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7"/>
        <v>0</v>
      </c>
      <c r="G72" s="530">
        <f t="shared" si="23"/>
        <v>0</v>
      </c>
      <c r="H72" s="471">
        <f t="shared" si="24"/>
        <v>0</v>
      </c>
      <c r="I72" s="531">
        <f t="shared" si="18"/>
        <v>0</v>
      </c>
      <c r="J72" s="511"/>
      <c r="K72" s="532"/>
      <c r="L72" s="533">
        <f t="shared" si="19"/>
        <v>0</v>
      </c>
      <c r="M72" s="532"/>
      <c r="N72" s="533">
        <f t="shared" si="20"/>
        <v>0</v>
      </c>
      <c r="O72" s="533">
        <f t="shared" si="21"/>
        <v>0</v>
      </c>
      <c r="P72" s="272"/>
    </row>
    <row r="73" spans="1:16" ht="12.5">
      <c r="C73" s="374" t="s">
        <v>78</v>
      </c>
      <c r="D73" s="375"/>
      <c r="E73" s="375">
        <f>SUM(E17:E72)</f>
        <v>1881886.9999999995</v>
      </c>
      <c r="F73" s="375"/>
      <c r="G73" s="375">
        <f>SUM(G17:G72)</f>
        <v>7046930.473871123</v>
      </c>
      <c r="H73" s="375">
        <f>SUM(H17:H72)</f>
        <v>7046930.473871123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29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203899.66288933976</v>
      </c>
      <c r="N87" s="546">
        <f>IF(J92&lt;D11,0,VLOOKUP(J92,C17:O72,11))</f>
        <v>203899.66288933976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216462.36022340748</v>
      </c>
      <c r="N88" s="550">
        <f>IF(J92&lt;D11,0,VLOOKUP(J92,C99:P154,7))</f>
        <v>216462.36022340748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Knox Lee - Pirkey 138 kV / Pirkey - Whitney 138 kV - Replace Breaker,  Wavetraps, and reset relays and CT's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12562.697334067721</v>
      </c>
      <c r="N89" s="555">
        <f>+N88-N87</f>
        <v>12562.697334067721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TP2010062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1881887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45899.682926829271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0</v>
      </c>
      <c r="F99" s="515">
        <v>1886753</v>
      </c>
      <c r="G99" s="574">
        <v>943376.5</v>
      </c>
      <c r="H99" s="575">
        <v>138821.56113909211</v>
      </c>
      <c r="I99" s="576">
        <v>138821.56113909211</v>
      </c>
      <c r="J99" s="613">
        <f t="shared" ref="J99:J130" si="25">+I99-H99</f>
        <v>0</v>
      </c>
      <c r="K99" s="514"/>
      <c r="L99" s="512">
        <f t="shared" ref="L99:L104" si="26">H99</f>
        <v>138821.56113909211</v>
      </c>
      <c r="M99" s="597">
        <f t="shared" ref="M99:M130" si="27">IF(L99&lt;&gt;0,+H99-L99,0)</f>
        <v>0</v>
      </c>
      <c r="N99" s="512">
        <f t="shared" ref="N99:N104" si="28">I99</f>
        <v>138821.56113909211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 ht="12.5">
      <c r="B100" s="195" t="str">
        <f t="shared" ref="B100:B131" si="31">IF(D100=F99,"","IU")</f>
        <v>IU</v>
      </c>
      <c r="C100" s="507">
        <f>IF(D93="","-",+C99+1)</f>
        <v>2013</v>
      </c>
      <c r="D100" s="508">
        <v>1881887</v>
      </c>
      <c r="E100" s="516">
        <v>44806.833333333336</v>
      </c>
      <c r="F100" s="515">
        <v>1837080.1666666667</v>
      </c>
      <c r="G100" s="515">
        <v>1859483.5833333335</v>
      </c>
      <c r="H100" s="575">
        <v>296379.53273897158</v>
      </c>
      <c r="I100" s="576">
        <v>296379.53273897158</v>
      </c>
      <c r="J100" s="613">
        <v>0</v>
      </c>
      <c r="K100" s="514"/>
      <c r="L100" s="518">
        <f t="shared" si="26"/>
        <v>296379.53273897158</v>
      </c>
      <c r="M100" s="519">
        <f t="shared" ref="M100:M105" si="32">IF(L100&lt;&gt;0,+H100-L100,0)</f>
        <v>0</v>
      </c>
      <c r="N100" s="518">
        <f t="shared" si="28"/>
        <v>296379.53273897158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1"/>
        <v/>
      </c>
      <c r="C101" s="507">
        <f>IF(D93="","-",+C100+1)</f>
        <v>2014</v>
      </c>
      <c r="D101" s="508">
        <v>1837080.1666666667</v>
      </c>
      <c r="E101" s="516">
        <v>44806.833333333336</v>
      </c>
      <c r="F101" s="515">
        <v>1792273.3333333335</v>
      </c>
      <c r="G101" s="515">
        <v>1814676.75</v>
      </c>
      <c r="H101" s="575">
        <v>291463.97554748988</v>
      </c>
      <c r="I101" s="576">
        <v>291463.97554748988</v>
      </c>
      <c r="J101" s="514">
        <v>0</v>
      </c>
      <c r="K101" s="514"/>
      <c r="L101" s="518">
        <f t="shared" si="26"/>
        <v>291463.97554748988</v>
      </c>
      <c r="M101" s="519">
        <f t="shared" si="32"/>
        <v>0</v>
      </c>
      <c r="N101" s="518">
        <f t="shared" si="28"/>
        <v>291463.97554748988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1"/>
        <v/>
      </c>
      <c r="C102" s="507">
        <f>IF(D93="","-",+C101+1)</f>
        <v>2015</v>
      </c>
      <c r="D102" s="508">
        <v>1792273.3333333335</v>
      </c>
      <c r="E102" s="516">
        <v>44806.833333333336</v>
      </c>
      <c r="F102" s="515">
        <v>1747466.5000000002</v>
      </c>
      <c r="G102" s="515">
        <v>1769869.916666667</v>
      </c>
      <c r="H102" s="575">
        <v>278020.60623720445</v>
      </c>
      <c r="I102" s="576">
        <v>278020.60623720445</v>
      </c>
      <c r="J102" s="514">
        <f t="shared" si="25"/>
        <v>0</v>
      </c>
      <c r="K102" s="514"/>
      <c r="L102" s="518">
        <f t="shared" si="26"/>
        <v>278020.60623720445</v>
      </c>
      <c r="M102" s="519">
        <f t="shared" si="32"/>
        <v>0</v>
      </c>
      <c r="N102" s="518">
        <f t="shared" si="28"/>
        <v>278020.60623720445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1"/>
        <v/>
      </c>
      <c r="C103" s="507">
        <f>IF(D93="","-",+C102+1)</f>
        <v>2016</v>
      </c>
      <c r="D103" s="508">
        <v>1747466.5000000002</v>
      </c>
      <c r="E103" s="516">
        <v>43764.813953488374</v>
      </c>
      <c r="F103" s="515">
        <v>1703701.6860465119</v>
      </c>
      <c r="G103" s="515">
        <v>1725584.0930232559</v>
      </c>
      <c r="H103" s="575">
        <v>262827.69435337436</v>
      </c>
      <c r="I103" s="576">
        <v>262827.69435337436</v>
      </c>
      <c r="J103" s="514">
        <f t="shared" si="25"/>
        <v>0</v>
      </c>
      <c r="K103" s="514"/>
      <c r="L103" s="518">
        <f t="shared" si="26"/>
        <v>262827.69435337436</v>
      </c>
      <c r="M103" s="519">
        <f t="shared" si="32"/>
        <v>0</v>
      </c>
      <c r="N103" s="518">
        <f t="shared" si="28"/>
        <v>262827.69435337436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1"/>
        <v/>
      </c>
      <c r="C104" s="507">
        <f>IF(D93="","-",+C103+1)</f>
        <v>2017</v>
      </c>
      <c r="D104" s="508">
        <v>1703701.6860465119</v>
      </c>
      <c r="E104" s="516">
        <v>44806.833333333336</v>
      </c>
      <c r="F104" s="515">
        <v>1658894.8527131786</v>
      </c>
      <c r="G104" s="515">
        <v>1681298.2693798454</v>
      </c>
      <c r="H104" s="575">
        <v>249036.58491645948</v>
      </c>
      <c r="I104" s="576">
        <v>249036.58491645948</v>
      </c>
      <c r="J104" s="514">
        <f t="shared" si="25"/>
        <v>0</v>
      </c>
      <c r="K104" s="514"/>
      <c r="L104" s="518">
        <f t="shared" si="26"/>
        <v>249036.58491645948</v>
      </c>
      <c r="M104" s="519">
        <f t="shared" si="32"/>
        <v>0</v>
      </c>
      <c r="N104" s="518">
        <f t="shared" si="28"/>
        <v>249036.58491645948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1"/>
        <v/>
      </c>
      <c r="C105" s="507">
        <f>IF(D93="","-",+C104+1)</f>
        <v>2018</v>
      </c>
      <c r="D105" s="508">
        <v>1658894.8527131786</v>
      </c>
      <c r="E105" s="516">
        <v>44806.833333333336</v>
      </c>
      <c r="F105" s="515">
        <v>1614088.0193798454</v>
      </c>
      <c r="G105" s="515">
        <v>1636491.4360465119</v>
      </c>
      <c r="H105" s="575">
        <v>217627.83363465747</v>
      </c>
      <c r="I105" s="576">
        <v>217627.83363465747</v>
      </c>
      <c r="J105" s="514">
        <f t="shared" si="25"/>
        <v>0</v>
      </c>
      <c r="K105" s="514"/>
      <c r="L105" s="518">
        <f t="shared" ref="L105" si="33">H105</f>
        <v>217627.83363465747</v>
      </c>
      <c r="M105" s="519">
        <f t="shared" si="32"/>
        <v>0</v>
      </c>
      <c r="N105" s="518">
        <f t="shared" ref="N105" si="34">I105</f>
        <v>217627.83363465747</v>
      </c>
      <c r="O105" s="514">
        <f t="shared" si="29"/>
        <v>0</v>
      </c>
      <c r="P105" s="514">
        <f t="shared" si="30"/>
        <v>0</v>
      </c>
      <c r="Q105" s="269"/>
    </row>
    <row r="106" spans="1:17" ht="12.5">
      <c r="B106" s="195" t="str">
        <f t="shared" si="31"/>
        <v/>
      </c>
      <c r="C106" s="507">
        <f>IF(D93="","-",+C105+1)</f>
        <v>2019</v>
      </c>
      <c r="D106" s="508">
        <v>1614088.0193798454</v>
      </c>
      <c r="E106" s="516">
        <v>43764.813953488374</v>
      </c>
      <c r="F106" s="515">
        <v>1570323.205426357</v>
      </c>
      <c r="G106" s="515">
        <v>1592205.6124031013</v>
      </c>
      <c r="H106" s="575">
        <v>214195.37291245433</v>
      </c>
      <c r="I106" s="576">
        <v>214195.37291245433</v>
      </c>
      <c r="J106" s="514">
        <f t="shared" si="25"/>
        <v>0</v>
      </c>
      <c r="K106" s="514"/>
      <c r="L106" s="518">
        <f t="shared" ref="L106:L107" si="35">H106</f>
        <v>214195.37291245433</v>
      </c>
      <c r="M106" s="519">
        <f t="shared" ref="M106:M107" si="36">IF(L106&lt;&gt;0,+H106-L106,0)</f>
        <v>0</v>
      </c>
      <c r="N106" s="518">
        <f t="shared" ref="N106:N107" si="37">I106</f>
        <v>214195.37291245433</v>
      </c>
      <c r="O106" s="514">
        <f t="shared" si="29"/>
        <v>0</v>
      </c>
      <c r="P106" s="514">
        <f t="shared" si="30"/>
        <v>0</v>
      </c>
      <c r="Q106" s="269"/>
    </row>
    <row r="107" spans="1:17" ht="12.5">
      <c r="B107" s="195" t="str">
        <f t="shared" si="31"/>
        <v/>
      </c>
      <c r="C107" s="507">
        <f>IF(D93="","-",+C106+1)</f>
        <v>2020</v>
      </c>
      <c r="D107" s="508">
        <v>1570323.205426357</v>
      </c>
      <c r="E107" s="516">
        <v>44806.833333333336</v>
      </c>
      <c r="F107" s="515">
        <v>1525516.3720930237</v>
      </c>
      <c r="G107" s="515">
        <v>1547919.7887596902</v>
      </c>
      <c r="H107" s="575">
        <v>211322.4974139453</v>
      </c>
      <c r="I107" s="576">
        <v>211322.4974139453</v>
      </c>
      <c r="J107" s="514">
        <f t="shared" si="25"/>
        <v>0</v>
      </c>
      <c r="K107" s="514"/>
      <c r="L107" s="518">
        <f t="shared" si="35"/>
        <v>211322.4974139453</v>
      </c>
      <c r="M107" s="519">
        <f t="shared" si="36"/>
        <v>0</v>
      </c>
      <c r="N107" s="518">
        <f t="shared" si="37"/>
        <v>211322.4974139453</v>
      </c>
      <c r="O107" s="514">
        <f t="shared" si="29"/>
        <v>0</v>
      </c>
      <c r="P107" s="514">
        <f t="shared" si="30"/>
        <v>0</v>
      </c>
      <c r="Q107" s="269"/>
    </row>
    <row r="108" spans="1:17" ht="12.5">
      <c r="B108" s="195" t="str">
        <f t="shared" si="31"/>
        <v/>
      </c>
      <c r="C108" s="507">
        <f>IF(D93="","-",+C107+1)</f>
        <v>2021</v>
      </c>
      <c r="D108" s="374">
        <f>IF(F107+SUM(E$99:E107)=D$92,F107,D$92-SUM(E$99:E107))</f>
        <v>1525516.3720930237</v>
      </c>
      <c r="E108" s="522">
        <f>IF(+J96&lt;F107,J96,D108)</f>
        <v>45899.682926829271</v>
      </c>
      <c r="F108" s="523">
        <f t="shared" ref="F108:F131" si="38">+D108-E108</f>
        <v>1479616.6891661945</v>
      </c>
      <c r="G108" s="523">
        <f t="shared" ref="G108:G130" si="39">+(F108+D108)/2</f>
        <v>1502566.5306296092</v>
      </c>
      <c r="H108" s="526">
        <f t="shared" ref="H108:H130" si="40">+J$94*G108+E108</f>
        <v>216462.36022340748</v>
      </c>
      <c r="I108" s="577">
        <f t="shared" ref="I108:I130" si="41">+J$95*G108+E108</f>
        <v>216462.36022340748</v>
      </c>
      <c r="J108" s="514">
        <f t="shared" si="25"/>
        <v>0</v>
      </c>
      <c r="K108" s="514"/>
      <c r="L108" s="525"/>
      <c r="M108" s="514">
        <f t="shared" si="27"/>
        <v>0</v>
      </c>
      <c r="N108" s="525"/>
      <c r="O108" s="514">
        <f t="shared" si="29"/>
        <v>0</v>
      </c>
      <c r="P108" s="514">
        <f t="shared" si="30"/>
        <v>0</v>
      </c>
      <c r="Q108" s="269"/>
    </row>
    <row r="109" spans="1:17" ht="12.5">
      <c r="B109" s="195" t="str">
        <f t="shared" si="31"/>
        <v/>
      </c>
      <c r="C109" s="507">
        <f>IF(D93="","-",+C108+1)</f>
        <v>2022</v>
      </c>
      <c r="D109" s="374">
        <f>IF(F108+SUM(E$99:E108)=D$92,F108,D$92-SUM(E$99:E108))</f>
        <v>1479616.6891661945</v>
      </c>
      <c r="E109" s="522">
        <f>IF(+J96&lt;F108,J96,D109)</f>
        <v>45899.682926829271</v>
      </c>
      <c r="F109" s="523">
        <f t="shared" si="38"/>
        <v>1433717.0062393653</v>
      </c>
      <c r="G109" s="523">
        <f t="shared" si="39"/>
        <v>1456666.8477027798</v>
      </c>
      <c r="H109" s="526">
        <f t="shared" si="40"/>
        <v>211252.09322525756</v>
      </c>
      <c r="I109" s="577">
        <f t="shared" si="41"/>
        <v>211252.09322525756</v>
      </c>
      <c r="J109" s="514">
        <f t="shared" si="25"/>
        <v>0</v>
      </c>
      <c r="K109" s="514"/>
      <c r="L109" s="525"/>
      <c r="M109" s="514">
        <f t="shared" si="27"/>
        <v>0</v>
      </c>
      <c r="N109" s="525"/>
      <c r="O109" s="514">
        <f t="shared" si="29"/>
        <v>0</v>
      </c>
      <c r="P109" s="514">
        <f t="shared" si="30"/>
        <v>0</v>
      </c>
      <c r="Q109" s="269"/>
    </row>
    <row r="110" spans="1:17" ht="12.5">
      <c r="B110" s="195" t="str">
        <f t="shared" si="31"/>
        <v/>
      </c>
      <c r="C110" s="507">
        <f>IF(D93="","-",+C109+1)</f>
        <v>2023</v>
      </c>
      <c r="D110" s="374">
        <f>IF(F109+SUM(E$99:E109)=D$92,F109,D$92-SUM(E$99:E109))</f>
        <v>1433717.0062393653</v>
      </c>
      <c r="E110" s="522">
        <f>IF(+J96&lt;F109,J96,D110)</f>
        <v>45899.682926829271</v>
      </c>
      <c r="F110" s="523">
        <f t="shared" si="38"/>
        <v>1387817.3233125361</v>
      </c>
      <c r="G110" s="523">
        <f t="shared" si="39"/>
        <v>1410767.1647759508</v>
      </c>
      <c r="H110" s="526">
        <f t="shared" si="40"/>
        <v>206041.8262271077</v>
      </c>
      <c r="I110" s="577">
        <f t="shared" si="41"/>
        <v>206041.8262271077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 ht="12.5">
      <c r="B111" s="195" t="str">
        <f t="shared" si="31"/>
        <v/>
      </c>
      <c r="C111" s="507">
        <f>IF(D93="","-",+C110+1)</f>
        <v>2024</v>
      </c>
      <c r="D111" s="374">
        <f>IF(F110+SUM(E$99:E110)=D$92,F110,D$92-SUM(E$99:E110))</f>
        <v>1387817.3233125361</v>
      </c>
      <c r="E111" s="522">
        <f>IF(+J96&lt;F110,J96,D111)</f>
        <v>45899.682926829271</v>
      </c>
      <c r="F111" s="523">
        <f t="shared" si="38"/>
        <v>1341917.6403857069</v>
      </c>
      <c r="G111" s="523">
        <f t="shared" si="39"/>
        <v>1364867.4818491214</v>
      </c>
      <c r="H111" s="526">
        <f t="shared" si="40"/>
        <v>200831.55922895778</v>
      </c>
      <c r="I111" s="577">
        <f t="shared" si="41"/>
        <v>200831.55922895778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 ht="12.5">
      <c r="B112" s="195" t="str">
        <f t="shared" si="31"/>
        <v/>
      </c>
      <c r="C112" s="507">
        <f>IF(D93="","-",+C111+1)</f>
        <v>2025</v>
      </c>
      <c r="D112" s="374">
        <f>IF(F111+SUM(E$99:E111)=D$92,F111,D$92-SUM(E$99:E111))</f>
        <v>1341917.6403857069</v>
      </c>
      <c r="E112" s="522">
        <f>IF(+J96&lt;F111,J96,D112)</f>
        <v>45899.682926829271</v>
      </c>
      <c r="F112" s="523">
        <f t="shared" si="38"/>
        <v>1296017.9574588777</v>
      </c>
      <c r="G112" s="523">
        <f t="shared" si="39"/>
        <v>1318967.7989222924</v>
      </c>
      <c r="H112" s="526">
        <f t="shared" si="40"/>
        <v>195621.29223080791</v>
      </c>
      <c r="I112" s="577">
        <f t="shared" si="41"/>
        <v>195621.29223080791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 ht="12.5">
      <c r="B113" s="195" t="str">
        <f t="shared" si="31"/>
        <v/>
      </c>
      <c r="C113" s="507">
        <f>IF(D93="","-",+C112+1)</f>
        <v>2026</v>
      </c>
      <c r="D113" s="374">
        <f>IF(F112+SUM(E$99:E112)=D$92,F112,D$92-SUM(E$99:E112))</f>
        <v>1296017.9574588777</v>
      </c>
      <c r="E113" s="522">
        <f>IF(+J96&lt;F112,J96,D113)</f>
        <v>45899.682926829271</v>
      </c>
      <c r="F113" s="523">
        <f t="shared" si="38"/>
        <v>1250118.2745320485</v>
      </c>
      <c r="G113" s="523">
        <f t="shared" si="39"/>
        <v>1273068.115995463</v>
      </c>
      <c r="H113" s="526">
        <f t="shared" si="40"/>
        <v>190411.02523265799</v>
      </c>
      <c r="I113" s="577">
        <f t="shared" si="41"/>
        <v>190411.02523265799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 ht="12.5">
      <c r="B114" s="195" t="str">
        <f t="shared" si="31"/>
        <v/>
      </c>
      <c r="C114" s="507">
        <f>IF(D93="","-",+C113+1)</f>
        <v>2027</v>
      </c>
      <c r="D114" s="374">
        <f>IF(F113+SUM(E$99:E113)=D$92,F113,D$92-SUM(E$99:E113))</f>
        <v>1250118.2745320485</v>
      </c>
      <c r="E114" s="522">
        <f>IF(+J96&lt;F113,J96,D114)</f>
        <v>45899.682926829271</v>
      </c>
      <c r="F114" s="523">
        <f t="shared" si="38"/>
        <v>1204218.5916052193</v>
      </c>
      <c r="G114" s="523">
        <f t="shared" si="39"/>
        <v>1227168.433068634</v>
      </c>
      <c r="H114" s="526">
        <f t="shared" si="40"/>
        <v>185200.75823450813</v>
      </c>
      <c r="I114" s="577">
        <f t="shared" si="41"/>
        <v>185200.75823450813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 ht="12.5">
      <c r="B115" s="195" t="str">
        <f t="shared" si="31"/>
        <v/>
      </c>
      <c r="C115" s="507">
        <f>IF(D93="","-",+C114+1)</f>
        <v>2028</v>
      </c>
      <c r="D115" s="374">
        <f>IF(F114+SUM(E$99:E114)=D$92,F114,D$92-SUM(E$99:E114))</f>
        <v>1204218.5916052193</v>
      </c>
      <c r="E115" s="522">
        <f>IF(+J96&lt;F114,J96,D115)</f>
        <v>45899.682926829271</v>
      </c>
      <c r="F115" s="523">
        <f t="shared" si="38"/>
        <v>1158318.9086783901</v>
      </c>
      <c r="G115" s="523">
        <f t="shared" si="39"/>
        <v>1181268.7501418046</v>
      </c>
      <c r="H115" s="526">
        <f t="shared" si="40"/>
        <v>179990.49123635821</v>
      </c>
      <c r="I115" s="577">
        <f t="shared" si="41"/>
        <v>179990.49123635821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 ht="12.5">
      <c r="B116" s="195" t="str">
        <f t="shared" si="31"/>
        <v/>
      </c>
      <c r="C116" s="507">
        <f>IF(D93="","-",+C115+1)</f>
        <v>2029</v>
      </c>
      <c r="D116" s="374">
        <f>IF(F115+SUM(E$99:E115)=D$92,F115,D$92-SUM(E$99:E115))</f>
        <v>1158318.9086783901</v>
      </c>
      <c r="E116" s="522">
        <f>IF(+J96&lt;F115,J96,D116)</f>
        <v>45899.682926829271</v>
      </c>
      <c r="F116" s="523">
        <f t="shared" si="38"/>
        <v>1112419.2257515609</v>
      </c>
      <c r="G116" s="523">
        <f t="shared" si="39"/>
        <v>1135369.0672149756</v>
      </c>
      <c r="H116" s="526">
        <f t="shared" si="40"/>
        <v>174780.22423820835</v>
      </c>
      <c r="I116" s="577">
        <f t="shared" si="41"/>
        <v>174780.22423820835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 ht="12.5">
      <c r="B117" s="195" t="str">
        <f t="shared" si="31"/>
        <v/>
      </c>
      <c r="C117" s="507">
        <f>IF(D93="","-",+C116+1)</f>
        <v>2030</v>
      </c>
      <c r="D117" s="374">
        <f>IF(F116+SUM(E$99:E116)=D$92,F116,D$92-SUM(E$99:E116))</f>
        <v>1112419.2257515609</v>
      </c>
      <c r="E117" s="522">
        <f>IF(+J96&lt;F116,J96,D117)</f>
        <v>45899.682926829271</v>
      </c>
      <c r="F117" s="523">
        <f t="shared" si="38"/>
        <v>1066519.5428247317</v>
      </c>
      <c r="G117" s="523">
        <f t="shared" si="39"/>
        <v>1089469.3842881462</v>
      </c>
      <c r="H117" s="526">
        <f t="shared" si="40"/>
        <v>169569.95724005843</v>
      </c>
      <c r="I117" s="577">
        <f t="shared" si="41"/>
        <v>169569.95724005843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 ht="12.5">
      <c r="B118" s="195" t="str">
        <f t="shared" si="31"/>
        <v/>
      </c>
      <c r="C118" s="507">
        <f>IF(D93="","-",+C117+1)</f>
        <v>2031</v>
      </c>
      <c r="D118" s="374">
        <f>IF(F117+SUM(E$99:E117)=D$92,F117,D$92-SUM(E$99:E117))</f>
        <v>1066519.5428247317</v>
      </c>
      <c r="E118" s="522">
        <f>IF(+J96&lt;F117,J96,D118)</f>
        <v>45899.682926829271</v>
      </c>
      <c r="F118" s="523">
        <f t="shared" si="38"/>
        <v>1020619.8598979024</v>
      </c>
      <c r="G118" s="523">
        <f t="shared" si="39"/>
        <v>1043569.701361317</v>
      </c>
      <c r="H118" s="526">
        <f t="shared" si="40"/>
        <v>164359.69024190854</v>
      </c>
      <c r="I118" s="577">
        <f t="shared" si="41"/>
        <v>164359.69024190854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 ht="12.5">
      <c r="B119" s="195" t="str">
        <f t="shared" si="31"/>
        <v/>
      </c>
      <c r="C119" s="507">
        <f>IF(D93="","-",+C118+1)</f>
        <v>2032</v>
      </c>
      <c r="D119" s="374">
        <f>IF(F118+SUM(E$99:E118)=D$92,F118,D$92-SUM(E$99:E118))</f>
        <v>1020619.8598979024</v>
      </c>
      <c r="E119" s="522">
        <f>IF(+J96&lt;F118,J96,D119)</f>
        <v>45899.682926829271</v>
      </c>
      <c r="F119" s="523">
        <f t="shared" si="38"/>
        <v>974720.17697107303</v>
      </c>
      <c r="G119" s="523">
        <f t="shared" si="39"/>
        <v>997670.01843448775</v>
      </c>
      <c r="H119" s="526">
        <f t="shared" si="40"/>
        <v>159149.42324375865</v>
      </c>
      <c r="I119" s="577">
        <f t="shared" si="41"/>
        <v>159149.42324375865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 ht="12.5">
      <c r="B120" s="195" t="str">
        <f t="shared" si="31"/>
        <v/>
      </c>
      <c r="C120" s="507">
        <f>IF(D93="","-",+C119+1)</f>
        <v>2033</v>
      </c>
      <c r="D120" s="374">
        <f>IF(F119+SUM(E$99:E119)=D$92,F119,D$92-SUM(E$99:E119))</f>
        <v>974720.17697107303</v>
      </c>
      <c r="E120" s="522">
        <f>IF(+J96&lt;F119,J96,D120)</f>
        <v>45899.682926829271</v>
      </c>
      <c r="F120" s="523">
        <f t="shared" si="38"/>
        <v>928820.49404424371</v>
      </c>
      <c r="G120" s="523">
        <f t="shared" si="39"/>
        <v>951770.33550765831</v>
      </c>
      <c r="H120" s="526">
        <f t="shared" si="40"/>
        <v>153939.15624560873</v>
      </c>
      <c r="I120" s="577">
        <f t="shared" si="41"/>
        <v>153939.15624560873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 ht="12.5">
      <c r="B121" s="195" t="str">
        <f t="shared" si="31"/>
        <v/>
      </c>
      <c r="C121" s="507">
        <f>IF(D93="","-",+C120+1)</f>
        <v>2034</v>
      </c>
      <c r="D121" s="374">
        <f>IF(F120+SUM(E$99:E120)=D$92,F120,D$92-SUM(E$99:E120))</f>
        <v>928820.49404424371</v>
      </c>
      <c r="E121" s="522">
        <f>IF(+J96&lt;F120,J96,D121)</f>
        <v>45899.682926829271</v>
      </c>
      <c r="F121" s="523">
        <f t="shared" si="38"/>
        <v>882920.81111741439</v>
      </c>
      <c r="G121" s="523">
        <f t="shared" si="39"/>
        <v>905870.6525808291</v>
      </c>
      <c r="H121" s="526">
        <f t="shared" si="40"/>
        <v>148728.88924745884</v>
      </c>
      <c r="I121" s="577">
        <f t="shared" si="41"/>
        <v>148728.88924745884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 ht="12.5">
      <c r="B122" s="195" t="str">
        <f t="shared" si="31"/>
        <v/>
      </c>
      <c r="C122" s="507">
        <f>IF(D93="","-",+C121+1)</f>
        <v>2035</v>
      </c>
      <c r="D122" s="374">
        <f>IF(F121+SUM(E$99:E121)=D$92,F121,D$92-SUM(E$99:E121))</f>
        <v>882920.81111741439</v>
      </c>
      <c r="E122" s="522">
        <f>IF(+J96&lt;F121,J96,D122)</f>
        <v>45899.682926829271</v>
      </c>
      <c r="F122" s="523">
        <f t="shared" si="38"/>
        <v>837021.12819058506</v>
      </c>
      <c r="G122" s="523">
        <f t="shared" si="39"/>
        <v>859970.96965399967</v>
      </c>
      <c r="H122" s="526">
        <f t="shared" si="40"/>
        <v>143518.62224930892</v>
      </c>
      <c r="I122" s="577">
        <f t="shared" si="41"/>
        <v>143518.62224930892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 ht="12.5">
      <c r="B123" s="195" t="str">
        <f t="shared" si="31"/>
        <v/>
      </c>
      <c r="C123" s="507">
        <f>IF(D93="","-",+C122+1)</f>
        <v>2036</v>
      </c>
      <c r="D123" s="374">
        <f>IF(F122+SUM(E$99:E122)=D$92,F122,D$92-SUM(E$99:E122))</f>
        <v>837021.12819058506</v>
      </c>
      <c r="E123" s="522">
        <f>IF(+J96&lt;F122,J96,D123)</f>
        <v>45899.682926829271</v>
      </c>
      <c r="F123" s="523">
        <f t="shared" si="38"/>
        <v>791121.44526375574</v>
      </c>
      <c r="G123" s="523">
        <f t="shared" si="39"/>
        <v>814071.28672717046</v>
      </c>
      <c r="H123" s="526">
        <f t="shared" si="40"/>
        <v>138308.35525115902</v>
      </c>
      <c r="I123" s="577">
        <f t="shared" si="41"/>
        <v>138308.35525115902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 ht="12.5">
      <c r="B124" s="195" t="str">
        <f t="shared" si="31"/>
        <v/>
      </c>
      <c r="C124" s="507">
        <f>IF(D93="","-",+C123+1)</f>
        <v>2037</v>
      </c>
      <c r="D124" s="374">
        <f>IF(F123+SUM(E$99:E123)=D$92,F123,D$92-SUM(E$99:E123))</f>
        <v>791121.44526375574</v>
      </c>
      <c r="E124" s="522">
        <f>IF(+J96&lt;F123,J96,D124)</f>
        <v>45899.682926829271</v>
      </c>
      <c r="F124" s="523">
        <f t="shared" si="38"/>
        <v>745221.76233692642</v>
      </c>
      <c r="G124" s="523">
        <f t="shared" si="39"/>
        <v>768171.60380034102</v>
      </c>
      <c r="H124" s="526">
        <f t="shared" si="40"/>
        <v>133098.08825300913</v>
      </c>
      <c r="I124" s="577">
        <f t="shared" si="41"/>
        <v>133098.08825300913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 ht="12.5">
      <c r="B125" s="195" t="str">
        <f t="shared" si="31"/>
        <v/>
      </c>
      <c r="C125" s="507">
        <f>IF(D93="","-",+C124+1)</f>
        <v>2038</v>
      </c>
      <c r="D125" s="374">
        <f>IF(F124+SUM(E$99:E124)=D$92,F124,D$92-SUM(E$99:E124))</f>
        <v>745221.76233692642</v>
      </c>
      <c r="E125" s="522">
        <f>IF(+J96&lt;F124,J96,D125)</f>
        <v>45899.682926829271</v>
      </c>
      <c r="F125" s="523">
        <f t="shared" si="38"/>
        <v>699322.0794100971</v>
      </c>
      <c r="G125" s="523">
        <f t="shared" si="39"/>
        <v>722271.92087351182</v>
      </c>
      <c r="H125" s="526">
        <f t="shared" si="40"/>
        <v>127887.82125485924</v>
      </c>
      <c r="I125" s="577">
        <f t="shared" si="41"/>
        <v>127887.82125485924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 ht="12.5">
      <c r="B126" s="195" t="str">
        <f t="shared" si="31"/>
        <v/>
      </c>
      <c r="C126" s="507">
        <f>IF(D93="","-",+C125+1)</f>
        <v>2039</v>
      </c>
      <c r="D126" s="374">
        <f>IF(F125+SUM(E$99:E125)=D$92,F125,D$92-SUM(E$99:E125))</f>
        <v>699322.0794100971</v>
      </c>
      <c r="E126" s="522">
        <f>IF(+J96&lt;F125,J96,D126)</f>
        <v>45899.682926829271</v>
      </c>
      <c r="F126" s="523">
        <f t="shared" si="38"/>
        <v>653422.39648326777</v>
      </c>
      <c r="G126" s="523">
        <f t="shared" si="39"/>
        <v>676372.23794668238</v>
      </c>
      <c r="H126" s="526">
        <f t="shared" si="40"/>
        <v>122677.55425670932</v>
      </c>
      <c r="I126" s="577">
        <f t="shared" si="41"/>
        <v>122677.55425670932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 ht="12.5">
      <c r="B127" s="195" t="str">
        <f t="shared" si="31"/>
        <v/>
      </c>
      <c r="C127" s="507">
        <f>IF(D93="","-",+C126+1)</f>
        <v>2040</v>
      </c>
      <c r="D127" s="374">
        <f>IF(F126+SUM(E$99:E126)=D$92,F126,D$92-SUM(E$99:E126))</f>
        <v>653422.39648326777</v>
      </c>
      <c r="E127" s="522">
        <f>IF(+J96&lt;F126,J96,D127)</f>
        <v>45899.682926829271</v>
      </c>
      <c r="F127" s="523">
        <f t="shared" si="38"/>
        <v>607522.71355643845</v>
      </c>
      <c r="G127" s="523">
        <f t="shared" si="39"/>
        <v>630472.55501985317</v>
      </c>
      <c r="H127" s="526">
        <f t="shared" si="40"/>
        <v>117467.28725855943</v>
      </c>
      <c r="I127" s="577">
        <f t="shared" si="41"/>
        <v>117467.28725855943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 ht="12.5">
      <c r="B128" s="195" t="str">
        <f t="shared" si="31"/>
        <v/>
      </c>
      <c r="C128" s="507">
        <f>IF(D93="","-",+C127+1)</f>
        <v>2041</v>
      </c>
      <c r="D128" s="374">
        <f>IF(F127+SUM(E$99:E127)=D$92,F127,D$92-SUM(E$99:E127))</f>
        <v>607522.71355643845</v>
      </c>
      <c r="E128" s="522">
        <f>IF(+J96&lt;F127,J96,D128)</f>
        <v>45899.682926829271</v>
      </c>
      <c r="F128" s="523">
        <f t="shared" si="38"/>
        <v>561623.03062960913</v>
      </c>
      <c r="G128" s="523">
        <f t="shared" si="39"/>
        <v>584572.87209302373</v>
      </c>
      <c r="H128" s="526">
        <f t="shared" si="40"/>
        <v>112257.02026040951</v>
      </c>
      <c r="I128" s="577">
        <f t="shared" si="41"/>
        <v>112257.02026040951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 ht="12.5">
      <c r="B129" s="195" t="str">
        <f t="shared" si="31"/>
        <v/>
      </c>
      <c r="C129" s="507">
        <f>IF(D93="","-",+C128+1)</f>
        <v>2042</v>
      </c>
      <c r="D129" s="374">
        <f>IF(F128+SUM(E$99:E128)=D$92,F128,D$92-SUM(E$99:E128))</f>
        <v>561623.03062960913</v>
      </c>
      <c r="E129" s="522">
        <f>IF(+J96&lt;F128,J96,D129)</f>
        <v>45899.682926829271</v>
      </c>
      <c r="F129" s="523">
        <f t="shared" si="38"/>
        <v>515723.34770277987</v>
      </c>
      <c r="G129" s="523">
        <f t="shared" si="39"/>
        <v>538673.18916619453</v>
      </c>
      <c r="H129" s="526">
        <f t="shared" si="40"/>
        <v>107046.75326225962</v>
      </c>
      <c r="I129" s="577">
        <f t="shared" si="41"/>
        <v>107046.75326225962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 ht="12.5">
      <c r="B130" s="195" t="str">
        <f t="shared" si="31"/>
        <v/>
      </c>
      <c r="C130" s="507">
        <f>IF(D93="","-",+C129+1)</f>
        <v>2043</v>
      </c>
      <c r="D130" s="374">
        <f>IF(F129+SUM(E$99:E129)=D$92,F129,D$92-SUM(E$99:E129))</f>
        <v>515723.34770277987</v>
      </c>
      <c r="E130" s="522">
        <f>IF(+J96&lt;F129,J96,D130)</f>
        <v>45899.682926829271</v>
      </c>
      <c r="F130" s="523">
        <f t="shared" si="38"/>
        <v>469823.6647759506</v>
      </c>
      <c r="G130" s="523">
        <f t="shared" si="39"/>
        <v>492773.5062393652</v>
      </c>
      <c r="H130" s="526">
        <f t="shared" si="40"/>
        <v>101836.4862641097</v>
      </c>
      <c r="I130" s="577">
        <f t="shared" si="41"/>
        <v>101836.4862641097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 ht="12.5">
      <c r="B131" s="195" t="str">
        <f t="shared" si="31"/>
        <v/>
      </c>
      <c r="C131" s="507">
        <f>IF(D93="","-",+C130+1)</f>
        <v>2044</v>
      </c>
      <c r="D131" s="374">
        <f>IF(F130+SUM(E$99:E130)=D$92,F130,D$92-SUM(E$99:E130))</f>
        <v>469823.6647759506</v>
      </c>
      <c r="E131" s="522">
        <f>IF(+J96&lt;F130,J96,D131)</f>
        <v>45899.682926829271</v>
      </c>
      <c r="F131" s="523">
        <f t="shared" si="38"/>
        <v>423923.98184912134</v>
      </c>
      <c r="G131" s="523">
        <f t="shared" ref="G131:G154" si="42">+(F131+D131)/2</f>
        <v>446873.823312536</v>
      </c>
      <c r="H131" s="526">
        <f t="shared" ref="H131:H154" si="43">+J$94*G131+E131</f>
        <v>96626.219265959808</v>
      </c>
      <c r="I131" s="577">
        <f t="shared" ref="I131:I154" si="44">+J$95*G131+E131</f>
        <v>96626.219265959808</v>
      </c>
      <c r="J131" s="514">
        <f t="shared" ref="J131:J154" si="45">+I131-H131</f>
        <v>0</v>
      </c>
      <c r="K131" s="514"/>
      <c r="L131" s="525"/>
      <c r="M131" s="514">
        <f t="shared" ref="M131:M154" si="46">IF(L131&lt;&gt;0,+H131-L131,0)</f>
        <v>0</v>
      </c>
      <c r="N131" s="525"/>
      <c r="O131" s="514">
        <f t="shared" ref="O131:O154" si="47">IF(N131&lt;&gt;0,+I131-N131,0)</f>
        <v>0</v>
      </c>
      <c r="P131" s="514">
        <f t="shared" ref="P131:P154" si="48">+O131-M131</f>
        <v>0</v>
      </c>
      <c r="Q131" s="269"/>
    </row>
    <row r="132" spans="2:17" ht="12.5">
      <c r="B132" s="195" t="str">
        <f t="shared" ref="B132:B154" si="49">IF(D132=F131,"","IU")</f>
        <v/>
      </c>
      <c r="C132" s="507">
        <f>IF(D93="","-",+C131+1)</f>
        <v>2045</v>
      </c>
      <c r="D132" s="374">
        <f>IF(F131+SUM(E$99:E131)=D$92,F131,D$92-SUM(E$99:E131))</f>
        <v>423923.98184912134</v>
      </c>
      <c r="E132" s="522">
        <f>IF(+J96&lt;F131,J96,D132)</f>
        <v>45899.682926829271</v>
      </c>
      <c r="F132" s="523">
        <f t="shared" ref="F132:F154" si="50">+D132-E132</f>
        <v>378024.29892229207</v>
      </c>
      <c r="G132" s="523">
        <f t="shared" si="42"/>
        <v>400974.14038570668</v>
      </c>
      <c r="H132" s="526">
        <f t="shared" si="43"/>
        <v>91415.952267809917</v>
      </c>
      <c r="I132" s="577">
        <f t="shared" si="44"/>
        <v>91415.952267809917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  <c r="Q132" s="269"/>
    </row>
    <row r="133" spans="2:17" ht="12.5">
      <c r="B133" s="195" t="str">
        <f t="shared" si="49"/>
        <v/>
      </c>
      <c r="C133" s="507">
        <f>IF(D93="","-",+C132+1)</f>
        <v>2046</v>
      </c>
      <c r="D133" s="374">
        <f>IF(F132+SUM(E$99:E132)=D$92,F132,D$92-SUM(E$99:E132))</f>
        <v>378024.29892229207</v>
      </c>
      <c r="E133" s="522">
        <f>IF(+J96&lt;F132,J96,D133)</f>
        <v>45899.682926829271</v>
      </c>
      <c r="F133" s="523">
        <f t="shared" si="50"/>
        <v>332124.61599546281</v>
      </c>
      <c r="G133" s="523">
        <f t="shared" si="42"/>
        <v>355074.45745887747</v>
      </c>
      <c r="H133" s="526">
        <f t="shared" si="43"/>
        <v>86205.685269660025</v>
      </c>
      <c r="I133" s="577">
        <f t="shared" si="44"/>
        <v>86205.685269660025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  <c r="Q133" s="269"/>
    </row>
    <row r="134" spans="2:17" ht="12.5">
      <c r="B134" s="195" t="str">
        <f t="shared" si="49"/>
        <v/>
      </c>
      <c r="C134" s="507">
        <f>IF(D93="","-",+C133+1)</f>
        <v>2047</v>
      </c>
      <c r="D134" s="374">
        <f>IF(F133+SUM(E$99:E133)=D$92,F133,D$92-SUM(E$99:E133))</f>
        <v>332124.61599546281</v>
      </c>
      <c r="E134" s="522">
        <f>IF(+J96&lt;F133,J96,D134)</f>
        <v>45899.682926829271</v>
      </c>
      <c r="F134" s="523">
        <f t="shared" si="50"/>
        <v>286224.93306863355</v>
      </c>
      <c r="G134" s="523">
        <f t="shared" si="42"/>
        <v>309174.77453204815</v>
      </c>
      <c r="H134" s="526">
        <f t="shared" si="43"/>
        <v>80995.41827151012</v>
      </c>
      <c r="I134" s="577">
        <f t="shared" si="44"/>
        <v>80995.41827151012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  <c r="Q134" s="269"/>
    </row>
    <row r="135" spans="2:17" ht="12.5">
      <c r="B135" s="195" t="str">
        <f t="shared" si="49"/>
        <v/>
      </c>
      <c r="C135" s="507">
        <f>IF(D93="","-",+C134+1)</f>
        <v>2048</v>
      </c>
      <c r="D135" s="374">
        <f>IF(F134+SUM(E$99:E134)=D$92,F134,D$92-SUM(E$99:E134))</f>
        <v>286224.93306863355</v>
      </c>
      <c r="E135" s="522">
        <f>IF(+J96&lt;F134,J96,D135)</f>
        <v>45899.682926829271</v>
      </c>
      <c r="F135" s="523">
        <f t="shared" si="50"/>
        <v>240325.25014180428</v>
      </c>
      <c r="G135" s="523">
        <f t="shared" si="42"/>
        <v>263275.09160521894</v>
      </c>
      <c r="H135" s="526">
        <f t="shared" si="43"/>
        <v>75785.151273360229</v>
      </c>
      <c r="I135" s="577">
        <f t="shared" si="44"/>
        <v>75785.151273360229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  <c r="Q135" s="269"/>
    </row>
    <row r="136" spans="2:17" ht="12.5">
      <c r="B136" s="195" t="str">
        <f t="shared" si="49"/>
        <v/>
      </c>
      <c r="C136" s="507">
        <f>IF(D93="","-",+C135+1)</f>
        <v>2049</v>
      </c>
      <c r="D136" s="374">
        <f>IF(F135+SUM(E$99:E135)=D$92,F135,D$92-SUM(E$99:E135))</f>
        <v>240325.25014180428</v>
      </c>
      <c r="E136" s="522">
        <f>IF(+J96&lt;F135,J96,D136)</f>
        <v>45899.682926829271</v>
      </c>
      <c r="F136" s="523">
        <f t="shared" si="50"/>
        <v>194425.56721497502</v>
      </c>
      <c r="G136" s="523">
        <f t="shared" si="42"/>
        <v>217375.40867838965</v>
      </c>
      <c r="H136" s="526">
        <f t="shared" si="43"/>
        <v>70574.884275210323</v>
      </c>
      <c r="I136" s="577">
        <f t="shared" si="44"/>
        <v>70574.884275210323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  <c r="Q136" s="269"/>
    </row>
    <row r="137" spans="2:17" ht="12.5">
      <c r="B137" s="195" t="str">
        <f t="shared" si="49"/>
        <v/>
      </c>
      <c r="C137" s="507">
        <f>IF(D93="","-",+C136+1)</f>
        <v>2050</v>
      </c>
      <c r="D137" s="374">
        <f>IF(F136+SUM(E$99:E136)=D$92,F136,D$92-SUM(E$99:E136))</f>
        <v>194425.56721497502</v>
      </c>
      <c r="E137" s="522">
        <f>IF(+J96&lt;F136,J96,D137)</f>
        <v>45899.682926829271</v>
      </c>
      <c r="F137" s="523">
        <f t="shared" si="50"/>
        <v>148525.88428814575</v>
      </c>
      <c r="G137" s="523">
        <f t="shared" si="42"/>
        <v>171475.72575156039</v>
      </c>
      <c r="H137" s="526">
        <f t="shared" si="43"/>
        <v>65364.617277060432</v>
      </c>
      <c r="I137" s="577">
        <f t="shared" si="44"/>
        <v>65364.617277060432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  <c r="Q137" s="269"/>
    </row>
    <row r="138" spans="2:17" ht="12.5">
      <c r="B138" s="195" t="str">
        <f t="shared" si="49"/>
        <v/>
      </c>
      <c r="C138" s="507">
        <f>IF(D93="","-",+C137+1)</f>
        <v>2051</v>
      </c>
      <c r="D138" s="374">
        <f>IF(F137+SUM(E$99:E137)=D$92,F137,D$92-SUM(E$99:E137))</f>
        <v>148525.88428814575</v>
      </c>
      <c r="E138" s="522">
        <f>IF(+J96&lt;F137,J96,D138)</f>
        <v>45899.682926829271</v>
      </c>
      <c r="F138" s="523">
        <f t="shared" si="50"/>
        <v>102626.20136131649</v>
      </c>
      <c r="G138" s="523">
        <f t="shared" si="42"/>
        <v>125576.04282473112</v>
      </c>
      <c r="H138" s="526">
        <f t="shared" si="43"/>
        <v>60154.350278910533</v>
      </c>
      <c r="I138" s="577">
        <f t="shared" si="44"/>
        <v>60154.350278910533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  <c r="Q138" s="269"/>
    </row>
    <row r="139" spans="2:17" ht="12.5">
      <c r="B139" s="195" t="str">
        <f t="shared" si="49"/>
        <v/>
      </c>
      <c r="C139" s="507">
        <f>IF(D93="","-",+C138+1)</f>
        <v>2052</v>
      </c>
      <c r="D139" s="374">
        <f>IF(F138+SUM(E$99:E138)=D$92,F138,D$92-SUM(E$99:E138))</f>
        <v>102626.20136131649</v>
      </c>
      <c r="E139" s="522">
        <f>IF(+J96&lt;F138,J96,D139)</f>
        <v>45899.682926829271</v>
      </c>
      <c r="F139" s="523">
        <f t="shared" si="50"/>
        <v>56726.518434487218</v>
      </c>
      <c r="G139" s="523">
        <f t="shared" si="42"/>
        <v>79676.359897901857</v>
      </c>
      <c r="H139" s="526">
        <f t="shared" si="43"/>
        <v>54944.083280760635</v>
      </c>
      <c r="I139" s="577">
        <f t="shared" si="44"/>
        <v>54944.083280760635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  <c r="Q139" s="269"/>
    </row>
    <row r="140" spans="2:17" ht="12.5">
      <c r="B140" s="195" t="str">
        <f t="shared" si="49"/>
        <v/>
      </c>
      <c r="C140" s="507">
        <f>IF(D93="","-",+C139+1)</f>
        <v>2053</v>
      </c>
      <c r="D140" s="374">
        <f>IF(F139+SUM(E$99:E139)=D$92,F139,D$92-SUM(E$99:E139))</f>
        <v>56726.518434487218</v>
      </c>
      <c r="E140" s="522">
        <f>IF(+J96&lt;F139,J96,D140)</f>
        <v>45899.682926829271</v>
      </c>
      <c r="F140" s="523">
        <f t="shared" si="50"/>
        <v>10826.835507657946</v>
      </c>
      <c r="G140" s="523">
        <f t="shared" si="42"/>
        <v>33776.676971072578</v>
      </c>
      <c r="H140" s="526">
        <f t="shared" si="43"/>
        <v>49733.816282610736</v>
      </c>
      <c r="I140" s="577">
        <f t="shared" si="44"/>
        <v>49733.816282610736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  <c r="Q140" s="269"/>
    </row>
    <row r="141" spans="2:17" ht="12.5">
      <c r="B141" s="195" t="str">
        <f t="shared" si="49"/>
        <v/>
      </c>
      <c r="C141" s="507">
        <f>IF(D93="","-",+C140+1)</f>
        <v>2054</v>
      </c>
      <c r="D141" s="374">
        <f>IF(F140+SUM(E$99:E140)=D$92,F140,D$92-SUM(E$99:E140))</f>
        <v>10826.835507657946</v>
      </c>
      <c r="E141" s="522">
        <f>IF(+J96&lt;F140,J96,D141)</f>
        <v>10826.835507657946</v>
      </c>
      <c r="F141" s="523">
        <f t="shared" si="50"/>
        <v>0</v>
      </c>
      <c r="G141" s="523">
        <f t="shared" si="42"/>
        <v>5413.4177538289732</v>
      </c>
      <c r="H141" s="526">
        <f t="shared" si="43"/>
        <v>11441.335436011204</v>
      </c>
      <c r="I141" s="577">
        <f t="shared" si="44"/>
        <v>11441.335436011204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  <c r="Q141" s="269"/>
    </row>
    <row r="142" spans="2:17" ht="12.5">
      <c r="B142" s="195" t="str">
        <f t="shared" si="49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0"/>
        <v>0</v>
      </c>
      <c r="G142" s="523">
        <f t="shared" si="42"/>
        <v>0</v>
      </c>
      <c r="H142" s="526">
        <f t="shared" si="43"/>
        <v>0</v>
      </c>
      <c r="I142" s="577">
        <f t="shared" si="44"/>
        <v>0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  <c r="Q142" s="269"/>
    </row>
    <row r="143" spans="2:17" ht="12.5">
      <c r="B143" s="195" t="str">
        <f t="shared" si="49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0"/>
        <v>0</v>
      </c>
      <c r="G143" s="523">
        <f t="shared" si="42"/>
        <v>0</v>
      </c>
      <c r="H143" s="526">
        <f t="shared" si="43"/>
        <v>0</v>
      </c>
      <c r="I143" s="577">
        <f t="shared" si="44"/>
        <v>0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  <c r="Q143" s="269"/>
    </row>
    <row r="144" spans="2:17" ht="12.5">
      <c r="B144" s="195" t="str">
        <f t="shared" si="49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0"/>
        <v>0</v>
      </c>
      <c r="G144" s="523">
        <f t="shared" si="42"/>
        <v>0</v>
      </c>
      <c r="H144" s="526">
        <f t="shared" si="43"/>
        <v>0</v>
      </c>
      <c r="I144" s="577">
        <f t="shared" si="44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  <c r="Q144" s="269"/>
    </row>
    <row r="145" spans="2:17" ht="12.5">
      <c r="B145" s="195" t="str">
        <f t="shared" si="49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0"/>
        <v>0</v>
      </c>
      <c r="G145" s="523">
        <f t="shared" si="42"/>
        <v>0</v>
      </c>
      <c r="H145" s="526">
        <f t="shared" si="43"/>
        <v>0</v>
      </c>
      <c r="I145" s="577">
        <f t="shared" si="44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  <c r="Q145" s="269"/>
    </row>
    <row r="146" spans="2:17" ht="12.5">
      <c r="B146" s="195" t="str">
        <f t="shared" si="49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0"/>
        <v>0</v>
      </c>
      <c r="G146" s="523">
        <f t="shared" si="42"/>
        <v>0</v>
      </c>
      <c r="H146" s="526">
        <f t="shared" si="43"/>
        <v>0</v>
      </c>
      <c r="I146" s="577">
        <f t="shared" si="44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  <c r="Q146" s="269"/>
    </row>
    <row r="147" spans="2:17" ht="12.5">
      <c r="B147" s="195" t="str">
        <f t="shared" si="49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0"/>
        <v>0</v>
      </c>
      <c r="G147" s="523">
        <f t="shared" si="42"/>
        <v>0</v>
      </c>
      <c r="H147" s="526">
        <f t="shared" si="43"/>
        <v>0</v>
      </c>
      <c r="I147" s="577">
        <f t="shared" si="44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  <c r="Q147" s="269"/>
    </row>
    <row r="148" spans="2:17" ht="12.5">
      <c r="B148" s="195" t="str">
        <f t="shared" si="49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0"/>
        <v>0</v>
      </c>
      <c r="G148" s="523">
        <f t="shared" si="42"/>
        <v>0</v>
      </c>
      <c r="H148" s="526">
        <f t="shared" si="43"/>
        <v>0</v>
      </c>
      <c r="I148" s="577">
        <f t="shared" si="44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  <c r="Q148" s="269"/>
    </row>
    <row r="149" spans="2:17" ht="12.5">
      <c r="B149" s="195" t="str">
        <f t="shared" si="49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0"/>
        <v>0</v>
      </c>
      <c r="G149" s="523">
        <f t="shared" si="42"/>
        <v>0</v>
      </c>
      <c r="H149" s="526">
        <f t="shared" si="43"/>
        <v>0</v>
      </c>
      <c r="I149" s="577">
        <f t="shared" si="44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  <c r="Q149" s="269"/>
    </row>
    <row r="150" spans="2:17" ht="12.5">
      <c r="B150" s="195" t="str">
        <f t="shared" si="49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0"/>
        <v>0</v>
      </c>
      <c r="G150" s="523">
        <f t="shared" si="42"/>
        <v>0</v>
      </c>
      <c r="H150" s="526">
        <f t="shared" si="43"/>
        <v>0</v>
      </c>
      <c r="I150" s="577">
        <f t="shared" si="44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  <c r="Q150" s="269"/>
    </row>
    <row r="151" spans="2:17" ht="12.5">
      <c r="B151" s="195" t="str">
        <f t="shared" si="49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0"/>
        <v>0</v>
      </c>
      <c r="G151" s="523">
        <f t="shared" si="42"/>
        <v>0</v>
      </c>
      <c r="H151" s="526">
        <f t="shared" si="43"/>
        <v>0</v>
      </c>
      <c r="I151" s="577">
        <f t="shared" si="44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  <c r="Q151" s="269"/>
    </row>
    <row r="152" spans="2:17" ht="12.5">
      <c r="B152" s="195" t="str">
        <f t="shared" si="49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0"/>
        <v>0</v>
      </c>
      <c r="G152" s="523">
        <f t="shared" si="42"/>
        <v>0</v>
      </c>
      <c r="H152" s="526">
        <f t="shared" si="43"/>
        <v>0</v>
      </c>
      <c r="I152" s="577">
        <f t="shared" si="44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  <c r="Q152" s="269"/>
    </row>
    <row r="153" spans="2:17" ht="12.5">
      <c r="B153" s="195" t="str">
        <f t="shared" si="49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0"/>
        <v>0</v>
      </c>
      <c r="G153" s="523">
        <f t="shared" si="42"/>
        <v>0</v>
      </c>
      <c r="H153" s="526">
        <f t="shared" si="43"/>
        <v>0</v>
      </c>
      <c r="I153" s="577">
        <f t="shared" si="44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  <c r="Q153" s="269"/>
    </row>
    <row r="154" spans="2:17" ht="13" thickBot="1">
      <c r="B154" s="195" t="str">
        <f t="shared" si="49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0"/>
        <v>0</v>
      </c>
      <c r="G154" s="528">
        <f t="shared" si="42"/>
        <v>0</v>
      </c>
      <c r="H154" s="530">
        <f t="shared" si="43"/>
        <v>0</v>
      </c>
      <c r="I154" s="579">
        <f t="shared" si="44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  <c r="Q154" s="269"/>
    </row>
    <row r="155" spans="2:17" ht="12.5">
      <c r="C155" s="374" t="s">
        <v>78</v>
      </c>
      <c r="D155" s="375"/>
      <c r="E155" s="375">
        <f>SUM(E99:E154)</f>
        <v>1881887</v>
      </c>
      <c r="F155" s="375"/>
      <c r="G155" s="375"/>
      <c r="H155" s="375">
        <f>SUM(H99:H154)</f>
        <v>6563373.9066789616</v>
      </c>
      <c r="I155" s="375">
        <f>SUM(I99:I154)</f>
        <v>6563373.9066789616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3" priority="1" stopIfTrue="1" operator="equal">
      <formula>$I$10</formula>
    </cfRule>
  </conditionalFormatting>
  <conditionalFormatting sqref="C99:C154">
    <cfRule type="cellIs" dxfId="10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81"/>
  <dimension ref="A1:Q162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30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5597807.5083239786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5597807.5083239786</v>
      </c>
      <c r="O6" s="269"/>
      <c r="P6" s="269"/>
    </row>
    <row r="7" spans="1:17" ht="13.5" thickBot="1">
      <c r="C7" s="467" t="s">
        <v>48</v>
      </c>
      <c r="D7" s="620" t="s">
        <v>283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248</v>
      </c>
      <c r="E9" s="666" t="s">
        <v>491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47660028.540000007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8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1134762.5842857144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47434000</v>
      </c>
      <c r="E17" s="509">
        <v>376460.31746031746</v>
      </c>
      <c r="F17" s="508">
        <v>47057539.682539679</v>
      </c>
      <c r="G17" s="509">
        <v>7374864.2102739988</v>
      </c>
      <c r="H17" s="510">
        <v>7374864.2102739988</v>
      </c>
      <c r="I17" s="617">
        <v>0</v>
      </c>
      <c r="J17" s="511"/>
      <c r="K17" s="512">
        <f t="shared" ref="K17:K22" si="0">G17</f>
        <v>7374864.2102739988</v>
      </c>
      <c r="L17" s="597">
        <f t="shared" ref="L17:L48" si="1">IF(K17&lt;&gt;0,+G17-K17,0)</f>
        <v>0</v>
      </c>
      <c r="M17" s="512">
        <f t="shared" ref="M17:M22" si="2">H17</f>
        <v>7374864.2102739988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608">
        <v>46796111.682539679</v>
      </c>
      <c r="E18" s="609">
        <v>1123156.4761904762</v>
      </c>
      <c r="F18" s="608">
        <v>45672955.206349202</v>
      </c>
      <c r="G18" s="609">
        <v>7516780.2053061184</v>
      </c>
      <c r="H18" s="610">
        <v>7516780.2053061184</v>
      </c>
      <c r="I18" s="616">
        <v>0</v>
      </c>
      <c r="J18" s="511"/>
      <c r="K18" s="518">
        <f t="shared" si="0"/>
        <v>7516780.2053061184</v>
      </c>
      <c r="L18" s="519">
        <f t="shared" ref="L18:L23" si="6">IF(K18&lt;&gt;0,+G18-K18,0)</f>
        <v>0</v>
      </c>
      <c r="M18" s="518">
        <f t="shared" si="2"/>
        <v>7516780.2053061184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608">
        <v>45915504.206349209</v>
      </c>
      <c r="E19" s="609">
        <v>1128931.4523809524</v>
      </c>
      <c r="F19" s="608">
        <v>44786572.753968254</v>
      </c>
      <c r="G19" s="609">
        <v>7171110.7453941712</v>
      </c>
      <c r="H19" s="610">
        <v>7171110.7453941712</v>
      </c>
      <c r="I19" s="616">
        <v>0</v>
      </c>
      <c r="J19" s="511"/>
      <c r="K19" s="518">
        <f t="shared" si="0"/>
        <v>7171110.7453941712</v>
      </c>
      <c r="L19" s="519">
        <f t="shared" si="6"/>
        <v>0</v>
      </c>
      <c r="M19" s="518">
        <f t="shared" si="2"/>
        <v>7171110.7453941712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608">
        <v>45031351.753968254</v>
      </c>
      <c r="E20" s="609">
        <v>1134759.5238095238</v>
      </c>
      <c r="F20" s="608">
        <v>43896592.230158731</v>
      </c>
      <c r="G20" s="609">
        <v>6916151.4669681974</v>
      </c>
      <c r="H20" s="610">
        <v>6916151.4669681974</v>
      </c>
      <c r="I20" s="511">
        <v>0</v>
      </c>
      <c r="J20" s="511"/>
      <c r="K20" s="518">
        <f t="shared" si="0"/>
        <v>6916151.4669681974</v>
      </c>
      <c r="L20" s="519">
        <f t="shared" si="6"/>
        <v>0</v>
      </c>
      <c r="M20" s="518">
        <f t="shared" si="2"/>
        <v>6916151.4669681974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608">
        <v>43896592.230158731</v>
      </c>
      <c r="E21" s="609">
        <v>1134759.5238095238</v>
      </c>
      <c r="F21" s="608">
        <v>42761832.706349209</v>
      </c>
      <c r="G21" s="609">
        <v>6697217.6540145967</v>
      </c>
      <c r="H21" s="610">
        <v>6697217.6540145967</v>
      </c>
      <c r="I21" s="511">
        <f t="shared" ref="I21:I48" si="9">H21-G21</f>
        <v>0</v>
      </c>
      <c r="J21" s="511"/>
      <c r="K21" s="518">
        <f t="shared" si="0"/>
        <v>6697217.6540145967</v>
      </c>
      <c r="L21" s="519">
        <f t="shared" si="6"/>
        <v>0</v>
      </c>
      <c r="M21" s="518">
        <f t="shared" si="2"/>
        <v>6697217.6540145967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2017</v>
      </c>
      <c r="D22" s="608">
        <v>42761961.706349209</v>
      </c>
      <c r="E22" s="609">
        <v>1108372.7674418604</v>
      </c>
      <c r="F22" s="608">
        <v>41653588.938907348</v>
      </c>
      <c r="G22" s="609">
        <v>6337600.9904746711</v>
      </c>
      <c r="H22" s="610">
        <v>6337600.9904746711</v>
      </c>
      <c r="I22" s="511">
        <f t="shared" si="9"/>
        <v>0</v>
      </c>
      <c r="J22" s="511"/>
      <c r="K22" s="518">
        <f t="shared" si="0"/>
        <v>6337600.9904746711</v>
      </c>
      <c r="L22" s="519">
        <f t="shared" si="6"/>
        <v>0</v>
      </c>
      <c r="M22" s="518">
        <f t="shared" si="2"/>
        <v>6337600.9904746711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08">
        <v>41653588.938907348</v>
      </c>
      <c r="E23" s="609">
        <v>1162439.7317073171</v>
      </c>
      <c r="F23" s="608">
        <v>40491149.207200028</v>
      </c>
      <c r="G23" s="609">
        <v>6382495.4698959831</v>
      </c>
      <c r="H23" s="610">
        <v>6382495.4698959831</v>
      </c>
      <c r="I23" s="511">
        <f t="shared" si="9"/>
        <v>0</v>
      </c>
      <c r="J23" s="511"/>
      <c r="K23" s="518">
        <f>G23</f>
        <v>6382495.4698959831</v>
      </c>
      <c r="L23" s="519">
        <f t="shared" si="6"/>
        <v>0</v>
      </c>
      <c r="M23" s="518">
        <f>H23</f>
        <v>6382495.4698959831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08">
        <v>40491149.207200028</v>
      </c>
      <c r="E24" s="609">
        <v>1162439.7317073171</v>
      </c>
      <c r="F24" s="608">
        <v>39328709.475492708</v>
      </c>
      <c r="G24" s="609">
        <v>6234756.239636234</v>
      </c>
      <c r="H24" s="610">
        <v>6234756.239636234</v>
      </c>
      <c r="I24" s="511">
        <f t="shared" si="9"/>
        <v>0</v>
      </c>
      <c r="J24" s="511"/>
      <c r="K24" s="518">
        <f>G24</f>
        <v>6234756.239636234</v>
      </c>
      <c r="L24" s="519">
        <f t="shared" ref="L24" si="10">IF(K24&lt;&gt;0,+G24-K24,0)</f>
        <v>0</v>
      </c>
      <c r="M24" s="518">
        <f>H24</f>
        <v>6234756.239636234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08">
        <v>39328709.475492708</v>
      </c>
      <c r="E25" s="609">
        <v>1162439.7317073171</v>
      </c>
      <c r="F25" s="608">
        <v>38166269.743785389</v>
      </c>
      <c r="G25" s="609">
        <v>5127681.7221303442</v>
      </c>
      <c r="H25" s="610">
        <v>5127681.7221303442</v>
      </c>
      <c r="I25" s="511">
        <f t="shared" si="9"/>
        <v>0</v>
      </c>
      <c r="J25" s="511"/>
      <c r="K25" s="518">
        <f>G25</f>
        <v>5127681.7221303442</v>
      </c>
      <c r="L25" s="519">
        <f t="shared" ref="L25" si="11">IF(K25&lt;&gt;0,+G25-K25,0)</f>
        <v>0</v>
      </c>
      <c r="M25" s="518">
        <f>H25</f>
        <v>5127681.7221303442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608">
        <v>38220336.708050847</v>
      </c>
      <c r="E26" s="609">
        <v>1134762.5952380951</v>
      </c>
      <c r="F26" s="608">
        <v>37085574.11281275</v>
      </c>
      <c r="G26" s="609">
        <v>5126147.0030310545</v>
      </c>
      <c r="H26" s="610">
        <v>5126147.0030310545</v>
      </c>
      <c r="I26" s="511">
        <f t="shared" si="9"/>
        <v>0</v>
      </c>
      <c r="J26" s="511"/>
      <c r="K26" s="518">
        <f>G26</f>
        <v>5126147.0030310545</v>
      </c>
      <c r="L26" s="519">
        <f t="shared" ref="L26" si="12">IF(K26&lt;&gt;0,+G26-K26,0)</f>
        <v>0</v>
      </c>
      <c r="M26" s="518">
        <f>H26</f>
        <v>5126147.0030310545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608">
        <v>37031507.148547299</v>
      </c>
      <c r="E27" s="609">
        <v>1134762.5952380951</v>
      </c>
      <c r="F27" s="608">
        <v>35896744.553309202</v>
      </c>
      <c r="G27" s="609">
        <v>5234938.295176344</v>
      </c>
      <c r="H27" s="610">
        <v>5234938.295176344</v>
      </c>
      <c r="I27" s="511">
        <f t="shared" si="9"/>
        <v>0</v>
      </c>
      <c r="J27" s="511"/>
      <c r="K27" s="518">
        <f>G27</f>
        <v>5234938.295176344</v>
      </c>
      <c r="L27" s="519">
        <f t="shared" ref="L27" si="13">IF(K27&lt;&gt;0,+G27-K27,0)</f>
        <v>0</v>
      </c>
      <c r="M27" s="518">
        <f>H27</f>
        <v>5234938.295176344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2023</v>
      </c>
      <c r="D28" s="523">
        <f>IF(F27+SUM(E$17:E27)=D$10,F27,D$10-SUM(E$17:E27))</f>
        <v>35896744.093309209</v>
      </c>
      <c r="E28" s="522">
        <f>IF(+I14&lt;F27,I14,D28)</f>
        <v>1134762.5842857144</v>
      </c>
      <c r="F28" s="523">
        <f t="shared" ref="F28:F48" si="14">+D28-E28</f>
        <v>34761981.509023495</v>
      </c>
      <c r="G28" s="524">
        <f t="shared" ref="G28:G53" si="15">+I$12*((D28+F28)/2)+E28</f>
        <v>5597807.5083239786</v>
      </c>
      <c r="H28" s="491">
        <f t="shared" ref="H28:H53" si="16">+I$13*((D28+F28)/2)+E28</f>
        <v>5597807.5083239786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34761981.509023495</v>
      </c>
      <c r="E29" s="522">
        <f>IF(+I14&lt;F28,I14,D29)</f>
        <v>1134762.5842857144</v>
      </c>
      <c r="F29" s="523">
        <f t="shared" si="14"/>
        <v>33627218.924737781</v>
      </c>
      <c r="G29" s="524">
        <f t="shared" si="15"/>
        <v>5454456.5959317023</v>
      </c>
      <c r="H29" s="491">
        <f t="shared" si="16"/>
        <v>5454456.5959317023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33627218.924737781</v>
      </c>
      <c r="E30" s="522">
        <f>IF(+I14&lt;F29,I14,D30)</f>
        <v>1134762.5842857144</v>
      </c>
      <c r="F30" s="523">
        <f t="shared" si="14"/>
        <v>32492456.340452068</v>
      </c>
      <c r="G30" s="524">
        <f t="shared" si="15"/>
        <v>5311105.6835394278</v>
      </c>
      <c r="H30" s="491">
        <f t="shared" si="16"/>
        <v>5311105.6835394278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32492456.340452068</v>
      </c>
      <c r="E31" s="522">
        <f>IF(+I14&lt;F30,I14,D31)</f>
        <v>1134762.5842857144</v>
      </c>
      <c r="F31" s="523">
        <f t="shared" si="14"/>
        <v>31357693.756166354</v>
      </c>
      <c r="G31" s="524">
        <f t="shared" si="15"/>
        <v>5167754.7711471524</v>
      </c>
      <c r="H31" s="491">
        <f t="shared" si="16"/>
        <v>5167754.7711471524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31357693.756166354</v>
      </c>
      <c r="E32" s="522">
        <f>IF(+I14&lt;F31,I14,D32)</f>
        <v>1134762.5842857144</v>
      </c>
      <c r="F32" s="523">
        <f t="shared" si="14"/>
        <v>30222931.17188064</v>
      </c>
      <c r="G32" s="524">
        <f t="shared" si="15"/>
        <v>5024403.8587548779</v>
      </c>
      <c r="H32" s="491">
        <f t="shared" si="16"/>
        <v>5024403.8587548779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30222931.17188064</v>
      </c>
      <c r="E33" s="522">
        <f>IF(+I14&lt;F32,I14,D33)</f>
        <v>1134762.5842857144</v>
      </c>
      <c r="F33" s="523">
        <f t="shared" si="14"/>
        <v>29088168.587594926</v>
      </c>
      <c r="G33" s="524">
        <f t="shared" si="15"/>
        <v>4881052.9463626025</v>
      </c>
      <c r="H33" s="491">
        <f t="shared" si="16"/>
        <v>4881052.9463626025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29088168.587594926</v>
      </c>
      <c r="E34" s="522">
        <f>IF(+I14&lt;F33,I14,D34)</f>
        <v>1134762.5842857144</v>
      </c>
      <c r="F34" s="523">
        <f t="shared" si="14"/>
        <v>27953406.003309213</v>
      </c>
      <c r="G34" s="524">
        <f t="shared" si="15"/>
        <v>4737702.033970328</v>
      </c>
      <c r="H34" s="491">
        <f t="shared" si="16"/>
        <v>4737702.033970328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27953406.003309213</v>
      </c>
      <c r="E35" s="522">
        <f>IF(+I14&lt;F34,I14,D35)</f>
        <v>1134762.5842857144</v>
      </c>
      <c r="F35" s="523">
        <f t="shared" si="14"/>
        <v>26818643.419023499</v>
      </c>
      <c r="G35" s="524">
        <f t="shared" si="15"/>
        <v>4594351.1215780526</v>
      </c>
      <c r="H35" s="491">
        <f t="shared" si="16"/>
        <v>4594351.1215780526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26818643.419023499</v>
      </c>
      <c r="E36" s="522">
        <f>IF(+I14&lt;F35,I14,D36)</f>
        <v>1134762.5842857144</v>
      </c>
      <c r="F36" s="523">
        <f t="shared" si="14"/>
        <v>25683880.834737785</v>
      </c>
      <c r="G36" s="524">
        <f t="shared" si="15"/>
        <v>4451000.2091857782</v>
      </c>
      <c r="H36" s="491">
        <f t="shared" si="16"/>
        <v>4451000.2091857782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25683880.834737785</v>
      </c>
      <c r="E37" s="522">
        <f>IF(+I14&lt;F36,I14,D37)</f>
        <v>1134762.5842857144</v>
      </c>
      <c r="F37" s="523">
        <f t="shared" si="14"/>
        <v>24549118.250452071</v>
      </c>
      <c r="G37" s="524">
        <f t="shared" si="15"/>
        <v>4307649.2967935028</v>
      </c>
      <c r="H37" s="491">
        <f t="shared" si="16"/>
        <v>4307649.2967935028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24549118.250452071</v>
      </c>
      <c r="E38" s="522">
        <f>IF(+I14&lt;F37,I14,D38)</f>
        <v>1134762.5842857144</v>
      </c>
      <c r="F38" s="523">
        <f t="shared" si="14"/>
        <v>23414355.666166358</v>
      </c>
      <c r="G38" s="524">
        <f t="shared" si="15"/>
        <v>4164298.3844012283</v>
      </c>
      <c r="H38" s="491">
        <f t="shared" si="16"/>
        <v>4164298.3844012283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23414355.666166358</v>
      </c>
      <c r="E39" s="522">
        <f>IF(+I14&lt;F38,I14,D39)</f>
        <v>1134762.5842857144</v>
      </c>
      <c r="F39" s="523">
        <f t="shared" si="14"/>
        <v>22279593.081880644</v>
      </c>
      <c r="G39" s="524">
        <f t="shared" si="15"/>
        <v>4020947.4720089529</v>
      </c>
      <c r="H39" s="491">
        <f t="shared" si="16"/>
        <v>4020947.4720089529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22279593.081880644</v>
      </c>
      <c r="E40" s="522">
        <f>IF(+I14&lt;F39,I14,D40)</f>
        <v>1134762.5842857144</v>
      </c>
      <c r="F40" s="523">
        <f t="shared" si="14"/>
        <v>21144830.49759493</v>
      </c>
      <c r="G40" s="524">
        <f t="shared" si="15"/>
        <v>3877596.5596166775</v>
      </c>
      <c r="H40" s="491">
        <f t="shared" si="16"/>
        <v>3877596.5596166775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21144830.49759493</v>
      </c>
      <c r="E41" s="522">
        <f>IF(+I14&lt;F40,I14,D41)</f>
        <v>1134762.5842857144</v>
      </c>
      <c r="F41" s="523">
        <f t="shared" si="14"/>
        <v>20010067.913309216</v>
      </c>
      <c r="G41" s="524">
        <f t="shared" si="15"/>
        <v>3734245.647224403</v>
      </c>
      <c r="H41" s="491">
        <f t="shared" si="16"/>
        <v>3734245.647224403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20010067.913309216</v>
      </c>
      <c r="E42" s="522">
        <f>IF(+I14&lt;F41,I14,D42)</f>
        <v>1134762.5842857144</v>
      </c>
      <c r="F42" s="523">
        <f t="shared" si="14"/>
        <v>18875305.329023503</v>
      </c>
      <c r="G42" s="524">
        <f t="shared" si="15"/>
        <v>3590894.7348321276</v>
      </c>
      <c r="H42" s="491">
        <f t="shared" si="16"/>
        <v>3590894.7348321276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18875305.329023503</v>
      </c>
      <c r="E43" s="522">
        <f>IF(+I14&lt;F42,I14,D43)</f>
        <v>1134762.5842857144</v>
      </c>
      <c r="F43" s="523">
        <f t="shared" si="14"/>
        <v>17740542.744737789</v>
      </c>
      <c r="G43" s="524">
        <f t="shared" si="15"/>
        <v>3447543.8224398531</v>
      </c>
      <c r="H43" s="491">
        <f t="shared" si="16"/>
        <v>3447543.8224398531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17740542.744737789</v>
      </c>
      <c r="E44" s="522">
        <f>IF(+I14&lt;F43,I14,D44)</f>
        <v>1134762.5842857144</v>
      </c>
      <c r="F44" s="523">
        <f t="shared" si="14"/>
        <v>16605780.160452075</v>
      </c>
      <c r="G44" s="524">
        <f t="shared" si="15"/>
        <v>3304192.9100475777</v>
      </c>
      <c r="H44" s="491">
        <f t="shared" si="16"/>
        <v>3304192.9100475777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16605780.160452075</v>
      </c>
      <c r="E45" s="522">
        <f>IF(+I14&lt;F44,I14,D45)</f>
        <v>1134762.5842857144</v>
      </c>
      <c r="F45" s="523">
        <f t="shared" si="14"/>
        <v>15471017.576166362</v>
      </c>
      <c r="G45" s="524">
        <f t="shared" si="15"/>
        <v>3160841.9976553032</v>
      </c>
      <c r="H45" s="491">
        <f t="shared" si="16"/>
        <v>3160841.9976553032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15471017.576166362</v>
      </c>
      <c r="E46" s="522">
        <f>IF(+I14&lt;F45,I14,D46)</f>
        <v>1134762.5842857144</v>
      </c>
      <c r="F46" s="523">
        <f t="shared" si="14"/>
        <v>14336254.991880648</v>
      </c>
      <c r="G46" s="524">
        <f t="shared" si="15"/>
        <v>3017491.0852630278</v>
      </c>
      <c r="H46" s="491">
        <f t="shared" si="16"/>
        <v>3017491.0852630278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14336254.991880648</v>
      </c>
      <c r="E47" s="522">
        <f>IF(+I14&lt;F46,I14,D47)</f>
        <v>1134762.5842857144</v>
      </c>
      <c r="F47" s="523">
        <f t="shared" si="14"/>
        <v>13201492.407594934</v>
      </c>
      <c r="G47" s="524">
        <f t="shared" si="15"/>
        <v>2874140.1728707529</v>
      </c>
      <c r="H47" s="491">
        <f t="shared" si="16"/>
        <v>2874140.1728707529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13201492.407594934</v>
      </c>
      <c r="E48" s="522">
        <f>IF(+I14&lt;F47,I14,D48)</f>
        <v>1134762.5842857144</v>
      </c>
      <c r="F48" s="523">
        <f t="shared" si="14"/>
        <v>12066729.82330922</v>
      </c>
      <c r="G48" s="524">
        <f t="shared" si="15"/>
        <v>2730789.2604784779</v>
      </c>
      <c r="H48" s="491">
        <f t="shared" si="16"/>
        <v>2730789.2604784779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12066729.82330922</v>
      </c>
      <c r="E49" s="522">
        <f>IF(+I14&lt;F48,I14,D49)</f>
        <v>1134762.5842857144</v>
      </c>
      <c r="F49" s="523">
        <f t="shared" ref="F49:F72" si="17">+D49-E49</f>
        <v>10931967.239023507</v>
      </c>
      <c r="G49" s="524">
        <f t="shared" si="15"/>
        <v>2587438.348086203</v>
      </c>
      <c r="H49" s="491">
        <f t="shared" si="16"/>
        <v>2587438.348086203</v>
      </c>
      <c r="I49" s="511">
        <f t="shared" ref="I49:I72" si="18">H49-G49</f>
        <v>0</v>
      </c>
      <c r="J49" s="511"/>
      <c r="K49" s="525"/>
      <c r="L49" s="514">
        <f t="shared" ref="L49:L72" si="19">IF(K49&lt;&gt;0,+G49-K49,0)</f>
        <v>0</v>
      </c>
      <c r="M49" s="525"/>
      <c r="N49" s="514">
        <f t="shared" ref="N49:N72" si="20">IF(M49&lt;&gt;0,+H49-M49,0)</f>
        <v>0</v>
      </c>
      <c r="O49" s="514">
        <f t="shared" ref="O49:O72" si="21">+N49-L49</f>
        <v>0</v>
      </c>
      <c r="P49" s="272"/>
    </row>
    <row r="50" spans="2:17" ht="12.5">
      <c r="B50" s="195" t="str">
        <f t="shared" ref="B50:B72" si="22">IF(D50=F49,"","IU")</f>
        <v/>
      </c>
      <c r="C50" s="507">
        <f>IF(D11="","-",+C49+1)</f>
        <v>2045</v>
      </c>
      <c r="D50" s="523">
        <f>IF(F49+SUM(E$17:E49)=D$10,F49,D$10-SUM(E$17:E49))</f>
        <v>10931967.239023507</v>
      </c>
      <c r="E50" s="522">
        <f>IF(+I14&lt;F49,I14,D50)</f>
        <v>1134762.5842857144</v>
      </c>
      <c r="F50" s="523">
        <f t="shared" si="17"/>
        <v>9797204.6547377929</v>
      </c>
      <c r="G50" s="524">
        <f t="shared" si="15"/>
        <v>2444087.435693928</v>
      </c>
      <c r="H50" s="491">
        <f t="shared" si="16"/>
        <v>2444087.435693928</v>
      </c>
      <c r="I50" s="511">
        <f t="shared" si="18"/>
        <v>0</v>
      </c>
      <c r="J50" s="511"/>
      <c r="K50" s="525"/>
      <c r="L50" s="514">
        <f t="shared" si="19"/>
        <v>0</v>
      </c>
      <c r="M50" s="525"/>
      <c r="N50" s="514">
        <f t="shared" si="20"/>
        <v>0</v>
      </c>
      <c r="O50" s="514">
        <f t="shared" si="21"/>
        <v>0</v>
      </c>
      <c r="P50" s="272"/>
    </row>
    <row r="51" spans="2:17" ht="12.5">
      <c r="B51" s="195" t="str">
        <f t="shared" si="22"/>
        <v/>
      </c>
      <c r="C51" s="507">
        <f>IF(D11="","-",+C50+1)</f>
        <v>2046</v>
      </c>
      <c r="D51" s="523">
        <f>IF(F50+SUM(E$17:E50)=D$10,F50,D$10-SUM(E$17:E50))</f>
        <v>9797204.6547377929</v>
      </c>
      <c r="E51" s="522">
        <f>IF(+I14&lt;F50,I14,D51)</f>
        <v>1134762.5842857144</v>
      </c>
      <c r="F51" s="523">
        <f t="shared" si="17"/>
        <v>8662442.0704520792</v>
      </c>
      <c r="G51" s="524">
        <f t="shared" si="15"/>
        <v>2300736.5233016531</v>
      </c>
      <c r="H51" s="491">
        <f t="shared" si="16"/>
        <v>2300736.5233016531</v>
      </c>
      <c r="I51" s="511">
        <f t="shared" si="18"/>
        <v>0</v>
      </c>
      <c r="J51" s="511"/>
      <c r="K51" s="525"/>
      <c r="L51" s="514">
        <f t="shared" si="19"/>
        <v>0</v>
      </c>
      <c r="M51" s="525"/>
      <c r="N51" s="514">
        <f t="shared" si="20"/>
        <v>0</v>
      </c>
      <c r="O51" s="514">
        <f t="shared" si="21"/>
        <v>0</v>
      </c>
      <c r="P51" s="272"/>
    </row>
    <row r="52" spans="2:17" ht="12.5">
      <c r="B52" s="195" t="str">
        <f t="shared" si="22"/>
        <v/>
      </c>
      <c r="C52" s="507">
        <f>IF(D11="","-",+C51+1)</f>
        <v>2047</v>
      </c>
      <c r="D52" s="523">
        <f>IF(F51+SUM(E$17:E51)=D$10,F51,D$10-SUM(E$17:E51))</f>
        <v>8662442.0704520792</v>
      </c>
      <c r="E52" s="522">
        <f>IF(+I14&lt;F51,I14,D52)</f>
        <v>1134762.5842857144</v>
      </c>
      <c r="F52" s="523">
        <f t="shared" si="17"/>
        <v>7527679.4861663645</v>
      </c>
      <c r="G52" s="524">
        <f t="shared" si="15"/>
        <v>2157385.6109093782</v>
      </c>
      <c r="H52" s="491">
        <f t="shared" si="16"/>
        <v>2157385.6109093782</v>
      </c>
      <c r="I52" s="511">
        <f t="shared" si="18"/>
        <v>0</v>
      </c>
      <c r="J52" s="511"/>
      <c r="K52" s="525"/>
      <c r="L52" s="514">
        <f t="shared" si="19"/>
        <v>0</v>
      </c>
      <c r="M52" s="525"/>
      <c r="N52" s="514">
        <f t="shared" si="20"/>
        <v>0</v>
      </c>
      <c r="O52" s="514">
        <f t="shared" si="21"/>
        <v>0</v>
      </c>
      <c r="P52" s="272"/>
    </row>
    <row r="53" spans="2:17" ht="12.5">
      <c r="B53" s="195" t="str">
        <f t="shared" si="22"/>
        <v/>
      </c>
      <c r="C53" s="507">
        <f>IF(D11="","-",+C52+1)</f>
        <v>2048</v>
      </c>
      <c r="D53" s="523">
        <f>IF(F52+SUM(E$17:E52)=D$10,F52,D$10-SUM(E$17:E52))</f>
        <v>7527679.4861663645</v>
      </c>
      <c r="E53" s="522">
        <f>IF(+I14&lt;F52,I14,D53)</f>
        <v>1134762.5842857144</v>
      </c>
      <c r="F53" s="523">
        <f t="shared" si="17"/>
        <v>6392916.9018806498</v>
      </c>
      <c r="G53" s="524">
        <f t="shared" si="15"/>
        <v>2014034.6985171027</v>
      </c>
      <c r="H53" s="491">
        <f t="shared" si="16"/>
        <v>2014034.6985171027</v>
      </c>
      <c r="I53" s="511">
        <f t="shared" si="18"/>
        <v>0</v>
      </c>
      <c r="J53" s="511"/>
      <c r="K53" s="525"/>
      <c r="L53" s="514">
        <f t="shared" si="19"/>
        <v>0</v>
      </c>
      <c r="M53" s="525"/>
      <c r="N53" s="514">
        <f t="shared" si="20"/>
        <v>0</v>
      </c>
      <c r="O53" s="514">
        <f t="shared" si="21"/>
        <v>0</v>
      </c>
      <c r="P53" s="272"/>
    </row>
    <row r="54" spans="2:17" ht="12.5">
      <c r="B54" s="195" t="str">
        <f t="shared" si="22"/>
        <v/>
      </c>
      <c r="C54" s="507">
        <f>IF(D11="","-",+C53+1)</f>
        <v>2049</v>
      </c>
      <c r="D54" s="523">
        <f>IF(F53+SUM(E$17:E53)=D$10,F53,D$10-SUM(E$17:E53))</f>
        <v>6392916.9018806498</v>
      </c>
      <c r="E54" s="522">
        <f>IF(+I14&lt;F53,I14,D54)</f>
        <v>1134762.5842857144</v>
      </c>
      <c r="F54" s="523">
        <f t="shared" si="17"/>
        <v>5258154.3175949352</v>
      </c>
      <c r="G54" s="524">
        <f t="shared" ref="G54:G72" si="23">+I$12*((D54+F54)/2)+E54</f>
        <v>1870683.7861248278</v>
      </c>
      <c r="H54" s="491">
        <f t="shared" ref="H54:H72" si="24">+I$13*((D54+F54)/2)+E54</f>
        <v>1870683.7861248278</v>
      </c>
      <c r="I54" s="511">
        <f t="shared" si="18"/>
        <v>0</v>
      </c>
      <c r="J54" s="511"/>
      <c r="K54" s="525"/>
      <c r="L54" s="514">
        <f t="shared" si="19"/>
        <v>0</v>
      </c>
      <c r="M54" s="525"/>
      <c r="N54" s="514">
        <f t="shared" si="20"/>
        <v>0</v>
      </c>
      <c r="O54" s="514">
        <f t="shared" si="21"/>
        <v>0</v>
      </c>
      <c r="P54" s="272"/>
    </row>
    <row r="55" spans="2:17" ht="12.5">
      <c r="B55" s="195" t="str">
        <f t="shared" si="22"/>
        <v/>
      </c>
      <c r="C55" s="507">
        <f>IF(D11="","-",+C54+1)</f>
        <v>2050</v>
      </c>
      <c r="D55" s="523">
        <f>IF(F54+SUM(E$17:E54)=D$10,F54,D$10-SUM(E$17:E54))</f>
        <v>5258154.3175949352</v>
      </c>
      <c r="E55" s="522">
        <f>IF(+I14&lt;F54,I14,D55)</f>
        <v>1134762.5842857144</v>
      </c>
      <c r="F55" s="523">
        <f t="shared" si="17"/>
        <v>4123391.7333092205</v>
      </c>
      <c r="G55" s="524">
        <f t="shared" si="23"/>
        <v>1727332.8737325524</v>
      </c>
      <c r="H55" s="491">
        <f t="shared" si="24"/>
        <v>1727332.8737325524</v>
      </c>
      <c r="I55" s="511">
        <f t="shared" si="18"/>
        <v>0</v>
      </c>
      <c r="J55" s="511"/>
      <c r="K55" s="525"/>
      <c r="L55" s="514">
        <f t="shared" si="19"/>
        <v>0</v>
      </c>
      <c r="M55" s="525"/>
      <c r="N55" s="514">
        <f t="shared" si="20"/>
        <v>0</v>
      </c>
      <c r="O55" s="514">
        <f t="shared" si="21"/>
        <v>0</v>
      </c>
      <c r="P55" s="272"/>
    </row>
    <row r="56" spans="2:17" ht="12.5">
      <c r="B56" s="195" t="str">
        <f t="shared" si="22"/>
        <v/>
      </c>
      <c r="C56" s="507">
        <f>IF(D11="","-",+C55+1)</f>
        <v>2051</v>
      </c>
      <c r="D56" s="523">
        <f>IF(F55+SUM(E$17:E55)=D$10,F55,D$10-SUM(E$17:E55))</f>
        <v>4123391.7333092205</v>
      </c>
      <c r="E56" s="522">
        <f>IF(+I14&lt;F55,I14,D56)</f>
        <v>1134762.5842857144</v>
      </c>
      <c r="F56" s="523">
        <f t="shared" si="17"/>
        <v>2988629.1490235059</v>
      </c>
      <c r="G56" s="524">
        <f t="shared" si="23"/>
        <v>1583981.9613402775</v>
      </c>
      <c r="H56" s="491">
        <f t="shared" si="24"/>
        <v>1583981.9613402775</v>
      </c>
      <c r="I56" s="511">
        <f t="shared" si="18"/>
        <v>0</v>
      </c>
      <c r="J56" s="511"/>
      <c r="K56" s="525"/>
      <c r="L56" s="514">
        <f t="shared" si="19"/>
        <v>0</v>
      </c>
      <c r="M56" s="525"/>
      <c r="N56" s="514">
        <f t="shared" si="20"/>
        <v>0</v>
      </c>
      <c r="O56" s="514">
        <f t="shared" si="21"/>
        <v>0</v>
      </c>
      <c r="P56" s="272"/>
    </row>
    <row r="57" spans="2:17" ht="12.5">
      <c r="B57" s="195" t="str">
        <f t="shared" si="22"/>
        <v/>
      </c>
      <c r="C57" s="507">
        <f>IF(D11="","-",+C56+1)</f>
        <v>2052</v>
      </c>
      <c r="D57" s="523">
        <f>IF(F56+SUM(E$17:E56)=D$10,F56,D$10-SUM(E$17:E56))</f>
        <v>2988629.1490235059</v>
      </c>
      <c r="E57" s="522">
        <f>IF(+I14&lt;F56,I14,D57)</f>
        <v>1134762.5842857144</v>
      </c>
      <c r="F57" s="523">
        <f t="shared" si="17"/>
        <v>1853866.5647377914</v>
      </c>
      <c r="G57" s="524">
        <f t="shared" si="23"/>
        <v>1440631.0489480025</v>
      </c>
      <c r="H57" s="491">
        <f t="shared" si="24"/>
        <v>1440631.0489480025</v>
      </c>
      <c r="I57" s="511">
        <f t="shared" si="18"/>
        <v>0</v>
      </c>
      <c r="J57" s="511"/>
      <c r="K57" s="525"/>
      <c r="L57" s="514">
        <f t="shared" si="19"/>
        <v>0</v>
      </c>
      <c r="M57" s="525"/>
      <c r="N57" s="514">
        <f t="shared" si="20"/>
        <v>0</v>
      </c>
      <c r="O57" s="514">
        <f t="shared" si="21"/>
        <v>0</v>
      </c>
      <c r="P57" s="272"/>
    </row>
    <row r="58" spans="2:17" ht="12.5">
      <c r="B58" s="195" t="str">
        <f t="shared" si="22"/>
        <v/>
      </c>
      <c r="C58" s="507">
        <f>IF(D11="","-",+C57+1)</f>
        <v>2053</v>
      </c>
      <c r="D58" s="523">
        <f>IF(F57+SUM(E$17:E57)=D$10,F57,D$10-SUM(E$17:E57))</f>
        <v>1853866.5647377914</v>
      </c>
      <c r="E58" s="522">
        <f>IF(+I14&lt;F57,I14,D58)</f>
        <v>1134762.5842857144</v>
      </c>
      <c r="F58" s="523">
        <f t="shared" si="17"/>
        <v>719103.980452077</v>
      </c>
      <c r="G58" s="524">
        <f t="shared" si="23"/>
        <v>1297280.1365557273</v>
      </c>
      <c r="H58" s="491">
        <f t="shared" si="24"/>
        <v>1297280.1365557273</v>
      </c>
      <c r="I58" s="511">
        <f t="shared" si="18"/>
        <v>0</v>
      </c>
      <c r="J58" s="511"/>
      <c r="K58" s="525"/>
      <c r="L58" s="514">
        <f t="shared" si="19"/>
        <v>0</v>
      </c>
      <c r="M58" s="525"/>
      <c r="N58" s="514">
        <f t="shared" si="20"/>
        <v>0</v>
      </c>
      <c r="O58" s="514">
        <f t="shared" si="2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2"/>
        <v/>
      </c>
      <c r="C59" s="507">
        <f>IF(D11="","-",+C58+1)</f>
        <v>2054</v>
      </c>
      <c r="D59" s="523">
        <f>IF(F58+SUM(E$17:E58)=D$10,F58,D$10-SUM(E$17:E58))</f>
        <v>719103.980452077</v>
      </c>
      <c r="E59" s="522">
        <f>IF(+I14&lt;F58,I14,D59)</f>
        <v>719103.980452077</v>
      </c>
      <c r="F59" s="523">
        <f t="shared" si="17"/>
        <v>0</v>
      </c>
      <c r="G59" s="524">
        <f t="shared" si="23"/>
        <v>764525.02848901472</v>
      </c>
      <c r="H59" s="491">
        <f t="shared" si="24"/>
        <v>764525.02848901472</v>
      </c>
      <c r="I59" s="511">
        <f t="shared" si="18"/>
        <v>0</v>
      </c>
      <c r="J59" s="511"/>
      <c r="K59" s="525"/>
      <c r="L59" s="514">
        <f t="shared" si="19"/>
        <v>0</v>
      </c>
      <c r="M59" s="525"/>
      <c r="N59" s="514">
        <f t="shared" si="20"/>
        <v>0</v>
      </c>
      <c r="O59" s="514">
        <f t="shared" si="21"/>
        <v>0</v>
      </c>
      <c r="P59" s="272"/>
    </row>
    <row r="60" spans="2:17" ht="12.5">
      <c r="B60" s="195" t="str">
        <f t="shared" si="22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7"/>
        <v>0</v>
      </c>
      <c r="G60" s="524">
        <f t="shared" si="23"/>
        <v>0</v>
      </c>
      <c r="H60" s="491">
        <f t="shared" si="24"/>
        <v>0</v>
      </c>
      <c r="I60" s="511">
        <f t="shared" si="18"/>
        <v>0</v>
      </c>
      <c r="J60" s="511"/>
      <c r="K60" s="525"/>
      <c r="L60" s="514">
        <f t="shared" si="19"/>
        <v>0</v>
      </c>
      <c r="M60" s="525"/>
      <c r="N60" s="514">
        <f t="shared" si="20"/>
        <v>0</v>
      </c>
      <c r="O60" s="514">
        <f t="shared" si="21"/>
        <v>0</v>
      </c>
      <c r="P60" s="272"/>
    </row>
    <row r="61" spans="2:17" ht="12.5">
      <c r="B61" s="195" t="str">
        <f t="shared" si="22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7"/>
        <v>0</v>
      </c>
      <c r="G61" s="526">
        <f t="shared" si="23"/>
        <v>0</v>
      </c>
      <c r="H61" s="491">
        <f t="shared" si="24"/>
        <v>0</v>
      </c>
      <c r="I61" s="511">
        <f t="shared" si="18"/>
        <v>0</v>
      </c>
      <c r="J61" s="511"/>
      <c r="K61" s="525"/>
      <c r="L61" s="514">
        <f t="shared" si="19"/>
        <v>0</v>
      </c>
      <c r="M61" s="525"/>
      <c r="N61" s="514">
        <f t="shared" si="20"/>
        <v>0</v>
      </c>
      <c r="O61" s="514">
        <f t="shared" si="21"/>
        <v>0</v>
      </c>
      <c r="P61" s="272"/>
    </row>
    <row r="62" spans="2:17" ht="12.5">
      <c r="B62" s="195" t="str">
        <f t="shared" si="22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7"/>
        <v>0</v>
      </c>
      <c r="G62" s="526">
        <f t="shared" si="23"/>
        <v>0</v>
      </c>
      <c r="H62" s="491">
        <f t="shared" si="24"/>
        <v>0</v>
      </c>
      <c r="I62" s="511">
        <f t="shared" si="18"/>
        <v>0</v>
      </c>
      <c r="J62" s="511"/>
      <c r="K62" s="525"/>
      <c r="L62" s="514">
        <f t="shared" si="19"/>
        <v>0</v>
      </c>
      <c r="M62" s="525"/>
      <c r="N62" s="514">
        <f t="shared" si="20"/>
        <v>0</v>
      </c>
      <c r="O62" s="514">
        <f t="shared" si="21"/>
        <v>0</v>
      </c>
      <c r="P62" s="272"/>
    </row>
    <row r="63" spans="2:17" ht="12.5">
      <c r="B63" s="195" t="str">
        <f t="shared" si="22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7"/>
        <v>0</v>
      </c>
      <c r="G63" s="526">
        <f t="shared" si="23"/>
        <v>0</v>
      </c>
      <c r="H63" s="491">
        <f t="shared" si="24"/>
        <v>0</v>
      </c>
      <c r="I63" s="511">
        <f t="shared" si="18"/>
        <v>0</v>
      </c>
      <c r="J63" s="511"/>
      <c r="K63" s="525"/>
      <c r="L63" s="514">
        <f t="shared" si="19"/>
        <v>0</v>
      </c>
      <c r="M63" s="525"/>
      <c r="N63" s="514">
        <f t="shared" si="20"/>
        <v>0</v>
      </c>
      <c r="O63" s="514">
        <f t="shared" si="21"/>
        <v>0</v>
      </c>
      <c r="P63" s="272"/>
    </row>
    <row r="64" spans="2:17" ht="12.5">
      <c r="B64" s="195" t="str">
        <f t="shared" si="22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7"/>
        <v>0</v>
      </c>
      <c r="G64" s="526">
        <f t="shared" si="23"/>
        <v>0</v>
      </c>
      <c r="H64" s="491">
        <f t="shared" si="24"/>
        <v>0</v>
      </c>
      <c r="I64" s="511">
        <f t="shared" si="18"/>
        <v>0</v>
      </c>
      <c r="J64" s="511"/>
      <c r="K64" s="525"/>
      <c r="L64" s="514">
        <f t="shared" si="19"/>
        <v>0</v>
      </c>
      <c r="M64" s="525"/>
      <c r="N64" s="514">
        <f t="shared" si="20"/>
        <v>0</v>
      </c>
      <c r="O64" s="514">
        <f t="shared" si="21"/>
        <v>0</v>
      </c>
      <c r="P64" s="272"/>
    </row>
    <row r="65" spans="1:16" ht="12.5">
      <c r="B65" s="195" t="str">
        <f t="shared" si="22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7"/>
        <v>0</v>
      </c>
      <c r="G65" s="526">
        <f t="shared" si="23"/>
        <v>0</v>
      </c>
      <c r="H65" s="491">
        <f t="shared" si="24"/>
        <v>0</v>
      </c>
      <c r="I65" s="511">
        <f t="shared" si="18"/>
        <v>0</v>
      </c>
      <c r="J65" s="511"/>
      <c r="K65" s="525"/>
      <c r="L65" s="514">
        <f t="shared" si="19"/>
        <v>0</v>
      </c>
      <c r="M65" s="525"/>
      <c r="N65" s="514">
        <f t="shared" si="20"/>
        <v>0</v>
      </c>
      <c r="O65" s="514">
        <f t="shared" si="21"/>
        <v>0</v>
      </c>
      <c r="P65" s="272"/>
    </row>
    <row r="66" spans="1:16" ht="12.5">
      <c r="B66" s="195" t="str">
        <f t="shared" si="22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7"/>
        <v>0</v>
      </c>
      <c r="G66" s="526">
        <f t="shared" si="23"/>
        <v>0</v>
      </c>
      <c r="H66" s="491">
        <f t="shared" si="24"/>
        <v>0</v>
      </c>
      <c r="I66" s="511">
        <f t="shared" si="18"/>
        <v>0</v>
      </c>
      <c r="J66" s="511"/>
      <c r="K66" s="525"/>
      <c r="L66" s="514">
        <f t="shared" si="19"/>
        <v>0</v>
      </c>
      <c r="M66" s="525"/>
      <c r="N66" s="514">
        <f t="shared" si="20"/>
        <v>0</v>
      </c>
      <c r="O66" s="514">
        <f t="shared" si="21"/>
        <v>0</v>
      </c>
      <c r="P66" s="272"/>
    </row>
    <row r="67" spans="1:16" ht="12.5">
      <c r="B67" s="195" t="str">
        <f t="shared" si="22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7"/>
        <v>0</v>
      </c>
      <c r="G67" s="526">
        <f t="shared" si="23"/>
        <v>0</v>
      </c>
      <c r="H67" s="491">
        <f t="shared" si="24"/>
        <v>0</v>
      </c>
      <c r="I67" s="511">
        <f t="shared" si="18"/>
        <v>0</v>
      </c>
      <c r="J67" s="511"/>
      <c r="K67" s="525"/>
      <c r="L67" s="514">
        <f t="shared" si="19"/>
        <v>0</v>
      </c>
      <c r="M67" s="525"/>
      <c r="N67" s="514">
        <f t="shared" si="20"/>
        <v>0</v>
      </c>
      <c r="O67" s="514">
        <f t="shared" si="21"/>
        <v>0</v>
      </c>
      <c r="P67" s="272"/>
    </row>
    <row r="68" spans="1:16" ht="12.5">
      <c r="B68" s="195" t="str">
        <f t="shared" si="22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7"/>
        <v>0</v>
      </c>
      <c r="G68" s="526">
        <f t="shared" si="23"/>
        <v>0</v>
      </c>
      <c r="H68" s="491">
        <f t="shared" si="24"/>
        <v>0</v>
      </c>
      <c r="I68" s="511">
        <f t="shared" si="18"/>
        <v>0</v>
      </c>
      <c r="J68" s="511"/>
      <c r="K68" s="525"/>
      <c r="L68" s="514">
        <f t="shared" si="19"/>
        <v>0</v>
      </c>
      <c r="M68" s="525"/>
      <c r="N68" s="514">
        <f t="shared" si="20"/>
        <v>0</v>
      </c>
      <c r="O68" s="514">
        <f t="shared" si="21"/>
        <v>0</v>
      </c>
      <c r="P68" s="272"/>
    </row>
    <row r="69" spans="1:16" ht="12.5">
      <c r="B69" s="195" t="str">
        <f t="shared" si="22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7"/>
        <v>0</v>
      </c>
      <c r="G69" s="526">
        <f t="shared" si="23"/>
        <v>0</v>
      </c>
      <c r="H69" s="491">
        <f t="shared" si="24"/>
        <v>0</v>
      </c>
      <c r="I69" s="511">
        <f t="shared" si="18"/>
        <v>0</v>
      </c>
      <c r="J69" s="511"/>
      <c r="K69" s="525"/>
      <c r="L69" s="514">
        <f t="shared" si="19"/>
        <v>0</v>
      </c>
      <c r="M69" s="525"/>
      <c r="N69" s="514">
        <f t="shared" si="20"/>
        <v>0</v>
      </c>
      <c r="O69" s="514">
        <f t="shared" si="21"/>
        <v>0</v>
      </c>
      <c r="P69" s="272"/>
    </row>
    <row r="70" spans="1:16" ht="12.5">
      <c r="B70" s="195" t="str">
        <f t="shared" si="22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7"/>
        <v>0</v>
      </c>
      <c r="G70" s="526">
        <f t="shared" si="23"/>
        <v>0</v>
      </c>
      <c r="H70" s="491">
        <f t="shared" si="24"/>
        <v>0</v>
      </c>
      <c r="I70" s="511">
        <f t="shared" si="18"/>
        <v>0</v>
      </c>
      <c r="J70" s="511"/>
      <c r="K70" s="525"/>
      <c r="L70" s="514">
        <f t="shared" si="19"/>
        <v>0</v>
      </c>
      <c r="M70" s="525"/>
      <c r="N70" s="514">
        <f t="shared" si="20"/>
        <v>0</v>
      </c>
      <c r="O70" s="514">
        <f t="shared" si="21"/>
        <v>0</v>
      </c>
      <c r="P70" s="272"/>
    </row>
    <row r="71" spans="1:16" ht="12.5">
      <c r="B71" s="195" t="str">
        <f t="shared" si="22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7"/>
        <v>0</v>
      </c>
      <c r="G71" s="526">
        <f t="shared" si="23"/>
        <v>0</v>
      </c>
      <c r="H71" s="491">
        <f t="shared" si="24"/>
        <v>0</v>
      </c>
      <c r="I71" s="511">
        <f t="shared" si="18"/>
        <v>0</v>
      </c>
      <c r="J71" s="511"/>
      <c r="K71" s="525"/>
      <c r="L71" s="514">
        <f t="shared" si="19"/>
        <v>0</v>
      </c>
      <c r="M71" s="525"/>
      <c r="N71" s="514">
        <f t="shared" si="20"/>
        <v>0</v>
      </c>
      <c r="O71" s="514">
        <f t="shared" si="21"/>
        <v>0</v>
      </c>
      <c r="P71" s="272"/>
    </row>
    <row r="72" spans="1:16" ht="13" thickBot="1">
      <c r="B72" s="195" t="str">
        <f t="shared" si="22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7"/>
        <v>0</v>
      </c>
      <c r="G72" s="530">
        <f t="shared" si="23"/>
        <v>0</v>
      </c>
      <c r="H72" s="471">
        <f t="shared" si="24"/>
        <v>0</v>
      </c>
      <c r="I72" s="531">
        <f t="shared" si="18"/>
        <v>0</v>
      </c>
      <c r="J72" s="511"/>
      <c r="K72" s="532"/>
      <c r="L72" s="533">
        <f t="shared" si="19"/>
        <v>0</v>
      </c>
      <c r="M72" s="532"/>
      <c r="N72" s="533">
        <f t="shared" si="20"/>
        <v>0</v>
      </c>
      <c r="O72" s="533">
        <f t="shared" si="21"/>
        <v>0</v>
      </c>
      <c r="P72" s="272"/>
    </row>
    <row r="73" spans="1:16" ht="12.5">
      <c r="C73" s="374" t="s">
        <v>78</v>
      </c>
      <c r="D73" s="375"/>
      <c r="E73" s="375">
        <f>SUM(E17:E72)</f>
        <v>47660028.539999999</v>
      </c>
      <c r="F73" s="375"/>
      <c r="G73" s="375">
        <f>SUM(G17:G72)</f>
        <v>177758127.52642617</v>
      </c>
      <c r="H73" s="375">
        <f>SUM(H17:H72)</f>
        <v>177758127.52642617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30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5126147.0030310545</v>
      </c>
      <c r="N87" s="546">
        <f>IF(J92&lt;D11,0,VLOOKUP(J92,C17:O72,11))</f>
        <v>5126147.0030310545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5440217.3214159943</v>
      </c>
      <c r="N88" s="550">
        <f>IF(J92&lt;D11,0,VLOOKUP(J92,C99:P154,7))</f>
        <v>5440217.3214159943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NW Texarkana - Turk 345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314070.3183849398</v>
      </c>
      <c r="N89" s="555">
        <f>+N88-N87</f>
        <v>314070.3183849398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/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47660029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8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1162439.7317073171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374385.49206349207</v>
      </c>
      <c r="F99" s="515">
        <v>46798186.507936507</v>
      </c>
      <c r="G99" s="574">
        <v>23399093.253968254</v>
      </c>
      <c r="H99" s="575">
        <v>3817654.064849725</v>
      </c>
      <c r="I99" s="576">
        <v>3817654.064849725</v>
      </c>
      <c r="J99" s="613">
        <f t="shared" ref="J99:J130" si="25">+I99-H99</f>
        <v>0</v>
      </c>
      <c r="K99" s="514"/>
      <c r="L99" s="512">
        <f t="shared" ref="L99:L104" si="26">H99</f>
        <v>3817654.064849725</v>
      </c>
      <c r="M99" s="597">
        <f t="shared" ref="M99:M130" si="27">IF(L99&lt;&gt;0,+H99-L99,0)</f>
        <v>0</v>
      </c>
      <c r="N99" s="512">
        <f t="shared" ref="N99:N104" si="28">I99</f>
        <v>3817654.064849725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 ht="12.5">
      <c r="B100" s="195" t="str">
        <f t="shared" ref="B100:B131" si="31">IF(D100=F99,"","IU")</f>
        <v>IU</v>
      </c>
      <c r="C100" s="507">
        <f>IF(D93="","-",+C99+1)</f>
        <v>2013</v>
      </c>
      <c r="D100" s="508">
        <v>47040735.507936507</v>
      </c>
      <c r="E100" s="516">
        <v>1128931.4523809524</v>
      </c>
      <c r="F100" s="515">
        <v>45911804.055555552</v>
      </c>
      <c r="G100" s="515">
        <v>46476269.78174603</v>
      </c>
      <c r="H100" s="575">
        <v>7416785.108146511</v>
      </c>
      <c r="I100" s="576">
        <v>7416785.108146511</v>
      </c>
      <c r="J100" s="613">
        <v>0</v>
      </c>
      <c r="K100" s="514"/>
      <c r="L100" s="518">
        <f t="shared" si="26"/>
        <v>7416785.108146511</v>
      </c>
      <c r="M100" s="519">
        <f t="shared" ref="M100:M105" si="32">IF(L100&lt;&gt;0,+H100-L100,0)</f>
        <v>0</v>
      </c>
      <c r="N100" s="518">
        <f t="shared" si="28"/>
        <v>7416785.108146511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1"/>
        <v>IU</v>
      </c>
      <c r="C101" s="507">
        <f>IF(D93="","-",+C100+1)</f>
        <v>2014</v>
      </c>
      <c r="D101" s="508">
        <v>46156435.055555552</v>
      </c>
      <c r="E101" s="516">
        <v>1134756</v>
      </c>
      <c r="F101" s="515">
        <v>45021679.055555552</v>
      </c>
      <c r="G101" s="515">
        <v>45589057.055555552</v>
      </c>
      <c r="H101" s="575">
        <v>7331378.3623912428</v>
      </c>
      <c r="I101" s="576">
        <v>7331378.3623912428</v>
      </c>
      <c r="J101" s="514">
        <v>0</v>
      </c>
      <c r="K101" s="514"/>
      <c r="L101" s="518">
        <f t="shared" si="26"/>
        <v>7331378.3623912428</v>
      </c>
      <c r="M101" s="519">
        <f t="shared" si="32"/>
        <v>0</v>
      </c>
      <c r="N101" s="518">
        <f t="shared" si="28"/>
        <v>7331378.3623912428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1"/>
        <v/>
      </c>
      <c r="C102" s="507">
        <f>IF(D93="","-",+C101+1)</f>
        <v>2015</v>
      </c>
      <c r="D102" s="508">
        <v>45021679.055555552</v>
      </c>
      <c r="E102" s="516">
        <v>1134756</v>
      </c>
      <c r="F102" s="515">
        <v>43886923.055555552</v>
      </c>
      <c r="G102" s="515">
        <v>44454301.055555552</v>
      </c>
      <c r="H102" s="575">
        <v>6992449.3668075977</v>
      </c>
      <c r="I102" s="576">
        <v>6992449.3668075977</v>
      </c>
      <c r="J102" s="514">
        <f t="shared" si="25"/>
        <v>0</v>
      </c>
      <c r="K102" s="514"/>
      <c r="L102" s="518">
        <f t="shared" si="26"/>
        <v>6992449.3668075977</v>
      </c>
      <c r="M102" s="519">
        <f t="shared" si="32"/>
        <v>0</v>
      </c>
      <c r="N102" s="518">
        <f t="shared" si="28"/>
        <v>6992449.3668075977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1"/>
        <v>IU</v>
      </c>
      <c r="C103" s="507">
        <f>IF(D93="","-",+C102+1)</f>
        <v>2016</v>
      </c>
      <c r="D103" s="508">
        <v>43887200.055555552</v>
      </c>
      <c r="E103" s="516">
        <v>1108372.7674418604</v>
      </c>
      <c r="F103" s="515">
        <v>42778827.288113691</v>
      </c>
      <c r="G103" s="515">
        <v>43333013.671834618</v>
      </c>
      <c r="H103" s="575">
        <v>6609498.3455806924</v>
      </c>
      <c r="I103" s="576">
        <v>6609498.3455806924</v>
      </c>
      <c r="J103" s="514">
        <f t="shared" si="25"/>
        <v>0</v>
      </c>
      <c r="K103" s="514"/>
      <c r="L103" s="518">
        <f t="shared" si="26"/>
        <v>6609498.3455806924</v>
      </c>
      <c r="M103" s="519">
        <f t="shared" si="32"/>
        <v>0</v>
      </c>
      <c r="N103" s="518">
        <f t="shared" si="28"/>
        <v>6609498.3455806924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1"/>
        <v/>
      </c>
      <c r="C104" s="507">
        <f>IF(D93="","-",+C103+1)</f>
        <v>2017</v>
      </c>
      <c r="D104" s="508">
        <v>42778827.288113691</v>
      </c>
      <c r="E104" s="516">
        <v>1134762.5952380951</v>
      </c>
      <c r="F104" s="515">
        <v>41644064.692875594</v>
      </c>
      <c r="G104" s="515">
        <v>42211445.990494639</v>
      </c>
      <c r="H104" s="575">
        <v>6262248.4706521584</v>
      </c>
      <c r="I104" s="576">
        <v>6262248.4706521584</v>
      </c>
      <c r="J104" s="514">
        <f t="shared" si="25"/>
        <v>0</v>
      </c>
      <c r="K104" s="514"/>
      <c r="L104" s="518">
        <f t="shared" si="26"/>
        <v>6262248.4706521584</v>
      </c>
      <c r="M104" s="519">
        <f t="shared" si="32"/>
        <v>0</v>
      </c>
      <c r="N104" s="518">
        <f t="shared" si="28"/>
        <v>6262248.4706521584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1"/>
        <v/>
      </c>
      <c r="C105" s="507">
        <f>IF(D93="","-",+C104+1)</f>
        <v>2018</v>
      </c>
      <c r="D105" s="508">
        <v>41644064.692875594</v>
      </c>
      <c r="E105" s="516">
        <v>1134762.5952380951</v>
      </c>
      <c r="F105" s="515">
        <v>40509302.097637497</v>
      </c>
      <c r="G105" s="515">
        <v>41076683.395256549</v>
      </c>
      <c r="H105" s="575">
        <v>5472648.7320447806</v>
      </c>
      <c r="I105" s="576">
        <v>5472648.7320447806</v>
      </c>
      <c r="J105" s="514">
        <f t="shared" si="25"/>
        <v>0</v>
      </c>
      <c r="K105" s="514"/>
      <c r="L105" s="518">
        <f t="shared" ref="L105" si="33">H105</f>
        <v>5472648.7320447806</v>
      </c>
      <c r="M105" s="519">
        <f t="shared" si="32"/>
        <v>0</v>
      </c>
      <c r="N105" s="518">
        <f t="shared" ref="N105" si="34">I105</f>
        <v>5472648.7320447806</v>
      </c>
      <c r="O105" s="514">
        <f t="shared" si="29"/>
        <v>0</v>
      </c>
      <c r="P105" s="514">
        <f t="shared" si="30"/>
        <v>0</v>
      </c>
      <c r="Q105" s="269"/>
    </row>
    <row r="106" spans="1:17" ht="12.5">
      <c r="B106" s="195" t="str">
        <f t="shared" si="31"/>
        <v/>
      </c>
      <c r="C106" s="507">
        <f>IF(D93="","-",+C105+1)</f>
        <v>2019</v>
      </c>
      <c r="D106" s="508">
        <v>40509302.097637497</v>
      </c>
      <c r="E106" s="516">
        <v>1108372.7674418604</v>
      </c>
      <c r="F106" s="515">
        <v>39400929.330195636</v>
      </c>
      <c r="G106" s="515">
        <v>39955115.71391657</v>
      </c>
      <c r="H106" s="575">
        <v>5385190.1906108065</v>
      </c>
      <c r="I106" s="576">
        <v>5385190.1906108065</v>
      </c>
      <c r="J106" s="514">
        <f t="shared" si="25"/>
        <v>0</v>
      </c>
      <c r="K106" s="514"/>
      <c r="L106" s="518">
        <f t="shared" ref="L106:L107" si="35">H106</f>
        <v>5385190.1906108065</v>
      </c>
      <c r="M106" s="519">
        <f t="shared" ref="M106:M107" si="36">IF(L106&lt;&gt;0,+H106-L106,0)</f>
        <v>0</v>
      </c>
      <c r="N106" s="518">
        <f t="shared" ref="N106:N107" si="37">I106</f>
        <v>5385190.1906108065</v>
      </c>
      <c r="O106" s="514">
        <f t="shared" si="29"/>
        <v>0</v>
      </c>
      <c r="P106" s="514">
        <f t="shared" si="30"/>
        <v>0</v>
      </c>
      <c r="Q106" s="269"/>
    </row>
    <row r="107" spans="1:17" ht="12.5">
      <c r="B107" s="195" t="str">
        <f t="shared" si="31"/>
        <v/>
      </c>
      <c r="C107" s="507">
        <f>IF(D93="","-",+C106+1)</f>
        <v>2020</v>
      </c>
      <c r="D107" s="508">
        <v>39400929.330195636</v>
      </c>
      <c r="E107" s="516">
        <v>1134762.5952380951</v>
      </c>
      <c r="F107" s="515">
        <v>38266166.734957539</v>
      </c>
      <c r="G107" s="515">
        <v>38833548.032576591</v>
      </c>
      <c r="H107" s="575">
        <v>5312236.1867038347</v>
      </c>
      <c r="I107" s="576">
        <v>5312236.1867038347</v>
      </c>
      <c r="J107" s="514">
        <f t="shared" si="25"/>
        <v>0</v>
      </c>
      <c r="K107" s="514"/>
      <c r="L107" s="518">
        <f t="shared" si="35"/>
        <v>5312236.1867038347</v>
      </c>
      <c r="M107" s="519">
        <f t="shared" si="36"/>
        <v>0</v>
      </c>
      <c r="N107" s="518">
        <f t="shared" si="37"/>
        <v>5312236.1867038347</v>
      </c>
      <c r="O107" s="514">
        <f t="shared" si="29"/>
        <v>0</v>
      </c>
      <c r="P107" s="514">
        <f t="shared" si="30"/>
        <v>0</v>
      </c>
      <c r="Q107" s="269"/>
    </row>
    <row r="108" spans="1:17" ht="12.5">
      <c r="B108" s="195" t="str">
        <f t="shared" si="31"/>
        <v/>
      </c>
      <c r="C108" s="507">
        <f>IF(D93="","-",+C107+1)</f>
        <v>2021</v>
      </c>
      <c r="D108" s="374">
        <f>IF(F107+SUM(E$99:E107)=D$92,F107,D$92-SUM(E$99:E107))</f>
        <v>38266166.734957539</v>
      </c>
      <c r="E108" s="522">
        <f>IF(+J96&lt;F107,J96,D108)</f>
        <v>1162439.7317073171</v>
      </c>
      <c r="F108" s="523">
        <f t="shared" ref="F108:F131" si="38">+D108-E108</f>
        <v>37103727.003250219</v>
      </c>
      <c r="G108" s="523">
        <f t="shared" ref="G108:G130" si="39">+(F108+D108)/2</f>
        <v>37684946.869103879</v>
      </c>
      <c r="H108" s="526">
        <f t="shared" ref="H108:H130" si="40">+J$94*G108+E108</f>
        <v>5440217.3214159943</v>
      </c>
      <c r="I108" s="577">
        <f t="shared" ref="I108:I130" si="41">+J$95*G108+E108</f>
        <v>5440217.3214159943</v>
      </c>
      <c r="J108" s="514">
        <f t="shared" si="25"/>
        <v>0</v>
      </c>
      <c r="K108" s="514"/>
      <c r="L108" s="525"/>
      <c r="M108" s="514">
        <f t="shared" si="27"/>
        <v>0</v>
      </c>
      <c r="N108" s="525"/>
      <c r="O108" s="514">
        <f t="shared" si="29"/>
        <v>0</v>
      </c>
      <c r="P108" s="514">
        <f t="shared" si="30"/>
        <v>0</v>
      </c>
      <c r="Q108" s="269"/>
    </row>
    <row r="109" spans="1:17" ht="12.5">
      <c r="B109" s="195" t="str">
        <f t="shared" si="31"/>
        <v/>
      </c>
      <c r="C109" s="507">
        <f>IF(D93="","-",+C108+1)</f>
        <v>2022</v>
      </c>
      <c r="D109" s="374">
        <f>IF(F108+SUM(E$99:E108)=D$92,F108,D$92-SUM(E$99:E108))</f>
        <v>37103727.003250219</v>
      </c>
      <c r="E109" s="522">
        <f>IF(+J96&lt;F108,J96,D109)</f>
        <v>1162439.7317073171</v>
      </c>
      <c r="F109" s="523">
        <f t="shared" si="38"/>
        <v>35941287.271542899</v>
      </c>
      <c r="G109" s="523">
        <f t="shared" si="39"/>
        <v>36522507.137396559</v>
      </c>
      <c r="H109" s="526">
        <f t="shared" si="40"/>
        <v>5308263.8745673969</v>
      </c>
      <c r="I109" s="577">
        <f t="shared" si="41"/>
        <v>5308263.8745673969</v>
      </c>
      <c r="J109" s="514">
        <f t="shared" si="25"/>
        <v>0</v>
      </c>
      <c r="K109" s="514"/>
      <c r="L109" s="525"/>
      <c r="M109" s="514">
        <f t="shared" si="27"/>
        <v>0</v>
      </c>
      <c r="N109" s="525"/>
      <c r="O109" s="514">
        <f t="shared" si="29"/>
        <v>0</v>
      </c>
      <c r="P109" s="514">
        <f t="shared" si="30"/>
        <v>0</v>
      </c>
      <c r="Q109" s="269"/>
    </row>
    <row r="110" spans="1:17" ht="12.5">
      <c r="B110" s="195" t="str">
        <f t="shared" si="31"/>
        <v/>
      </c>
      <c r="C110" s="507">
        <f>IF(D93="","-",+C109+1)</f>
        <v>2023</v>
      </c>
      <c r="D110" s="374">
        <f>IF(F109+SUM(E$99:E109)=D$92,F109,D$92-SUM(E$99:E109))</f>
        <v>35941287.271542899</v>
      </c>
      <c r="E110" s="522">
        <f>IF(+J96&lt;F109,J96,D110)</f>
        <v>1162439.7317073171</v>
      </c>
      <c r="F110" s="523">
        <f t="shared" si="38"/>
        <v>34778847.53983558</v>
      </c>
      <c r="G110" s="523">
        <f t="shared" si="39"/>
        <v>35360067.40568924</v>
      </c>
      <c r="H110" s="526">
        <f t="shared" si="40"/>
        <v>5176310.4277187986</v>
      </c>
      <c r="I110" s="577">
        <f t="shared" si="41"/>
        <v>5176310.4277187986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 ht="12.5">
      <c r="B111" s="195" t="str">
        <f t="shared" si="31"/>
        <v/>
      </c>
      <c r="C111" s="507">
        <f>IF(D93="","-",+C110+1)</f>
        <v>2024</v>
      </c>
      <c r="D111" s="374">
        <f>IF(F110+SUM(E$99:E110)=D$92,F110,D$92-SUM(E$99:E110))</f>
        <v>34778847.53983558</v>
      </c>
      <c r="E111" s="522">
        <f>IF(+J96&lt;F110,J96,D111)</f>
        <v>1162439.7317073171</v>
      </c>
      <c r="F111" s="523">
        <f t="shared" si="38"/>
        <v>33616407.80812826</v>
      </c>
      <c r="G111" s="523">
        <f t="shared" si="39"/>
        <v>34197627.67398192</v>
      </c>
      <c r="H111" s="526">
        <f t="shared" si="40"/>
        <v>5044356.9808702013</v>
      </c>
      <c r="I111" s="577">
        <f t="shared" si="41"/>
        <v>5044356.9808702013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 ht="12.5">
      <c r="B112" s="195" t="str">
        <f t="shared" si="31"/>
        <v/>
      </c>
      <c r="C112" s="507">
        <f>IF(D93="","-",+C111+1)</f>
        <v>2025</v>
      </c>
      <c r="D112" s="374">
        <f>IF(F111+SUM(E$99:E111)=D$92,F111,D$92-SUM(E$99:E111))</f>
        <v>33616407.80812826</v>
      </c>
      <c r="E112" s="522">
        <f>IF(+J96&lt;F111,J96,D112)</f>
        <v>1162439.7317073171</v>
      </c>
      <c r="F112" s="523">
        <f t="shared" si="38"/>
        <v>32453968.076420944</v>
      </c>
      <c r="G112" s="523">
        <f t="shared" si="39"/>
        <v>33035187.9422746</v>
      </c>
      <c r="H112" s="526">
        <f t="shared" si="40"/>
        <v>4912403.5340216029</v>
      </c>
      <c r="I112" s="577">
        <f t="shared" si="41"/>
        <v>4912403.5340216029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 ht="12.5">
      <c r="B113" s="195" t="str">
        <f t="shared" si="31"/>
        <v/>
      </c>
      <c r="C113" s="507">
        <f>IF(D93="","-",+C112+1)</f>
        <v>2026</v>
      </c>
      <c r="D113" s="374">
        <f>IF(F112+SUM(E$99:E112)=D$92,F112,D$92-SUM(E$99:E112))</f>
        <v>32453968.076420944</v>
      </c>
      <c r="E113" s="522">
        <f>IF(+J96&lt;F112,J96,D113)</f>
        <v>1162439.7317073171</v>
      </c>
      <c r="F113" s="523">
        <f t="shared" si="38"/>
        <v>31291528.344713628</v>
      </c>
      <c r="G113" s="523">
        <f t="shared" si="39"/>
        <v>31872748.210567288</v>
      </c>
      <c r="H113" s="526">
        <f t="shared" si="40"/>
        <v>4780450.0871730056</v>
      </c>
      <c r="I113" s="577">
        <f t="shared" si="41"/>
        <v>4780450.0871730056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 ht="12.5">
      <c r="B114" s="195" t="str">
        <f t="shared" si="31"/>
        <v/>
      </c>
      <c r="C114" s="507">
        <f>IF(D93="","-",+C113+1)</f>
        <v>2027</v>
      </c>
      <c r="D114" s="374">
        <f>IF(F113+SUM(E$99:E113)=D$92,F113,D$92-SUM(E$99:E113))</f>
        <v>31291528.344713628</v>
      </c>
      <c r="E114" s="522">
        <f>IF(+J96&lt;F113,J96,D114)</f>
        <v>1162439.7317073171</v>
      </c>
      <c r="F114" s="523">
        <f t="shared" si="38"/>
        <v>30129088.613006312</v>
      </c>
      <c r="G114" s="523">
        <f t="shared" si="39"/>
        <v>30710308.478859968</v>
      </c>
      <c r="H114" s="526">
        <f t="shared" si="40"/>
        <v>4648496.6403244073</v>
      </c>
      <c r="I114" s="577">
        <f t="shared" si="41"/>
        <v>4648496.6403244073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 ht="12.5">
      <c r="B115" s="195" t="str">
        <f t="shared" si="31"/>
        <v/>
      </c>
      <c r="C115" s="507">
        <f>IF(D93="","-",+C114+1)</f>
        <v>2028</v>
      </c>
      <c r="D115" s="374">
        <f>IF(F114+SUM(E$99:E114)=D$92,F114,D$92-SUM(E$99:E114))</f>
        <v>30129088.613006312</v>
      </c>
      <c r="E115" s="522">
        <f>IF(+J96&lt;F114,J96,D115)</f>
        <v>1162439.7317073171</v>
      </c>
      <c r="F115" s="523">
        <f t="shared" si="38"/>
        <v>28966648.881298997</v>
      </c>
      <c r="G115" s="523">
        <f t="shared" si="39"/>
        <v>29547868.747152656</v>
      </c>
      <c r="H115" s="526">
        <f t="shared" si="40"/>
        <v>4516543.1934758108</v>
      </c>
      <c r="I115" s="577">
        <f t="shared" si="41"/>
        <v>4516543.1934758108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 ht="12.5">
      <c r="B116" s="195" t="str">
        <f t="shared" si="31"/>
        <v/>
      </c>
      <c r="C116" s="507">
        <f>IF(D93="","-",+C115+1)</f>
        <v>2029</v>
      </c>
      <c r="D116" s="374">
        <f>IF(F115+SUM(E$99:E115)=D$92,F115,D$92-SUM(E$99:E115))</f>
        <v>28966648.881298997</v>
      </c>
      <c r="E116" s="522">
        <f>IF(+J96&lt;F115,J96,D116)</f>
        <v>1162439.7317073171</v>
      </c>
      <c r="F116" s="523">
        <f t="shared" si="38"/>
        <v>27804209.149591681</v>
      </c>
      <c r="G116" s="523">
        <f t="shared" si="39"/>
        <v>28385429.015445337</v>
      </c>
      <c r="H116" s="526">
        <f t="shared" si="40"/>
        <v>4384589.7466272125</v>
      </c>
      <c r="I116" s="577">
        <f t="shared" si="41"/>
        <v>4384589.7466272125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 ht="12.5">
      <c r="B117" s="195" t="str">
        <f t="shared" si="31"/>
        <v/>
      </c>
      <c r="C117" s="507">
        <f>IF(D93="","-",+C116+1)</f>
        <v>2030</v>
      </c>
      <c r="D117" s="374">
        <f>IF(F116+SUM(E$99:E116)=D$92,F116,D$92-SUM(E$99:E116))</f>
        <v>27804209.149591681</v>
      </c>
      <c r="E117" s="522">
        <f>IF(+J96&lt;F116,J96,D117)</f>
        <v>1162439.7317073171</v>
      </c>
      <c r="F117" s="523">
        <f t="shared" si="38"/>
        <v>26641769.417884365</v>
      </c>
      <c r="G117" s="523">
        <f t="shared" si="39"/>
        <v>27222989.283738025</v>
      </c>
      <c r="H117" s="526">
        <f t="shared" si="40"/>
        <v>4252636.2997786151</v>
      </c>
      <c r="I117" s="577">
        <f t="shared" si="41"/>
        <v>4252636.2997786151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 ht="12.5">
      <c r="B118" s="195" t="str">
        <f t="shared" si="31"/>
        <v/>
      </c>
      <c r="C118" s="507">
        <f>IF(D93="","-",+C117+1)</f>
        <v>2031</v>
      </c>
      <c r="D118" s="374">
        <f>IF(F117+SUM(E$99:E117)=D$92,F117,D$92-SUM(E$99:E117))</f>
        <v>26641769.417884365</v>
      </c>
      <c r="E118" s="522">
        <f>IF(+J96&lt;F117,J96,D118)</f>
        <v>1162439.7317073171</v>
      </c>
      <c r="F118" s="523">
        <f t="shared" si="38"/>
        <v>25479329.686177049</v>
      </c>
      <c r="G118" s="523">
        <f t="shared" si="39"/>
        <v>26060549.552030705</v>
      </c>
      <c r="H118" s="526">
        <f t="shared" si="40"/>
        <v>4120682.8529300168</v>
      </c>
      <c r="I118" s="577">
        <f t="shared" si="41"/>
        <v>4120682.8529300168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 ht="12.5">
      <c r="B119" s="195" t="str">
        <f t="shared" si="31"/>
        <v/>
      </c>
      <c r="C119" s="507">
        <f>IF(D93="","-",+C118+1)</f>
        <v>2032</v>
      </c>
      <c r="D119" s="374">
        <f>IF(F118+SUM(E$99:E118)=D$92,F118,D$92-SUM(E$99:E118))</f>
        <v>25479329.686177049</v>
      </c>
      <c r="E119" s="522">
        <f>IF(+J96&lt;F118,J96,D119)</f>
        <v>1162439.7317073171</v>
      </c>
      <c r="F119" s="523">
        <f t="shared" si="38"/>
        <v>24316889.954469733</v>
      </c>
      <c r="G119" s="523">
        <f t="shared" si="39"/>
        <v>24898109.820323393</v>
      </c>
      <c r="H119" s="526">
        <f t="shared" si="40"/>
        <v>3988729.4060814194</v>
      </c>
      <c r="I119" s="577">
        <f t="shared" si="41"/>
        <v>3988729.4060814194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 ht="12.5">
      <c r="B120" s="195" t="str">
        <f t="shared" si="31"/>
        <v/>
      </c>
      <c r="C120" s="507">
        <f>IF(D93="","-",+C119+1)</f>
        <v>2033</v>
      </c>
      <c r="D120" s="374">
        <f>IF(F119+SUM(E$99:E119)=D$92,F119,D$92-SUM(E$99:E119))</f>
        <v>24316889.954469733</v>
      </c>
      <c r="E120" s="522">
        <f>IF(+J96&lt;F119,J96,D120)</f>
        <v>1162439.7317073171</v>
      </c>
      <c r="F120" s="523">
        <f t="shared" si="38"/>
        <v>23154450.222762417</v>
      </c>
      <c r="G120" s="523">
        <f t="shared" si="39"/>
        <v>23735670.088616073</v>
      </c>
      <c r="H120" s="526">
        <f t="shared" si="40"/>
        <v>3856775.9592328221</v>
      </c>
      <c r="I120" s="577">
        <f t="shared" si="41"/>
        <v>3856775.9592328221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 ht="12.5">
      <c r="B121" s="195" t="str">
        <f t="shared" si="31"/>
        <v/>
      </c>
      <c r="C121" s="507">
        <f>IF(D93="","-",+C120+1)</f>
        <v>2034</v>
      </c>
      <c r="D121" s="374">
        <f>IF(F120+SUM(E$99:E120)=D$92,F120,D$92-SUM(E$99:E120))</f>
        <v>23154450.222762417</v>
      </c>
      <c r="E121" s="522">
        <f>IF(+J96&lt;F120,J96,D121)</f>
        <v>1162439.7317073171</v>
      </c>
      <c r="F121" s="523">
        <f t="shared" si="38"/>
        <v>21992010.491055101</v>
      </c>
      <c r="G121" s="523">
        <f t="shared" si="39"/>
        <v>22573230.356908761</v>
      </c>
      <c r="H121" s="526">
        <f t="shared" si="40"/>
        <v>3724822.5123842247</v>
      </c>
      <c r="I121" s="577">
        <f t="shared" si="41"/>
        <v>3724822.5123842247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 ht="12.5">
      <c r="B122" s="195" t="str">
        <f t="shared" si="31"/>
        <v/>
      </c>
      <c r="C122" s="507">
        <f>IF(D93="","-",+C121+1)</f>
        <v>2035</v>
      </c>
      <c r="D122" s="374">
        <f>IF(F121+SUM(E$99:E121)=D$92,F121,D$92-SUM(E$99:E121))</f>
        <v>21992010.491055101</v>
      </c>
      <c r="E122" s="522">
        <f>IF(+J96&lt;F121,J96,D122)</f>
        <v>1162439.7317073171</v>
      </c>
      <c r="F122" s="523">
        <f t="shared" si="38"/>
        <v>20829570.759347785</v>
      </c>
      <c r="G122" s="523">
        <f t="shared" si="39"/>
        <v>21410790.625201441</v>
      </c>
      <c r="H122" s="526">
        <f t="shared" si="40"/>
        <v>3592869.0655356264</v>
      </c>
      <c r="I122" s="577">
        <f t="shared" si="41"/>
        <v>3592869.0655356264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 ht="12.5">
      <c r="B123" s="195" t="str">
        <f t="shared" si="31"/>
        <v/>
      </c>
      <c r="C123" s="507">
        <f>IF(D93="","-",+C122+1)</f>
        <v>2036</v>
      </c>
      <c r="D123" s="374">
        <f>IF(F122+SUM(E$99:E122)=D$92,F122,D$92-SUM(E$99:E122))</f>
        <v>20829570.759347785</v>
      </c>
      <c r="E123" s="522">
        <f>IF(+J96&lt;F122,J96,D123)</f>
        <v>1162439.7317073171</v>
      </c>
      <c r="F123" s="523">
        <f t="shared" si="38"/>
        <v>19667131.027640469</v>
      </c>
      <c r="G123" s="523">
        <f t="shared" si="39"/>
        <v>20248350.893494129</v>
      </c>
      <c r="H123" s="526">
        <f t="shared" si="40"/>
        <v>3460915.618687029</v>
      </c>
      <c r="I123" s="577">
        <f t="shared" si="41"/>
        <v>3460915.618687029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 ht="12.5">
      <c r="B124" s="195" t="str">
        <f t="shared" si="31"/>
        <v/>
      </c>
      <c r="C124" s="507">
        <f>IF(D93="","-",+C123+1)</f>
        <v>2037</v>
      </c>
      <c r="D124" s="374">
        <f>IF(F123+SUM(E$99:E123)=D$92,F123,D$92-SUM(E$99:E123))</f>
        <v>19667131.027640469</v>
      </c>
      <c r="E124" s="522">
        <f>IF(+J96&lt;F123,J96,D124)</f>
        <v>1162439.7317073171</v>
      </c>
      <c r="F124" s="523">
        <f t="shared" si="38"/>
        <v>18504691.295933153</v>
      </c>
      <c r="G124" s="523">
        <f t="shared" si="39"/>
        <v>19085911.16178681</v>
      </c>
      <c r="H124" s="526">
        <f t="shared" si="40"/>
        <v>3328962.1718384316</v>
      </c>
      <c r="I124" s="577">
        <f t="shared" si="41"/>
        <v>3328962.1718384316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 ht="12.5">
      <c r="B125" s="195" t="str">
        <f t="shared" si="31"/>
        <v/>
      </c>
      <c r="C125" s="507">
        <f>IF(D93="","-",+C124+1)</f>
        <v>2038</v>
      </c>
      <c r="D125" s="374">
        <f>IF(F124+SUM(E$99:E124)=D$92,F124,D$92-SUM(E$99:E124))</f>
        <v>18504691.295933153</v>
      </c>
      <c r="E125" s="522">
        <f>IF(+J96&lt;F124,J96,D125)</f>
        <v>1162439.7317073171</v>
      </c>
      <c r="F125" s="523">
        <f t="shared" si="38"/>
        <v>17342251.564225838</v>
      </c>
      <c r="G125" s="523">
        <f t="shared" si="39"/>
        <v>17923471.430079497</v>
      </c>
      <c r="H125" s="526">
        <f t="shared" si="40"/>
        <v>3197008.7249898342</v>
      </c>
      <c r="I125" s="577">
        <f t="shared" si="41"/>
        <v>3197008.7249898342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 ht="12.5">
      <c r="B126" s="195" t="str">
        <f t="shared" si="31"/>
        <v/>
      </c>
      <c r="C126" s="507">
        <f>IF(D93="","-",+C125+1)</f>
        <v>2039</v>
      </c>
      <c r="D126" s="374">
        <f>IF(F125+SUM(E$99:E125)=D$92,F125,D$92-SUM(E$99:E125))</f>
        <v>17342251.564225838</v>
      </c>
      <c r="E126" s="522">
        <f>IF(+J96&lt;F125,J96,D126)</f>
        <v>1162439.7317073171</v>
      </c>
      <c r="F126" s="523">
        <f t="shared" si="38"/>
        <v>16179811.83251852</v>
      </c>
      <c r="G126" s="523">
        <f t="shared" si="39"/>
        <v>16761031.698372178</v>
      </c>
      <c r="H126" s="526">
        <f t="shared" si="40"/>
        <v>3065055.2781412359</v>
      </c>
      <c r="I126" s="577">
        <f t="shared" si="41"/>
        <v>3065055.2781412359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 ht="12.5">
      <c r="B127" s="195" t="str">
        <f t="shared" si="31"/>
        <v/>
      </c>
      <c r="C127" s="507">
        <f>IF(D93="","-",+C126+1)</f>
        <v>2040</v>
      </c>
      <c r="D127" s="374">
        <f>IF(F126+SUM(E$99:E126)=D$92,F126,D$92-SUM(E$99:E126))</f>
        <v>16179811.83251852</v>
      </c>
      <c r="E127" s="522">
        <f>IF(+J96&lt;F126,J96,D127)</f>
        <v>1162439.7317073171</v>
      </c>
      <c r="F127" s="523">
        <f t="shared" si="38"/>
        <v>15017372.100811202</v>
      </c>
      <c r="G127" s="523">
        <f t="shared" si="39"/>
        <v>15598591.966664862</v>
      </c>
      <c r="H127" s="526">
        <f t="shared" si="40"/>
        <v>2933101.8312926386</v>
      </c>
      <c r="I127" s="577">
        <f t="shared" si="41"/>
        <v>2933101.8312926386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 ht="12.5">
      <c r="B128" s="195" t="str">
        <f t="shared" si="31"/>
        <v/>
      </c>
      <c r="C128" s="507">
        <f>IF(D93="","-",+C127+1)</f>
        <v>2041</v>
      </c>
      <c r="D128" s="374">
        <f>IF(F127+SUM(E$99:E127)=D$92,F127,D$92-SUM(E$99:E127))</f>
        <v>15017372.100811202</v>
      </c>
      <c r="E128" s="522">
        <f>IF(+J96&lt;F127,J96,D128)</f>
        <v>1162439.7317073171</v>
      </c>
      <c r="F128" s="523">
        <f t="shared" si="38"/>
        <v>13854932.369103884</v>
      </c>
      <c r="G128" s="523">
        <f t="shared" si="39"/>
        <v>14436152.234957542</v>
      </c>
      <c r="H128" s="526">
        <f t="shared" si="40"/>
        <v>2801148.3844440402</v>
      </c>
      <c r="I128" s="577">
        <f t="shared" si="41"/>
        <v>2801148.3844440402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 ht="12.5">
      <c r="B129" s="195" t="str">
        <f t="shared" si="31"/>
        <v/>
      </c>
      <c r="C129" s="507">
        <f>IF(D93="","-",+C128+1)</f>
        <v>2042</v>
      </c>
      <c r="D129" s="374">
        <f>IF(F128+SUM(E$99:E128)=D$92,F128,D$92-SUM(E$99:E128))</f>
        <v>13854932.369103884</v>
      </c>
      <c r="E129" s="522">
        <f>IF(+J96&lt;F128,J96,D129)</f>
        <v>1162439.7317073171</v>
      </c>
      <c r="F129" s="523">
        <f t="shared" si="38"/>
        <v>12692492.637396567</v>
      </c>
      <c r="G129" s="523">
        <f t="shared" si="39"/>
        <v>13273712.503250226</v>
      </c>
      <c r="H129" s="526">
        <f t="shared" si="40"/>
        <v>2669194.9375954429</v>
      </c>
      <c r="I129" s="577">
        <f t="shared" si="41"/>
        <v>2669194.9375954429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 ht="12.5">
      <c r="B130" s="195" t="str">
        <f t="shared" si="31"/>
        <v/>
      </c>
      <c r="C130" s="507">
        <f>IF(D93="","-",+C129+1)</f>
        <v>2043</v>
      </c>
      <c r="D130" s="374">
        <f>IF(F129+SUM(E$99:E129)=D$92,F129,D$92-SUM(E$99:E129))</f>
        <v>12692492.637396567</v>
      </c>
      <c r="E130" s="522">
        <f>IF(+J96&lt;F129,J96,D130)</f>
        <v>1162439.7317073171</v>
      </c>
      <c r="F130" s="523">
        <f t="shared" si="38"/>
        <v>11530052.905689249</v>
      </c>
      <c r="G130" s="523">
        <f t="shared" si="39"/>
        <v>12111272.771542907</v>
      </c>
      <c r="H130" s="526">
        <f t="shared" si="40"/>
        <v>2537241.4907468446</v>
      </c>
      <c r="I130" s="577">
        <f t="shared" si="41"/>
        <v>2537241.4907468446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 ht="12.5">
      <c r="B131" s="195" t="str">
        <f t="shared" si="31"/>
        <v/>
      </c>
      <c r="C131" s="507">
        <f>IF(D93="","-",+C130+1)</f>
        <v>2044</v>
      </c>
      <c r="D131" s="374">
        <f>IF(F130+SUM(E$99:E130)=D$92,F130,D$92-SUM(E$99:E130))</f>
        <v>11530052.905689249</v>
      </c>
      <c r="E131" s="522">
        <f>IF(+J96&lt;F130,J96,D131)</f>
        <v>1162439.7317073171</v>
      </c>
      <c r="F131" s="523">
        <f t="shared" si="38"/>
        <v>10367613.173981931</v>
      </c>
      <c r="G131" s="523">
        <f t="shared" ref="G131:G154" si="42">+(F131+D131)/2</f>
        <v>10948833.039835591</v>
      </c>
      <c r="H131" s="526">
        <f t="shared" ref="H131:H154" si="43">+J$94*G131+E131</f>
        <v>2405288.0438982472</v>
      </c>
      <c r="I131" s="577">
        <f t="shared" ref="I131:I154" si="44">+J$95*G131+E131</f>
        <v>2405288.0438982472</v>
      </c>
      <c r="J131" s="514">
        <f t="shared" ref="J131:J154" si="45">+I131-H131</f>
        <v>0</v>
      </c>
      <c r="K131" s="514"/>
      <c r="L131" s="525"/>
      <c r="M131" s="514">
        <f t="shared" ref="M131:M154" si="46">IF(L131&lt;&gt;0,+H131-L131,0)</f>
        <v>0</v>
      </c>
      <c r="N131" s="525"/>
      <c r="O131" s="514">
        <f t="shared" ref="O131:O154" si="47">IF(N131&lt;&gt;0,+I131-N131,0)</f>
        <v>0</v>
      </c>
      <c r="P131" s="514">
        <f t="shared" ref="P131:P154" si="48">+O131-M131</f>
        <v>0</v>
      </c>
      <c r="Q131" s="269"/>
    </row>
    <row r="132" spans="2:17" ht="12.5">
      <c r="B132" s="195" t="str">
        <f t="shared" ref="B132:B154" si="49">IF(D132=F131,"","IU")</f>
        <v/>
      </c>
      <c r="C132" s="507">
        <f>IF(D93="","-",+C131+1)</f>
        <v>2045</v>
      </c>
      <c r="D132" s="374">
        <f>IF(F131+SUM(E$99:E131)=D$92,F131,D$92-SUM(E$99:E131))</f>
        <v>10367613.173981931</v>
      </c>
      <c r="E132" s="522">
        <f>IF(+J96&lt;F131,J96,D132)</f>
        <v>1162439.7317073171</v>
      </c>
      <c r="F132" s="523">
        <f t="shared" ref="F132:F154" si="50">+D132-E132</f>
        <v>9205173.4422746133</v>
      </c>
      <c r="G132" s="523">
        <f t="shared" si="42"/>
        <v>9786393.3081282713</v>
      </c>
      <c r="H132" s="526">
        <f t="shared" si="43"/>
        <v>2273334.5970496489</v>
      </c>
      <c r="I132" s="577">
        <f t="shared" si="44"/>
        <v>2273334.5970496489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  <c r="Q132" s="269"/>
    </row>
    <row r="133" spans="2:17" ht="12.5">
      <c r="B133" s="195" t="str">
        <f t="shared" si="49"/>
        <v/>
      </c>
      <c r="C133" s="507">
        <f>IF(D93="","-",+C132+1)</f>
        <v>2046</v>
      </c>
      <c r="D133" s="374">
        <f>IF(F132+SUM(E$99:E132)=D$92,F132,D$92-SUM(E$99:E132))</f>
        <v>9205173.4422746133</v>
      </c>
      <c r="E133" s="522">
        <f>IF(+J96&lt;F132,J96,D133)</f>
        <v>1162439.7317073171</v>
      </c>
      <c r="F133" s="523">
        <f t="shared" si="50"/>
        <v>8042733.7105672965</v>
      </c>
      <c r="G133" s="523">
        <f t="shared" si="42"/>
        <v>8623953.5764209554</v>
      </c>
      <c r="H133" s="526">
        <f t="shared" si="43"/>
        <v>2141381.1502010515</v>
      </c>
      <c r="I133" s="577">
        <f t="shared" si="44"/>
        <v>2141381.1502010515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  <c r="Q133" s="269"/>
    </row>
    <row r="134" spans="2:17" ht="12.5">
      <c r="B134" s="195" t="str">
        <f t="shared" si="49"/>
        <v/>
      </c>
      <c r="C134" s="507">
        <f>IF(D93="","-",+C133+1)</f>
        <v>2047</v>
      </c>
      <c r="D134" s="374">
        <f>IF(F133+SUM(E$99:E133)=D$92,F133,D$92-SUM(E$99:E133))</f>
        <v>8042733.7105672965</v>
      </c>
      <c r="E134" s="522">
        <f>IF(+J96&lt;F133,J96,D134)</f>
        <v>1162439.7317073171</v>
      </c>
      <c r="F134" s="523">
        <f t="shared" si="50"/>
        <v>6880293.9788599797</v>
      </c>
      <c r="G134" s="523">
        <f t="shared" si="42"/>
        <v>7461513.8447136376</v>
      </c>
      <c r="H134" s="526">
        <f t="shared" si="43"/>
        <v>2009427.7033524537</v>
      </c>
      <c r="I134" s="577">
        <f t="shared" si="44"/>
        <v>2009427.7033524537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  <c r="Q134" s="269"/>
    </row>
    <row r="135" spans="2:17" ht="12.5">
      <c r="B135" s="195" t="str">
        <f t="shared" si="49"/>
        <v/>
      </c>
      <c r="C135" s="507">
        <f>IF(D93="","-",+C134+1)</f>
        <v>2048</v>
      </c>
      <c r="D135" s="374">
        <f>IF(F134+SUM(E$99:E134)=D$92,F134,D$92-SUM(E$99:E134))</f>
        <v>6880293.9788599797</v>
      </c>
      <c r="E135" s="522">
        <f>IF(+J96&lt;F134,J96,D135)</f>
        <v>1162439.7317073171</v>
      </c>
      <c r="F135" s="523">
        <f t="shared" si="50"/>
        <v>5717854.2471526628</v>
      </c>
      <c r="G135" s="523">
        <f t="shared" si="42"/>
        <v>6299074.1130063217</v>
      </c>
      <c r="H135" s="526">
        <f t="shared" si="43"/>
        <v>1877474.256503856</v>
      </c>
      <c r="I135" s="577">
        <f t="shared" si="44"/>
        <v>1877474.256503856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  <c r="Q135" s="269"/>
    </row>
    <row r="136" spans="2:17" ht="12.5">
      <c r="B136" s="195" t="str">
        <f t="shared" si="49"/>
        <v/>
      </c>
      <c r="C136" s="507">
        <f>IF(D93="","-",+C135+1)</f>
        <v>2049</v>
      </c>
      <c r="D136" s="374">
        <f>IF(F135+SUM(E$99:E135)=D$92,F135,D$92-SUM(E$99:E135))</f>
        <v>5717854.2471526628</v>
      </c>
      <c r="E136" s="522">
        <f>IF(+J96&lt;F135,J96,D136)</f>
        <v>1162439.7317073171</v>
      </c>
      <c r="F136" s="523">
        <f t="shared" si="50"/>
        <v>4555414.515445346</v>
      </c>
      <c r="G136" s="523">
        <f t="shared" si="42"/>
        <v>5136634.381299004</v>
      </c>
      <c r="H136" s="526">
        <f t="shared" si="43"/>
        <v>1745520.8096552582</v>
      </c>
      <c r="I136" s="577">
        <f t="shared" si="44"/>
        <v>1745520.8096552582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  <c r="Q136" s="269"/>
    </row>
    <row r="137" spans="2:17" ht="12.5">
      <c r="B137" s="195" t="str">
        <f t="shared" si="49"/>
        <v/>
      </c>
      <c r="C137" s="507">
        <f>IF(D93="","-",+C136+1)</f>
        <v>2050</v>
      </c>
      <c r="D137" s="374">
        <f>IF(F136+SUM(E$99:E136)=D$92,F136,D$92-SUM(E$99:E136))</f>
        <v>4555414.515445346</v>
      </c>
      <c r="E137" s="522">
        <f>IF(+J96&lt;F136,J96,D137)</f>
        <v>1162439.7317073171</v>
      </c>
      <c r="F137" s="523">
        <f t="shared" si="50"/>
        <v>3392974.7837380292</v>
      </c>
      <c r="G137" s="523">
        <f t="shared" si="42"/>
        <v>3974194.6495916876</v>
      </c>
      <c r="H137" s="526">
        <f t="shared" si="43"/>
        <v>1613567.3628066606</v>
      </c>
      <c r="I137" s="577">
        <f t="shared" si="44"/>
        <v>1613567.3628066606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  <c r="Q137" s="269"/>
    </row>
    <row r="138" spans="2:17" ht="12.5">
      <c r="B138" s="195" t="str">
        <f t="shared" si="49"/>
        <v/>
      </c>
      <c r="C138" s="507">
        <f>IF(D93="","-",+C137+1)</f>
        <v>2051</v>
      </c>
      <c r="D138" s="374">
        <f>IF(F137+SUM(E$99:E137)=D$92,F137,D$92-SUM(E$99:E137))</f>
        <v>3392974.7837380292</v>
      </c>
      <c r="E138" s="522">
        <f>IF(+J96&lt;F137,J96,D138)</f>
        <v>1162439.7317073171</v>
      </c>
      <c r="F138" s="523">
        <f t="shared" si="50"/>
        <v>2230535.0520307124</v>
      </c>
      <c r="G138" s="523">
        <f t="shared" si="42"/>
        <v>2811754.9178843708</v>
      </c>
      <c r="H138" s="526">
        <f t="shared" si="43"/>
        <v>1481613.9159580627</v>
      </c>
      <c r="I138" s="577">
        <f t="shared" si="44"/>
        <v>1481613.9159580627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  <c r="Q138" s="269"/>
    </row>
    <row r="139" spans="2:17" ht="12.5">
      <c r="B139" s="195" t="str">
        <f t="shared" si="49"/>
        <v/>
      </c>
      <c r="C139" s="507">
        <f>IF(D93="","-",+C138+1)</f>
        <v>2052</v>
      </c>
      <c r="D139" s="374">
        <f>IF(F138+SUM(E$99:E138)=D$92,F138,D$92-SUM(E$99:E138))</f>
        <v>2230535.0520307124</v>
      </c>
      <c r="E139" s="522">
        <f>IF(+J96&lt;F138,J96,D139)</f>
        <v>1162439.7317073171</v>
      </c>
      <c r="F139" s="523">
        <f t="shared" si="50"/>
        <v>1068095.3203233953</v>
      </c>
      <c r="G139" s="523">
        <f t="shared" si="42"/>
        <v>1649315.186177054</v>
      </c>
      <c r="H139" s="526">
        <f t="shared" si="43"/>
        <v>1349660.4691094651</v>
      </c>
      <c r="I139" s="577">
        <f t="shared" si="44"/>
        <v>1349660.4691094651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  <c r="Q139" s="269"/>
    </row>
    <row r="140" spans="2:17" ht="12.5">
      <c r="B140" s="195" t="str">
        <f t="shared" si="49"/>
        <v/>
      </c>
      <c r="C140" s="507">
        <f>IF(D93="","-",+C139+1)</f>
        <v>2053</v>
      </c>
      <c r="D140" s="374">
        <f>IF(F139+SUM(E$99:E139)=D$92,F139,D$92-SUM(E$99:E139))</f>
        <v>1068095.3203233953</v>
      </c>
      <c r="E140" s="522">
        <f>IF(+J96&lt;F139,J96,D140)</f>
        <v>1068095.3203233953</v>
      </c>
      <c r="F140" s="523">
        <f t="shared" si="50"/>
        <v>0</v>
      </c>
      <c r="G140" s="523">
        <f t="shared" si="42"/>
        <v>534047.66016169765</v>
      </c>
      <c r="H140" s="526">
        <f t="shared" si="43"/>
        <v>1128717.3273123198</v>
      </c>
      <c r="I140" s="577">
        <f t="shared" si="44"/>
        <v>1128717.3273123198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  <c r="Q140" s="269"/>
    </row>
    <row r="141" spans="2:17" ht="12.5">
      <c r="B141" s="195" t="str">
        <f t="shared" si="49"/>
        <v/>
      </c>
      <c r="C141" s="507">
        <f>IF(D93="","-",+C140+1)</f>
        <v>2054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0"/>
        <v>0</v>
      </c>
      <c r="G141" s="523">
        <f t="shared" si="42"/>
        <v>0</v>
      </c>
      <c r="H141" s="526">
        <f t="shared" si="43"/>
        <v>0</v>
      </c>
      <c r="I141" s="577">
        <f t="shared" si="44"/>
        <v>0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  <c r="Q141" s="269"/>
    </row>
    <row r="142" spans="2:17" ht="12.5">
      <c r="B142" s="195" t="str">
        <f t="shared" si="49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0"/>
        <v>0</v>
      </c>
      <c r="G142" s="523">
        <f t="shared" si="42"/>
        <v>0</v>
      </c>
      <c r="H142" s="526">
        <f t="shared" si="43"/>
        <v>0</v>
      </c>
      <c r="I142" s="577">
        <f t="shared" si="44"/>
        <v>0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  <c r="Q142" s="269"/>
    </row>
    <row r="143" spans="2:17" ht="12.5">
      <c r="B143" s="195" t="str">
        <f t="shared" si="49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0"/>
        <v>0</v>
      </c>
      <c r="G143" s="523">
        <f t="shared" si="42"/>
        <v>0</v>
      </c>
      <c r="H143" s="526">
        <f t="shared" si="43"/>
        <v>0</v>
      </c>
      <c r="I143" s="577">
        <f t="shared" si="44"/>
        <v>0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  <c r="Q143" s="269"/>
    </row>
    <row r="144" spans="2:17" ht="12.5">
      <c r="B144" s="195" t="str">
        <f t="shared" si="49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0"/>
        <v>0</v>
      </c>
      <c r="G144" s="523">
        <f t="shared" si="42"/>
        <v>0</v>
      </c>
      <c r="H144" s="526">
        <f t="shared" si="43"/>
        <v>0</v>
      </c>
      <c r="I144" s="577">
        <f t="shared" si="44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  <c r="Q144" s="269"/>
    </row>
    <row r="145" spans="2:17" ht="12.5">
      <c r="B145" s="195" t="str">
        <f t="shared" si="49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0"/>
        <v>0</v>
      </c>
      <c r="G145" s="523">
        <f t="shared" si="42"/>
        <v>0</v>
      </c>
      <c r="H145" s="526">
        <f t="shared" si="43"/>
        <v>0</v>
      </c>
      <c r="I145" s="577">
        <f t="shared" si="44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  <c r="Q145" s="269"/>
    </row>
    <row r="146" spans="2:17" ht="12.5">
      <c r="B146" s="195" t="str">
        <f t="shared" si="49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0"/>
        <v>0</v>
      </c>
      <c r="G146" s="523">
        <f t="shared" si="42"/>
        <v>0</v>
      </c>
      <c r="H146" s="526">
        <f t="shared" si="43"/>
        <v>0</v>
      </c>
      <c r="I146" s="577">
        <f t="shared" si="44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  <c r="Q146" s="269"/>
    </row>
    <row r="147" spans="2:17" ht="12.5">
      <c r="B147" s="195" t="str">
        <f t="shared" si="49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0"/>
        <v>0</v>
      </c>
      <c r="G147" s="523">
        <f t="shared" si="42"/>
        <v>0</v>
      </c>
      <c r="H147" s="526">
        <f t="shared" si="43"/>
        <v>0</v>
      </c>
      <c r="I147" s="577">
        <f t="shared" si="44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  <c r="Q147" s="269"/>
    </row>
    <row r="148" spans="2:17" ht="12.5">
      <c r="B148" s="195" t="str">
        <f t="shared" si="49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0"/>
        <v>0</v>
      </c>
      <c r="G148" s="523">
        <f t="shared" si="42"/>
        <v>0</v>
      </c>
      <c r="H148" s="526">
        <f t="shared" si="43"/>
        <v>0</v>
      </c>
      <c r="I148" s="577">
        <f t="shared" si="44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  <c r="Q148" s="269"/>
    </row>
    <row r="149" spans="2:17" ht="12.5">
      <c r="B149" s="195" t="str">
        <f t="shared" si="49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0"/>
        <v>0</v>
      </c>
      <c r="G149" s="523">
        <f t="shared" si="42"/>
        <v>0</v>
      </c>
      <c r="H149" s="526">
        <f t="shared" si="43"/>
        <v>0</v>
      </c>
      <c r="I149" s="577">
        <f t="shared" si="44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  <c r="Q149" s="269"/>
    </row>
    <row r="150" spans="2:17" ht="12.5">
      <c r="B150" s="195" t="str">
        <f t="shared" si="49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0"/>
        <v>0</v>
      </c>
      <c r="G150" s="523">
        <f t="shared" si="42"/>
        <v>0</v>
      </c>
      <c r="H150" s="526">
        <f t="shared" si="43"/>
        <v>0</v>
      </c>
      <c r="I150" s="577">
        <f t="shared" si="44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  <c r="Q150" s="269"/>
    </row>
    <row r="151" spans="2:17" ht="12.5">
      <c r="B151" s="195" t="str">
        <f t="shared" si="49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0"/>
        <v>0</v>
      </c>
      <c r="G151" s="523">
        <f t="shared" si="42"/>
        <v>0</v>
      </c>
      <c r="H151" s="526">
        <f t="shared" si="43"/>
        <v>0</v>
      </c>
      <c r="I151" s="577">
        <f t="shared" si="44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  <c r="Q151" s="269"/>
    </row>
    <row r="152" spans="2:17" ht="12.5">
      <c r="B152" s="195" t="str">
        <f t="shared" si="49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0"/>
        <v>0</v>
      </c>
      <c r="G152" s="523">
        <f t="shared" si="42"/>
        <v>0</v>
      </c>
      <c r="H152" s="526">
        <f t="shared" si="43"/>
        <v>0</v>
      </c>
      <c r="I152" s="577">
        <f t="shared" si="44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  <c r="Q152" s="269"/>
    </row>
    <row r="153" spans="2:17" ht="12.5">
      <c r="B153" s="195" t="str">
        <f t="shared" si="49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0"/>
        <v>0</v>
      </c>
      <c r="G153" s="523">
        <f t="shared" si="42"/>
        <v>0</v>
      </c>
      <c r="H153" s="526">
        <f t="shared" si="43"/>
        <v>0</v>
      </c>
      <c r="I153" s="577">
        <f t="shared" si="44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  <c r="Q153" s="269"/>
    </row>
    <row r="154" spans="2:17" ht="13" thickBot="1">
      <c r="B154" s="195" t="str">
        <f t="shared" si="49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0"/>
        <v>0</v>
      </c>
      <c r="G154" s="528">
        <f t="shared" si="42"/>
        <v>0</v>
      </c>
      <c r="H154" s="530">
        <f t="shared" si="43"/>
        <v>0</v>
      </c>
      <c r="I154" s="579">
        <f t="shared" si="44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  <c r="Q154" s="269"/>
    </row>
    <row r="155" spans="2:17" ht="12.5">
      <c r="C155" s="374" t="s">
        <v>78</v>
      </c>
      <c r="D155" s="375"/>
      <c r="E155" s="375">
        <f>SUM(E99:E154)</f>
        <v>47660029.000000007</v>
      </c>
      <c r="F155" s="375"/>
      <c r="G155" s="375"/>
      <c r="H155" s="375">
        <f>SUM(H99:H154)</f>
        <v>164366850.803507</v>
      </c>
      <c r="I155" s="375">
        <f>SUM(I99:I154)</f>
        <v>164366850.803507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01" priority="1" stopIfTrue="1" operator="equal">
      <formula>$I$10</formula>
    </cfRule>
  </conditionalFormatting>
  <conditionalFormatting sqref="C99:C154">
    <cfRule type="cellIs" dxfId="10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2"/>
  <dimension ref="A1:Q162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31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26894.578901645269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26894.578901645269</v>
      </c>
      <c r="O6" s="269"/>
      <c r="P6" s="269"/>
    </row>
    <row r="7" spans="1:17" ht="13.5" thickBot="1">
      <c r="C7" s="467" t="s">
        <v>48</v>
      </c>
      <c r="D7" s="620" t="s">
        <v>285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284</v>
      </c>
      <c r="E9" s="666" t="s">
        <v>492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230750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5494.0476190476193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284100</v>
      </c>
      <c r="E17" s="509">
        <v>3382.1428571428578</v>
      </c>
      <c r="F17" s="508">
        <v>280717.85714285716</v>
      </c>
      <c r="G17" s="509">
        <v>45130.541890843866</v>
      </c>
      <c r="H17" s="510">
        <v>45130.541890843866</v>
      </c>
      <c r="I17" s="617">
        <v>0</v>
      </c>
      <c r="J17" s="511"/>
      <c r="K17" s="512">
        <f t="shared" ref="K17:K22" si="0">G17</f>
        <v>45130.541890843866</v>
      </c>
      <c r="L17" s="597">
        <f t="shared" ref="L17:L48" si="1">IF(K17&lt;&gt;0,+G17-K17,0)</f>
        <v>0</v>
      </c>
      <c r="M17" s="512">
        <f t="shared" ref="M17:M22" si="2">H17</f>
        <v>45130.541890843866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508">
        <v>227367.85714285713</v>
      </c>
      <c r="E18" s="516">
        <v>5494.0476190476193</v>
      </c>
      <c r="F18" s="508">
        <v>221873.8095238095</v>
      </c>
      <c r="G18" s="516">
        <v>36553.514803328042</v>
      </c>
      <c r="H18" s="510">
        <v>36553.514803328042</v>
      </c>
      <c r="I18" s="616">
        <v>0</v>
      </c>
      <c r="J18" s="511"/>
      <c r="K18" s="518">
        <f t="shared" si="0"/>
        <v>36553.514803328042</v>
      </c>
      <c r="L18" s="519">
        <f t="shared" ref="L18:L23" si="6">IF(K18&lt;&gt;0,+G18-K18,0)</f>
        <v>0</v>
      </c>
      <c r="M18" s="518">
        <f t="shared" si="2"/>
        <v>36553.514803328042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/>
      </c>
      <c r="C19" s="507">
        <f>IF(D11="","-",+C18+1)</f>
        <v>2014</v>
      </c>
      <c r="D19" s="508">
        <v>221873.8095238095</v>
      </c>
      <c r="E19" s="516">
        <v>5494.0476190476193</v>
      </c>
      <c r="F19" s="508">
        <v>216379.76190476186</v>
      </c>
      <c r="G19" s="516">
        <v>34685.951272631864</v>
      </c>
      <c r="H19" s="510">
        <v>34685.951272631864</v>
      </c>
      <c r="I19" s="616">
        <v>0</v>
      </c>
      <c r="J19" s="511"/>
      <c r="K19" s="518">
        <f t="shared" si="0"/>
        <v>34685.951272631864</v>
      </c>
      <c r="L19" s="519">
        <f t="shared" si="6"/>
        <v>0</v>
      </c>
      <c r="M19" s="518">
        <f t="shared" si="2"/>
        <v>34685.951272631864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/>
      </c>
      <c r="C20" s="507">
        <f>IF(D11="","-",+C19+1)</f>
        <v>2015</v>
      </c>
      <c r="D20" s="508">
        <v>216379.76190476186</v>
      </c>
      <c r="E20" s="516">
        <v>5494.0476190476193</v>
      </c>
      <c r="F20" s="508">
        <v>210885.71428571423</v>
      </c>
      <c r="G20" s="516">
        <v>33268.708647541804</v>
      </c>
      <c r="H20" s="510">
        <v>33268.708647541804</v>
      </c>
      <c r="I20" s="511">
        <v>0</v>
      </c>
      <c r="J20" s="511"/>
      <c r="K20" s="518">
        <f t="shared" si="0"/>
        <v>33268.708647541804</v>
      </c>
      <c r="L20" s="519">
        <f t="shared" si="6"/>
        <v>0</v>
      </c>
      <c r="M20" s="518">
        <f t="shared" si="2"/>
        <v>33268.708647541804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508">
        <v>210885.71428571423</v>
      </c>
      <c r="E21" s="516">
        <v>5494.0476190476193</v>
      </c>
      <c r="F21" s="508">
        <v>205391.6666666666</v>
      </c>
      <c r="G21" s="516">
        <v>32211.390488141627</v>
      </c>
      <c r="H21" s="510">
        <v>32211.390488141627</v>
      </c>
      <c r="I21" s="511">
        <f t="shared" ref="I21:I48" si="9">H21-G21</f>
        <v>0</v>
      </c>
      <c r="J21" s="511"/>
      <c r="K21" s="518">
        <f t="shared" si="0"/>
        <v>32211.390488141627</v>
      </c>
      <c r="L21" s="519">
        <f t="shared" si="6"/>
        <v>0</v>
      </c>
      <c r="M21" s="518">
        <f t="shared" si="2"/>
        <v>32211.390488141627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508">
        <v>205391.6666666666</v>
      </c>
      <c r="E22" s="516">
        <v>5366.2790697674418</v>
      </c>
      <c r="F22" s="508">
        <v>200025.38759689915</v>
      </c>
      <c r="G22" s="516">
        <v>30480.352081775804</v>
      </c>
      <c r="H22" s="510">
        <v>30480.352081775804</v>
      </c>
      <c r="I22" s="511">
        <f t="shared" si="9"/>
        <v>0</v>
      </c>
      <c r="J22" s="511"/>
      <c r="K22" s="518">
        <f t="shared" si="0"/>
        <v>30480.352081775804</v>
      </c>
      <c r="L22" s="519">
        <f t="shared" si="6"/>
        <v>0</v>
      </c>
      <c r="M22" s="518">
        <f t="shared" si="2"/>
        <v>30480.352081775804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508">
        <v>200025.38759689915</v>
      </c>
      <c r="E23" s="516">
        <v>5628.0487804878048</v>
      </c>
      <c r="F23" s="508">
        <v>194397.33881641136</v>
      </c>
      <c r="G23" s="516">
        <v>30692.449285651339</v>
      </c>
      <c r="H23" s="510">
        <v>30692.449285651339</v>
      </c>
      <c r="I23" s="511">
        <f t="shared" si="9"/>
        <v>0</v>
      </c>
      <c r="J23" s="511"/>
      <c r="K23" s="518">
        <f>G23</f>
        <v>30692.449285651339</v>
      </c>
      <c r="L23" s="519">
        <f t="shared" si="6"/>
        <v>0</v>
      </c>
      <c r="M23" s="518">
        <f>H23</f>
        <v>30692.449285651339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508">
        <v>194397.33881641136</v>
      </c>
      <c r="E24" s="516">
        <v>5628.0487804878048</v>
      </c>
      <c r="F24" s="508">
        <v>188769.29003592356</v>
      </c>
      <c r="G24" s="516">
        <v>29977.157497170956</v>
      </c>
      <c r="H24" s="510">
        <v>29977.157497170956</v>
      </c>
      <c r="I24" s="511">
        <f t="shared" si="9"/>
        <v>0</v>
      </c>
      <c r="J24" s="511"/>
      <c r="K24" s="518">
        <f>G24</f>
        <v>29977.157497170956</v>
      </c>
      <c r="L24" s="519">
        <f t="shared" ref="L24" si="10">IF(K24&lt;&gt;0,+G24-K24,0)</f>
        <v>0</v>
      </c>
      <c r="M24" s="518">
        <f>H24</f>
        <v>29977.157497170956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508">
        <v>188769.29003592356</v>
      </c>
      <c r="E25" s="516">
        <v>5628.0487804878048</v>
      </c>
      <c r="F25" s="508">
        <v>183141.24125543577</v>
      </c>
      <c r="G25" s="516">
        <v>24657.865553316573</v>
      </c>
      <c r="H25" s="510">
        <v>24657.865553316573</v>
      </c>
      <c r="I25" s="511">
        <f t="shared" si="9"/>
        <v>0</v>
      </c>
      <c r="J25" s="511"/>
      <c r="K25" s="518">
        <f>G25</f>
        <v>24657.865553316573</v>
      </c>
      <c r="L25" s="519">
        <f t="shared" ref="L25" si="11">IF(K25&lt;&gt;0,+G25-K25,0)</f>
        <v>0</v>
      </c>
      <c r="M25" s="518">
        <f>H25</f>
        <v>24657.865553316573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508">
        <v>183403.01096615617</v>
      </c>
      <c r="E26" s="516">
        <v>5494.0476190476193</v>
      </c>
      <c r="F26" s="508">
        <v>177908.96334710854</v>
      </c>
      <c r="G26" s="516">
        <v>24644.403346812211</v>
      </c>
      <c r="H26" s="510">
        <v>24644.403346812211</v>
      </c>
      <c r="I26" s="511">
        <f t="shared" si="9"/>
        <v>0</v>
      </c>
      <c r="J26" s="511"/>
      <c r="K26" s="518">
        <f>G26</f>
        <v>24644.403346812211</v>
      </c>
      <c r="L26" s="519">
        <f t="shared" ref="L26" si="12">IF(K26&lt;&gt;0,+G26-K26,0)</f>
        <v>0</v>
      </c>
      <c r="M26" s="518">
        <f>H26</f>
        <v>24644.403346812211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508">
        <v>177647.1936363882</v>
      </c>
      <c r="E27" s="516">
        <v>5494.0476190476193</v>
      </c>
      <c r="F27" s="508">
        <v>172153.14601734056</v>
      </c>
      <c r="G27" s="516">
        <v>25160.539259925026</v>
      </c>
      <c r="H27" s="510">
        <v>25160.539259925026</v>
      </c>
      <c r="I27" s="511">
        <f t="shared" si="9"/>
        <v>0</v>
      </c>
      <c r="J27" s="511"/>
      <c r="K27" s="518">
        <f>G27</f>
        <v>25160.539259925026</v>
      </c>
      <c r="L27" s="519">
        <f t="shared" ref="L27" si="13">IF(K27&lt;&gt;0,+G27-K27,0)</f>
        <v>0</v>
      </c>
      <c r="M27" s="518">
        <f>H27</f>
        <v>25160.539259925026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172153.14601734056</v>
      </c>
      <c r="E28" s="522">
        <f>IF(+I14&lt;F27,I14,D28)</f>
        <v>5494.0476190476193</v>
      </c>
      <c r="F28" s="523">
        <f t="shared" ref="F28:F48" si="14">+D28-E28</f>
        <v>166659.09839829293</v>
      </c>
      <c r="G28" s="524">
        <f t="shared" ref="G28:G53" si="15">+I$12*((D28+F28)/2)+E28</f>
        <v>26894.578901645269</v>
      </c>
      <c r="H28" s="491">
        <f t="shared" ref="H28:H53" si="16">+I$13*((D28+F28)/2)+E28</f>
        <v>26894.578901645269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166659.09839829293</v>
      </c>
      <c r="E29" s="522">
        <f>IF(+I14&lt;F28,I14,D29)</f>
        <v>5494.0476190476193</v>
      </c>
      <c r="F29" s="523">
        <f t="shared" si="14"/>
        <v>161165.0507792453</v>
      </c>
      <c r="G29" s="524">
        <f t="shared" si="15"/>
        <v>26200.533512923863</v>
      </c>
      <c r="H29" s="491">
        <f t="shared" si="16"/>
        <v>26200.533512923863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161165.0507792453</v>
      </c>
      <c r="E30" s="522">
        <f>IF(+I14&lt;F29,I14,D30)</f>
        <v>5494.0476190476193</v>
      </c>
      <c r="F30" s="523">
        <f t="shared" si="14"/>
        <v>155671.00316019767</v>
      </c>
      <c r="G30" s="524">
        <f t="shared" si="15"/>
        <v>25506.488124202457</v>
      </c>
      <c r="H30" s="491">
        <f t="shared" si="16"/>
        <v>25506.488124202457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155671.00316019767</v>
      </c>
      <c r="E31" s="522">
        <f>IF(+I14&lt;F30,I14,D31)</f>
        <v>5494.0476190476193</v>
      </c>
      <c r="F31" s="523">
        <f t="shared" si="14"/>
        <v>150176.95554115003</v>
      </c>
      <c r="G31" s="524">
        <f t="shared" si="15"/>
        <v>24812.442735481054</v>
      </c>
      <c r="H31" s="491">
        <f t="shared" si="16"/>
        <v>24812.442735481054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150176.95554115003</v>
      </c>
      <c r="E32" s="522">
        <f>IF(+I14&lt;F31,I14,D32)</f>
        <v>5494.0476190476193</v>
      </c>
      <c r="F32" s="523">
        <f t="shared" si="14"/>
        <v>144682.9079221024</v>
      </c>
      <c r="G32" s="524">
        <f t="shared" si="15"/>
        <v>24118.397346759648</v>
      </c>
      <c r="H32" s="491">
        <f t="shared" si="16"/>
        <v>24118.397346759648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144682.9079221024</v>
      </c>
      <c r="E33" s="522">
        <f>IF(+I14&lt;F32,I14,D33)</f>
        <v>5494.0476190476193</v>
      </c>
      <c r="F33" s="523">
        <f t="shared" si="14"/>
        <v>139188.86030305477</v>
      </c>
      <c r="G33" s="524">
        <f t="shared" si="15"/>
        <v>23424.351958038242</v>
      </c>
      <c r="H33" s="491">
        <f t="shared" si="16"/>
        <v>23424.351958038242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139188.86030305477</v>
      </c>
      <c r="E34" s="522">
        <f>IF(+I14&lt;F33,I14,D34)</f>
        <v>5494.0476190476193</v>
      </c>
      <c r="F34" s="523">
        <f t="shared" si="14"/>
        <v>133694.81268400713</v>
      </c>
      <c r="G34" s="524">
        <f t="shared" si="15"/>
        <v>22730.306569316839</v>
      </c>
      <c r="H34" s="491">
        <f t="shared" si="16"/>
        <v>22730.306569316839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133694.81268400713</v>
      </c>
      <c r="E35" s="522">
        <f>IF(+I14&lt;F34,I14,D35)</f>
        <v>5494.0476190476193</v>
      </c>
      <c r="F35" s="523">
        <f t="shared" si="14"/>
        <v>128200.76506495952</v>
      </c>
      <c r="G35" s="524">
        <f t="shared" si="15"/>
        <v>22036.261180595433</v>
      </c>
      <c r="H35" s="491">
        <f t="shared" si="16"/>
        <v>22036.261180595433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128200.76506495952</v>
      </c>
      <c r="E36" s="522">
        <f>IF(+I14&lt;F35,I14,D36)</f>
        <v>5494.0476190476193</v>
      </c>
      <c r="F36" s="523">
        <f t="shared" si="14"/>
        <v>122706.7174459119</v>
      </c>
      <c r="G36" s="524">
        <f t="shared" si="15"/>
        <v>21342.215791874034</v>
      </c>
      <c r="H36" s="491">
        <f t="shared" si="16"/>
        <v>21342.215791874034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122706.7174459119</v>
      </c>
      <c r="E37" s="522">
        <f>IF(+I14&lt;F36,I14,D37)</f>
        <v>5494.0476190476193</v>
      </c>
      <c r="F37" s="523">
        <f t="shared" si="14"/>
        <v>117212.66982686428</v>
      </c>
      <c r="G37" s="524">
        <f t="shared" si="15"/>
        <v>20648.170403152628</v>
      </c>
      <c r="H37" s="491">
        <f t="shared" si="16"/>
        <v>20648.170403152628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117212.66982686428</v>
      </c>
      <c r="E38" s="522">
        <f>IF(+I14&lt;F37,I14,D38)</f>
        <v>5494.0476190476193</v>
      </c>
      <c r="F38" s="523">
        <f t="shared" si="14"/>
        <v>111718.62220781666</v>
      </c>
      <c r="G38" s="524">
        <f t="shared" si="15"/>
        <v>19954.125014431229</v>
      </c>
      <c r="H38" s="491">
        <f t="shared" si="16"/>
        <v>19954.125014431229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111718.62220781666</v>
      </c>
      <c r="E39" s="522">
        <f>IF(+I14&lt;F38,I14,D39)</f>
        <v>5494.0476190476193</v>
      </c>
      <c r="F39" s="523">
        <f t="shared" si="14"/>
        <v>106224.57458876904</v>
      </c>
      <c r="G39" s="524">
        <f t="shared" si="15"/>
        <v>19260.079625709823</v>
      </c>
      <c r="H39" s="491">
        <f t="shared" si="16"/>
        <v>19260.079625709823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106224.57458876904</v>
      </c>
      <c r="E40" s="522">
        <f>IF(+I14&lt;F39,I14,D40)</f>
        <v>5494.0476190476193</v>
      </c>
      <c r="F40" s="523">
        <f t="shared" si="14"/>
        <v>100730.52696972142</v>
      </c>
      <c r="G40" s="524">
        <f t="shared" si="15"/>
        <v>18566.03423698842</v>
      </c>
      <c r="H40" s="491">
        <f t="shared" si="16"/>
        <v>18566.03423698842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100730.52696972142</v>
      </c>
      <c r="E41" s="522">
        <f>IF(+I14&lt;F40,I14,D41)</f>
        <v>5494.0476190476193</v>
      </c>
      <c r="F41" s="523">
        <f t="shared" si="14"/>
        <v>95236.479350673806</v>
      </c>
      <c r="G41" s="524">
        <f t="shared" si="15"/>
        <v>17871.988848267018</v>
      </c>
      <c r="H41" s="491">
        <f t="shared" si="16"/>
        <v>17871.988848267018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95236.479350673806</v>
      </c>
      <c r="E42" s="522">
        <f>IF(+I14&lt;F41,I14,D42)</f>
        <v>5494.0476190476193</v>
      </c>
      <c r="F42" s="523">
        <f t="shared" si="14"/>
        <v>89742.431731626188</v>
      </c>
      <c r="G42" s="524">
        <f t="shared" si="15"/>
        <v>17177.943459545615</v>
      </c>
      <c r="H42" s="491">
        <f t="shared" si="16"/>
        <v>17177.943459545615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89742.431731626188</v>
      </c>
      <c r="E43" s="522">
        <f>IF(+I14&lt;F42,I14,D43)</f>
        <v>5494.0476190476193</v>
      </c>
      <c r="F43" s="523">
        <f t="shared" si="14"/>
        <v>84248.384112578569</v>
      </c>
      <c r="G43" s="524">
        <f t="shared" si="15"/>
        <v>16483.898070824209</v>
      </c>
      <c r="H43" s="491">
        <f t="shared" si="16"/>
        <v>16483.898070824209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84248.384112578569</v>
      </c>
      <c r="E44" s="522">
        <f>IF(+I14&lt;F43,I14,D44)</f>
        <v>5494.0476190476193</v>
      </c>
      <c r="F44" s="523">
        <f t="shared" si="14"/>
        <v>78754.336493530951</v>
      </c>
      <c r="G44" s="524">
        <f t="shared" si="15"/>
        <v>15789.85268210281</v>
      </c>
      <c r="H44" s="491">
        <f t="shared" si="16"/>
        <v>15789.85268210281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78754.336493530951</v>
      </c>
      <c r="E45" s="522">
        <f>IF(+I14&lt;F44,I14,D45)</f>
        <v>5494.0476190476193</v>
      </c>
      <c r="F45" s="523">
        <f t="shared" si="14"/>
        <v>73260.288874483333</v>
      </c>
      <c r="G45" s="524">
        <f t="shared" si="15"/>
        <v>15095.807293381404</v>
      </c>
      <c r="H45" s="491">
        <f t="shared" si="16"/>
        <v>15095.807293381404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73260.288874483333</v>
      </c>
      <c r="E46" s="522">
        <f>IF(+I14&lt;F45,I14,D46)</f>
        <v>5494.0476190476193</v>
      </c>
      <c r="F46" s="523">
        <f t="shared" si="14"/>
        <v>67766.241255435714</v>
      </c>
      <c r="G46" s="524">
        <f t="shared" si="15"/>
        <v>14401.761904660001</v>
      </c>
      <c r="H46" s="491">
        <f t="shared" si="16"/>
        <v>14401.761904660001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67766.241255435714</v>
      </c>
      <c r="E47" s="522">
        <f>IF(+I14&lt;F46,I14,D47)</f>
        <v>5494.0476190476193</v>
      </c>
      <c r="F47" s="523">
        <f t="shared" si="14"/>
        <v>62272.193636388096</v>
      </c>
      <c r="G47" s="524">
        <f t="shared" si="15"/>
        <v>13707.716515938599</v>
      </c>
      <c r="H47" s="491">
        <f t="shared" si="16"/>
        <v>13707.716515938599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62272.193636388096</v>
      </c>
      <c r="E48" s="522">
        <f>IF(+I14&lt;F47,I14,D48)</f>
        <v>5494.0476190476193</v>
      </c>
      <c r="F48" s="523">
        <f t="shared" si="14"/>
        <v>56778.146017340478</v>
      </c>
      <c r="G48" s="524">
        <f t="shared" si="15"/>
        <v>13013.671127217196</v>
      </c>
      <c r="H48" s="491">
        <f t="shared" si="16"/>
        <v>13013.671127217196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56778.146017340478</v>
      </c>
      <c r="E49" s="522">
        <f>IF(+I14&lt;F48,I14,D49)</f>
        <v>5494.0476190476193</v>
      </c>
      <c r="F49" s="523">
        <f t="shared" ref="F49:F72" si="17">+D49-E49</f>
        <v>51284.098398292859</v>
      </c>
      <c r="G49" s="524">
        <f t="shared" si="15"/>
        <v>12319.625738495793</v>
      </c>
      <c r="H49" s="491">
        <f t="shared" si="16"/>
        <v>12319.625738495793</v>
      </c>
      <c r="I49" s="511">
        <f t="shared" ref="I49:I72" si="18">H49-G49</f>
        <v>0</v>
      </c>
      <c r="J49" s="511"/>
      <c r="K49" s="525"/>
      <c r="L49" s="514">
        <f t="shared" ref="L49:L72" si="19">IF(K49&lt;&gt;0,+G49-K49,0)</f>
        <v>0</v>
      </c>
      <c r="M49" s="525"/>
      <c r="N49" s="514">
        <f t="shared" ref="N49:N72" si="20">IF(M49&lt;&gt;0,+H49-M49,0)</f>
        <v>0</v>
      </c>
      <c r="O49" s="514">
        <f t="shared" ref="O49:O72" si="21">+N49-L49</f>
        <v>0</v>
      </c>
      <c r="P49" s="272"/>
    </row>
    <row r="50" spans="2:17" ht="12.5">
      <c r="B50" s="195" t="str">
        <f t="shared" ref="B50:B72" si="22">IF(D50=F49,"","IU")</f>
        <v/>
      </c>
      <c r="C50" s="507">
        <f>IF(D11="","-",+C49+1)</f>
        <v>2045</v>
      </c>
      <c r="D50" s="523">
        <f>IF(F49+SUM(E$17:E49)=D$10,F49,D$10-SUM(E$17:E49))</f>
        <v>51284.098398292859</v>
      </c>
      <c r="E50" s="522">
        <f>IF(+I14&lt;F49,I14,D50)</f>
        <v>5494.0476190476193</v>
      </c>
      <c r="F50" s="523">
        <f t="shared" si="17"/>
        <v>45790.050779245241</v>
      </c>
      <c r="G50" s="524">
        <f t="shared" si="15"/>
        <v>11625.580349774389</v>
      </c>
      <c r="H50" s="491">
        <f t="shared" si="16"/>
        <v>11625.580349774389</v>
      </c>
      <c r="I50" s="511">
        <f t="shared" si="18"/>
        <v>0</v>
      </c>
      <c r="J50" s="511"/>
      <c r="K50" s="525"/>
      <c r="L50" s="514">
        <f t="shared" si="19"/>
        <v>0</v>
      </c>
      <c r="M50" s="525"/>
      <c r="N50" s="514">
        <f t="shared" si="20"/>
        <v>0</v>
      </c>
      <c r="O50" s="514">
        <f t="shared" si="21"/>
        <v>0</v>
      </c>
      <c r="P50" s="272"/>
    </row>
    <row r="51" spans="2:17" ht="12.5">
      <c r="B51" s="195" t="str">
        <f t="shared" si="22"/>
        <v/>
      </c>
      <c r="C51" s="507">
        <f>IF(D11="","-",+C50+1)</f>
        <v>2046</v>
      </c>
      <c r="D51" s="523">
        <f>IF(F50+SUM(E$17:E50)=D$10,F50,D$10-SUM(E$17:E50))</f>
        <v>45790.050779245241</v>
      </c>
      <c r="E51" s="522">
        <f>IF(+I14&lt;F50,I14,D51)</f>
        <v>5494.0476190476193</v>
      </c>
      <c r="F51" s="523">
        <f t="shared" si="17"/>
        <v>40296.003160197622</v>
      </c>
      <c r="G51" s="524">
        <f t="shared" si="15"/>
        <v>10931.534961052985</v>
      </c>
      <c r="H51" s="491">
        <f t="shared" si="16"/>
        <v>10931.534961052985</v>
      </c>
      <c r="I51" s="511">
        <f t="shared" si="18"/>
        <v>0</v>
      </c>
      <c r="J51" s="511"/>
      <c r="K51" s="525"/>
      <c r="L51" s="514">
        <f t="shared" si="19"/>
        <v>0</v>
      </c>
      <c r="M51" s="525"/>
      <c r="N51" s="514">
        <f t="shared" si="20"/>
        <v>0</v>
      </c>
      <c r="O51" s="514">
        <f t="shared" si="21"/>
        <v>0</v>
      </c>
      <c r="P51" s="272"/>
    </row>
    <row r="52" spans="2:17" ht="12.5">
      <c r="B52" s="195" t="str">
        <f t="shared" si="22"/>
        <v/>
      </c>
      <c r="C52" s="507">
        <f>IF(D11="","-",+C51+1)</f>
        <v>2047</v>
      </c>
      <c r="D52" s="523">
        <f>IF(F51+SUM(E$17:E51)=D$10,F51,D$10-SUM(E$17:E51))</f>
        <v>40296.003160197622</v>
      </c>
      <c r="E52" s="522">
        <f>IF(+I14&lt;F51,I14,D52)</f>
        <v>5494.0476190476193</v>
      </c>
      <c r="F52" s="523">
        <f t="shared" si="17"/>
        <v>34801.955541150004</v>
      </c>
      <c r="G52" s="524">
        <f t="shared" si="15"/>
        <v>10237.489572331582</v>
      </c>
      <c r="H52" s="491">
        <f t="shared" si="16"/>
        <v>10237.489572331582</v>
      </c>
      <c r="I52" s="511">
        <f t="shared" si="18"/>
        <v>0</v>
      </c>
      <c r="J52" s="511"/>
      <c r="K52" s="525"/>
      <c r="L52" s="514">
        <f t="shared" si="19"/>
        <v>0</v>
      </c>
      <c r="M52" s="525"/>
      <c r="N52" s="514">
        <f t="shared" si="20"/>
        <v>0</v>
      </c>
      <c r="O52" s="514">
        <f t="shared" si="21"/>
        <v>0</v>
      </c>
      <c r="P52" s="272"/>
    </row>
    <row r="53" spans="2:17" ht="12.5">
      <c r="B53" s="195" t="str">
        <f t="shared" si="22"/>
        <v/>
      </c>
      <c r="C53" s="507">
        <f>IF(D11="","-",+C52+1)</f>
        <v>2048</v>
      </c>
      <c r="D53" s="523">
        <f>IF(F52+SUM(E$17:E52)=D$10,F52,D$10-SUM(E$17:E52))</f>
        <v>34801.955541150004</v>
      </c>
      <c r="E53" s="522">
        <f>IF(+I14&lt;F52,I14,D53)</f>
        <v>5494.0476190476193</v>
      </c>
      <c r="F53" s="523">
        <f t="shared" si="17"/>
        <v>29307.907922102386</v>
      </c>
      <c r="G53" s="524">
        <f t="shared" si="15"/>
        <v>9543.4441836101796</v>
      </c>
      <c r="H53" s="491">
        <f t="shared" si="16"/>
        <v>9543.4441836101796</v>
      </c>
      <c r="I53" s="511">
        <f t="shared" si="18"/>
        <v>0</v>
      </c>
      <c r="J53" s="511"/>
      <c r="K53" s="525"/>
      <c r="L53" s="514">
        <f t="shared" si="19"/>
        <v>0</v>
      </c>
      <c r="M53" s="525"/>
      <c r="N53" s="514">
        <f t="shared" si="20"/>
        <v>0</v>
      </c>
      <c r="O53" s="514">
        <f t="shared" si="21"/>
        <v>0</v>
      </c>
      <c r="P53" s="272"/>
    </row>
    <row r="54" spans="2:17" ht="12.5">
      <c r="B54" s="195" t="str">
        <f t="shared" si="22"/>
        <v/>
      </c>
      <c r="C54" s="507">
        <f>IF(D11="","-",+C53+1)</f>
        <v>2049</v>
      </c>
      <c r="D54" s="523">
        <f>IF(F53+SUM(E$17:E53)=D$10,F53,D$10-SUM(E$17:E53))</f>
        <v>29307.907922102386</v>
      </c>
      <c r="E54" s="522">
        <f>IF(+I14&lt;F53,I14,D54)</f>
        <v>5494.0476190476193</v>
      </c>
      <c r="F54" s="523">
        <f t="shared" si="17"/>
        <v>23813.860303054767</v>
      </c>
      <c r="G54" s="524">
        <f t="shared" ref="G54:G72" si="23">+I$12*((D54+F54)/2)+E54</f>
        <v>8849.398794888777</v>
      </c>
      <c r="H54" s="491">
        <f t="shared" ref="H54:H72" si="24">+I$13*((D54+F54)/2)+E54</f>
        <v>8849.398794888777</v>
      </c>
      <c r="I54" s="511">
        <f t="shared" si="18"/>
        <v>0</v>
      </c>
      <c r="J54" s="511"/>
      <c r="K54" s="525"/>
      <c r="L54" s="514">
        <f t="shared" si="19"/>
        <v>0</v>
      </c>
      <c r="M54" s="525"/>
      <c r="N54" s="514">
        <f t="shared" si="20"/>
        <v>0</v>
      </c>
      <c r="O54" s="514">
        <f t="shared" si="21"/>
        <v>0</v>
      </c>
      <c r="P54" s="272"/>
    </row>
    <row r="55" spans="2:17" ht="12.5">
      <c r="B55" s="195" t="str">
        <f t="shared" si="22"/>
        <v/>
      </c>
      <c r="C55" s="507">
        <f>IF(D11="","-",+C54+1)</f>
        <v>2050</v>
      </c>
      <c r="D55" s="523">
        <f>IF(F54+SUM(E$17:E54)=D$10,F54,D$10-SUM(E$17:E54))</f>
        <v>23813.860303054767</v>
      </c>
      <c r="E55" s="522">
        <f>IF(+I14&lt;F54,I14,D55)</f>
        <v>5494.0476190476193</v>
      </c>
      <c r="F55" s="523">
        <f t="shared" si="17"/>
        <v>18319.812684007149</v>
      </c>
      <c r="G55" s="524">
        <f t="shared" si="23"/>
        <v>8155.3534061673736</v>
      </c>
      <c r="H55" s="491">
        <f t="shared" si="24"/>
        <v>8155.3534061673736</v>
      </c>
      <c r="I55" s="511">
        <f t="shared" si="18"/>
        <v>0</v>
      </c>
      <c r="J55" s="511"/>
      <c r="K55" s="525"/>
      <c r="L55" s="514">
        <f t="shared" si="19"/>
        <v>0</v>
      </c>
      <c r="M55" s="525"/>
      <c r="N55" s="514">
        <f t="shared" si="20"/>
        <v>0</v>
      </c>
      <c r="O55" s="514">
        <f t="shared" si="21"/>
        <v>0</v>
      </c>
      <c r="P55" s="272"/>
    </row>
    <row r="56" spans="2:17" ht="12.5">
      <c r="B56" s="195" t="str">
        <f t="shared" si="22"/>
        <v/>
      </c>
      <c r="C56" s="507">
        <f>IF(D11="","-",+C55+1)</f>
        <v>2051</v>
      </c>
      <c r="D56" s="523">
        <f>IF(F55+SUM(E$17:E55)=D$10,F55,D$10-SUM(E$17:E55))</f>
        <v>18319.812684007149</v>
      </c>
      <c r="E56" s="522">
        <f>IF(+I14&lt;F55,I14,D56)</f>
        <v>5494.0476190476193</v>
      </c>
      <c r="F56" s="523">
        <f t="shared" si="17"/>
        <v>12825.765064959531</v>
      </c>
      <c r="G56" s="524">
        <f t="shared" si="23"/>
        <v>7461.3080174459701</v>
      </c>
      <c r="H56" s="491">
        <f t="shared" si="24"/>
        <v>7461.3080174459701</v>
      </c>
      <c r="I56" s="511">
        <f t="shared" si="18"/>
        <v>0</v>
      </c>
      <c r="J56" s="511"/>
      <c r="K56" s="525"/>
      <c r="L56" s="514">
        <f t="shared" si="19"/>
        <v>0</v>
      </c>
      <c r="M56" s="525"/>
      <c r="N56" s="514">
        <f t="shared" si="20"/>
        <v>0</v>
      </c>
      <c r="O56" s="514">
        <f t="shared" si="21"/>
        <v>0</v>
      </c>
      <c r="P56" s="272"/>
    </row>
    <row r="57" spans="2:17" ht="12.5">
      <c r="B57" s="195" t="str">
        <f t="shared" si="22"/>
        <v/>
      </c>
      <c r="C57" s="507">
        <f>IF(D11="","-",+C56+1)</f>
        <v>2052</v>
      </c>
      <c r="D57" s="523">
        <f>IF(F56+SUM(E$17:E56)=D$10,F56,D$10-SUM(E$17:E56))</f>
        <v>12825.765064959531</v>
      </c>
      <c r="E57" s="522">
        <f>IF(+I14&lt;F56,I14,D57)</f>
        <v>5494.0476190476193</v>
      </c>
      <c r="F57" s="523">
        <f t="shared" si="17"/>
        <v>7331.7174459119115</v>
      </c>
      <c r="G57" s="524">
        <f t="shared" si="23"/>
        <v>6767.2626287245675</v>
      </c>
      <c r="H57" s="491">
        <f t="shared" si="24"/>
        <v>6767.2626287245675</v>
      </c>
      <c r="I57" s="511">
        <f t="shared" si="18"/>
        <v>0</v>
      </c>
      <c r="J57" s="511"/>
      <c r="K57" s="525"/>
      <c r="L57" s="514">
        <f t="shared" si="19"/>
        <v>0</v>
      </c>
      <c r="M57" s="525"/>
      <c r="N57" s="514">
        <f t="shared" si="20"/>
        <v>0</v>
      </c>
      <c r="O57" s="514">
        <f t="shared" si="21"/>
        <v>0</v>
      </c>
      <c r="P57" s="272"/>
    </row>
    <row r="58" spans="2:17" ht="12.5">
      <c r="B58" s="195" t="str">
        <f t="shared" si="22"/>
        <v/>
      </c>
      <c r="C58" s="507">
        <f>IF(D11="","-",+C57+1)</f>
        <v>2053</v>
      </c>
      <c r="D58" s="523">
        <f>IF(F57+SUM(E$17:E57)=D$10,F57,D$10-SUM(E$17:E57))</f>
        <v>7331.7174459119115</v>
      </c>
      <c r="E58" s="522">
        <f>IF(+I14&lt;F57,I14,D58)</f>
        <v>5494.0476190476193</v>
      </c>
      <c r="F58" s="523">
        <f t="shared" si="17"/>
        <v>1837.6698268642922</v>
      </c>
      <c r="G58" s="524">
        <f t="shared" si="23"/>
        <v>6073.2172400031641</v>
      </c>
      <c r="H58" s="491">
        <f t="shared" si="24"/>
        <v>6073.2172400031641</v>
      </c>
      <c r="I58" s="511">
        <f t="shared" si="18"/>
        <v>0</v>
      </c>
      <c r="J58" s="511"/>
      <c r="K58" s="525"/>
      <c r="L58" s="514">
        <f t="shared" si="19"/>
        <v>0</v>
      </c>
      <c r="M58" s="525"/>
      <c r="N58" s="514">
        <f t="shared" si="20"/>
        <v>0</v>
      </c>
      <c r="O58" s="514">
        <f t="shared" si="2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2"/>
        <v/>
      </c>
      <c r="C59" s="507">
        <f>IF(D11="","-",+C58+1)</f>
        <v>2054</v>
      </c>
      <c r="D59" s="523">
        <f>IF(F58+SUM(E$17:E58)=D$10,F58,D$10-SUM(E$17:E58))</f>
        <v>1837.6698268642922</v>
      </c>
      <c r="E59" s="522">
        <f>IF(+I14&lt;F58,I14,D59)</f>
        <v>1837.6698268642922</v>
      </c>
      <c r="F59" s="523">
        <f t="shared" si="17"/>
        <v>0</v>
      </c>
      <c r="G59" s="524">
        <f t="shared" si="23"/>
        <v>1953.743290161714</v>
      </c>
      <c r="H59" s="491">
        <f t="shared" si="24"/>
        <v>1953.743290161714</v>
      </c>
      <c r="I59" s="511">
        <f t="shared" si="18"/>
        <v>0</v>
      </c>
      <c r="J59" s="511"/>
      <c r="K59" s="525"/>
      <c r="L59" s="514">
        <f t="shared" si="19"/>
        <v>0</v>
      </c>
      <c r="M59" s="525"/>
      <c r="N59" s="514">
        <f t="shared" si="20"/>
        <v>0</v>
      </c>
      <c r="O59" s="514">
        <f t="shared" si="21"/>
        <v>0</v>
      </c>
      <c r="P59" s="272"/>
    </row>
    <row r="60" spans="2:17" ht="12.5">
      <c r="B60" s="195" t="str">
        <f t="shared" si="22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7"/>
        <v>0</v>
      </c>
      <c r="G60" s="524">
        <f t="shared" si="23"/>
        <v>0</v>
      </c>
      <c r="H60" s="491">
        <f t="shared" si="24"/>
        <v>0</v>
      </c>
      <c r="I60" s="511">
        <f t="shared" si="18"/>
        <v>0</v>
      </c>
      <c r="J60" s="511"/>
      <c r="K60" s="525"/>
      <c r="L60" s="514">
        <f t="shared" si="19"/>
        <v>0</v>
      </c>
      <c r="M60" s="525"/>
      <c r="N60" s="514">
        <f t="shared" si="20"/>
        <v>0</v>
      </c>
      <c r="O60" s="514">
        <f t="shared" si="21"/>
        <v>0</v>
      </c>
      <c r="P60" s="272"/>
    </row>
    <row r="61" spans="2:17" ht="12.5">
      <c r="B61" s="195" t="str">
        <f t="shared" si="22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7"/>
        <v>0</v>
      </c>
      <c r="G61" s="526">
        <f t="shared" si="23"/>
        <v>0</v>
      </c>
      <c r="H61" s="491">
        <f t="shared" si="24"/>
        <v>0</v>
      </c>
      <c r="I61" s="511">
        <f t="shared" si="18"/>
        <v>0</v>
      </c>
      <c r="J61" s="511"/>
      <c r="K61" s="525"/>
      <c r="L61" s="514">
        <f t="shared" si="19"/>
        <v>0</v>
      </c>
      <c r="M61" s="525"/>
      <c r="N61" s="514">
        <f t="shared" si="20"/>
        <v>0</v>
      </c>
      <c r="O61" s="514">
        <f t="shared" si="21"/>
        <v>0</v>
      </c>
      <c r="P61" s="272"/>
    </row>
    <row r="62" spans="2:17" ht="12.5">
      <c r="B62" s="195" t="str">
        <f t="shared" si="22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7"/>
        <v>0</v>
      </c>
      <c r="G62" s="526">
        <f t="shared" si="23"/>
        <v>0</v>
      </c>
      <c r="H62" s="491">
        <f t="shared" si="24"/>
        <v>0</v>
      </c>
      <c r="I62" s="511">
        <f t="shared" si="18"/>
        <v>0</v>
      </c>
      <c r="J62" s="511"/>
      <c r="K62" s="525"/>
      <c r="L62" s="514">
        <f t="shared" si="19"/>
        <v>0</v>
      </c>
      <c r="M62" s="525"/>
      <c r="N62" s="514">
        <f t="shared" si="20"/>
        <v>0</v>
      </c>
      <c r="O62" s="514">
        <f t="shared" si="21"/>
        <v>0</v>
      </c>
      <c r="P62" s="272"/>
    </row>
    <row r="63" spans="2:17" ht="12.5">
      <c r="B63" s="195" t="str">
        <f t="shared" si="22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7"/>
        <v>0</v>
      </c>
      <c r="G63" s="526">
        <f t="shared" si="23"/>
        <v>0</v>
      </c>
      <c r="H63" s="491">
        <f t="shared" si="24"/>
        <v>0</v>
      </c>
      <c r="I63" s="511">
        <f t="shared" si="18"/>
        <v>0</v>
      </c>
      <c r="J63" s="511"/>
      <c r="K63" s="525"/>
      <c r="L63" s="514">
        <f t="shared" si="19"/>
        <v>0</v>
      </c>
      <c r="M63" s="525"/>
      <c r="N63" s="514">
        <f t="shared" si="20"/>
        <v>0</v>
      </c>
      <c r="O63" s="514">
        <f t="shared" si="21"/>
        <v>0</v>
      </c>
      <c r="P63" s="272"/>
    </row>
    <row r="64" spans="2:17" ht="12.5">
      <c r="B64" s="195" t="str">
        <f t="shared" si="22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7"/>
        <v>0</v>
      </c>
      <c r="G64" s="526">
        <f t="shared" si="23"/>
        <v>0</v>
      </c>
      <c r="H64" s="491">
        <f t="shared" si="24"/>
        <v>0</v>
      </c>
      <c r="I64" s="511">
        <f t="shared" si="18"/>
        <v>0</v>
      </c>
      <c r="J64" s="511"/>
      <c r="K64" s="525"/>
      <c r="L64" s="514">
        <f t="shared" si="19"/>
        <v>0</v>
      </c>
      <c r="M64" s="525"/>
      <c r="N64" s="514">
        <f t="shared" si="20"/>
        <v>0</v>
      </c>
      <c r="O64" s="514">
        <f t="shared" si="21"/>
        <v>0</v>
      </c>
      <c r="P64" s="272"/>
    </row>
    <row r="65" spans="1:16" ht="12.5">
      <c r="B65" s="195" t="str">
        <f t="shared" si="22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7"/>
        <v>0</v>
      </c>
      <c r="G65" s="526">
        <f t="shared" si="23"/>
        <v>0</v>
      </c>
      <c r="H65" s="491">
        <f t="shared" si="24"/>
        <v>0</v>
      </c>
      <c r="I65" s="511">
        <f t="shared" si="18"/>
        <v>0</v>
      </c>
      <c r="J65" s="511"/>
      <c r="K65" s="525"/>
      <c r="L65" s="514">
        <f t="shared" si="19"/>
        <v>0</v>
      </c>
      <c r="M65" s="525"/>
      <c r="N65" s="514">
        <f t="shared" si="20"/>
        <v>0</v>
      </c>
      <c r="O65" s="514">
        <f t="shared" si="21"/>
        <v>0</v>
      </c>
      <c r="P65" s="272"/>
    </row>
    <row r="66" spans="1:16" ht="12.5">
      <c r="B66" s="195" t="str">
        <f t="shared" si="22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7"/>
        <v>0</v>
      </c>
      <c r="G66" s="526">
        <f t="shared" si="23"/>
        <v>0</v>
      </c>
      <c r="H66" s="491">
        <f t="shared" si="24"/>
        <v>0</v>
      </c>
      <c r="I66" s="511">
        <f t="shared" si="18"/>
        <v>0</v>
      </c>
      <c r="J66" s="511"/>
      <c r="K66" s="525"/>
      <c r="L66" s="514">
        <f t="shared" si="19"/>
        <v>0</v>
      </c>
      <c r="M66" s="525"/>
      <c r="N66" s="514">
        <f t="shared" si="20"/>
        <v>0</v>
      </c>
      <c r="O66" s="514">
        <f t="shared" si="21"/>
        <v>0</v>
      </c>
      <c r="P66" s="272"/>
    </row>
    <row r="67" spans="1:16" ht="12.5">
      <c r="B67" s="195" t="str">
        <f t="shared" si="22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7"/>
        <v>0</v>
      </c>
      <c r="G67" s="526">
        <f t="shared" si="23"/>
        <v>0</v>
      </c>
      <c r="H67" s="491">
        <f t="shared" si="24"/>
        <v>0</v>
      </c>
      <c r="I67" s="511">
        <f t="shared" si="18"/>
        <v>0</v>
      </c>
      <c r="J67" s="511"/>
      <c r="K67" s="525"/>
      <c r="L67" s="514">
        <f t="shared" si="19"/>
        <v>0</v>
      </c>
      <c r="M67" s="525"/>
      <c r="N67" s="514">
        <f t="shared" si="20"/>
        <v>0</v>
      </c>
      <c r="O67" s="514">
        <f t="shared" si="21"/>
        <v>0</v>
      </c>
      <c r="P67" s="272"/>
    </row>
    <row r="68" spans="1:16" ht="12.5">
      <c r="B68" s="195" t="str">
        <f t="shared" si="22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7"/>
        <v>0</v>
      </c>
      <c r="G68" s="526">
        <f t="shared" si="23"/>
        <v>0</v>
      </c>
      <c r="H68" s="491">
        <f t="shared" si="24"/>
        <v>0</v>
      </c>
      <c r="I68" s="511">
        <f t="shared" si="18"/>
        <v>0</v>
      </c>
      <c r="J68" s="511"/>
      <c r="K68" s="525"/>
      <c r="L68" s="514">
        <f t="shared" si="19"/>
        <v>0</v>
      </c>
      <c r="M68" s="525"/>
      <c r="N68" s="514">
        <f t="shared" si="20"/>
        <v>0</v>
      </c>
      <c r="O68" s="514">
        <f t="shared" si="21"/>
        <v>0</v>
      </c>
      <c r="P68" s="272"/>
    </row>
    <row r="69" spans="1:16" ht="12.5">
      <c r="B69" s="195" t="str">
        <f t="shared" si="22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7"/>
        <v>0</v>
      </c>
      <c r="G69" s="526">
        <f t="shared" si="23"/>
        <v>0</v>
      </c>
      <c r="H69" s="491">
        <f t="shared" si="24"/>
        <v>0</v>
      </c>
      <c r="I69" s="511">
        <f t="shared" si="18"/>
        <v>0</v>
      </c>
      <c r="J69" s="511"/>
      <c r="K69" s="525"/>
      <c r="L69" s="514">
        <f t="shared" si="19"/>
        <v>0</v>
      </c>
      <c r="M69" s="525"/>
      <c r="N69" s="514">
        <f t="shared" si="20"/>
        <v>0</v>
      </c>
      <c r="O69" s="514">
        <f t="shared" si="21"/>
        <v>0</v>
      </c>
      <c r="P69" s="272"/>
    </row>
    <row r="70" spans="1:16" ht="12.5">
      <c r="B70" s="195" t="str">
        <f t="shared" si="22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7"/>
        <v>0</v>
      </c>
      <c r="G70" s="526">
        <f t="shared" si="23"/>
        <v>0</v>
      </c>
      <c r="H70" s="491">
        <f t="shared" si="24"/>
        <v>0</v>
      </c>
      <c r="I70" s="511">
        <f t="shared" si="18"/>
        <v>0</v>
      </c>
      <c r="J70" s="511"/>
      <c r="K70" s="525"/>
      <c r="L70" s="514">
        <f t="shared" si="19"/>
        <v>0</v>
      </c>
      <c r="M70" s="525"/>
      <c r="N70" s="514">
        <f t="shared" si="20"/>
        <v>0</v>
      </c>
      <c r="O70" s="514">
        <f t="shared" si="21"/>
        <v>0</v>
      </c>
      <c r="P70" s="272"/>
    </row>
    <row r="71" spans="1:16" ht="12.5">
      <c r="B71" s="195" t="str">
        <f t="shared" si="22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7"/>
        <v>0</v>
      </c>
      <c r="G71" s="526">
        <f t="shared" si="23"/>
        <v>0</v>
      </c>
      <c r="H71" s="491">
        <f t="shared" si="24"/>
        <v>0</v>
      </c>
      <c r="I71" s="511">
        <f t="shared" si="18"/>
        <v>0</v>
      </c>
      <c r="J71" s="511"/>
      <c r="K71" s="525"/>
      <c r="L71" s="514">
        <f t="shared" si="19"/>
        <v>0</v>
      </c>
      <c r="M71" s="525"/>
      <c r="N71" s="514">
        <f t="shared" si="20"/>
        <v>0</v>
      </c>
      <c r="O71" s="514">
        <f t="shared" si="21"/>
        <v>0</v>
      </c>
      <c r="P71" s="272"/>
    </row>
    <row r="72" spans="1:16" ht="13" thickBot="1">
      <c r="B72" s="195" t="str">
        <f t="shared" si="22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7"/>
        <v>0</v>
      </c>
      <c r="G72" s="530">
        <f t="shared" si="23"/>
        <v>0</v>
      </c>
      <c r="H72" s="471">
        <f t="shared" si="24"/>
        <v>0</v>
      </c>
      <c r="I72" s="531">
        <f t="shared" si="18"/>
        <v>0</v>
      </c>
      <c r="J72" s="511"/>
      <c r="K72" s="532"/>
      <c r="L72" s="533">
        <f t="shared" si="19"/>
        <v>0</v>
      </c>
      <c r="M72" s="532"/>
      <c r="N72" s="533">
        <f t="shared" si="20"/>
        <v>0</v>
      </c>
      <c r="O72" s="533">
        <f t="shared" si="21"/>
        <v>0</v>
      </c>
      <c r="P72" s="272"/>
    </row>
    <row r="73" spans="1:16" ht="12.5">
      <c r="C73" s="374" t="s">
        <v>78</v>
      </c>
      <c r="D73" s="375"/>
      <c r="E73" s="375">
        <f>SUM(E17:E72)</f>
        <v>230750.00000000015</v>
      </c>
      <c r="F73" s="375"/>
      <c r="G73" s="375">
        <f>SUM(G17:G72)</f>
        <v>860417.45761285117</v>
      </c>
      <c r="H73" s="375">
        <f>SUM(H17:H72)</f>
        <v>860417.45761285117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31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24644.403346812211</v>
      </c>
      <c r="N87" s="546">
        <f>IF(J92&lt;D11,0,VLOOKUP(J92,C17:O72,11))</f>
        <v>24644.403346812211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26229.985006611758</v>
      </c>
      <c r="N88" s="550">
        <f>IF(J92&lt;D11,0,VLOOKUP(J92,C99:P154,7))</f>
        <v>26229.985006611758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Lone Star South - Pittsburg 138 kV - Replace Wavetraps, reset CT's and Relays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1585.5816597995472</v>
      </c>
      <c r="N89" s="555">
        <f>+N88-N87</f>
        <v>1585.5816597995472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TP2009100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IF(D11=I10,0,D10)</f>
        <v>230750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5628.0487804878048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2747.0238095238096</v>
      </c>
      <c r="F99" s="515">
        <v>228002.97619047618</v>
      </c>
      <c r="G99" s="574">
        <v>114001.48809523809</v>
      </c>
      <c r="H99" s="575">
        <v>19522.791013350252</v>
      </c>
      <c r="I99" s="576">
        <v>19522.791013350252</v>
      </c>
      <c r="J99" s="514">
        <f t="shared" ref="J99:J130" si="25">+I99-H99</f>
        <v>0</v>
      </c>
      <c r="K99" s="514"/>
      <c r="L99" s="512">
        <f t="shared" ref="L99:L104" si="26">H99</f>
        <v>19522.791013350252</v>
      </c>
      <c r="M99" s="597">
        <f t="shared" ref="M99:M130" si="27">IF(L99&lt;&gt;0,+H99-L99,0)</f>
        <v>0</v>
      </c>
      <c r="N99" s="512">
        <f t="shared" ref="N99:N104" si="28">I99</f>
        <v>19522.791013350252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 ht="12.5">
      <c r="B100" s="195" t="str">
        <f t="shared" ref="B100:B131" si="31">IF(D100=F99,"","IU")</f>
        <v/>
      </c>
      <c r="C100" s="507">
        <f>IF(D93="","-",+C99+1)</f>
        <v>2013</v>
      </c>
      <c r="D100" s="508">
        <v>228002.97619047618</v>
      </c>
      <c r="E100" s="516">
        <v>5494.0476190476193</v>
      </c>
      <c r="F100" s="515">
        <v>222508.92857142855</v>
      </c>
      <c r="G100" s="515">
        <v>225255.95238095237</v>
      </c>
      <c r="H100" s="575">
        <v>35969.308872002533</v>
      </c>
      <c r="I100" s="576">
        <v>35969.308872002533</v>
      </c>
      <c r="J100" s="514">
        <v>0</v>
      </c>
      <c r="K100" s="514"/>
      <c r="L100" s="518">
        <f t="shared" si="26"/>
        <v>35969.308872002533</v>
      </c>
      <c r="M100" s="519">
        <f t="shared" ref="M100:M105" si="32">IF(L100&lt;&gt;0,+H100-L100,0)</f>
        <v>0</v>
      </c>
      <c r="N100" s="518">
        <f t="shared" si="28"/>
        <v>35969.308872002533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1"/>
        <v/>
      </c>
      <c r="C101" s="507">
        <f>IF(D93="","-",+C100+1)</f>
        <v>2014</v>
      </c>
      <c r="D101" s="508">
        <v>222508.92857142855</v>
      </c>
      <c r="E101" s="516">
        <v>5494.0476190476193</v>
      </c>
      <c r="F101" s="515">
        <v>217014.88095238092</v>
      </c>
      <c r="G101" s="515">
        <v>219761.90476190473</v>
      </c>
      <c r="H101" s="575">
        <v>35364.846038717165</v>
      </c>
      <c r="I101" s="576">
        <v>35364.846038717165</v>
      </c>
      <c r="J101" s="514">
        <v>0</v>
      </c>
      <c r="K101" s="514"/>
      <c r="L101" s="518">
        <f t="shared" si="26"/>
        <v>35364.846038717165</v>
      </c>
      <c r="M101" s="519">
        <f t="shared" si="32"/>
        <v>0</v>
      </c>
      <c r="N101" s="518">
        <f t="shared" si="28"/>
        <v>35364.846038717165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1"/>
        <v/>
      </c>
      <c r="C102" s="507">
        <f>IF(D93="","-",+C101+1)</f>
        <v>2015</v>
      </c>
      <c r="D102" s="508">
        <v>217014.88095238092</v>
      </c>
      <c r="E102" s="516">
        <v>5494.0476190476193</v>
      </c>
      <c r="F102" s="515">
        <v>211520.83333333328</v>
      </c>
      <c r="G102" s="515">
        <v>214267.8571428571</v>
      </c>
      <c r="H102" s="575">
        <v>33727.882719440844</v>
      </c>
      <c r="I102" s="576">
        <v>33727.882719440844</v>
      </c>
      <c r="J102" s="514">
        <f t="shared" si="25"/>
        <v>0</v>
      </c>
      <c r="K102" s="514"/>
      <c r="L102" s="518">
        <f t="shared" si="26"/>
        <v>33727.882719440844</v>
      </c>
      <c r="M102" s="519">
        <f t="shared" si="32"/>
        <v>0</v>
      </c>
      <c r="N102" s="518">
        <f t="shared" si="28"/>
        <v>33727.882719440844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1"/>
        <v/>
      </c>
      <c r="C103" s="507">
        <f>IF(D93="","-",+C102+1)</f>
        <v>2016</v>
      </c>
      <c r="D103" s="508">
        <v>211520.83333333328</v>
      </c>
      <c r="E103" s="516">
        <v>5366.2790697674418</v>
      </c>
      <c r="F103" s="515">
        <v>206154.55426356583</v>
      </c>
      <c r="G103" s="515">
        <v>208837.69379844956</v>
      </c>
      <c r="H103" s="575">
        <v>31878.22185164913</v>
      </c>
      <c r="I103" s="576">
        <v>31878.22185164913</v>
      </c>
      <c r="J103" s="514">
        <f t="shared" si="25"/>
        <v>0</v>
      </c>
      <c r="K103" s="514"/>
      <c r="L103" s="518">
        <f t="shared" si="26"/>
        <v>31878.22185164913</v>
      </c>
      <c r="M103" s="519">
        <f t="shared" si="32"/>
        <v>0</v>
      </c>
      <c r="N103" s="518">
        <f t="shared" si="28"/>
        <v>31878.22185164913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1"/>
        <v/>
      </c>
      <c r="C104" s="507">
        <f>IF(D93="","-",+C103+1)</f>
        <v>2017</v>
      </c>
      <c r="D104" s="508">
        <v>206154.55426356583</v>
      </c>
      <c r="E104" s="516">
        <v>5494.0476190476193</v>
      </c>
      <c r="F104" s="515">
        <v>200660.5066445182</v>
      </c>
      <c r="G104" s="515">
        <v>203407.53045404202</v>
      </c>
      <c r="H104" s="575">
        <v>30202.256847199074</v>
      </c>
      <c r="I104" s="576">
        <v>30202.256847199074</v>
      </c>
      <c r="J104" s="514">
        <f t="shared" si="25"/>
        <v>0</v>
      </c>
      <c r="K104" s="514"/>
      <c r="L104" s="518">
        <f t="shared" si="26"/>
        <v>30202.256847199074</v>
      </c>
      <c r="M104" s="519">
        <f t="shared" si="32"/>
        <v>0</v>
      </c>
      <c r="N104" s="518">
        <f t="shared" si="28"/>
        <v>30202.256847199074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1"/>
        <v/>
      </c>
      <c r="C105" s="507">
        <f>IF(D93="","-",+C104+1)</f>
        <v>2018</v>
      </c>
      <c r="D105" s="508">
        <v>200660.5066445182</v>
      </c>
      <c r="E105" s="516">
        <v>5494.0476190476193</v>
      </c>
      <c r="F105" s="515">
        <v>195166.45902547057</v>
      </c>
      <c r="G105" s="515">
        <v>197913.48283499439</v>
      </c>
      <c r="H105" s="575">
        <v>26394.619001989184</v>
      </c>
      <c r="I105" s="576">
        <v>26394.619001989184</v>
      </c>
      <c r="J105" s="514">
        <f t="shared" si="25"/>
        <v>0</v>
      </c>
      <c r="K105" s="514"/>
      <c r="L105" s="518">
        <f t="shared" ref="L105" si="33">H105</f>
        <v>26394.619001989184</v>
      </c>
      <c r="M105" s="519">
        <f t="shared" si="32"/>
        <v>0</v>
      </c>
      <c r="N105" s="518">
        <f t="shared" ref="N105" si="34">I105</f>
        <v>26394.619001989184</v>
      </c>
      <c r="O105" s="514">
        <f t="shared" si="29"/>
        <v>0</v>
      </c>
      <c r="P105" s="514">
        <f t="shared" si="30"/>
        <v>0</v>
      </c>
      <c r="Q105" s="269"/>
    </row>
    <row r="106" spans="1:17" ht="12.5">
      <c r="B106" s="195" t="str">
        <f t="shared" si="31"/>
        <v/>
      </c>
      <c r="C106" s="507">
        <f>IF(D93="","-",+C105+1)</f>
        <v>2019</v>
      </c>
      <c r="D106" s="508">
        <v>195166.45902547057</v>
      </c>
      <c r="E106" s="516">
        <v>5366.2790697674418</v>
      </c>
      <c r="F106" s="515">
        <v>189800.17995570312</v>
      </c>
      <c r="G106" s="515">
        <v>192483.31949058684</v>
      </c>
      <c r="H106" s="575">
        <v>25969.798788270131</v>
      </c>
      <c r="I106" s="576">
        <v>25969.798788270131</v>
      </c>
      <c r="J106" s="514">
        <f t="shared" si="25"/>
        <v>0</v>
      </c>
      <c r="K106" s="514"/>
      <c r="L106" s="518">
        <f t="shared" ref="L106:L107" si="35">H106</f>
        <v>25969.798788270131</v>
      </c>
      <c r="M106" s="519">
        <f t="shared" ref="M106:M107" si="36">IF(L106&lt;&gt;0,+H106-L106,0)</f>
        <v>0</v>
      </c>
      <c r="N106" s="518">
        <f t="shared" ref="N106:N107" si="37">I106</f>
        <v>25969.798788270131</v>
      </c>
      <c r="O106" s="514">
        <f t="shared" si="29"/>
        <v>0</v>
      </c>
      <c r="P106" s="514">
        <f t="shared" si="30"/>
        <v>0</v>
      </c>
      <c r="Q106" s="269"/>
    </row>
    <row r="107" spans="1:17" ht="12.5">
      <c r="B107" s="195" t="str">
        <f t="shared" si="31"/>
        <v/>
      </c>
      <c r="C107" s="507">
        <f>IF(D93="","-",+C106+1)</f>
        <v>2020</v>
      </c>
      <c r="D107" s="508">
        <v>189800.17995570312</v>
      </c>
      <c r="E107" s="516">
        <v>5494.0476190476193</v>
      </c>
      <c r="F107" s="515">
        <v>184306.13233665549</v>
      </c>
      <c r="G107" s="515">
        <v>187053.1561461793</v>
      </c>
      <c r="H107" s="575">
        <v>25616.072507051016</v>
      </c>
      <c r="I107" s="576">
        <v>25616.072507051016</v>
      </c>
      <c r="J107" s="514">
        <f t="shared" si="25"/>
        <v>0</v>
      </c>
      <c r="K107" s="514"/>
      <c r="L107" s="518">
        <f t="shared" si="35"/>
        <v>25616.072507051016</v>
      </c>
      <c r="M107" s="519">
        <f t="shared" si="36"/>
        <v>0</v>
      </c>
      <c r="N107" s="518">
        <f t="shared" si="37"/>
        <v>25616.072507051016</v>
      </c>
      <c r="O107" s="514">
        <f t="shared" si="29"/>
        <v>0</v>
      </c>
      <c r="P107" s="514">
        <f t="shared" si="30"/>
        <v>0</v>
      </c>
      <c r="Q107" s="269"/>
    </row>
    <row r="108" spans="1:17" ht="12.5">
      <c r="B108" s="195" t="str">
        <f t="shared" si="31"/>
        <v/>
      </c>
      <c r="C108" s="507">
        <f>IF(D93="","-",+C107+1)</f>
        <v>2021</v>
      </c>
      <c r="D108" s="374">
        <f>IF(F107+SUM(E$99:E107)=D$92,F107,D$92-SUM(E$99:E107))</f>
        <v>184306.13233665549</v>
      </c>
      <c r="E108" s="522">
        <f>IF(+J96&lt;F107,J96,D108)</f>
        <v>5628.0487804878048</v>
      </c>
      <c r="F108" s="523">
        <f t="shared" ref="F108:F131" si="38">+D108-E108</f>
        <v>178678.08355616769</v>
      </c>
      <c r="G108" s="523">
        <f t="shared" ref="G108:G130" si="39">+(F108+D108)/2</f>
        <v>181492.10794641159</v>
      </c>
      <c r="H108" s="526">
        <f t="shared" ref="H108:H130" si="40">+J$94*G108+E108</f>
        <v>26229.985006611758</v>
      </c>
      <c r="I108" s="577">
        <f t="shared" ref="I108:I130" si="41">+J$95*G108+E108</f>
        <v>26229.985006611758</v>
      </c>
      <c r="J108" s="514">
        <f t="shared" si="25"/>
        <v>0</v>
      </c>
      <c r="K108" s="514"/>
      <c r="L108" s="525"/>
      <c r="M108" s="514">
        <f t="shared" si="27"/>
        <v>0</v>
      </c>
      <c r="N108" s="525"/>
      <c r="O108" s="514">
        <f t="shared" si="29"/>
        <v>0</v>
      </c>
      <c r="P108" s="514">
        <f t="shared" si="30"/>
        <v>0</v>
      </c>
      <c r="Q108" s="269"/>
    </row>
    <row r="109" spans="1:17" ht="12.5">
      <c r="B109" s="195" t="str">
        <f t="shared" si="31"/>
        <v/>
      </c>
      <c r="C109" s="507">
        <f>IF(D93="","-",+C108+1)</f>
        <v>2022</v>
      </c>
      <c r="D109" s="374">
        <f>IF(F108+SUM(E$99:E108)=D$92,F108,D$92-SUM(E$99:E108))</f>
        <v>178678.08355616769</v>
      </c>
      <c r="E109" s="522">
        <f>IF(+J96&lt;F108,J96,D109)</f>
        <v>5628.0487804878048</v>
      </c>
      <c r="F109" s="523">
        <f t="shared" si="38"/>
        <v>173050.0347756799</v>
      </c>
      <c r="G109" s="523">
        <f t="shared" si="39"/>
        <v>175864.0591659238</v>
      </c>
      <c r="H109" s="526">
        <f t="shared" si="40"/>
        <v>25591.12140331194</v>
      </c>
      <c r="I109" s="577">
        <f t="shared" si="41"/>
        <v>25591.12140331194</v>
      </c>
      <c r="J109" s="514">
        <f t="shared" si="25"/>
        <v>0</v>
      </c>
      <c r="K109" s="514"/>
      <c r="L109" s="525"/>
      <c r="M109" s="514">
        <f t="shared" si="27"/>
        <v>0</v>
      </c>
      <c r="N109" s="525"/>
      <c r="O109" s="514">
        <f t="shared" si="29"/>
        <v>0</v>
      </c>
      <c r="P109" s="514">
        <f t="shared" si="30"/>
        <v>0</v>
      </c>
      <c r="Q109" s="269"/>
    </row>
    <row r="110" spans="1:17" ht="12.5">
      <c r="B110" s="195" t="str">
        <f t="shared" si="31"/>
        <v/>
      </c>
      <c r="C110" s="507">
        <f>IF(D93="","-",+C109+1)</f>
        <v>2023</v>
      </c>
      <c r="D110" s="374">
        <f>IF(F109+SUM(E$99:E109)=D$92,F109,D$92-SUM(E$99:E109))</f>
        <v>173050.0347756799</v>
      </c>
      <c r="E110" s="522">
        <f>IF(+J96&lt;F109,J96,D110)</f>
        <v>5628.0487804878048</v>
      </c>
      <c r="F110" s="523">
        <f t="shared" si="38"/>
        <v>167421.98599519211</v>
      </c>
      <c r="G110" s="523">
        <f t="shared" si="39"/>
        <v>170236.01038543601</v>
      </c>
      <c r="H110" s="526">
        <f t="shared" si="40"/>
        <v>24952.257800012121</v>
      </c>
      <c r="I110" s="577">
        <f t="shared" si="41"/>
        <v>24952.257800012121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 ht="12.5">
      <c r="B111" s="195" t="str">
        <f t="shared" si="31"/>
        <v/>
      </c>
      <c r="C111" s="507">
        <f>IF(D93="","-",+C110+1)</f>
        <v>2024</v>
      </c>
      <c r="D111" s="374">
        <f>IF(F110+SUM(E$99:E110)=D$92,F110,D$92-SUM(E$99:E110))</f>
        <v>167421.98599519211</v>
      </c>
      <c r="E111" s="522">
        <f>IF(+J96&lt;F110,J96,D111)</f>
        <v>5628.0487804878048</v>
      </c>
      <c r="F111" s="523">
        <f t="shared" si="38"/>
        <v>161793.93721470432</v>
      </c>
      <c r="G111" s="523">
        <f t="shared" si="39"/>
        <v>164607.96160494821</v>
      </c>
      <c r="H111" s="526">
        <f t="shared" si="40"/>
        <v>24313.394196712303</v>
      </c>
      <c r="I111" s="577">
        <f t="shared" si="41"/>
        <v>24313.394196712303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 ht="12.5">
      <c r="B112" s="195" t="str">
        <f t="shared" si="31"/>
        <v/>
      </c>
      <c r="C112" s="507">
        <f>IF(D93="","-",+C111+1)</f>
        <v>2025</v>
      </c>
      <c r="D112" s="374">
        <f>IF(F111+SUM(E$99:E111)=D$92,F111,D$92-SUM(E$99:E111))</f>
        <v>161793.93721470432</v>
      </c>
      <c r="E112" s="522">
        <f>IF(+J96&lt;F111,J96,D112)</f>
        <v>5628.0487804878048</v>
      </c>
      <c r="F112" s="523">
        <f t="shared" si="38"/>
        <v>156165.88843421653</v>
      </c>
      <c r="G112" s="523">
        <f t="shared" si="39"/>
        <v>158979.91282446042</v>
      </c>
      <c r="H112" s="526">
        <f t="shared" si="40"/>
        <v>23674.530593412484</v>
      </c>
      <c r="I112" s="577">
        <f t="shared" si="41"/>
        <v>23674.530593412484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 ht="12.5">
      <c r="B113" s="195" t="str">
        <f t="shared" si="31"/>
        <v/>
      </c>
      <c r="C113" s="507">
        <f>IF(D93="","-",+C112+1)</f>
        <v>2026</v>
      </c>
      <c r="D113" s="374">
        <f>IF(F112+SUM(E$99:E112)=D$92,F112,D$92-SUM(E$99:E112))</f>
        <v>156165.88843421653</v>
      </c>
      <c r="E113" s="522">
        <f>IF(+J96&lt;F112,J96,D113)</f>
        <v>5628.0487804878048</v>
      </c>
      <c r="F113" s="523">
        <f t="shared" si="38"/>
        <v>150537.83965372873</v>
      </c>
      <c r="G113" s="523">
        <f t="shared" si="39"/>
        <v>153351.86404397263</v>
      </c>
      <c r="H113" s="526">
        <f t="shared" si="40"/>
        <v>23035.666990112666</v>
      </c>
      <c r="I113" s="577">
        <f t="shared" si="41"/>
        <v>23035.666990112666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 ht="12.5">
      <c r="B114" s="195" t="str">
        <f t="shared" si="31"/>
        <v/>
      </c>
      <c r="C114" s="507">
        <f>IF(D93="","-",+C113+1)</f>
        <v>2027</v>
      </c>
      <c r="D114" s="374">
        <f>IF(F113+SUM(E$99:E113)=D$92,F113,D$92-SUM(E$99:E113))</f>
        <v>150537.83965372873</v>
      </c>
      <c r="E114" s="522">
        <f>IF(+J96&lt;F113,J96,D114)</f>
        <v>5628.0487804878048</v>
      </c>
      <c r="F114" s="523">
        <f t="shared" si="38"/>
        <v>144909.79087324094</v>
      </c>
      <c r="G114" s="523">
        <f t="shared" si="39"/>
        <v>147723.81526348484</v>
      </c>
      <c r="H114" s="526">
        <f t="shared" si="40"/>
        <v>22396.803386812848</v>
      </c>
      <c r="I114" s="577">
        <f t="shared" si="41"/>
        <v>22396.803386812848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 ht="12.5">
      <c r="B115" s="195" t="str">
        <f t="shared" si="31"/>
        <v/>
      </c>
      <c r="C115" s="507">
        <f>IF(D93="","-",+C114+1)</f>
        <v>2028</v>
      </c>
      <c r="D115" s="374">
        <f>IF(F114+SUM(E$99:E114)=D$92,F114,D$92-SUM(E$99:E114))</f>
        <v>144909.79087324094</v>
      </c>
      <c r="E115" s="522">
        <f>IF(+J96&lt;F114,J96,D115)</f>
        <v>5628.0487804878048</v>
      </c>
      <c r="F115" s="523">
        <f t="shared" si="38"/>
        <v>139281.74209275315</v>
      </c>
      <c r="G115" s="523">
        <f t="shared" si="39"/>
        <v>142095.76648299705</v>
      </c>
      <c r="H115" s="526">
        <f t="shared" si="40"/>
        <v>21757.939783513029</v>
      </c>
      <c r="I115" s="577">
        <f t="shared" si="41"/>
        <v>21757.939783513029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 ht="12.5">
      <c r="B116" s="195" t="str">
        <f t="shared" si="31"/>
        <v/>
      </c>
      <c r="C116" s="507">
        <f>IF(D93="","-",+C115+1)</f>
        <v>2029</v>
      </c>
      <c r="D116" s="374">
        <f>IF(F115+SUM(E$99:E115)=D$92,F115,D$92-SUM(E$99:E115))</f>
        <v>139281.74209275315</v>
      </c>
      <c r="E116" s="522">
        <f>IF(+J96&lt;F115,J96,D116)</f>
        <v>5628.0487804878048</v>
      </c>
      <c r="F116" s="523">
        <f t="shared" si="38"/>
        <v>133653.69331226536</v>
      </c>
      <c r="G116" s="523">
        <f t="shared" si="39"/>
        <v>136467.71770250925</v>
      </c>
      <c r="H116" s="526">
        <f t="shared" si="40"/>
        <v>21119.076180213211</v>
      </c>
      <c r="I116" s="577">
        <f t="shared" si="41"/>
        <v>21119.076180213211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 ht="12.5">
      <c r="B117" s="195" t="str">
        <f t="shared" si="31"/>
        <v/>
      </c>
      <c r="C117" s="507">
        <f>IF(D93="","-",+C116+1)</f>
        <v>2030</v>
      </c>
      <c r="D117" s="374">
        <f>IF(F116+SUM(E$99:E116)=D$92,F116,D$92-SUM(E$99:E116))</f>
        <v>133653.69331226536</v>
      </c>
      <c r="E117" s="522">
        <f>IF(+J96&lt;F116,J96,D117)</f>
        <v>5628.0487804878048</v>
      </c>
      <c r="F117" s="523">
        <f t="shared" si="38"/>
        <v>128025.64453177755</v>
      </c>
      <c r="G117" s="523">
        <f t="shared" si="39"/>
        <v>130839.66892202146</v>
      </c>
      <c r="H117" s="526">
        <f t="shared" si="40"/>
        <v>20480.212576913393</v>
      </c>
      <c r="I117" s="577">
        <f t="shared" si="41"/>
        <v>20480.212576913393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 ht="12.5">
      <c r="B118" s="195" t="str">
        <f t="shared" si="31"/>
        <v/>
      </c>
      <c r="C118" s="507">
        <f>IF(D93="","-",+C117+1)</f>
        <v>2031</v>
      </c>
      <c r="D118" s="374">
        <f>IF(F117+SUM(E$99:E117)=D$92,F117,D$92-SUM(E$99:E117))</f>
        <v>128025.64453177755</v>
      </c>
      <c r="E118" s="522">
        <f>IF(+J96&lt;F117,J96,D118)</f>
        <v>5628.0487804878048</v>
      </c>
      <c r="F118" s="523">
        <f t="shared" si="38"/>
        <v>122397.59575128974</v>
      </c>
      <c r="G118" s="523">
        <f t="shared" si="39"/>
        <v>125211.62014153364</v>
      </c>
      <c r="H118" s="526">
        <f t="shared" si="40"/>
        <v>19841.348973613567</v>
      </c>
      <c r="I118" s="577">
        <f t="shared" si="41"/>
        <v>19841.348973613567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 ht="12.5">
      <c r="B119" s="195" t="str">
        <f t="shared" si="31"/>
        <v/>
      </c>
      <c r="C119" s="507">
        <f>IF(D93="","-",+C118+1)</f>
        <v>2032</v>
      </c>
      <c r="D119" s="374">
        <f>IF(F118+SUM(E$99:E118)=D$92,F118,D$92-SUM(E$99:E118))</f>
        <v>122397.59575128974</v>
      </c>
      <c r="E119" s="522">
        <f>IF(+J96&lt;F118,J96,D119)</f>
        <v>5628.0487804878048</v>
      </c>
      <c r="F119" s="523">
        <f t="shared" si="38"/>
        <v>116769.54697080194</v>
      </c>
      <c r="G119" s="523">
        <f t="shared" si="39"/>
        <v>119583.57136104585</v>
      </c>
      <c r="H119" s="526">
        <f t="shared" si="40"/>
        <v>19202.485370313749</v>
      </c>
      <c r="I119" s="577">
        <f t="shared" si="41"/>
        <v>19202.485370313749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 ht="12.5">
      <c r="B120" s="195" t="str">
        <f t="shared" si="31"/>
        <v/>
      </c>
      <c r="C120" s="507">
        <f>IF(D93="","-",+C119+1)</f>
        <v>2033</v>
      </c>
      <c r="D120" s="374">
        <f>IF(F119+SUM(E$99:E119)=D$92,F119,D$92-SUM(E$99:E119))</f>
        <v>116769.54697080194</v>
      </c>
      <c r="E120" s="522">
        <f>IF(+J96&lt;F119,J96,D120)</f>
        <v>5628.0487804878048</v>
      </c>
      <c r="F120" s="523">
        <f t="shared" si="38"/>
        <v>111141.49819031413</v>
      </c>
      <c r="G120" s="523">
        <f t="shared" si="39"/>
        <v>113955.52258055803</v>
      </c>
      <c r="H120" s="526">
        <f t="shared" si="40"/>
        <v>18563.62176701393</v>
      </c>
      <c r="I120" s="577">
        <f t="shared" si="41"/>
        <v>18563.62176701393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 ht="12.5">
      <c r="B121" s="195" t="str">
        <f t="shared" si="31"/>
        <v/>
      </c>
      <c r="C121" s="507">
        <f>IF(D93="","-",+C120+1)</f>
        <v>2034</v>
      </c>
      <c r="D121" s="374">
        <f>IF(F120+SUM(E$99:E120)=D$92,F120,D$92-SUM(E$99:E120))</f>
        <v>111141.49819031413</v>
      </c>
      <c r="E121" s="522">
        <f>IF(+J96&lt;F120,J96,D121)</f>
        <v>5628.0487804878048</v>
      </c>
      <c r="F121" s="523">
        <f t="shared" si="38"/>
        <v>105513.44940982632</v>
      </c>
      <c r="G121" s="523">
        <f t="shared" si="39"/>
        <v>108327.47380007023</v>
      </c>
      <c r="H121" s="526">
        <f t="shared" si="40"/>
        <v>17924.758163714108</v>
      </c>
      <c r="I121" s="577">
        <f t="shared" si="41"/>
        <v>17924.758163714108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 ht="12.5">
      <c r="B122" s="195" t="str">
        <f t="shared" si="31"/>
        <v/>
      </c>
      <c r="C122" s="507">
        <f>IF(D93="","-",+C121+1)</f>
        <v>2035</v>
      </c>
      <c r="D122" s="374">
        <f>IF(F121+SUM(E$99:E121)=D$92,F121,D$92-SUM(E$99:E121))</f>
        <v>105513.44940982632</v>
      </c>
      <c r="E122" s="522">
        <f>IF(+J96&lt;F121,J96,D122)</f>
        <v>5628.0487804878048</v>
      </c>
      <c r="F122" s="523">
        <f t="shared" si="38"/>
        <v>99885.400629338517</v>
      </c>
      <c r="G122" s="523">
        <f t="shared" si="39"/>
        <v>102699.42501958241</v>
      </c>
      <c r="H122" s="526">
        <f t="shared" si="40"/>
        <v>17285.894560414286</v>
      </c>
      <c r="I122" s="577">
        <f t="shared" si="41"/>
        <v>17285.894560414286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 ht="12.5">
      <c r="B123" s="195" t="str">
        <f t="shared" si="31"/>
        <v/>
      </c>
      <c r="C123" s="507">
        <f>IF(D93="","-",+C122+1)</f>
        <v>2036</v>
      </c>
      <c r="D123" s="374">
        <f>IF(F122+SUM(E$99:E122)=D$92,F122,D$92-SUM(E$99:E122))</f>
        <v>99885.400629338517</v>
      </c>
      <c r="E123" s="522">
        <f>IF(+J96&lt;F122,J96,D123)</f>
        <v>5628.0487804878048</v>
      </c>
      <c r="F123" s="523">
        <f t="shared" si="38"/>
        <v>94257.351848850711</v>
      </c>
      <c r="G123" s="523">
        <f t="shared" si="39"/>
        <v>97071.376239094621</v>
      </c>
      <c r="H123" s="526">
        <f t="shared" si="40"/>
        <v>16647.030957114468</v>
      </c>
      <c r="I123" s="577">
        <f t="shared" si="41"/>
        <v>16647.030957114468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 ht="12.5">
      <c r="B124" s="195" t="str">
        <f t="shared" si="31"/>
        <v/>
      </c>
      <c r="C124" s="507">
        <f>IF(D93="","-",+C123+1)</f>
        <v>2037</v>
      </c>
      <c r="D124" s="374">
        <f>IF(F123+SUM(E$99:E123)=D$92,F123,D$92-SUM(E$99:E123))</f>
        <v>94257.351848850711</v>
      </c>
      <c r="E124" s="522">
        <f>IF(+J96&lt;F123,J96,D124)</f>
        <v>5628.0487804878048</v>
      </c>
      <c r="F124" s="523">
        <f t="shared" si="38"/>
        <v>88629.303068362904</v>
      </c>
      <c r="G124" s="523">
        <f t="shared" si="39"/>
        <v>91443.3274586068</v>
      </c>
      <c r="H124" s="526">
        <f t="shared" si="40"/>
        <v>16008.167353814646</v>
      </c>
      <c r="I124" s="577">
        <f t="shared" si="41"/>
        <v>16008.167353814646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 ht="12.5">
      <c r="B125" s="195" t="str">
        <f t="shared" si="31"/>
        <v/>
      </c>
      <c r="C125" s="507">
        <f>IF(D93="","-",+C124+1)</f>
        <v>2038</v>
      </c>
      <c r="D125" s="374">
        <f>IF(F124+SUM(E$99:E124)=D$92,F124,D$92-SUM(E$99:E124))</f>
        <v>88629.303068362904</v>
      </c>
      <c r="E125" s="522">
        <f>IF(+J96&lt;F124,J96,D125)</f>
        <v>5628.0487804878048</v>
      </c>
      <c r="F125" s="523">
        <f t="shared" si="38"/>
        <v>83001.254287875097</v>
      </c>
      <c r="G125" s="523">
        <f t="shared" si="39"/>
        <v>85815.278678119008</v>
      </c>
      <c r="H125" s="526">
        <f t="shared" si="40"/>
        <v>15369.303750514828</v>
      </c>
      <c r="I125" s="577">
        <f t="shared" si="41"/>
        <v>15369.303750514828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 ht="12.5">
      <c r="B126" s="195" t="str">
        <f t="shared" si="31"/>
        <v/>
      </c>
      <c r="C126" s="507">
        <f>IF(D93="","-",+C125+1)</f>
        <v>2039</v>
      </c>
      <c r="D126" s="374">
        <f>IF(F125+SUM(E$99:E125)=D$92,F125,D$92-SUM(E$99:E125))</f>
        <v>83001.254287875097</v>
      </c>
      <c r="E126" s="522">
        <f>IF(+J96&lt;F125,J96,D126)</f>
        <v>5628.0487804878048</v>
      </c>
      <c r="F126" s="523">
        <f t="shared" si="38"/>
        <v>77373.205507387291</v>
      </c>
      <c r="G126" s="523">
        <f t="shared" si="39"/>
        <v>80187.229897631187</v>
      </c>
      <c r="H126" s="526">
        <f t="shared" si="40"/>
        <v>14730.440147215006</v>
      </c>
      <c r="I126" s="577">
        <f t="shared" si="41"/>
        <v>14730.440147215006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 ht="12.5">
      <c r="B127" s="195" t="str">
        <f t="shared" si="31"/>
        <v/>
      </c>
      <c r="C127" s="507">
        <f>IF(D93="","-",+C126+1)</f>
        <v>2040</v>
      </c>
      <c r="D127" s="374">
        <f>IF(F126+SUM(E$99:E126)=D$92,F126,D$92-SUM(E$99:E126))</f>
        <v>77373.205507387291</v>
      </c>
      <c r="E127" s="522">
        <f>IF(+J96&lt;F126,J96,D127)</f>
        <v>5628.0487804878048</v>
      </c>
      <c r="F127" s="523">
        <f t="shared" si="38"/>
        <v>71745.156726899484</v>
      </c>
      <c r="G127" s="523">
        <f t="shared" si="39"/>
        <v>74559.181117143395</v>
      </c>
      <c r="H127" s="526">
        <f t="shared" si="40"/>
        <v>14091.576543915186</v>
      </c>
      <c r="I127" s="577">
        <f t="shared" si="41"/>
        <v>14091.576543915186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 ht="12.5">
      <c r="B128" s="195" t="str">
        <f t="shared" si="31"/>
        <v/>
      </c>
      <c r="C128" s="507">
        <f>IF(D93="","-",+C127+1)</f>
        <v>2041</v>
      </c>
      <c r="D128" s="374">
        <f>IF(F127+SUM(E$99:E127)=D$92,F127,D$92-SUM(E$99:E127))</f>
        <v>71745.156726899484</v>
      </c>
      <c r="E128" s="522">
        <f>IF(+J96&lt;F127,J96,D128)</f>
        <v>5628.0487804878048</v>
      </c>
      <c r="F128" s="523">
        <f t="shared" si="38"/>
        <v>66117.107946411677</v>
      </c>
      <c r="G128" s="523">
        <f t="shared" si="39"/>
        <v>68931.132336655573</v>
      </c>
      <c r="H128" s="526">
        <f t="shared" si="40"/>
        <v>13452.712940615364</v>
      </c>
      <c r="I128" s="577">
        <f t="shared" si="41"/>
        <v>13452.712940615364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 ht="12.5">
      <c r="B129" s="195" t="str">
        <f t="shared" si="31"/>
        <v/>
      </c>
      <c r="C129" s="507">
        <f>IF(D93="","-",+C128+1)</f>
        <v>2042</v>
      </c>
      <c r="D129" s="374">
        <f>IF(F128+SUM(E$99:E128)=D$92,F128,D$92-SUM(E$99:E128))</f>
        <v>66117.107946411677</v>
      </c>
      <c r="E129" s="522">
        <f>IF(+J96&lt;F128,J96,D129)</f>
        <v>5628.0487804878048</v>
      </c>
      <c r="F129" s="523">
        <f t="shared" si="38"/>
        <v>60489.059165923871</v>
      </c>
      <c r="G129" s="523">
        <f t="shared" si="39"/>
        <v>63303.083556167774</v>
      </c>
      <c r="H129" s="526">
        <f t="shared" si="40"/>
        <v>12813.849337315543</v>
      </c>
      <c r="I129" s="577">
        <f t="shared" si="41"/>
        <v>12813.849337315543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 ht="12.5">
      <c r="B130" s="195" t="str">
        <f t="shared" si="31"/>
        <v/>
      </c>
      <c r="C130" s="507">
        <f>IF(D93="","-",+C129+1)</f>
        <v>2043</v>
      </c>
      <c r="D130" s="374">
        <f>IF(F129+SUM(E$99:E129)=D$92,F129,D$92-SUM(E$99:E129))</f>
        <v>60489.059165923871</v>
      </c>
      <c r="E130" s="522">
        <f>IF(+J96&lt;F129,J96,D130)</f>
        <v>5628.0487804878048</v>
      </c>
      <c r="F130" s="523">
        <f t="shared" si="38"/>
        <v>54861.010385436064</v>
      </c>
      <c r="G130" s="523">
        <f t="shared" si="39"/>
        <v>57675.034775679967</v>
      </c>
      <c r="H130" s="526">
        <f t="shared" si="40"/>
        <v>12174.985734015723</v>
      </c>
      <c r="I130" s="577">
        <f t="shared" si="41"/>
        <v>12174.985734015723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 ht="12.5">
      <c r="B131" s="195" t="str">
        <f t="shared" si="31"/>
        <v/>
      </c>
      <c r="C131" s="507">
        <f>IF(D93="","-",+C130+1)</f>
        <v>2044</v>
      </c>
      <c r="D131" s="374">
        <f>IF(F130+SUM(E$99:E130)=D$92,F130,D$92-SUM(E$99:E130))</f>
        <v>54861.010385436064</v>
      </c>
      <c r="E131" s="522">
        <f>IF(+J96&lt;F130,J96,D131)</f>
        <v>5628.0487804878048</v>
      </c>
      <c r="F131" s="523">
        <f t="shared" si="38"/>
        <v>49232.961604948257</v>
      </c>
      <c r="G131" s="523">
        <f t="shared" ref="G131:G154" si="42">+(F131+D131)/2</f>
        <v>52046.985995192161</v>
      </c>
      <c r="H131" s="526">
        <f t="shared" ref="H131:H154" si="43">+J$94*G131+E131</f>
        <v>11536.122130715903</v>
      </c>
      <c r="I131" s="577">
        <f t="shared" ref="I131:I154" si="44">+J$95*G131+E131</f>
        <v>11536.122130715903</v>
      </c>
      <c r="J131" s="514">
        <f t="shared" ref="J131:J154" si="45">+I131-H131</f>
        <v>0</v>
      </c>
      <c r="K131" s="514"/>
      <c r="L131" s="525"/>
      <c r="M131" s="514">
        <f t="shared" ref="M131:M154" si="46">IF(L131&lt;&gt;0,+H131-L131,0)</f>
        <v>0</v>
      </c>
      <c r="N131" s="525"/>
      <c r="O131" s="514">
        <f t="shared" ref="O131:O154" si="47">IF(N131&lt;&gt;0,+I131-N131,0)</f>
        <v>0</v>
      </c>
      <c r="P131" s="514">
        <f t="shared" ref="P131:P154" si="48">+O131-M131</f>
        <v>0</v>
      </c>
      <c r="Q131" s="269"/>
    </row>
    <row r="132" spans="2:17" ht="12.5">
      <c r="B132" s="195" t="str">
        <f t="shared" ref="B132:B154" si="49">IF(D132=F131,"","IU")</f>
        <v/>
      </c>
      <c r="C132" s="507">
        <f>IF(D93="","-",+C131+1)</f>
        <v>2045</v>
      </c>
      <c r="D132" s="374">
        <f>IF(F131+SUM(E$99:E131)=D$92,F131,D$92-SUM(E$99:E131))</f>
        <v>49232.961604948257</v>
      </c>
      <c r="E132" s="522">
        <f>IF(+J96&lt;F131,J96,D132)</f>
        <v>5628.0487804878048</v>
      </c>
      <c r="F132" s="523">
        <f t="shared" ref="F132:F154" si="50">+D132-E132</f>
        <v>43604.912824460451</v>
      </c>
      <c r="G132" s="523">
        <f t="shared" si="42"/>
        <v>46418.937214704354</v>
      </c>
      <c r="H132" s="526">
        <f t="shared" si="43"/>
        <v>10897.258527416083</v>
      </c>
      <c r="I132" s="577">
        <f t="shared" si="44"/>
        <v>10897.258527416083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  <c r="Q132" s="269"/>
    </row>
    <row r="133" spans="2:17" ht="12.5">
      <c r="B133" s="195" t="str">
        <f t="shared" si="49"/>
        <v/>
      </c>
      <c r="C133" s="507">
        <f>IF(D93="","-",+C132+1)</f>
        <v>2046</v>
      </c>
      <c r="D133" s="374">
        <f>IF(F132+SUM(E$99:E132)=D$92,F132,D$92-SUM(E$99:E132))</f>
        <v>43604.912824460451</v>
      </c>
      <c r="E133" s="522">
        <f>IF(+J96&lt;F132,J96,D133)</f>
        <v>5628.0487804878048</v>
      </c>
      <c r="F133" s="523">
        <f t="shared" si="50"/>
        <v>37976.864043972644</v>
      </c>
      <c r="G133" s="523">
        <f t="shared" si="42"/>
        <v>40790.888434216547</v>
      </c>
      <c r="H133" s="526">
        <f t="shared" si="43"/>
        <v>10258.394924116263</v>
      </c>
      <c r="I133" s="577">
        <f t="shared" si="44"/>
        <v>10258.394924116263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  <c r="Q133" s="269"/>
    </row>
    <row r="134" spans="2:17" ht="12.5">
      <c r="B134" s="195" t="str">
        <f t="shared" si="49"/>
        <v/>
      </c>
      <c r="C134" s="507">
        <f>IF(D93="","-",+C133+1)</f>
        <v>2047</v>
      </c>
      <c r="D134" s="374">
        <f>IF(F133+SUM(E$99:E133)=D$92,F133,D$92-SUM(E$99:E133))</f>
        <v>37976.864043972644</v>
      </c>
      <c r="E134" s="522">
        <f>IF(+J96&lt;F133,J96,D134)</f>
        <v>5628.0487804878048</v>
      </c>
      <c r="F134" s="523">
        <f t="shared" si="50"/>
        <v>32348.815263484837</v>
      </c>
      <c r="G134" s="523">
        <f t="shared" si="42"/>
        <v>35162.839653728741</v>
      </c>
      <c r="H134" s="526">
        <f t="shared" si="43"/>
        <v>9619.5313208164407</v>
      </c>
      <c r="I134" s="577">
        <f t="shared" si="44"/>
        <v>9619.5313208164407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  <c r="Q134" s="269"/>
    </row>
    <row r="135" spans="2:17" ht="12.5">
      <c r="B135" s="195" t="str">
        <f t="shared" si="49"/>
        <v/>
      </c>
      <c r="C135" s="507">
        <f>IF(D93="","-",+C134+1)</f>
        <v>2048</v>
      </c>
      <c r="D135" s="374">
        <f>IF(F134+SUM(E$99:E134)=D$92,F134,D$92-SUM(E$99:E134))</f>
        <v>32348.815263484837</v>
      </c>
      <c r="E135" s="522">
        <f>IF(+J96&lt;F134,J96,D135)</f>
        <v>5628.0487804878048</v>
      </c>
      <c r="F135" s="523">
        <f t="shared" si="50"/>
        <v>26720.766482997031</v>
      </c>
      <c r="G135" s="523">
        <f t="shared" si="42"/>
        <v>29534.790873240934</v>
      </c>
      <c r="H135" s="526">
        <f t="shared" si="43"/>
        <v>8980.6677175166205</v>
      </c>
      <c r="I135" s="577">
        <f t="shared" si="44"/>
        <v>8980.6677175166205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  <c r="Q135" s="269"/>
    </row>
    <row r="136" spans="2:17" ht="12.5">
      <c r="B136" s="195" t="str">
        <f t="shared" si="49"/>
        <v/>
      </c>
      <c r="C136" s="507">
        <f>IF(D93="","-",+C135+1)</f>
        <v>2049</v>
      </c>
      <c r="D136" s="374">
        <f>IF(F135+SUM(E$99:E135)=D$92,F135,D$92-SUM(E$99:E135))</f>
        <v>26720.766482997031</v>
      </c>
      <c r="E136" s="522">
        <f>IF(+J96&lt;F135,J96,D136)</f>
        <v>5628.0487804878048</v>
      </c>
      <c r="F136" s="523">
        <f t="shared" si="50"/>
        <v>21092.717702509224</v>
      </c>
      <c r="G136" s="523">
        <f t="shared" si="42"/>
        <v>23906.742092753128</v>
      </c>
      <c r="H136" s="526">
        <f t="shared" si="43"/>
        <v>8341.8041142168004</v>
      </c>
      <c r="I136" s="577">
        <f t="shared" si="44"/>
        <v>8341.8041142168004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  <c r="Q136" s="269"/>
    </row>
    <row r="137" spans="2:17" ht="12.5">
      <c r="B137" s="195" t="str">
        <f t="shared" si="49"/>
        <v/>
      </c>
      <c r="C137" s="507">
        <f>IF(D93="","-",+C136+1)</f>
        <v>2050</v>
      </c>
      <c r="D137" s="374">
        <f>IF(F136+SUM(E$99:E136)=D$92,F136,D$92-SUM(E$99:E136))</f>
        <v>21092.717702509224</v>
      </c>
      <c r="E137" s="522">
        <f>IF(+J96&lt;F136,J96,D137)</f>
        <v>5628.0487804878048</v>
      </c>
      <c r="F137" s="523">
        <f t="shared" si="50"/>
        <v>15464.668922021419</v>
      </c>
      <c r="G137" s="523">
        <f t="shared" si="42"/>
        <v>18278.693312265321</v>
      </c>
      <c r="H137" s="526">
        <f t="shared" si="43"/>
        <v>7702.9405109169802</v>
      </c>
      <c r="I137" s="577">
        <f t="shared" si="44"/>
        <v>7702.9405109169802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  <c r="Q137" s="269"/>
    </row>
    <row r="138" spans="2:17" ht="12.5">
      <c r="B138" s="195" t="str">
        <f t="shared" si="49"/>
        <v/>
      </c>
      <c r="C138" s="507">
        <f>IF(D93="","-",+C137+1)</f>
        <v>2051</v>
      </c>
      <c r="D138" s="374">
        <f>IF(F137+SUM(E$99:E137)=D$92,F137,D$92-SUM(E$99:E137))</f>
        <v>15464.668922021419</v>
      </c>
      <c r="E138" s="522">
        <f>IF(+J96&lt;F137,J96,D138)</f>
        <v>5628.0487804878048</v>
      </c>
      <c r="F138" s="523">
        <f t="shared" si="50"/>
        <v>9836.6201415336145</v>
      </c>
      <c r="G138" s="523">
        <f t="shared" si="42"/>
        <v>12650.644531777518</v>
      </c>
      <c r="H138" s="526">
        <f t="shared" si="43"/>
        <v>7064.07690761716</v>
      </c>
      <c r="I138" s="577">
        <f t="shared" si="44"/>
        <v>7064.07690761716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  <c r="Q138" s="269"/>
    </row>
    <row r="139" spans="2:17" ht="12.5">
      <c r="B139" s="195" t="str">
        <f t="shared" si="49"/>
        <v/>
      </c>
      <c r="C139" s="507">
        <f>IF(D93="","-",+C138+1)</f>
        <v>2052</v>
      </c>
      <c r="D139" s="374">
        <f>IF(F138+SUM(E$99:E138)=D$92,F138,D$92-SUM(E$99:E138))</f>
        <v>9836.6201415336145</v>
      </c>
      <c r="E139" s="522">
        <f>IF(+J96&lt;F138,J96,D139)</f>
        <v>5628.0487804878048</v>
      </c>
      <c r="F139" s="523">
        <f t="shared" si="50"/>
        <v>4208.5713610458097</v>
      </c>
      <c r="G139" s="523">
        <f t="shared" si="42"/>
        <v>7022.5957512897121</v>
      </c>
      <c r="H139" s="526">
        <f t="shared" si="43"/>
        <v>6425.2133043173399</v>
      </c>
      <c r="I139" s="577">
        <f t="shared" si="44"/>
        <v>6425.2133043173399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  <c r="Q139" s="269"/>
    </row>
    <row r="140" spans="2:17" ht="12.5">
      <c r="B140" s="195" t="str">
        <f t="shared" si="49"/>
        <v/>
      </c>
      <c r="C140" s="507">
        <f>IF(D93="","-",+C139+1)</f>
        <v>2053</v>
      </c>
      <c r="D140" s="374">
        <f>IF(F139+SUM(E$99:E139)=D$92,F139,D$92-SUM(E$99:E139))</f>
        <v>4208.5713610458097</v>
      </c>
      <c r="E140" s="522">
        <f>IF(+J96&lt;F139,J96,D140)</f>
        <v>4208.5713610458097</v>
      </c>
      <c r="F140" s="523">
        <f t="shared" si="50"/>
        <v>0</v>
      </c>
      <c r="G140" s="523">
        <f t="shared" si="42"/>
        <v>2104.2856805229048</v>
      </c>
      <c r="H140" s="526">
        <f t="shared" si="43"/>
        <v>4447.4377221356217</v>
      </c>
      <c r="I140" s="577">
        <f t="shared" si="44"/>
        <v>4447.4377221356217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  <c r="Q140" s="269"/>
    </row>
    <row r="141" spans="2:17" ht="12.5">
      <c r="B141" s="195" t="str">
        <f t="shared" si="49"/>
        <v/>
      </c>
      <c r="C141" s="507">
        <f>IF(D93="","-",+C140+1)</f>
        <v>2054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0"/>
        <v>0</v>
      </c>
      <c r="G141" s="523">
        <f t="shared" si="42"/>
        <v>0</v>
      </c>
      <c r="H141" s="526">
        <f t="shared" si="43"/>
        <v>0</v>
      </c>
      <c r="I141" s="577">
        <f t="shared" si="44"/>
        <v>0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  <c r="Q141" s="269"/>
    </row>
    <row r="142" spans="2:17" ht="12.5">
      <c r="B142" s="195" t="str">
        <f t="shared" si="49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0"/>
        <v>0</v>
      </c>
      <c r="G142" s="523">
        <f t="shared" si="42"/>
        <v>0</v>
      </c>
      <c r="H142" s="526">
        <f t="shared" si="43"/>
        <v>0</v>
      </c>
      <c r="I142" s="577">
        <f t="shared" si="44"/>
        <v>0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  <c r="Q142" s="269"/>
    </row>
    <row r="143" spans="2:17" ht="12.5">
      <c r="B143" s="195" t="str">
        <f t="shared" si="49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0"/>
        <v>0</v>
      </c>
      <c r="G143" s="523">
        <f t="shared" si="42"/>
        <v>0</v>
      </c>
      <c r="H143" s="526">
        <f t="shared" si="43"/>
        <v>0</v>
      </c>
      <c r="I143" s="577">
        <f t="shared" si="44"/>
        <v>0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  <c r="Q143" s="269"/>
    </row>
    <row r="144" spans="2:17" ht="12.5">
      <c r="B144" s="195" t="str">
        <f t="shared" si="49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0"/>
        <v>0</v>
      </c>
      <c r="G144" s="523">
        <f t="shared" si="42"/>
        <v>0</v>
      </c>
      <c r="H144" s="526">
        <f t="shared" si="43"/>
        <v>0</v>
      </c>
      <c r="I144" s="577">
        <f t="shared" si="44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  <c r="Q144" s="269"/>
    </row>
    <row r="145" spans="2:17" ht="12.5">
      <c r="B145" s="195" t="str">
        <f t="shared" si="49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0"/>
        <v>0</v>
      </c>
      <c r="G145" s="523">
        <f t="shared" si="42"/>
        <v>0</v>
      </c>
      <c r="H145" s="526">
        <f t="shared" si="43"/>
        <v>0</v>
      </c>
      <c r="I145" s="577">
        <f t="shared" si="44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  <c r="Q145" s="269"/>
    </row>
    <row r="146" spans="2:17" ht="12.5">
      <c r="B146" s="195" t="str">
        <f t="shared" si="49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0"/>
        <v>0</v>
      </c>
      <c r="G146" s="523">
        <f t="shared" si="42"/>
        <v>0</v>
      </c>
      <c r="H146" s="526">
        <f t="shared" si="43"/>
        <v>0</v>
      </c>
      <c r="I146" s="577">
        <f t="shared" si="44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  <c r="Q146" s="269"/>
    </row>
    <row r="147" spans="2:17" ht="12.5">
      <c r="B147" s="195" t="str">
        <f t="shared" si="49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0"/>
        <v>0</v>
      </c>
      <c r="G147" s="523">
        <f t="shared" si="42"/>
        <v>0</v>
      </c>
      <c r="H147" s="526">
        <f t="shared" si="43"/>
        <v>0</v>
      </c>
      <c r="I147" s="577">
        <f t="shared" si="44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  <c r="Q147" s="269"/>
    </row>
    <row r="148" spans="2:17" ht="12.5">
      <c r="B148" s="195" t="str">
        <f t="shared" si="49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0"/>
        <v>0</v>
      </c>
      <c r="G148" s="523">
        <f t="shared" si="42"/>
        <v>0</v>
      </c>
      <c r="H148" s="526">
        <f t="shared" si="43"/>
        <v>0</v>
      </c>
      <c r="I148" s="577">
        <f t="shared" si="44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  <c r="Q148" s="269"/>
    </row>
    <row r="149" spans="2:17" ht="12.5">
      <c r="B149" s="195" t="str">
        <f t="shared" si="49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0"/>
        <v>0</v>
      </c>
      <c r="G149" s="523">
        <f t="shared" si="42"/>
        <v>0</v>
      </c>
      <c r="H149" s="526">
        <f t="shared" si="43"/>
        <v>0</v>
      </c>
      <c r="I149" s="577">
        <f t="shared" si="44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  <c r="Q149" s="269"/>
    </row>
    <row r="150" spans="2:17" ht="12.5">
      <c r="B150" s="195" t="str">
        <f t="shared" si="49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0"/>
        <v>0</v>
      </c>
      <c r="G150" s="523">
        <f t="shared" si="42"/>
        <v>0</v>
      </c>
      <c r="H150" s="526">
        <f t="shared" si="43"/>
        <v>0</v>
      </c>
      <c r="I150" s="577">
        <f t="shared" si="44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  <c r="Q150" s="269"/>
    </row>
    <row r="151" spans="2:17" ht="12.5">
      <c r="B151" s="195" t="str">
        <f t="shared" si="49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0"/>
        <v>0</v>
      </c>
      <c r="G151" s="523">
        <f t="shared" si="42"/>
        <v>0</v>
      </c>
      <c r="H151" s="526">
        <f t="shared" si="43"/>
        <v>0</v>
      </c>
      <c r="I151" s="577">
        <f t="shared" si="44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  <c r="Q151" s="269"/>
    </row>
    <row r="152" spans="2:17" ht="12.5">
      <c r="B152" s="195" t="str">
        <f t="shared" si="49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0"/>
        <v>0</v>
      </c>
      <c r="G152" s="523">
        <f t="shared" si="42"/>
        <v>0</v>
      </c>
      <c r="H152" s="526">
        <f t="shared" si="43"/>
        <v>0</v>
      </c>
      <c r="I152" s="577">
        <f t="shared" si="44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  <c r="Q152" s="269"/>
    </row>
    <row r="153" spans="2:17" ht="12.5">
      <c r="B153" s="195" t="str">
        <f t="shared" si="49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0"/>
        <v>0</v>
      </c>
      <c r="G153" s="523">
        <f t="shared" si="42"/>
        <v>0</v>
      </c>
      <c r="H153" s="526">
        <f t="shared" si="43"/>
        <v>0</v>
      </c>
      <c r="I153" s="577">
        <f t="shared" si="44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  <c r="Q153" s="269"/>
    </row>
    <row r="154" spans="2:17" ht="13" thickBot="1">
      <c r="B154" s="195" t="str">
        <f t="shared" si="49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0"/>
        <v>0</v>
      </c>
      <c r="G154" s="528">
        <f t="shared" si="42"/>
        <v>0</v>
      </c>
      <c r="H154" s="530">
        <f t="shared" si="43"/>
        <v>0</v>
      </c>
      <c r="I154" s="579">
        <f t="shared" si="44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  <c r="Q154" s="269"/>
    </row>
    <row r="155" spans="2:17" ht="12.5">
      <c r="C155" s="374" t="s">
        <v>78</v>
      </c>
      <c r="D155" s="375"/>
      <c r="E155" s="375">
        <f>SUM(E99:E154)</f>
        <v>230749.9999999998</v>
      </c>
      <c r="F155" s="375"/>
      <c r="G155" s="375"/>
      <c r="H155" s="375">
        <f>SUM(H99:H154)</f>
        <v>791576.40833667072</v>
      </c>
      <c r="I155" s="375">
        <f>SUM(I99:I154)</f>
        <v>791576.40833667072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9" priority="1" stopIfTrue="1" operator="equal">
      <formula>$I$10</formula>
    </cfRule>
  </conditionalFormatting>
  <conditionalFormatting sqref="C99:C154">
    <cfRule type="cellIs" dxfId="9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83"/>
  <dimension ref="A1:Q162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32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488320.76827892079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488320.76827892079</v>
      </c>
      <c r="O6" s="269"/>
      <c r="P6" s="269"/>
    </row>
    <row r="7" spans="1:17" ht="13.5" thickBot="1">
      <c r="C7" s="467" t="s">
        <v>48</v>
      </c>
      <c r="D7" s="620" t="s">
        <v>286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/>
      <c r="E9" s="666" t="s">
        <v>493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4175110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99407.380952380947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3985900</v>
      </c>
      <c r="E17" s="509">
        <v>47451.190476190473</v>
      </c>
      <c r="F17" s="508">
        <v>3938448.8095238097</v>
      </c>
      <c r="G17" s="509">
        <v>633177.84907678491</v>
      </c>
      <c r="H17" s="510">
        <v>633177.84907678491</v>
      </c>
      <c r="I17" s="617">
        <v>0</v>
      </c>
      <c r="J17" s="511"/>
      <c r="K17" s="512">
        <f t="shared" ref="K17:K22" si="0">G17</f>
        <v>633177.84907678491</v>
      </c>
      <c r="L17" s="597">
        <f t="shared" ref="L17:L48" si="1">IF(K17&lt;&gt;0,+G17-K17,0)</f>
        <v>0</v>
      </c>
      <c r="M17" s="512">
        <f t="shared" ref="M17:M22" si="2">H17</f>
        <v>633177.84907678491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508">
        <v>4157203.8095238097</v>
      </c>
      <c r="E18" s="516">
        <v>100110.83333333333</v>
      </c>
      <c r="F18" s="508">
        <v>4057092.9761904762</v>
      </c>
      <c r="G18" s="516">
        <v>668051.44078047015</v>
      </c>
      <c r="H18" s="510">
        <v>668051.44078047015</v>
      </c>
      <c r="I18" s="616">
        <v>0</v>
      </c>
      <c r="J18" s="511"/>
      <c r="K18" s="518">
        <f t="shared" si="0"/>
        <v>668051.44078047015</v>
      </c>
      <c r="L18" s="519">
        <f t="shared" ref="L18:L23" si="6">IF(K18&lt;&gt;0,+G18-K18,0)</f>
        <v>0</v>
      </c>
      <c r="M18" s="518">
        <f t="shared" si="2"/>
        <v>668051.44078047015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508">
        <v>4010174.9761904762</v>
      </c>
      <c r="E19" s="516">
        <v>98993.738095238092</v>
      </c>
      <c r="F19" s="508">
        <v>3911181.2380952383</v>
      </c>
      <c r="G19" s="516">
        <v>626653.18678450992</v>
      </c>
      <c r="H19" s="510">
        <v>626653.18678450992</v>
      </c>
      <c r="I19" s="616">
        <v>0</v>
      </c>
      <c r="J19" s="511"/>
      <c r="K19" s="518">
        <f t="shared" si="0"/>
        <v>626653.18678450992</v>
      </c>
      <c r="L19" s="519">
        <f t="shared" si="6"/>
        <v>0</v>
      </c>
      <c r="M19" s="518">
        <f t="shared" si="2"/>
        <v>626653.18678450992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508">
        <v>3928554.2380952379</v>
      </c>
      <c r="E20" s="516">
        <v>99407.380952380947</v>
      </c>
      <c r="F20" s="508">
        <v>3829146.8571428568</v>
      </c>
      <c r="G20" s="516">
        <v>603724.40567685384</v>
      </c>
      <c r="H20" s="510">
        <v>603724.40567685384</v>
      </c>
      <c r="I20" s="511">
        <v>0</v>
      </c>
      <c r="J20" s="511"/>
      <c r="K20" s="518">
        <f t="shared" si="0"/>
        <v>603724.40567685384</v>
      </c>
      <c r="L20" s="519">
        <f t="shared" si="6"/>
        <v>0</v>
      </c>
      <c r="M20" s="518">
        <f t="shared" si="2"/>
        <v>603724.40567685384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/>
      </c>
      <c r="C21" s="507">
        <f>IF(D12="","-",+C20+1)</f>
        <v>2016</v>
      </c>
      <c r="D21" s="508">
        <v>3829146.8571428568</v>
      </c>
      <c r="E21" s="516">
        <v>99407.380952380947</v>
      </c>
      <c r="F21" s="508">
        <v>3729739.4761904757</v>
      </c>
      <c r="G21" s="516">
        <v>584571.79884231184</v>
      </c>
      <c r="H21" s="510">
        <v>584571.79884231184</v>
      </c>
      <c r="I21" s="511">
        <f t="shared" ref="I21:I48" si="9">H21-G21</f>
        <v>0</v>
      </c>
      <c r="J21" s="511"/>
      <c r="K21" s="518">
        <f t="shared" si="0"/>
        <v>584571.79884231184</v>
      </c>
      <c r="L21" s="519">
        <f t="shared" si="6"/>
        <v>0</v>
      </c>
      <c r="M21" s="518">
        <f t="shared" si="2"/>
        <v>584571.79884231184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508">
        <v>3729739.4761904757</v>
      </c>
      <c r="E22" s="516">
        <v>97095.58139534884</v>
      </c>
      <c r="F22" s="508">
        <v>3632643.8947951267</v>
      </c>
      <c r="G22" s="516">
        <v>553167.7460387327</v>
      </c>
      <c r="H22" s="510">
        <v>553167.7460387327</v>
      </c>
      <c r="I22" s="511">
        <f t="shared" si="9"/>
        <v>0</v>
      </c>
      <c r="J22" s="511"/>
      <c r="K22" s="518">
        <f t="shared" si="0"/>
        <v>553167.7460387327</v>
      </c>
      <c r="L22" s="519">
        <f t="shared" si="6"/>
        <v>0</v>
      </c>
      <c r="M22" s="518">
        <f t="shared" si="2"/>
        <v>553167.7460387327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508">
        <v>3632643.8947951267</v>
      </c>
      <c r="E23" s="516">
        <v>101831.95121951219</v>
      </c>
      <c r="F23" s="508">
        <v>3530811.9435756146</v>
      </c>
      <c r="G23" s="516">
        <v>557048.43371456629</v>
      </c>
      <c r="H23" s="510">
        <v>557048.43371456629</v>
      </c>
      <c r="I23" s="511">
        <f t="shared" si="9"/>
        <v>0</v>
      </c>
      <c r="J23" s="511"/>
      <c r="K23" s="518">
        <f>G23</f>
        <v>557048.43371456629</v>
      </c>
      <c r="L23" s="519">
        <f t="shared" si="6"/>
        <v>0</v>
      </c>
      <c r="M23" s="518">
        <f>H23</f>
        <v>557048.43371456629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508">
        <v>3530811.9435756146</v>
      </c>
      <c r="E24" s="516">
        <v>101831.95121951219</v>
      </c>
      <c r="F24" s="508">
        <v>3428979.9923561024</v>
      </c>
      <c r="G24" s="516">
        <v>544106.19363221596</v>
      </c>
      <c r="H24" s="510">
        <v>544106.19363221596</v>
      </c>
      <c r="I24" s="511">
        <f t="shared" si="9"/>
        <v>0</v>
      </c>
      <c r="J24" s="511"/>
      <c r="K24" s="518">
        <f>G24</f>
        <v>544106.19363221596</v>
      </c>
      <c r="L24" s="519">
        <f t="shared" ref="L24" si="10">IF(K24&lt;&gt;0,+G24-K24,0)</f>
        <v>0</v>
      </c>
      <c r="M24" s="518">
        <f>H24</f>
        <v>544106.19363221596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508">
        <v>3428979.9923561024</v>
      </c>
      <c r="E25" s="516">
        <v>101831.95121951219</v>
      </c>
      <c r="F25" s="508">
        <v>3327148.0411365903</v>
      </c>
      <c r="G25" s="516">
        <v>447527.67036121147</v>
      </c>
      <c r="H25" s="510">
        <v>447527.67036121147</v>
      </c>
      <c r="I25" s="511">
        <f t="shared" si="9"/>
        <v>0</v>
      </c>
      <c r="J25" s="511"/>
      <c r="K25" s="518">
        <f>G25</f>
        <v>447527.67036121147</v>
      </c>
      <c r="L25" s="519">
        <f t="shared" ref="L25" si="11">IF(K25&lt;&gt;0,+G25-K25,0)</f>
        <v>0</v>
      </c>
      <c r="M25" s="518">
        <f>H25</f>
        <v>447527.67036121147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508">
        <v>3331884.4109607544</v>
      </c>
      <c r="E26" s="516">
        <v>99407.380952380947</v>
      </c>
      <c r="F26" s="508">
        <v>3232477.0300083733</v>
      </c>
      <c r="G26" s="516">
        <v>447333.45497501275</v>
      </c>
      <c r="H26" s="510">
        <v>447333.45497501275</v>
      </c>
      <c r="I26" s="511">
        <f t="shared" si="9"/>
        <v>0</v>
      </c>
      <c r="J26" s="511"/>
      <c r="K26" s="518">
        <f>G26</f>
        <v>447333.45497501275</v>
      </c>
      <c r="L26" s="519">
        <f t="shared" ref="L26" si="12">IF(K26&lt;&gt;0,+G26-K26,0)</f>
        <v>0</v>
      </c>
      <c r="M26" s="518">
        <f>H26</f>
        <v>447333.45497501275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508">
        <v>3227740.6601842102</v>
      </c>
      <c r="E27" s="516">
        <v>99407.380952380947</v>
      </c>
      <c r="F27" s="508">
        <v>3128333.2792318291</v>
      </c>
      <c r="G27" s="516">
        <v>456758.87787220906</v>
      </c>
      <c r="H27" s="510">
        <v>456758.87787220906</v>
      </c>
      <c r="I27" s="511">
        <f t="shared" si="9"/>
        <v>0</v>
      </c>
      <c r="J27" s="511"/>
      <c r="K27" s="518">
        <f>G27</f>
        <v>456758.87787220906</v>
      </c>
      <c r="L27" s="519">
        <f t="shared" ref="L27" si="13">IF(K27&lt;&gt;0,+G27-K27,0)</f>
        <v>0</v>
      </c>
      <c r="M27" s="518">
        <f>H27</f>
        <v>456758.87787220906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3128333.2792318291</v>
      </c>
      <c r="E28" s="522">
        <f>IF(+I14&lt;F27,I14,D28)</f>
        <v>99407.380952380947</v>
      </c>
      <c r="F28" s="523">
        <f t="shared" ref="F28:F48" si="14">+D28-E28</f>
        <v>3028925.898279448</v>
      </c>
      <c r="G28" s="524">
        <f t="shared" ref="G28:G53" si="15">+I$12*((D28+F28)/2)+E28</f>
        <v>488320.76827892079</v>
      </c>
      <c r="H28" s="491">
        <f t="shared" ref="H28:H53" si="16">+I$13*((D28+F28)/2)+E28</f>
        <v>488320.76827892079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3028925.898279448</v>
      </c>
      <c r="E29" s="522">
        <f>IF(+I14&lt;F28,I14,D29)</f>
        <v>99407.380952380947</v>
      </c>
      <c r="F29" s="523">
        <f t="shared" si="14"/>
        <v>2929518.517327067</v>
      </c>
      <c r="G29" s="524">
        <f t="shared" si="15"/>
        <v>475762.95314173936</v>
      </c>
      <c r="H29" s="491">
        <f t="shared" si="16"/>
        <v>475762.95314173936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2929518.517327067</v>
      </c>
      <c r="E30" s="522">
        <f>IF(+I14&lt;F29,I14,D30)</f>
        <v>99407.380952380947</v>
      </c>
      <c r="F30" s="523">
        <f t="shared" si="14"/>
        <v>2830111.1363746859</v>
      </c>
      <c r="G30" s="524">
        <f t="shared" si="15"/>
        <v>463205.13800455787</v>
      </c>
      <c r="H30" s="491">
        <f t="shared" si="16"/>
        <v>463205.13800455787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2830111.1363746859</v>
      </c>
      <c r="E31" s="522">
        <f>IF(+I14&lt;F30,I14,D31)</f>
        <v>99407.380952380947</v>
      </c>
      <c r="F31" s="523">
        <f t="shared" si="14"/>
        <v>2730703.7554223049</v>
      </c>
      <c r="G31" s="524">
        <f t="shared" si="15"/>
        <v>450647.3228673765</v>
      </c>
      <c r="H31" s="491">
        <f t="shared" si="16"/>
        <v>450647.3228673765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2730703.7554223049</v>
      </c>
      <c r="E32" s="522">
        <f>IF(+I14&lt;F31,I14,D32)</f>
        <v>99407.380952380947</v>
      </c>
      <c r="F32" s="523">
        <f t="shared" si="14"/>
        <v>2631296.3744699238</v>
      </c>
      <c r="G32" s="524">
        <f t="shared" si="15"/>
        <v>438089.50773019495</v>
      </c>
      <c r="H32" s="491">
        <f t="shared" si="16"/>
        <v>438089.50773019495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2631296.3744699238</v>
      </c>
      <c r="E33" s="522">
        <f>IF(+I14&lt;F32,I14,D33)</f>
        <v>99407.380952380947</v>
      </c>
      <c r="F33" s="523">
        <f t="shared" si="14"/>
        <v>2531888.9935175427</v>
      </c>
      <c r="G33" s="524">
        <f t="shared" si="15"/>
        <v>425531.69259301358</v>
      </c>
      <c r="H33" s="491">
        <f t="shared" si="16"/>
        <v>425531.69259301358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2531888.9935175427</v>
      </c>
      <c r="E34" s="522">
        <f>IF(+I14&lt;F33,I14,D34)</f>
        <v>99407.380952380947</v>
      </c>
      <c r="F34" s="523">
        <f t="shared" si="14"/>
        <v>2432481.6125651617</v>
      </c>
      <c r="G34" s="524">
        <f t="shared" si="15"/>
        <v>412973.87745583203</v>
      </c>
      <c r="H34" s="491">
        <f t="shared" si="16"/>
        <v>412973.87745583203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2432481.6125651617</v>
      </c>
      <c r="E35" s="522">
        <f>IF(+I14&lt;F34,I14,D35)</f>
        <v>99407.380952380947</v>
      </c>
      <c r="F35" s="523">
        <f t="shared" si="14"/>
        <v>2333074.2316127806</v>
      </c>
      <c r="G35" s="524">
        <f t="shared" si="15"/>
        <v>400416.06231865066</v>
      </c>
      <c r="H35" s="491">
        <f t="shared" si="16"/>
        <v>400416.06231865066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2333074.2316127806</v>
      </c>
      <c r="E36" s="522">
        <f>IF(+I14&lt;F35,I14,D36)</f>
        <v>99407.380952380947</v>
      </c>
      <c r="F36" s="523">
        <f t="shared" si="14"/>
        <v>2233666.8506603995</v>
      </c>
      <c r="G36" s="524">
        <f t="shared" si="15"/>
        <v>387858.24718146911</v>
      </c>
      <c r="H36" s="491">
        <f t="shared" si="16"/>
        <v>387858.24718146911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2233666.8506603995</v>
      </c>
      <c r="E37" s="522">
        <f>IF(+I14&lt;F36,I14,D37)</f>
        <v>99407.380952380947</v>
      </c>
      <c r="F37" s="523">
        <f t="shared" si="14"/>
        <v>2134259.4697080185</v>
      </c>
      <c r="G37" s="524">
        <f t="shared" si="15"/>
        <v>375300.43204428774</v>
      </c>
      <c r="H37" s="491">
        <f t="shared" si="16"/>
        <v>375300.43204428774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2134259.4697080185</v>
      </c>
      <c r="E38" s="522">
        <f>IF(+I14&lt;F37,I14,D38)</f>
        <v>99407.380952380947</v>
      </c>
      <c r="F38" s="523">
        <f t="shared" si="14"/>
        <v>2034852.0887556374</v>
      </c>
      <c r="G38" s="524">
        <f t="shared" si="15"/>
        <v>362742.61690710625</v>
      </c>
      <c r="H38" s="491">
        <f t="shared" si="16"/>
        <v>362742.61690710625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2034852.0887556374</v>
      </c>
      <c r="E39" s="522">
        <f>IF(+I14&lt;F38,I14,D39)</f>
        <v>99407.380952380947</v>
      </c>
      <c r="F39" s="523">
        <f t="shared" si="14"/>
        <v>1935444.7078032563</v>
      </c>
      <c r="G39" s="524">
        <f t="shared" si="15"/>
        <v>350184.80176992482</v>
      </c>
      <c r="H39" s="491">
        <f t="shared" si="16"/>
        <v>350184.80176992482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1935444.7078032563</v>
      </c>
      <c r="E40" s="522">
        <f>IF(+I14&lt;F39,I14,D40)</f>
        <v>99407.380952380947</v>
      </c>
      <c r="F40" s="523">
        <f t="shared" si="14"/>
        <v>1836037.3268508753</v>
      </c>
      <c r="G40" s="524">
        <f t="shared" si="15"/>
        <v>337626.98663274338</v>
      </c>
      <c r="H40" s="491">
        <f t="shared" si="16"/>
        <v>337626.98663274338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1836037.3268508753</v>
      </c>
      <c r="E41" s="522">
        <f>IF(+I14&lt;F40,I14,D41)</f>
        <v>99407.380952380947</v>
      </c>
      <c r="F41" s="523">
        <f t="shared" si="14"/>
        <v>1736629.9458984942</v>
      </c>
      <c r="G41" s="524">
        <f t="shared" si="15"/>
        <v>325069.1714955619</v>
      </c>
      <c r="H41" s="491">
        <f t="shared" si="16"/>
        <v>325069.1714955619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1736629.9458984942</v>
      </c>
      <c r="E42" s="522">
        <f>IF(+I14&lt;F41,I14,D42)</f>
        <v>99407.380952380947</v>
      </c>
      <c r="F42" s="523">
        <f t="shared" si="14"/>
        <v>1637222.5649461132</v>
      </c>
      <c r="G42" s="524">
        <f t="shared" si="15"/>
        <v>312511.35635838041</v>
      </c>
      <c r="H42" s="491">
        <f t="shared" si="16"/>
        <v>312511.35635838041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1637222.5649461132</v>
      </c>
      <c r="E43" s="522">
        <f>IF(+I14&lt;F42,I14,D43)</f>
        <v>99407.380952380947</v>
      </c>
      <c r="F43" s="523">
        <f t="shared" si="14"/>
        <v>1537815.1839937321</v>
      </c>
      <c r="G43" s="524">
        <f t="shared" si="15"/>
        <v>299953.54122119898</v>
      </c>
      <c r="H43" s="491">
        <f t="shared" si="16"/>
        <v>299953.54122119898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1537815.1839937321</v>
      </c>
      <c r="E44" s="522">
        <f>IF(+I14&lt;F43,I14,D44)</f>
        <v>99407.380952380947</v>
      </c>
      <c r="F44" s="523">
        <f t="shared" si="14"/>
        <v>1438407.803041351</v>
      </c>
      <c r="G44" s="524">
        <f t="shared" si="15"/>
        <v>287395.72608401754</v>
      </c>
      <c r="H44" s="491">
        <f t="shared" si="16"/>
        <v>287395.72608401754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1438407.803041351</v>
      </c>
      <c r="E45" s="522">
        <f>IF(+I14&lt;F44,I14,D45)</f>
        <v>99407.380952380947</v>
      </c>
      <c r="F45" s="523">
        <f t="shared" si="14"/>
        <v>1339000.42208897</v>
      </c>
      <c r="G45" s="524">
        <f t="shared" si="15"/>
        <v>274837.91094683605</v>
      </c>
      <c r="H45" s="491">
        <f t="shared" si="16"/>
        <v>274837.91094683605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1339000.42208897</v>
      </c>
      <c r="E46" s="522">
        <f>IF(+I14&lt;F45,I14,D46)</f>
        <v>99407.380952380947</v>
      </c>
      <c r="F46" s="523">
        <f t="shared" si="14"/>
        <v>1239593.0411365889</v>
      </c>
      <c r="G46" s="524">
        <f t="shared" si="15"/>
        <v>262280.09580965457</v>
      </c>
      <c r="H46" s="491">
        <f t="shared" si="16"/>
        <v>262280.09580965457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1239593.0411365889</v>
      </c>
      <c r="E47" s="522">
        <f>IF(+I14&lt;F46,I14,D47)</f>
        <v>99407.380952380947</v>
      </c>
      <c r="F47" s="523">
        <f t="shared" si="14"/>
        <v>1140185.6601842078</v>
      </c>
      <c r="G47" s="524">
        <f t="shared" si="15"/>
        <v>249722.28067247316</v>
      </c>
      <c r="H47" s="491">
        <f t="shared" si="16"/>
        <v>249722.28067247316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1140185.6601842078</v>
      </c>
      <c r="E48" s="522">
        <f>IF(+I14&lt;F47,I14,D48)</f>
        <v>99407.380952380947</v>
      </c>
      <c r="F48" s="523">
        <f t="shared" si="14"/>
        <v>1040778.2792318269</v>
      </c>
      <c r="G48" s="524">
        <f t="shared" si="15"/>
        <v>237164.4655352917</v>
      </c>
      <c r="H48" s="491">
        <f t="shared" si="16"/>
        <v>237164.4655352917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1040778.2792318269</v>
      </c>
      <c r="E49" s="522">
        <f>IF(+I14&lt;F48,I14,D49)</f>
        <v>99407.380952380947</v>
      </c>
      <c r="F49" s="523">
        <f t="shared" ref="F49:F72" si="17">+D49-E49</f>
        <v>941370.89827944594</v>
      </c>
      <c r="G49" s="524">
        <f t="shared" si="15"/>
        <v>224606.65039811027</v>
      </c>
      <c r="H49" s="491">
        <f t="shared" si="16"/>
        <v>224606.65039811027</v>
      </c>
      <c r="I49" s="511">
        <f t="shared" ref="I49:I72" si="18">H49-G49</f>
        <v>0</v>
      </c>
      <c r="J49" s="511"/>
      <c r="K49" s="525"/>
      <c r="L49" s="514">
        <f t="shared" ref="L49:L72" si="19">IF(K49&lt;&gt;0,+G49-K49,0)</f>
        <v>0</v>
      </c>
      <c r="M49" s="525"/>
      <c r="N49" s="514">
        <f t="shared" ref="N49:N72" si="20">IF(M49&lt;&gt;0,+H49-M49,0)</f>
        <v>0</v>
      </c>
      <c r="O49" s="514">
        <f t="shared" ref="O49:O72" si="21">+N49-L49</f>
        <v>0</v>
      </c>
      <c r="P49" s="272"/>
    </row>
    <row r="50" spans="2:17" ht="12.5">
      <c r="B50" s="195" t="str">
        <f t="shared" ref="B50:B72" si="22">IF(D50=F49,"","IU")</f>
        <v/>
      </c>
      <c r="C50" s="507">
        <f>IF(D11="","-",+C49+1)</f>
        <v>2045</v>
      </c>
      <c r="D50" s="523">
        <f>IF(F49+SUM(E$17:E49)=D$10,F49,D$10-SUM(E$17:E49))</f>
        <v>941370.89827944594</v>
      </c>
      <c r="E50" s="522">
        <f>IF(+I14&lt;F49,I14,D50)</f>
        <v>99407.380952380947</v>
      </c>
      <c r="F50" s="523">
        <f t="shared" si="17"/>
        <v>841963.517327065</v>
      </c>
      <c r="G50" s="524">
        <f t="shared" si="15"/>
        <v>212048.83526092881</v>
      </c>
      <c r="H50" s="491">
        <f t="shared" si="16"/>
        <v>212048.83526092881</v>
      </c>
      <c r="I50" s="511">
        <f t="shared" si="18"/>
        <v>0</v>
      </c>
      <c r="J50" s="511"/>
      <c r="K50" s="525"/>
      <c r="L50" s="514">
        <f t="shared" si="19"/>
        <v>0</v>
      </c>
      <c r="M50" s="525"/>
      <c r="N50" s="514">
        <f t="shared" si="20"/>
        <v>0</v>
      </c>
      <c r="O50" s="514">
        <f t="shared" si="21"/>
        <v>0</v>
      </c>
      <c r="P50" s="272"/>
    </row>
    <row r="51" spans="2:17" ht="12.5">
      <c r="B51" s="195" t="str">
        <f t="shared" si="22"/>
        <v/>
      </c>
      <c r="C51" s="507">
        <f>IF(D11="","-",+C50+1)</f>
        <v>2046</v>
      </c>
      <c r="D51" s="523">
        <f>IF(F50+SUM(E$17:E50)=D$10,F50,D$10-SUM(E$17:E50))</f>
        <v>841963.517327065</v>
      </c>
      <c r="E51" s="522">
        <f>IF(+I14&lt;F50,I14,D51)</f>
        <v>99407.380952380947</v>
      </c>
      <c r="F51" s="523">
        <f t="shared" si="17"/>
        <v>742556.13637468405</v>
      </c>
      <c r="G51" s="524">
        <f t="shared" si="15"/>
        <v>199491.02012374741</v>
      </c>
      <c r="H51" s="491">
        <f t="shared" si="16"/>
        <v>199491.02012374741</v>
      </c>
      <c r="I51" s="511">
        <f t="shared" si="18"/>
        <v>0</v>
      </c>
      <c r="J51" s="511"/>
      <c r="K51" s="525"/>
      <c r="L51" s="514">
        <f t="shared" si="19"/>
        <v>0</v>
      </c>
      <c r="M51" s="525"/>
      <c r="N51" s="514">
        <f t="shared" si="20"/>
        <v>0</v>
      </c>
      <c r="O51" s="514">
        <f t="shared" si="21"/>
        <v>0</v>
      </c>
      <c r="P51" s="272"/>
    </row>
    <row r="52" spans="2:17" ht="12.5">
      <c r="B52" s="195" t="str">
        <f t="shared" si="22"/>
        <v/>
      </c>
      <c r="C52" s="507">
        <f>IF(D11="","-",+C51+1)</f>
        <v>2047</v>
      </c>
      <c r="D52" s="523">
        <f>IF(F51+SUM(E$17:E51)=D$10,F51,D$10-SUM(E$17:E51))</f>
        <v>742556.13637468405</v>
      </c>
      <c r="E52" s="522">
        <f>IF(+I14&lt;F51,I14,D52)</f>
        <v>99407.380952380947</v>
      </c>
      <c r="F52" s="523">
        <f t="shared" si="17"/>
        <v>643148.7554223031</v>
      </c>
      <c r="G52" s="524">
        <f t="shared" si="15"/>
        <v>186933.20498656592</v>
      </c>
      <c r="H52" s="491">
        <f t="shared" si="16"/>
        <v>186933.20498656592</v>
      </c>
      <c r="I52" s="511">
        <f t="shared" si="18"/>
        <v>0</v>
      </c>
      <c r="J52" s="511"/>
      <c r="K52" s="525"/>
      <c r="L52" s="514">
        <f t="shared" si="19"/>
        <v>0</v>
      </c>
      <c r="M52" s="525"/>
      <c r="N52" s="514">
        <f t="shared" si="20"/>
        <v>0</v>
      </c>
      <c r="O52" s="514">
        <f t="shared" si="21"/>
        <v>0</v>
      </c>
      <c r="P52" s="272"/>
    </row>
    <row r="53" spans="2:17" ht="12.5">
      <c r="B53" s="195" t="str">
        <f t="shared" si="22"/>
        <v/>
      </c>
      <c r="C53" s="507">
        <f>IF(D11="","-",+C52+1)</f>
        <v>2048</v>
      </c>
      <c r="D53" s="523">
        <f>IF(F52+SUM(E$17:E52)=D$10,F52,D$10-SUM(E$17:E52))</f>
        <v>643148.7554223031</v>
      </c>
      <c r="E53" s="522">
        <f>IF(+I14&lt;F52,I14,D53)</f>
        <v>99407.380952380947</v>
      </c>
      <c r="F53" s="523">
        <f t="shared" si="17"/>
        <v>543741.37446992216</v>
      </c>
      <c r="G53" s="524">
        <f t="shared" si="15"/>
        <v>174375.38984938449</v>
      </c>
      <c r="H53" s="491">
        <f t="shared" si="16"/>
        <v>174375.38984938449</v>
      </c>
      <c r="I53" s="511">
        <f t="shared" si="18"/>
        <v>0</v>
      </c>
      <c r="J53" s="511"/>
      <c r="K53" s="525"/>
      <c r="L53" s="514">
        <f t="shared" si="19"/>
        <v>0</v>
      </c>
      <c r="M53" s="525"/>
      <c r="N53" s="514">
        <f t="shared" si="20"/>
        <v>0</v>
      </c>
      <c r="O53" s="514">
        <f t="shared" si="21"/>
        <v>0</v>
      </c>
      <c r="P53" s="272"/>
    </row>
    <row r="54" spans="2:17" ht="12.5">
      <c r="B54" s="195" t="str">
        <f t="shared" si="22"/>
        <v/>
      </c>
      <c r="C54" s="507">
        <f>IF(D11="","-",+C53+1)</f>
        <v>2049</v>
      </c>
      <c r="D54" s="523">
        <f>IF(F53+SUM(E$17:E53)=D$10,F53,D$10-SUM(E$17:E53))</f>
        <v>543741.37446992216</v>
      </c>
      <c r="E54" s="522">
        <f>IF(+I14&lt;F53,I14,D54)</f>
        <v>99407.380952380947</v>
      </c>
      <c r="F54" s="523">
        <f t="shared" si="17"/>
        <v>444333.99351754121</v>
      </c>
      <c r="G54" s="524">
        <f t="shared" ref="G54:G72" si="23">+I$12*((D54+F54)/2)+E54</f>
        <v>161817.57471220306</v>
      </c>
      <c r="H54" s="491">
        <f t="shared" ref="H54:H72" si="24">+I$13*((D54+F54)/2)+E54</f>
        <v>161817.57471220306</v>
      </c>
      <c r="I54" s="511">
        <f t="shared" si="18"/>
        <v>0</v>
      </c>
      <c r="J54" s="511"/>
      <c r="K54" s="525"/>
      <c r="L54" s="514">
        <f t="shared" si="19"/>
        <v>0</v>
      </c>
      <c r="M54" s="525"/>
      <c r="N54" s="514">
        <f t="shared" si="20"/>
        <v>0</v>
      </c>
      <c r="O54" s="514">
        <f t="shared" si="21"/>
        <v>0</v>
      </c>
      <c r="P54" s="272"/>
    </row>
    <row r="55" spans="2:17" ht="12.5">
      <c r="B55" s="195" t="str">
        <f t="shared" si="22"/>
        <v/>
      </c>
      <c r="C55" s="507">
        <f>IF(D11="","-",+C54+1)</f>
        <v>2050</v>
      </c>
      <c r="D55" s="523">
        <f>IF(F54+SUM(E$17:E54)=D$10,F54,D$10-SUM(E$17:E54))</f>
        <v>444333.99351754121</v>
      </c>
      <c r="E55" s="522">
        <f>IF(+I14&lt;F54,I14,D55)</f>
        <v>99407.380952380947</v>
      </c>
      <c r="F55" s="523">
        <f t="shared" si="17"/>
        <v>344926.61256516026</v>
      </c>
      <c r="G55" s="524">
        <f t="shared" si="23"/>
        <v>149259.75957502163</v>
      </c>
      <c r="H55" s="491">
        <f t="shared" si="24"/>
        <v>149259.75957502163</v>
      </c>
      <c r="I55" s="511">
        <f t="shared" si="18"/>
        <v>0</v>
      </c>
      <c r="J55" s="511"/>
      <c r="K55" s="525"/>
      <c r="L55" s="514">
        <f t="shared" si="19"/>
        <v>0</v>
      </c>
      <c r="M55" s="525"/>
      <c r="N55" s="514">
        <f t="shared" si="20"/>
        <v>0</v>
      </c>
      <c r="O55" s="514">
        <f t="shared" si="21"/>
        <v>0</v>
      </c>
      <c r="P55" s="272"/>
    </row>
    <row r="56" spans="2:17" ht="12.5">
      <c r="B56" s="195" t="str">
        <f t="shared" si="22"/>
        <v/>
      </c>
      <c r="C56" s="507">
        <f>IF(D11="","-",+C55+1)</f>
        <v>2051</v>
      </c>
      <c r="D56" s="523">
        <f>IF(F55+SUM(E$17:E55)=D$10,F55,D$10-SUM(E$17:E55))</f>
        <v>344926.61256516026</v>
      </c>
      <c r="E56" s="522">
        <f>IF(+I14&lt;F55,I14,D56)</f>
        <v>99407.380952380947</v>
      </c>
      <c r="F56" s="523">
        <f t="shared" si="17"/>
        <v>245519.23161277932</v>
      </c>
      <c r="G56" s="524">
        <f t="shared" si="23"/>
        <v>136701.94443784017</v>
      </c>
      <c r="H56" s="491">
        <f t="shared" si="24"/>
        <v>136701.94443784017</v>
      </c>
      <c r="I56" s="511">
        <f t="shared" si="18"/>
        <v>0</v>
      </c>
      <c r="J56" s="511"/>
      <c r="K56" s="525"/>
      <c r="L56" s="514">
        <f t="shared" si="19"/>
        <v>0</v>
      </c>
      <c r="M56" s="525"/>
      <c r="N56" s="514">
        <f t="shared" si="20"/>
        <v>0</v>
      </c>
      <c r="O56" s="514">
        <f t="shared" si="21"/>
        <v>0</v>
      </c>
      <c r="P56" s="272"/>
    </row>
    <row r="57" spans="2:17" ht="12.5">
      <c r="B57" s="195" t="str">
        <f t="shared" si="22"/>
        <v/>
      </c>
      <c r="C57" s="507">
        <f>IF(D11="","-",+C56+1)</f>
        <v>2052</v>
      </c>
      <c r="D57" s="523">
        <f>IF(F56+SUM(E$17:E56)=D$10,F56,D$10-SUM(E$17:E56))</f>
        <v>245519.23161277932</v>
      </c>
      <c r="E57" s="522">
        <f>IF(+I14&lt;F56,I14,D57)</f>
        <v>99407.380952380947</v>
      </c>
      <c r="F57" s="523">
        <f t="shared" si="17"/>
        <v>146111.85066039837</v>
      </c>
      <c r="G57" s="524">
        <f t="shared" si="23"/>
        <v>124144.12930065874</v>
      </c>
      <c r="H57" s="491">
        <f t="shared" si="24"/>
        <v>124144.12930065874</v>
      </c>
      <c r="I57" s="511">
        <f t="shared" si="18"/>
        <v>0</v>
      </c>
      <c r="J57" s="511"/>
      <c r="K57" s="525"/>
      <c r="L57" s="514">
        <f t="shared" si="19"/>
        <v>0</v>
      </c>
      <c r="M57" s="525"/>
      <c r="N57" s="514">
        <f t="shared" si="20"/>
        <v>0</v>
      </c>
      <c r="O57" s="514">
        <f t="shared" si="21"/>
        <v>0</v>
      </c>
      <c r="P57" s="272"/>
    </row>
    <row r="58" spans="2:17" ht="12.5">
      <c r="B58" s="195" t="str">
        <f t="shared" si="22"/>
        <v/>
      </c>
      <c r="C58" s="507">
        <f>IF(D11="","-",+C57+1)</f>
        <v>2053</v>
      </c>
      <c r="D58" s="523">
        <f>IF(F57+SUM(E$17:E57)=D$10,F57,D$10-SUM(E$17:E57))</f>
        <v>146111.85066039837</v>
      </c>
      <c r="E58" s="522">
        <f>IF(+I14&lt;F57,I14,D58)</f>
        <v>99407.380952380947</v>
      </c>
      <c r="F58" s="523">
        <f t="shared" si="17"/>
        <v>46704.469708017423</v>
      </c>
      <c r="G58" s="524">
        <f t="shared" si="23"/>
        <v>111586.31416347729</v>
      </c>
      <c r="H58" s="491">
        <f t="shared" si="24"/>
        <v>111586.31416347729</v>
      </c>
      <c r="I58" s="511">
        <f t="shared" si="18"/>
        <v>0</v>
      </c>
      <c r="J58" s="511"/>
      <c r="K58" s="525"/>
      <c r="L58" s="514">
        <f t="shared" si="19"/>
        <v>0</v>
      </c>
      <c r="M58" s="525"/>
      <c r="N58" s="514">
        <f t="shared" si="20"/>
        <v>0</v>
      </c>
      <c r="O58" s="514">
        <f t="shared" si="2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2"/>
        <v/>
      </c>
      <c r="C59" s="507">
        <f>IF(D11="","-",+C58+1)</f>
        <v>2054</v>
      </c>
      <c r="D59" s="523">
        <f>IF(F58+SUM(E$17:E58)=D$10,F58,D$10-SUM(E$17:E58))</f>
        <v>46704.469708017423</v>
      </c>
      <c r="E59" s="522">
        <f>IF(+I14&lt;F58,I14,D59)</f>
        <v>46704.469708017423</v>
      </c>
      <c r="F59" s="523">
        <f t="shared" si="17"/>
        <v>0</v>
      </c>
      <c r="G59" s="524">
        <f t="shared" si="23"/>
        <v>49654.482529270237</v>
      </c>
      <c r="H59" s="491">
        <f t="shared" si="24"/>
        <v>49654.482529270237</v>
      </c>
      <c r="I59" s="511">
        <f t="shared" si="18"/>
        <v>0</v>
      </c>
      <c r="J59" s="511"/>
      <c r="K59" s="525"/>
      <c r="L59" s="514">
        <f t="shared" si="19"/>
        <v>0</v>
      </c>
      <c r="M59" s="525"/>
      <c r="N59" s="514">
        <f t="shared" si="20"/>
        <v>0</v>
      </c>
      <c r="O59" s="514">
        <f t="shared" si="21"/>
        <v>0</v>
      </c>
      <c r="P59" s="272"/>
    </row>
    <row r="60" spans="2:17" ht="12.5">
      <c r="B60" s="195" t="str">
        <f t="shared" si="22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7"/>
        <v>0</v>
      </c>
      <c r="G60" s="524">
        <f t="shared" si="23"/>
        <v>0</v>
      </c>
      <c r="H60" s="491">
        <f t="shared" si="24"/>
        <v>0</v>
      </c>
      <c r="I60" s="511">
        <f t="shared" si="18"/>
        <v>0</v>
      </c>
      <c r="J60" s="511"/>
      <c r="K60" s="525"/>
      <c r="L60" s="514">
        <f t="shared" si="19"/>
        <v>0</v>
      </c>
      <c r="M60" s="525"/>
      <c r="N60" s="514">
        <f t="shared" si="20"/>
        <v>0</v>
      </c>
      <c r="O60" s="514">
        <f t="shared" si="21"/>
        <v>0</v>
      </c>
      <c r="P60" s="272"/>
    </row>
    <row r="61" spans="2:17" ht="12.5">
      <c r="B61" s="195" t="str">
        <f t="shared" si="22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7"/>
        <v>0</v>
      </c>
      <c r="G61" s="526">
        <f t="shared" si="23"/>
        <v>0</v>
      </c>
      <c r="H61" s="491">
        <f t="shared" si="24"/>
        <v>0</v>
      </c>
      <c r="I61" s="511">
        <f t="shared" si="18"/>
        <v>0</v>
      </c>
      <c r="J61" s="511"/>
      <c r="K61" s="525"/>
      <c r="L61" s="514">
        <f t="shared" si="19"/>
        <v>0</v>
      </c>
      <c r="M61" s="525"/>
      <c r="N61" s="514">
        <f t="shared" si="20"/>
        <v>0</v>
      </c>
      <c r="O61" s="514">
        <f t="shared" si="21"/>
        <v>0</v>
      </c>
      <c r="P61" s="272"/>
    </row>
    <row r="62" spans="2:17" ht="12.5">
      <c r="B62" s="195" t="str">
        <f t="shared" si="22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7"/>
        <v>0</v>
      </c>
      <c r="G62" s="526">
        <f t="shared" si="23"/>
        <v>0</v>
      </c>
      <c r="H62" s="491">
        <f t="shared" si="24"/>
        <v>0</v>
      </c>
      <c r="I62" s="511">
        <f t="shared" si="18"/>
        <v>0</v>
      </c>
      <c r="J62" s="511"/>
      <c r="K62" s="525"/>
      <c r="L62" s="514">
        <f t="shared" si="19"/>
        <v>0</v>
      </c>
      <c r="M62" s="525"/>
      <c r="N62" s="514">
        <f t="shared" si="20"/>
        <v>0</v>
      </c>
      <c r="O62" s="514">
        <f t="shared" si="21"/>
        <v>0</v>
      </c>
      <c r="P62" s="272"/>
    </row>
    <row r="63" spans="2:17" ht="12.5">
      <c r="B63" s="195" t="str">
        <f t="shared" si="22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7"/>
        <v>0</v>
      </c>
      <c r="G63" s="526">
        <f t="shared" si="23"/>
        <v>0</v>
      </c>
      <c r="H63" s="491">
        <f t="shared" si="24"/>
        <v>0</v>
      </c>
      <c r="I63" s="511">
        <f t="shared" si="18"/>
        <v>0</v>
      </c>
      <c r="J63" s="511"/>
      <c r="K63" s="525"/>
      <c r="L63" s="514">
        <f t="shared" si="19"/>
        <v>0</v>
      </c>
      <c r="M63" s="525"/>
      <c r="N63" s="514">
        <f t="shared" si="20"/>
        <v>0</v>
      </c>
      <c r="O63" s="514">
        <f t="shared" si="21"/>
        <v>0</v>
      </c>
      <c r="P63" s="272"/>
    </row>
    <row r="64" spans="2:17" ht="12.5">
      <c r="B64" s="195" t="str">
        <f t="shared" si="22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7"/>
        <v>0</v>
      </c>
      <c r="G64" s="526">
        <f t="shared" si="23"/>
        <v>0</v>
      </c>
      <c r="H64" s="491">
        <f t="shared" si="24"/>
        <v>0</v>
      </c>
      <c r="I64" s="511">
        <f t="shared" si="18"/>
        <v>0</v>
      </c>
      <c r="J64" s="511"/>
      <c r="K64" s="525"/>
      <c r="L64" s="514">
        <f t="shared" si="19"/>
        <v>0</v>
      </c>
      <c r="M64" s="525"/>
      <c r="N64" s="514">
        <f t="shared" si="20"/>
        <v>0</v>
      </c>
      <c r="O64" s="514">
        <f t="shared" si="21"/>
        <v>0</v>
      </c>
      <c r="P64" s="272"/>
    </row>
    <row r="65" spans="1:16" ht="12.5">
      <c r="B65" s="195" t="str">
        <f t="shared" si="22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7"/>
        <v>0</v>
      </c>
      <c r="G65" s="526">
        <f t="shared" si="23"/>
        <v>0</v>
      </c>
      <c r="H65" s="491">
        <f t="shared" si="24"/>
        <v>0</v>
      </c>
      <c r="I65" s="511">
        <f t="shared" si="18"/>
        <v>0</v>
      </c>
      <c r="J65" s="511"/>
      <c r="K65" s="525"/>
      <c r="L65" s="514">
        <f t="shared" si="19"/>
        <v>0</v>
      </c>
      <c r="M65" s="525"/>
      <c r="N65" s="514">
        <f t="shared" si="20"/>
        <v>0</v>
      </c>
      <c r="O65" s="514">
        <f t="shared" si="21"/>
        <v>0</v>
      </c>
      <c r="P65" s="272"/>
    </row>
    <row r="66" spans="1:16" ht="12.5">
      <c r="B66" s="195" t="str">
        <f t="shared" si="22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7"/>
        <v>0</v>
      </c>
      <c r="G66" s="526">
        <f t="shared" si="23"/>
        <v>0</v>
      </c>
      <c r="H66" s="491">
        <f t="shared" si="24"/>
        <v>0</v>
      </c>
      <c r="I66" s="511">
        <f t="shared" si="18"/>
        <v>0</v>
      </c>
      <c r="J66" s="511"/>
      <c r="K66" s="525"/>
      <c r="L66" s="514">
        <f t="shared" si="19"/>
        <v>0</v>
      </c>
      <c r="M66" s="525"/>
      <c r="N66" s="514">
        <f t="shared" si="20"/>
        <v>0</v>
      </c>
      <c r="O66" s="514">
        <f t="shared" si="21"/>
        <v>0</v>
      </c>
      <c r="P66" s="272"/>
    </row>
    <row r="67" spans="1:16" ht="12.5">
      <c r="B67" s="195" t="str">
        <f t="shared" si="22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7"/>
        <v>0</v>
      </c>
      <c r="G67" s="526">
        <f t="shared" si="23"/>
        <v>0</v>
      </c>
      <c r="H67" s="491">
        <f t="shared" si="24"/>
        <v>0</v>
      </c>
      <c r="I67" s="511">
        <f t="shared" si="18"/>
        <v>0</v>
      </c>
      <c r="J67" s="511"/>
      <c r="K67" s="525"/>
      <c r="L67" s="514">
        <f t="shared" si="19"/>
        <v>0</v>
      </c>
      <c r="M67" s="525"/>
      <c r="N67" s="514">
        <f t="shared" si="20"/>
        <v>0</v>
      </c>
      <c r="O67" s="514">
        <f t="shared" si="21"/>
        <v>0</v>
      </c>
      <c r="P67" s="272"/>
    </row>
    <row r="68" spans="1:16" ht="12.5">
      <c r="B68" s="195" t="str">
        <f t="shared" si="22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7"/>
        <v>0</v>
      </c>
      <c r="G68" s="526">
        <f t="shared" si="23"/>
        <v>0</v>
      </c>
      <c r="H68" s="491">
        <f t="shared" si="24"/>
        <v>0</v>
      </c>
      <c r="I68" s="511">
        <f t="shared" si="18"/>
        <v>0</v>
      </c>
      <c r="J68" s="511"/>
      <c r="K68" s="525"/>
      <c r="L68" s="514">
        <f t="shared" si="19"/>
        <v>0</v>
      </c>
      <c r="M68" s="525"/>
      <c r="N68" s="514">
        <f t="shared" si="20"/>
        <v>0</v>
      </c>
      <c r="O68" s="514">
        <f t="shared" si="21"/>
        <v>0</v>
      </c>
      <c r="P68" s="272"/>
    </row>
    <row r="69" spans="1:16" ht="12.5">
      <c r="B69" s="195" t="str">
        <f t="shared" si="22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7"/>
        <v>0</v>
      </c>
      <c r="G69" s="526">
        <f t="shared" si="23"/>
        <v>0</v>
      </c>
      <c r="H69" s="491">
        <f t="shared" si="24"/>
        <v>0</v>
      </c>
      <c r="I69" s="511">
        <f t="shared" si="18"/>
        <v>0</v>
      </c>
      <c r="J69" s="511"/>
      <c r="K69" s="525"/>
      <c r="L69" s="514">
        <f t="shared" si="19"/>
        <v>0</v>
      </c>
      <c r="M69" s="525"/>
      <c r="N69" s="514">
        <f t="shared" si="20"/>
        <v>0</v>
      </c>
      <c r="O69" s="514">
        <f t="shared" si="21"/>
        <v>0</v>
      </c>
      <c r="P69" s="272"/>
    </row>
    <row r="70" spans="1:16" ht="12.5">
      <c r="B70" s="195" t="str">
        <f t="shared" si="22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7"/>
        <v>0</v>
      </c>
      <c r="G70" s="526">
        <f t="shared" si="23"/>
        <v>0</v>
      </c>
      <c r="H70" s="491">
        <f t="shared" si="24"/>
        <v>0</v>
      </c>
      <c r="I70" s="511">
        <f t="shared" si="18"/>
        <v>0</v>
      </c>
      <c r="J70" s="511"/>
      <c r="K70" s="525"/>
      <c r="L70" s="514">
        <f t="shared" si="19"/>
        <v>0</v>
      </c>
      <c r="M70" s="525"/>
      <c r="N70" s="514">
        <f t="shared" si="20"/>
        <v>0</v>
      </c>
      <c r="O70" s="514">
        <f t="shared" si="21"/>
        <v>0</v>
      </c>
      <c r="P70" s="272"/>
    </row>
    <row r="71" spans="1:16" ht="12.5">
      <c r="B71" s="195" t="str">
        <f t="shared" si="22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7"/>
        <v>0</v>
      </c>
      <c r="G71" s="526">
        <f t="shared" si="23"/>
        <v>0</v>
      </c>
      <c r="H71" s="491">
        <f t="shared" si="24"/>
        <v>0</v>
      </c>
      <c r="I71" s="511">
        <f t="shared" si="18"/>
        <v>0</v>
      </c>
      <c r="J71" s="511"/>
      <c r="K71" s="525"/>
      <c r="L71" s="514">
        <f t="shared" si="19"/>
        <v>0</v>
      </c>
      <c r="M71" s="525"/>
      <c r="N71" s="514">
        <f t="shared" si="20"/>
        <v>0</v>
      </c>
      <c r="O71" s="514">
        <f t="shared" si="21"/>
        <v>0</v>
      </c>
      <c r="P71" s="272"/>
    </row>
    <row r="72" spans="1:16" ht="13" thickBot="1">
      <c r="B72" s="195" t="str">
        <f t="shared" si="22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7"/>
        <v>0</v>
      </c>
      <c r="G72" s="530">
        <f t="shared" si="23"/>
        <v>0</v>
      </c>
      <c r="H72" s="471">
        <f t="shared" si="24"/>
        <v>0</v>
      </c>
      <c r="I72" s="531">
        <f t="shared" si="18"/>
        <v>0</v>
      </c>
      <c r="J72" s="511"/>
      <c r="K72" s="532"/>
      <c r="L72" s="533">
        <f t="shared" si="19"/>
        <v>0</v>
      </c>
      <c r="M72" s="532"/>
      <c r="N72" s="533">
        <f t="shared" si="20"/>
        <v>0</v>
      </c>
      <c r="O72" s="533">
        <f t="shared" si="21"/>
        <v>0</v>
      </c>
      <c r="P72" s="272"/>
    </row>
    <row r="73" spans="1:16" ht="12.5">
      <c r="C73" s="374" t="s">
        <v>78</v>
      </c>
      <c r="D73" s="375"/>
      <c r="E73" s="375">
        <f>SUM(E17:E72)</f>
        <v>4175110.0000000014</v>
      </c>
      <c r="F73" s="375"/>
      <c r="G73" s="375">
        <f>SUM(G17:G72)</f>
        <v>15470335.318141334</v>
      </c>
      <c r="H73" s="375">
        <f>SUM(H17:H72)</f>
        <v>15470335.318141334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32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447333.45497501275</v>
      </c>
      <c r="N87" s="546">
        <f>IF(J92&lt;D11,0,VLOOKUP(J92,C17:O72,11))</f>
        <v>447333.45497501275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474603.22647649172</v>
      </c>
      <c r="N88" s="550">
        <f>IF(J92&lt;D11,0,VLOOKUP(J92,C99:P154,7))</f>
        <v>474603.22647649172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>Howell-Kilgore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27269.771501478972</v>
      </c>
      <c r="N89" s="555">
        <f>+N88-N87</f>
        <v>27269.771501478972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>
        <f>+D9</f>
        <v>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4175110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101831.95121951219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50055.416666666657</v>
      </c>
      <c r="F99" s="515">
        <v>4154599.5833333335</v>
      </c>
      <c r="G99" s="574">
        <v>2077299.7916666667</v>
      </c>
      <c r="H99" s="575">
        <v>355738.24852974305</v>
      </c>
      <c r="I99" s="576">
        <v>355738.24852974305</v>
      </c>
      <c r="J99" s="514">
        <f t="shared" ref="J99:J130" si="25">+I99-H99</f>
        <v>0</v>
      </c>
      <c r="K99" s="514"/>
      <c r="L99" s="512">
        <f t="shared" ref="L99:L104" si="26">H99</f>
        <v>355738.24852974305</v>
      </c>
      <c r="M99" s="597">
        <f t="shared" ref="M99:M130" si="27">IF(L99&lt;&gt;0,+H99-L99,0)</f>
        <v>0</v>
      </c>
      <c r="N99" s="512">
        <f t="shared" ref="N99:N104" si="28">I99</f>
        <v>355738.24852974305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 ht="12.5">
      <c r="B100" s="195" t="str">
        <f t="shared" ref="B100:B131" si="31">IF(D100=F99,"","IU")</f>
        <v>IU</v>
      </c>
      <c r="C100" s="507">
        <f>IF(D93="","-",+C99+1)</f>
        <v>2013</v>
      </c>
      <c r="D100" s="508">
        <v>4107681.5833333335</v>
      </c>
      <c r="E100" s="516">
        <v>98993.738095238092</v>
      </c>
      <c r="F100" s="515">
        <v>4008687.8452380956</v>
      </c>
      <c r="G100" s="515">
        <v>4058184.7142857146</v>
      </c>
      <c r="H100" s="575">
        <v>648032.45637713163</v>
      </c>
      <c r="I100" s="576">
        <v>648032.45637713163</v>
      </c>
      <c r="J100" s="514">
        <v>0</v>
      </c>
      <c r="K100" s="514"/>
      <c r="L100" s="518">
        <f t="shared" si="26"/>
        <v>648032.45637713163</v>
      </c>
      <c r="M100" s="519">
        <f t="shared" ref="M100:M105" si="32">IF(L100&lt;&gt;0,+H100-L100,0)</f>
        <v>0</v>
      </c>
      <c r="N100" s="518">
        <f t="shared" si="28"/>
        <v>648032.45637713163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1"/>
        <v>IU</v>
      </c>
      <c r="C101" s="507">
        <f>IF(D93="","-",+C100+1)</f>
        <v>2014</v>
      </c>
      <c r="D101" s="508">
        <v>4026060.8452380951</v>
      </c>
      <c r="E101" s="516">
        <v>99407.380952380947</v>
      </c>
      <c r="F101" s="515">
        <v>3926653.4642857141</v>
      </c>
      <c r="G101" s="515">
        <v>3976357.1547619049</v>
      </c>
      <c r="H101" s="575">
        <v>639887.60268685024</v>
      </c>
      <c r="I101" s="576">
        <v>639887.60268685024</v>
      </c>
      <c r="J101" s="514">
        <v>0</v>
      </c>
      <c r="K101" s="514"/>
      <c r="L101" s="518">
        <f t="shared" si="26"/>
        <v>639887.60268685024</v>
      </c>
      <c r="M101" s="519">
        <f t="shared" si="32"/>
        <v>0</v>
      </c>
      <c r="N101" s="518">
        <f t="shared" si="28"/>
        <v>639887.60268685024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1"/>
        <v/>
      </c>
      <c r="C102" s="507">
        <f>IF(D93="","-",+C101+1)</f>
        <v>2015</v>
      </c>
      <c r="D102" s="508">
        <v>3926653.4642857141</v>
      </c>
      <c r="E102" s="516">
        <v>99407.380952380947</v>
      </c>
      <c r="F102" s="515">
        <v>3827246.083333333</v>
      </c>
      <c r="G102" s="515">
        <v>3876949.7738095233</v>
      </c>
      <c r="H102" s="575">
        <v>610268.70222496334</v>
      </c>
      <c r="I102" s="576">
        <v>610268.70222496334</v>
      </c>
      <c r="J102" s="514">
        <f t="shared" si="25"/>
        <v>0</v>
      </c>
      <c r="K102" s="514"/>
      <c r="L102" s="518">
        <f t="shared" si="26"/>
        <v>610268.70222496334</v>
      </c>
      <c r="M102" s="519">
        <f t="shared" si="32"/>
        <v>0</v>
      </c>
      <c r="N102" s="518">
        <f t="shared" si="28"/>
        <v>610268.70222496334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1"/>
        <v/>
      </c>
      <c r="C103" s="507">
        <f>IF(D93="","-",+C102+1)</f>
        <v>2016</v>
      </c>
      <c r="D103" s="508">
        <v>3827246.083333333</v>
      </c>
      <c r="E103" s="516">
        <v>97095.58139534884</v>
      </c>
      <c r="F103" s="515">
        <v>3730150.501937984</v>
      </c>
      <c r="G103" s="515">
        <v>3778698.2926356588</v>
      </c>
      <c r="H103" s="575">
        <v>576801.28539069893</v>
      </c>
      <c r="I103" s="576">
        <v>576801.28539069893</v>
      </c>
      <c r="J103" s="514">
        <f t="shared" si="25"/>
        <v>0</v>
      </c>
      <c r="K103" s="514"/>
      <c r="L103" s="518">
        <f t="shared" si="26"/>
        <v>576801.28539069893</v>
      </c>
      <c r="M103" s="519">
        <f t="shared" si="32"/>
        <v>0</v>
      </c>
      <c r="N103" s="518">
        <f t="shared" si="28"/>
        <v>576801.28539069893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1"/>
        <v/>
      </c>
      <c r="C104" s="507">
        <f>IF(D93="","-",+C103+1)</f>
        <v>2017</v>
      </c>
      <c r="D104" s="508">
        <v>3730150.501937984</v>
      </c>
      <c r="E104" s="516">
        <v>99407.380952380947</v>
      </c>
      <c r="F104" s="515">
        <v>3630743.120985603</v>
      </c>
      <c r="G104" s="515">
        <v>3680446.8114617933</v>
      </c>
      <c r="H104" s="575">
        <v>546476.62006900879</v>
      </c>
      <c r="I104" s="576">
        <v>546476.62006900879</v>
      </c>
      <c r="J104" s="514">
        <f t="shared" si="25"/>
        <v>0</v>
      </c>
      <c r="K104" s="514"/>
      <c r="L104" s="518">
        <f t="shared" si="26"/>
        <v>546476.62006900879</v>
      </c>
      <c r="M104" s="519">
        <f t="shared" si="32"/>
        <v>0</v>
      </c>
      <c r="N104" s="518">
        <f t="shared" si="28"/>
        <v>546476.62006900879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1"/>
        <v/>
      </c>
      <c r="C105" s="507">
        <f>IF(D93="","-",+C104+1)</f>
        <v>2018</v>
      </c>
      <c r="D105" s="508">
        <v>3630743.120985603</v>
      </c>
      <c r="E105" s="516">
        <v>99407.380952380947</v>
      </c>
      <c r="F105" s="515">
        <v>3531335.7400332219</v>
      </c>
      <c r="G105" s="515">
        <v>3581039.4305094127</v>
      </c>
      <c r="H105" s="575">
        <v>477581.56681566167</v>
      </c>
      <c r="I105" s="576">
        <v>477581.56681566167</v>
      </c>
      <c r="J105" s="514">
        <f t="shared" si="25"/>
        <v>0</v>
      </c>
      <c r="K105" s="514"/>
      <c r="L105" s="518">
        <f t="shared" ref="L105" si="33">H105</f>
        <v>477581.56681566167</v>
      </c>
      <c r="M105" s="519">
        <f t="shared" si="32"/>
        <v>0</v>
      </c>
      <c r="N105" s="518">
        <f t="shared" ref="N105" si="34">I105</f>
        <v>477581.56681566167</v>
      </c>
      <c r="O105" s="514">
        <f t="shared" si="29"/>
        <v>0</v>
      </c>
      <c r="P105" s="514">
        <f t="shared" si="30"/>
        <v>0</v>
      </c>
      <c r="Q105" s="269"/>
    </row>
    <row r="106" spans="1:17" ht="12.5">
      <c r="B106" s="195" t="str">
        <f t="shared" si="31"/>
        <v/>
      </c>
      <c r="C106" s="507">
        <f>IF(D93="","-",+C105+1)</f>
        <v>2019</v>
      </c>
      <c r="D106" s="508">
        <v>3531335.7400332219</v>
      </c>
      <c r="E106" s="516">
        <v>97095.58139534884</v>
      </c>
      <c r="F106" s="515">
        <v>3434240.1586378729</v>
      </c>
      <c r="G106" s="515">
        <v>3482787.9493355472</v>
      </c>
      <c r="H106" s="575">
        <v>469895.10698233201</v>
      </c>
      <c r="I106" s="576">
        <v>469895.10698233201</v>
      </c>
      <c r="J106" s="514">
        <f t="shared" si="25"/>
        <v>0</v>
      </c>
      <c r="K106" s="514"/>
      <c r="L106" s="518">
        <f t="shared" ref="L106:L107" si="35">H106</f>
        <v>469895.10698233201</v>
      </c>
      <c r="M106" s="519">
        <f t="shared" ref="M106:M107" si="36">IF(L106&lt;&gt;0,+H106-L106,0)</f>
        <v>0</v>
      </c>
      <c r="N106" s="518">
        <f t="shared" ref="N106:N107" si="37">I106</f>
        <v>469895.10698233201</v>
      </c>
      <c r="O106" s="514">
        <f t="shared" si="29"/>
        <v>0</v>
      </c>
      <c r="P106" s="514">
        <f t="shared" si="30"/>
        <v>0</v>
      </c>
      <c r="Q106" s="269"/>
    </row>
    <row r="107" spans="1:17" ht="12.5">
      <c r="B107" s="195" t="str">
        <f t="shared" si="31"/>
        <v/>
      </c>
      <c r="C107" s="507">
        <f>IF(D93="","-",+C106+1)</f>
        <v>2020</v>
      </c>
      <c r="D107" s="508">
        <v>3434240.1586378729</v>
      </c>
      <c r="E107" s="516">
        <v>99407.380952380947</v>
      </c>
      <c r="F107" s="515">
        <v>3334832.7776854918</v>
      </c>
      <c r="G107" s="515">
        <v>3384536.4681616826</v>
      </c>
      <c r="H107" s="575">
        <v>463494.94007104362</v>
      </c>
      <c r="I107" s="576">
        <v>463494.94007104362</v>
      </c>
      <c r="J107" s="514">
        <f t="shared" si="25"/>
        <v>0</v>
      </c>
      <c r="K107" s="514"/>
      <c r="L107" s="518">
        <f t="shared" si="35"/>
        <v>463494.94007104362</v>
      </c>
      <c r="M107" s="519">
        <f t="shared" si="36"/>
        <v>0</v>
      </c>
      <c r="N107" s="518">
        <f t="shared" si="37"/>
        <v>463494.94007104362</v>
      </c>
      <c r="O107" s="514">
        <f t="shared" si="29"/>
        <v>0</v>
      </c>
      <c r="P107" s="514">
        <f t="shared" si="30"/>
        <v>0</v>
      </c>
      <c r="Q107" s="269"/>
    </row>
    <row r="108" spans="1:17" ht="12.5">
      <c r="B108" s="195" t="str">
        <f t="shared" si="31"/>
        <v/>
      </c>
      <c r="C108" s="507">
        <f>IF(D93="","-",+C107+1)</f>
        <v>2021</v>
      </c>
      <c r="D108" s="374">
        <f>IF(F107+SUM(E$99:E107)=D$92,F107,D$92-SUM(E$99:E107))</f>
        <v>3334832.7776854918</v>
      </c>
      <c r="E108" s="522">
        <f>IF(+J96&lt;F107,J96,D108)</f>
        <v>101831.95121951219</v>
      </c>
      <c r="F108" s="523">
        <f t="shared" ref="F108:F131" si="38">+D108-E108</f>
        <v>3233000.8264659797</v>
      </c>
      <c r="G108" s="523">
        <f t="shared" ref="G108:G130" si="39">+(F108+D108)/2</f>
        <v>3283916.8020757358</v>
      </c>
      <c r="H108" s="526">
        <f t="shared" ref="H108:H130" si="40">+J$94*G108+E108</f>
        <v>474603.22647649172</v>
      </c>
      <c r="I108" s="577">
        <f t="shared" ref="I108:I130" si="41">+J$95*G108+E108</f>
        <v>474603.22647649172</v>
      </c>
      <c r="J108" s="514">
        <f t="shared" si="25"/>
        <v>0</v>
      </c>
      <c r="K108" s="514"/>
      <c r="L108" s="525"/>
      <c r="M108" s="514">
        <f t="shared" si="27"/>
        <v>0</v>
      </c>
      <c r="N108" s="525"/>
      <c r="O108" s="514">
        <f t="shared" si="29"/>
        <v>0</v>
      </c>
      <c r="P108" s="514">
        <f t="shared" si="30"/>
        <v>0</v>
      </c>
      <c r="Q108" s="269"/>
    </row>
    <row r="109" spans="1:17" ht="12.5">
      <c r="B109" s="195" t="str">
        <f t="shared" si="31"/>
        <v/>
      </c>
      <c r="C109" s="507">
        <f>IF(D93="","-",+C108+1)</f>
        <v>2022</v>
      </c>
      <c r="D109" s="374">
        <f>IF(F108+SUM(E$99:E108)=D$92,F108,D$92-SUM(E$99:E108))</f>
        <v>3233000.8264659797</v>
      </c>
      <c r="E109" s="522">
        <f>IF(+J96&lt;F108,J96,D109)</f>
        <v>101831.95121951219</v>
      </c>
      <c r="F109" s="523">
        <f t="shared" si="38"/>
        <v>3131168.8752464675</v>
      </c>
      <c r="G109" s="523">
        <f t="shared" si="39"/>
        <v>3182084.8508562236</v>
      </c>
      <c r="H109" s="526">
        <f t="shared" si="40"/>
        <v>463043.85131387803</v>
      </c>
      <c r="I109" s="577">
        <f t="shared" si="41"/>
        <v>463043.85131387803</v>
      </c>
      <c r="J109" s="514">
        <f t="shared" si="25"/>
        <v>0</v>
      </c>
      <c r="K109" s="514"/>
      <c r="L109" s="525"/>
      <c r="M109" s="514">
        <f t="shared" si="27"/>
        <v>0</v>
      </c>
      <c r="N109" s="525"/>
      <c r="O109" s="514">
        <f t="shared" si="29"/>
        <v>0</v>
      </c>
      <c r="P109" s="514">
        <f t="shared" si="30"/>
        <v>0</v>
      </c>
      <c r="Q109" s="269"/>
    </row>
    <row r="110" spans="1:17" ht="12.5">
      <c r="B110" s="195" t="str">
        <f t="shared" si="31"/>
        <v/>
      </c>
      <c r="C110" s="507">
        <f>IF(D93="","-",+C109+1)</f>
        <v>2023</v>
      </c>
      <c r="D110" s="374">
        <f>IF(F109+SUM(E$99:E109)=D$92,F109,D$92-SUM(E$99:E109))</f>
        <v>3131168.8752464675</v>
      </c>
      <c r="E110" s="522">
        <f>IF(+J96&lt;F109,J96,D110)</f>
        <v>101831.95121951219</v>
      </c>
      <c r="F110" s="523">
        <f t="shared" si="38"/>
        <v>3029336.9240269554</v>
      </c>
      <c r="G110" s="523">
        <f t="shared" si="39"/>
        <v>3080252.8996367115</v>
      </c>
      <c r="H110" s="526">
        <f t="shared" si="40"/>
        <v>451484.47615126433</v>
      </c>
      <c r="I110" s="577">
        <f t="shared" si="41"/>
        <v>451484.47615126433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 ht="12.5">
      <c r="B111" s="195" t="str">
        <f t="shared" si="31"/>
        <v/>
      </c>
      <c r="C111" s="507">
        <f>IF(D93="","-",+C110+1)</f>
        <v>2024</v>
      </c>
      <c r="D111" s="374">
        <f>IF(F110+SUM(E$99:E110)=D$92,F110,D$92-SUM(E$99:E110))</f>
        <v>3029336.9240269554</v>
      </c>
      <c r="E111" s="522">
        <f>IF(+J96&lt;F110,J96,D111)</f>
        <v>101831.95121951219</v>
      </c>
      <c r="F111" s="523">
        <f t="shared" si="38"/>
        <v>2927504.9728074432</v>
      </c>
      <c r="G111" s="523">
        <f t="shared" si="39"/>
        <v>2978420.9484171993</v>
      </c>
      <c r="H111" s="526">
        <f t="shared" si="40"/>
        <v>439925.10098865064</v>
      </c>
      <c r="I111" s="577">
        <f t="shared" si="41"/>
        <v>439925.10098865064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 ht="12.5">
      <c r="B112" s="195" t="str">
        <f t="shared" si="31"/>
        <v/>
      </c>
      <c r="C112" s="507">
        <f>IF(D93="","-",+C111+1)</f>
        <v>2025</v>
      </c>
      <c r="D112" s="374">
        <f>IF(F111+SUM(E$99:E111)=D$92,F111,D$92-SUM(E$99:E111))</f>
        <v>2927504.9728074432</v>
      </c>
      <c r="E112" s="522">
        <f>IF(+J96&lt;F111,J96,D112)</f>
        <v>101831.95121951219</v>
      </c>
      <c r="F112" s="523">
        <f t="shared" si="38"/>
        <v>2825673.0215879311</v>
      </c>
      <c r="G112" s="523">
        <f t="shared" si="39"/>
        <v>2876588.9971976872</v>
      </c>
      <c r="H112" s="526">
        <f t="shared" si="40"/>
        <v>428365.72582603694</v>
      </c>
      <c r="I112" s="577">
        <f t="shared" si="41"/>
        <v>428365.72582603694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 ht="12.5">
      <c r="B113" s="195" t="str">
        <f t="shared" si="31"/>
        <v/>
      </c>
      <c r="C113" s="507">
        <f>IF(D93="","-",+C112+1)</f>
        <v>2026</v>
      </c>
      <c r="D113" s="374">
        <f>IF(F112+SUM(E$99:E112)=D$92,F112,D$92-SUM(E$99:E112))</f>
        <v>2825673.0215879311</v>
      </c>
      <c r="E113" s="522">
        <f>IF(+J96&lt;F112,J96,D113)</f>
        <v>101831.95121951219</v>
      </c>
      <c r="F113" s="523">
        <f t="shared" si="38"/>
        <v>2723841.0703684189</v>
      </c>
      <c r="G113" s="523">
        <f t="shared" si="39"/>
        <v>2774757.045978175</v>
      </c>
      <c r="H113" s="526">
        <f t="shared" si="40"/>
        <v>416806.35066342319</v>
      </c>
      <c r="I113" s="577">
        <f t="shared" si="41"/>
        <v>416806.35066342319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 ht="12.5">
      <c r="B114" s="195" t="str">
        <f t="shared" si="31"/>
        <v/>
      </c>
      <c r="C114" s="507">
        <f>IF(D93="","-",+C113+1)</f>
        <v>2027</v>
      </c>
      <c r="D114" s="374">
        <f>IF(F113+SUM(E$99:E113)=D$92,F113,D$92-SUM(E$99:E113))</f>
        <v>2723841.0703684189</v>
      </c>
      <c r="E114" s="522">
        <f>IF(+J96&lt;F113,J96,D114)</f>
        <v>101831.95121951219</v>
      </c>
      <c r="F114" s="523">
        <f t="shared" si="38"/>
        <v>2622009.1191489068</v>
      </c>
      <c r="G114" s="523">
        <f t="shared" si="39"/>
        <v>2672925.0947586629</v>
      </c>
      <c r="H114" s="526">
        <f t="shared" si="40"/>
        <v>405246.97550080949</v>
      </c>
      <c r="I114" s="577">
        <f t="shared" si="41"/>
        <v>405246.97550080949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 ht="12.5">
      <c r="B115" s="195" t="str">
        <f t="shared" si="31"/>
        <v/>
      </c>
      <c r="C115" s="507">
        <f>IF(D93="","-",+C114+1)</f>
        <v>2028</v>
      </c>
      <c r="D115" s="374">
        <f>IF(F114+SUM(E$99:E114)=D$92,F114,D$92-SUM(E$99:E114))</f>
        <v>2622009.1191489068</v>
      </c>
      <c r="E115" s="522">
        <f>IF(+J96&lt;F114,J96,D115)</f>
        <v>101831.95121951219</v>
      </c>
      <c r="F115" s="523">
        <f t="shared" si="38"/>
        <v>2520177.1679293946</v>
      </c>
      <c r="G115" s="523">
        <f t="shared" si="39"/>
        <v>2571093.1435391507</v>
      </c>
      <c r="H115" s="526">
        <f t="shared" si="40"/>
        <v>393687.6003381958</v>
      </c>
      <c r="I115" s="577">
        <f t="shared" si="41"/>
        <v>393687.6003381958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 ht="12.5">
      <c r="B116" s="195" t="str">
        <f t="shared" si="31"/>
        <v/>
      </c>
      <c r="C116" s="507">
        <f>IF(D93="","-",+C115+1)</f>
        <v>2029</v>
      </c>
      <c r="D116" s="374">
        <f>IF(F115+SUM(E$99:E115)=D$92,F115,D$92-SUM(E$99:E115))</f>
        <v>2520177.1679293946</v>
      </c>
      <c r="E116" s="522">
        <f>IF(+J96&lt;F115,J96,D116)</f>
        <v>101831.95121951219</v>
      </c>
      <c r="F116" s="523">
        <f t="shared" si="38"/>
        <v>2418345.2167098825</v>
      </c>
      <c r="G116" s="523">
        <f t="shared" si="39"/>
        <v>2469261.1923196386</v>
      </c>
      <c r="H116" s="526">
        <f t="shared" si="40"/>
        <v>382128.22517558211</v>
      </c>
      <c r="I116" s="577">
        <f t="shared" si="41"/>
        <v>382128.22517558211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 ht="12.5">
      <c r="B117" s="195" t="str">
        <f t="shared" si="31"/>
        <v/>
      </c>
      <c r="C117" s="507">
        <f>IF(D93="","-",+C116+1)</f>
        <v>2030</v>
      </c>
      <c r="D117" s="374">
        <f>IF(F116+SUM(E$99:E116)=D$92,F116,D$92-SUM(E$99:E116))</f>
        <v>2418345.2167098825</v>
      </c>
      <c r="E117" s="522">
        <f>IF(+J96&lt;F116,J96,D117)</f>
        <v>101831.95121951219</v>
      </c>
      <c r="F117" s="523">
        <f t="shared" si="38"/>
        <v>2316513.2654903703</v>
      </c>
      <c r="G117" s="523">
        <f t="shared" si="39"/>
        <v>2367429.2411001264</v>
      </c>
      <c r="H117" s="526">
        <f t="shared" si="40"/>
        <v>370568.85001296841</v>
      </c>
      <c r="I117" s="577">
        <f t="shared" si="41"/>
        <v>370568.85001296841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 ht="12.5">
      <c r="B118" s="195" t="str">
        <f t="shared" si="31"/>
        <v/>
      </c>
      <c r="C118" s="507">
        <f>IF(D93="","-",+C117+1)</f>
        <v>2031</v>
      </c>
      <c r="D118" s="374">
        <f>IF(F117+SUM(E$99:E117)=D$92,F117,D$92-SUM(E$99:E117))</f>
        <v>2316513.2654903703</v>
      </c>
      <c r="E118" s="522">
        <f>IF(+J96&lt;F117,J96,D118)</f>
        <v>101831.95121951219</v>
      </c>
      <c r="F118" s="523">
        <f t="shared" si="38"/>
        <v>2214681.3142708582</v>
      </c>
      <c r="G118" s="523">
        <f t="shared" si="39"/>
        <v>2265597.2898806143</v>
      </c>
      <c r="H118" s="526">
        <f t="shared" si="40"/>
        <v>359009.47485035472</v>
      </c>
      <c r="I118" s="577">
        <f t="shared" si="41"/>
        <v>359009.47485035472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 ht="12.5">
      <c r="B119" s="195" t="str">
        <f t="shared" si="31"/>
        <v/>
      </c>
      <c r="C119" s="507">
        <f>IF(D93="","-",+C118+1)</f>
        <v>2032</v>
      </c>
      <c r="D119" s="374">
        <f>IF(F118+SUM(E$99:E118)=D$92,F118,D$92-SUM(E$99:E118))</f>
        <v>2214681.3142708582</v>
      </c>
      <c r="E119" s="522">
        <f>IF(+J96&lt;F118,J96,D119)</f>
        <v>101831.95121951219</v>
      </c>
      <c r="F119" s="523">
        <f t="shared" si="38"/>
        <v>2112849.363051346</v>
      </c>
      <c r="G119" s="523">
        <f t="shared" si="39"/>
        <v>2163765.3386611021</v>
      </c>
      <c r="H119" s="526">
        <f t="shared" si="40"/>
        <v>347450.09968774102</v>
      </c>
      <c r="I119" s="577">
        <f t="shared" si="41"/>
        <v>347450.09968774102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 ht="12.5">
      <c r="B120" s="195" t="str">
        <f t="shared" si="31"/>
        <v/>
      </c>
      <c r="C120" s="507">
        <f>IF(D93="","-",+C119+1)</f>
        <v>2033</v>
      </c>
      <c r="D120" s="374">
        <f>IF(F119+SUM(E$99:E119)=D$92,F119,D$92-SUM(E$99:E119))</f>
        <v>2112849.363051346</v>
      </c>
      <c r="E120" s="522">
        <f>IF(+J96&lt;F119,J96,D120)</f>
        <v>101831.95121951219</v>
      </c>
      <c r="F120" s="523">
        <f t="shared" si="38"/>
        <v>2011017.4118318339</v>
      </c>
      <c r="G120" s="523">
        <f t="shared" si="39"/>
        <v>2061933.38744159</v>
      </c>
      <c r="H120" s="526">
        <f t="shared" si="40"/>
        <v>335890.72452512727</v>
      </c>
      <c r="I120" s="577">
        <f t="shared" si="41"/>
        <v>335890.72452512727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 ht="12.5">
      <c r="B121" s="195" t="str">
        <f t="shared" si="31"/>
        <v/>
      </c>
      <c r="C121" s="507">
        <f>IF(D93="","-",+C120+1)</f>
        <v>2034</v>
      </c>
      <c r="D121" s="374">
        <f>IF(F120+SUM(E$99:E120)=D$92,F120,D$92-SUM(E$99:E120))</f>
        <v>2011017.4118318339</v>
      </c>
      <c r="E121" s="522">
        <f>IF(+J96&lt;F120,J96,D121)</f>
        <v>101831.95121951219</v>
      </c>
      <c r="F121" s="523">
        <f t="shared" si="38"/>
        <v>1909185.4606123217</v>
      </c>
      <c r="G121" s="523">
        <f t="shared" si="39"/>
        <v>1960101.4362220778</v>
      </c>
      <c r="H121" s="526">
        <f t="shared" si="40"/>
        <v>324331.34936251357</v>
      </c>
      <c r="I121" s="577">
        <f t="shared" si="41"/>
        <v>324331.34936251357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 ht="12.5">
      <c r="B122" s="195" t="str">
        <f t="shared" si="31"/>
        <v/>
      </c>
      <c r="C122" s="507">
        <f>IF(D93="","-",+C121+1)</f>
        <v>2035</v>
      </c>
      <c r="D122" s="374">
        <f>IF(F121+SUM(E$99:E121)=D$92,F121,D$92-SUM(E$99:E121))</f>
        <v>1909185.4606123217</v>
      </c>
      <c r="E122" s="522">
        <f>IF(+J96&lt;F121,J96,D122)</f>
        <v>101831.95121951219</v>
      </c>
      <c r="F122" s="523">
        <f t="shared" si="38"/>
        <v>1807353.5093928096</v>
      </c>
      <c r="G122" s="523">
        <f t="shared" si="39"/>
        <v>1858269.4850025657</v>
      </c>
      <c r="H122" s="526">
        <f t="shared" si="40"/>
        <v>312771.97419989988</v>
      </c>
      <c r="I122" s="577">
        <f t="shared" si="41"/>
        <v>312771.97419989988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 ht="12.5">
      <c r="B123" s="195" t="str">
        <f t="shared" si="31"/>
        <v/>
      </c>
      <c r="C123" s="507">
        <f>IF(D93="","-",+C122+1)</f>
        <v>2036</v>
      </c>
      <c r="D123" s="374">
        <f>IF(F122+SUM(E$99:E122)=D$92,F122,D$92-SUM(E$99:E122))</f>
        <v>1807353.5093928096</v>
      </c>
      <c r="E123" s="522">
        <f>IF(+J96&lt;F122,J96,D123)</f>
        <v>101831.95121951219</v>
      </c>
      <c r="F123" s="523">
        <f t="shared" si="38"/>
        <v>1705521.5581732974</v>
      </c>
      <c r="G123" s="523">
        <f t="shared" si="39"/>
        <v>1756437.5337830535</v>
      </c>
      <c r="H123" s="526">
        <f t="shared" si="40"/>
        <v>301212.59903728619</v>
      </c>
      <c r="I123" s="577">
        <f t="shared" si="41"/>
        <v>301212.59903728619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 ht="12.5">
      <c r="B124" s="195" t="str">
        <f t="shared" si="31"/>
        <v/>
      </c>
      <c r="C124" s="507">
        <f>IF(D93="","-",+C123+1)</f>
        <v>2037</v>
      </c>
      <c r="D124" s="374">
        <f>IF(F123+SUM(E$99:E123)=D$92,F123,D$92-SUM(E$99:E123))</f>
        <v>1705521.5581732974</v>
      </c>
      <c r="E124" s="522">
        <f>IF(+J96&lt;F123,J96,D124)</f>
        <v>101831.95121951219</v>
      </c>
      <c r="F124" s="523">
        <f t="shared" si="38"/>
        <v>1603689.6069537853</v>
      </c>
      <c r="G124" s="523">
        <f t="shared" si="39"/>
        <v>1654605.5825635414</v>
      </c>
      <c r="H124" s="526">
        <f t="shared" si="40"/>
        <v>289653.22387467249</v>
      </c>
      <c r="I124" s="577">
        <f t="shared" si="41"/>
        <v>289653.22387467249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 ht="12.5">
      <c r="B125" s="195" t="str">
        <f t="shared" si="31"/>
        <v/>
      </c>
      <c r="C125" s="507">
        <f>IF(D93="","-",+C124+1)</f>
        <v>2038</v>
      </c>
      <c r="D125" s="374">
        <f>IF(F124+SUM(E$99:E124)=D$92,F124,D$92-SUM(E$99:E124))</f>
        <v>1603689.6069537853</v>
      </c>
      <c r="E125" s="522">
        <f>IF(+J96&lt;F124,J96,D125)</f>
        <v>101831.95121951219</v>
      </c>
      <c r="F125" s="523">
        <f t="shared" si="38"/>
        <v>1501857.6557342731</v>
      </c>
      <c r="G125" s="523">
        <f t="shared" si="39"/>
        <v>1552773.6313440292</v>
      </c>
      <c r="H125" s="526">
        <f t="shared" si="40"/>
        <v>278093.8487120588</v>
      </c>
      <c r="I125" s="577">
        <f t="shared" si="41"/>
        <v>278093.8487120588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 ht="12.5">
      <c r="B126" s="195" t="str">
        <f t="shared" si="31"/>
        <v/>
      </c>
      <c r="C126" s="507">
        <f>IF(D93="","-",+C125+1)</f>
        <v>2039</v>
      </c>
      <c r="D126" s="374">
        <f>IF(F125+SUM(E$99:E125)=D$92,F125,D$92-SUM(E$99:E125))</f>
        <v>1501857.6557342731</v>
      </c>
      <c r="E126" s="522">
        <f>IF(+J96&lt;F125,J96,D126)</f>
        <v>101831.95121951219</v>
      </c>
      <c r="F126" s="523">
        <f t="shared" si="38"/>
        <v>1400025.704514761</v>
      </c>
      <c r="G126" s="523">
        <f t="shared" si="39"/>
        <v>1450941.6801245171</v>
      </c>
      <c r="H126" s="526">
        <f t="shared" si="40"/>
        <v>266534.4735494451</v>
      </c>
      <c r="I126" s="577">
        <f t="shared" si="41"/>
        <v>266534.4735494451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 ht="12.5">
      <c r="B127" s="195" t="str">
        <f t="shared" si="31"/>
        <v/>
      </c>
      <c r="C127" s="507">
        <f>IF(D93="","-",+C126+1)</f>
        <v>2040</v>
      </c>
      <c r="D127" s="374">
        <f>IF(F126+SUM(E$99:E126)=D$92,F126,D$92-SUM(E$99:E126))</f>
        <v>1400025.704514761</v>
      </c>
      <c r="E127" s="522">
        <f>IF(+J96&lt;F126,J96,D127)</f>
        <v>101831.95121951219</v>
      </c>
      <c r="F127" s="523">
        <f t="shared" si="38"/>
        <v>1298193.7532952488</v>
      </c>
      <c r="G127" s="523">
        <f t="shared" si="39"/>
        <v>1349109.7289050049</v>
      </c>
      <c r="H127" s="526">
        <f t="shared" si="40"/>
        <v>254975.09838683141</v>
      </c>
      <c r="I127" s="577">
        <f t="shared" si="41"/>
        <v>254975.09838683141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 ht="12.5">
      <c r="B128" s="195" t="str">
        <f t="shared" si="31"/>
        <v/>
      </c>
      <c r="C128" s="507">
        <f>IF(D93="","-",+C127+1)</f>
        <v>2041</v>
      </c>
      <c r="D128" s="374">
        <f>IF(F127+SUM(E$99:E127)=D$92,F127,D$92-SUM(E$99:E127))</f>
        <v>1298193.7532952488</v>
      </c>
      <c r="E128" s="522">
        <f>IF(+J96&lt;F127,J96,D128)</f>
        <v>101831.95121951219</v>
      </c>
      <c r="F128" s="523">
        <f t="shared" si="38"/>
        <v>1196361.8020757367</v>
      </c>
      <c r="G128" s="523">
        <f t="shared" si="39"/>
        <v>1247277.7776854928</v>
      </c>
      <c r="H128" s="526">
        <f t="shared" si="40"/>
        <v>243415.72322421765</v>
      </c>
      <c r="I128" s="577">
        <f t="shared" si="41"/>
        <v>243415.72322421765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 ht="12.5">
      <c r="B129" s="195" t="str">
        <f t="shared" si="31"/>
        <v/>
      </c>
      <c r="C129" s="507">
        <f>IF(D93="","-",+C128+1)</f>
        <v>2042</v>
      </c>
      <c r="D129" s="374">
        <f>IF(F128+SUM(E$99:E128)=D$92,F128,D$92-SUM(E$99:E128))</f>
        <v>1196361.8020757367</v>
      </c>
      <c r="E129" s="522">
        <f>IF(+J96&lt;F128,J96,D129)</f>
        <v>101831.95121951219</v>
      </c>
      <c r="F129" s="523">
        <f t="shared" si="38"/>
        <v>1094529.8508562245</v>
      </c>
      <c r="G129" s="523">
        <f t="shared" si="39"/>
        <v>1145445.8264659806</v>
      </c>
      <c r="H129" s="526">
        <f t="shared" si="40"/>
        <v>231856.34806160396</v>
      </c>
      <c r="I129" s="577">
        <f t="shared" si="41"/>
        <v>231856.34806160396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 ht="12.5">
      <c r="B130" s="195" t="str">
        <f t="shared" si="31"/>
        <v/>
      </c>
      <c r="C130" s="507">
        <f>IF(D93="","-",+C129+1)</f>
        <v>2043</v>
      </c>
      <c r="D130" s="374">
        <f>IF(F129+SUM(E$99:E129)=D$92,F129,D$92-SUM(E$99:E129))</f>
        <v>1094529.8508562245</v>
      </c>
      <c r="E130" s="522">
        <f>IF(+J96&lt;F129,J96,D130)</f>
        <v>101831.95121951219</v>
      </c>
      <c r="F130" s="523">
        <f t="shared" si="38"/>
        <v>992697.89963671239</v>
      </c>
      <c r="G130" s="523">
        <f t="shared" si="39"/>
        <v>1043613.8752464685</v>
      </c>
      <c r="H130" s="526">
        <f t="shared" si="40"/>
        <v>220296.97289899027</v>
      </c>
      <c r="I130" s="577">
        <f t="shared" si="41"/>
        <v>220296.97289899027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 ht="12.5">
      <c r="B131" s="195" t="str">
        <f t="shared" si="31"/>
        <v/>
      </c>
      <c r="C131" s="507">
        <f>IF(D93="","-",+C130+1)</f>
        <v>2044</v>
      </c>
      <c r="D131" s="374">
        <f>IF(F130+SUM(E$99:E130)=D$92,F130,D$92-SUM(E$99:E130))</f>
        <v>992697.89963671239</v>
      </c>
      <c r="E131" s="522">
        <f>IF(+J96&lt;F130,J96,D131)</f>
        <v>101831.95121951219</v>
      </c>
      <c r="F131" s="523">
        <f t="shared" si="38"/>
        <v>890865.94841720024</v>
      </c>
      <c r="G131" s="523">
        <f t="shared" ref="G131:G154" si="42">+(F131+D131)/2</f>
        <v>941781.92402695632</v>
      </c>
      <c r="H131" s="526">
        <f t="shared" ref="H131:H154" si="43">+J$94*G131+E131</f>
        <v>208737.59773637657</v>
      </c>
      <c r="I131" s="577">
        <f t="shared" ref="I131:I154" si="44">+J$95*G131+E131</f>
        <v>208737.59773637657</v>
      </c>
      <c r="J131" s="514">
        <f t="shared" ref="J131:J154" si="45">+I131-H131</f>
        <v>0</v>
      </c>
      <c r="K131" s="514"/>
      <c r="L131" s="525"/>
      <c r="M131" s="514">
        <f t="shared" ref="M131:M154" si="46">IF(L131&lt;&gt;0,+H131-L131,0)</f>
        <v>0</v>
      </c>
      <c r="N131" s="525"/>
      <c r="O131" s="514">
        <f t="shared" ref="O131:O154" si="47">IF(N131&lt;&gt;0,+I131-N131,0)</f>
        <v>0</v>
      </c>
      <c r="P131" s="514">
        <f t="shared" ref="P131:P154" si="48">+O131-M131</f>
        <v>0</v>
      </c>
      <c r="Q131" s="269"/>
    </row>
    <row r="132" spans="2:17" ht="12.5">
      <c r="B132" s="195" t="str">
        <f t="shared" ref="B132:B154" si="49">IF(D132=F131,"","IU")</f>
        <v/>
      </c>
      <c r="C132" s="507">
        <f>IF(D93="","-",+C131+1)</f>
        <v>2045</v>
      </c>
      <c r="D132" s="374">
        <f>IF(F131+SUM(E$99:E131)=D$92,F131,D$92-SUM(E$99:E131))</f>
        <v>890865.94841720024</v>
      </c>
      <c r="E132" s="522">
        <f>IF(+J96&lt;F131,J96,D132)</f>
        <v>101831.95121951219</v>
      </c>
      <c r="F132" s="523">
        <f t="shared" ref="F132:F154" si="50">+D132-E132</f>
        <v>789033.99719768809</v>
      </c>
      <c r="G132" s="523">
        <f t="shared" si="42"/>
        <v>839949.97280744417</v>
      </c>
      <c r="H132" s="526">
        <f t="shared" si="43"/>
        <v>197178.22257376288</v>
      </c>
      <c r="I132" s="577">
        <f t="shared" si="44"/>
        <v>197178.22257376288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  <c r="Q132" s="269"/>
    </row>
    <row r="133" spans="2:17" ht="12.5">
      <c r="B133" s="195" t="str">
        <f t="shared" si="49"/>
        <v/>
      </c>
      <c r="C133" s="507">
        <f>IF(D93="","-",+C132+1)</f>
        <v>2046</v>
      </c>
      <c r="D133" s="374">
        <f>IF(F132+SUM(E$99:E132)=D$92,F132,D$92-SUM(E$99:E132))</f>
        <v>789033.99719768809</v>
      </c>
      <c r="E133" s="522">
        <f>IF(+J96&lt;F132,J96,D133)</f>
        <v>101831.95121951219</v>
      </c>
      <c r="F133" s="523">
        <f t="shared" si="50"/>
        <v>687202.04597817594</v>
      </c>
      <c r="G133" s="523">
        <f t="shared" si="42"/>
        <v>738118.02158793202</v>
      </c>
      <c r="H133" s="526">
        <f t="shared" si="43"/>
        <v>185618.84741114918</v>
      </c>
      <c r="I133" s="577">
        <f t="shared" si="44"/>
        <v>185618.84741114918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  <c r="Q133" s="269"/>
    </row>
    <row r="134" spans="2:17" ht="12.5">
      <c r="B134" s="195" t="str">
        <f t="shared" si="49"/>
        <v/>
      </c>
      <c r="C134" s="507">
        <f>IF(D93="","-",+C133+1)</f>
        <v>2047</v>
      </c>
      <c r="D134" s="374">
        <f>IF(F133+SUM(E$99:E133)=D$92,F133,D$92-SUM(E$99:E133))</f>
        <v>687202.04597817594</v>
      </c>
      <c r="E134" s="522">
        <f>IF(+J96&lt;F133,J96,D134)</f>
        <v>101831.95121951219</v>
      </c>
      <c r="F134" s="523">
        <f t="shared" si="50"/>
        <v>585370.09475866379</v>
      </c>
      <c r="G134" s="523">
        <f t="shared" si="42"/>
        <v>636286.07036841987</v>
      </c>
      <c r="H134" s="526">
        <f t="shared" si="43"/>
        <v>174059.47224853549</v>
      </c>
      <c r="I134" s="577">
        <f t="shared" si="44"/>
        <v>174059.47224853549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  <c r="Q134" s="269"/>
    </row>
    <row r="135" spans="2:17" ht="12.5">
      <c r="B135" s="195" t="str">
        <f t="shared" si="49"/>
        <v/>
      </c>
      <c r="C135" s="507">
        <f>IF(D93="","-",+C134+1)</f>
        <v>2048</v>
      </c>
      <c r="D135" s="374">
        <f>IF(F134+SUM(E$99:E134)=D$92,F134,D$92-SUM(E$99:E134))</f>
        <v>585370.09475866379</v>
      </c>
      <c r="E135" s="522">
        <f>IF(+J96&lt;F134,J96,D135)</f>
        <v>101831.95121951219</v>
      </c>
      <c r="F135" s="523">
        <f t="shared" si="50"/>
        <v>483538.14353915158</v>
      </c>
      <c r="G135" s="523">
        <f t="shared" si="42"/>
        <v>534454.11914890772</v>
      </c>
      <c r="H135" s="526">
        <f t="shared" si="43"/>
        <v>162500.09708592176</v>
      </c>
      <c r="I135" s="577">
        <f t="shared" si="44"/>
        <v>162500.09708592176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  <c r="Q135" s="269"/>
    </row>
    <row r="136" spans="2:17" ht="12.5">
      <c r="B136" s="195" t="str">
        <f t="shared" si="49"/>
        <v/>
      </c>
      <c r="C136" s="507">
        <f>IF(D93="","-",+C135+1)</f>
        <v>2049</v>
      </c>
      <c r="D136" s="374">
        <f>IF(F135+SUM(E$99:E135)=D$92,F135,D$92-SUM(E$99:E135))</f>
        <v>483538.14353915158</v>
      </c>
      <c r="E136" s="522">
        <f>IF(+J96&lt;F135,J96,D136)</f>
        <v>101831.95121951219</v>
      </c>
      <c r="F136" s="523">
        <f t="shared" si="50"/>
        <v>381706.19231963938</v>
      </c>
      <c r="G136" s="523">
        <f t="shared" si="42"/>
        <v>432622.16792939545</v>
      </c>
      <c r="H136" s="526">
        <f t="shared" si="43"/>
        <v>150940.72192330804</v>
      </c>
      <c r="I136" s="577">
        <f t="shared" si="44"/>
        <v>150940.72192330804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  <c r="Q136" s="269"/>
    </row>
    <row r="137" spans="2:17" ht="12.5">
      <c r="B137" s="195" t="str">
        <f t="shared" si="49"/>
        <v/>
      </c>
      <c r="C137" s="507">
        <f>IF(D93="","-",+C136+1)</f>
        <v>2050</v>
      </c>
      <c r="D137" s="374">
        <f>IF(F136+SUM(E$99:E136)=D$92,F136,D$92-SUM(E$99:E136))</f>
        <v>381706.19231963938</v>
      </c>
      <c r="E137" s="522">
        <f>IF(+J96&lt;F136,J96,D137)</f>
        <v>101831.95121951219</v>
      </c>
      <c r="F137" s="523">
        <f t="shared" si="50"/>
        <v>279874.24110012717</v>
      </c>
      <c r="G137" s="523">
        <f t="shared" si="42"/>
        <v>330790.2167098833</v>
      </c>
      <c r="H137" s="526">
        <f t="shared" si="43"/>
        <v>139381.34676069434</v>
      </c>
      <c r="I137" s="577">
        <f t="shared" si="44"/>
        <v>139381.34676069434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  <c r="Q137" s="269"/>
    </row>
    <row r="138" spans="2:17" ht="12.5">
      <c r="B138" s="195" t="str">
        <f t="shared" si="49"/>
        <v/>
      </c>
      <c r="C138" s="507">
        <f>IF(D93="","-",+C137+1)</f>
        <v>2051</v>
      </c>
      <c r="D138" s="374">
        <f>IF(F137+SUM(E$99:E137)=D$92,F137,D$92-SUM(E$99:E137))</f>
        <v>279874.24110012717</v>
      </c>
      <c r="E138" s="522">
        <f>IF(+J96&lt;F137,J96,D138)</f>
        <v>101831.95121951219</v>
      </c>
      <c r="F138" s="523">
        <f t="shared" si="50"/>
        <v>178042.28988061496</v>
      </c>
      <c r="G138" s="523">
        <f t="shared" si="42"/>
        <v>228958.26549037106</v>
      </c>
      <c r="H138" s="526">
        <f t="shared" si="43"/>
        <v>127821.97159808065</v>
      </c>
      <c r="I138" s="577">
        <f t="shared" si="44"/>
        <v>127821.97159808065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  <c r="Q138" s="269"/>
    </row>
    <row r="139" spans="2:17" ht="12.5">
      <c r="B139" s="195" t="str">
        <f t="shared" si="49"/>
        <v/>
      </c>
      <c r="C139" s="507">
        <f>IF(D93="","-",+C138+1)</f>
        <v>2052</v>
      </c>
      <c r="D139" s="374">
        <f>IF(F138+SUM(E$99:E138)=D$92,F138,D$92-SUM(E$99:E138))</f>
        <v>178042.28988061496</v>
      </c>
      <c r="E139" s="522">
        <f>IF(+J96&lt;F138,J96,D139)</f>
        <v>101831.95121951219</v>
      </c>
      <c r="F139" s="523">
        <f t="shared" si="50"/>
        <v>76210.338661102767</v>
      </c>
      <c r="G139" s="523">
        <f t="shared" si="42"/>
        <v>127126.31427085886</v>
      </c>
      <c r="H139" s="526">
        <f t="shared" si="43"/>
        <v>116262.59643546693</v>
      </c>
      <c r="I139" s="577">
        <f t="shared" si="44"/>
        <v>116262.59643546693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  <c r="Q139" s="269"/>
    </row>
    <row r="140" spans="2:17" ht="12.5">
      <c r="B140" s="195" t="str">
        <f t="shared" si="49"/>
        <v/>
      </c>
      <c r="C140" s="507">
        <f>IF(D93="","-",+C139+1)</f>
        <v>2053</v>
      </c>
      <c r="D140" s="374">
        <f>IF(F139+SUM(E$99:E139)=D$92,F139,D$92-SUM(E$99:E139))</f>
        <v>76210.338661102767</v>
      </c>
      <c r="E140" s="522">
        <f>IF(+J96&lt;F139,J96,D140)</f>
        <v>76210.338661102767</v>
      </c>
      <c r="F140" s="523">
        <f t="shared" si="50"/>
        <v>0</v>
      </c>
      <c r="G140" s="523">
        <f t="shared" si="42"/>
        <v>38105.169330551384</v>
      </c>
      <c r="H140" s="526">
        <f t="shared" si="43"/>
        <v>80535.817478426718</v>
      </c>
      <c r="I140" s="577">
        <f t="shared" si="44"/>
        <v>80535.817478426718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  <c r="Q140" s="269"/>
    </row>
    <row r="141" spans="2:17" ht="12.5">
      <c r="B141" s="195" t="str">
        <f t="shared" si="49"/>
        <v/>
      </c>
      <c r="C141" s="507">
        <f>IF(D93="","-",+C140+1)</f>
        <v>2054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50"/>
        <v>0</v>
      </c>
      <c r="G141" s="523">
        <f t="shared" si="42"/>
        <v>0</v>
      </c>
      <c r="H141" s="526">
        <f t="shared" si="43"/>
        <v>0</v>
      </c>
      <c r="I141" s="577">
        <f t="shared" si="44"/>
        <v>0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  <c r="Q141" s="269"/>
    </row>
    <row r="142" spans="2:17" ht="12.5">
      <c r="B142" s="195" t="str">
        <f t="shared" si="49"/>
        <v/>
      </c>
      <c r="C142" s="507">
        <f>IF(D93="","-",+C141+1)</f>
        <v>2055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50"/>
        <v>0</v>
      </c>
      <c r="G142" s="523">
        <f t="shared" si="42"/>
        <v>0</v>
      </c>
      <c r="H142" s="526">
        <f t="shared" si="43"/>
        <v>0</v>
      </c>
      <c r="I142" s="577">
        <f t="shared" si="44"/>
        <v>0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  <c r="Q142" s="269"/>
    </row>
    <row r="143" spans="2:17" ht="12.5">
      <c r="B143" s="195" t="str">
        <f t="shared" si="49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0"/>
        <v>0</v>
      </c>
      <c r="G143" s="523">
        <f t="shared" si="42"/>
        <v>0</v>
      </c>
      <c r="H143" s="526">
        <f t="shared" si="43"/>
        <v>0</v>
      </c>
      <c r="I143" s="577">
        <f t="shared" si="44"/>
        <v>0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  <c r="Q143" s="269"/>
    </row>
    <row r="144" spans="2:17" ht="12.5">
      <c r="B144" s="195" t="str">
        <f t="shared" si="49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0"/>
        <v>0</v>
      </c>
      <c r="G144" s="523">
        <f t="shared" si="42"/>
        <v>0</v>
      </c>
      <c r="H144" s="526">
        <f t="shared" si="43"/>
        <v>0</v>
      </c>
      <c r="I144" s="577">
        <f t="shared" si="44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  <c r="Q144" s="269"/>
    </row>
    <row r="145" spans="2:17" ht="12.5">
      <c r="B145" s="195" t="str">
        <f t="shared" si="49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0"/>
        <v>0</v>
      </c>
      <c r="G145" s="523">
        <f t="shared" si="42"/>
        <v>0</v>
      </c>
      <c r="H145" s="526">
        <f t="shared" si="43"/>
        <v>0</v>
      </c>
      <c r="I145" s="577">
        <f t="shared" si="44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  <c r="Q145" s="269"/>
    </row>
    <row r="146" spans="2:17" ht="12.5">
      <c r="B146" s="195" t="str">
        <f t="shared" si="49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0"/>
        <v>0</v>
      </c>
      <c r="G146" s="523">
        <f t="shared" si="42"/>
        <v>0</v>
      </c>
      <c r="H146" s="526">
        <f t="shared" si="43"/>
        <v>0</v>
      </c>
      <c r="I146" s="577">
        <f t="shared" si="44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  <c r="Q146" s="269"/>
    </row>
    <row r="147" spans="2:17" ht="12.5">
      <c r="B147" s="195" t="str">
        <f t="shared" si="49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0"/>
        <v>0</v>
      </c>
      <c r="G147" s="523">
        <f t="shared" si="42"/>
        <v>0</v>
      </c>
      <c r="H147" s="526">
        <f t="shared" si="43"/>
        <v>0</v>
      </c>
      <c r="I147" s="577">
        <f t="shared" si="44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  <c r="Q147" s="269"/>
    </row>
    <row r="148" spans="2:17" ht="12.5">
      <c r="B148" s="195" t="str">
        <f t="shared" si="49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0"/>
        <v>0</v>
      </c>
      <c r="G148" s="523">
        <f t="shared" si="42"/>
        <v>0</v>
      </c>
      <c r="H148" s="526">
        <f t="shared" si="43"/>
        <v>0</v>
      </c>
      <c r="I148" s="577">
        <f t="shared" si="44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  <c r="Q148" s="269"/>
    </row>
    <row r="149" spans="2:17" ht="12.5">
      <c r="B149" s="195" t="str">
        <f t="shared" si="49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0"/>
        <v>0</v>
      </c>
      <c r="G149" s="523">
        <f t="shared" si="42"/>
        <v>0</v>
      </c>
      <c r="H149" s="526">
        <f t="shared" si="43"/>
        <v>0</v>
      </c>
      <c r="I149" s="577">
        <f t="shared" si="44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  <c r="Q149" s="269"/>
    </row>
    <row r="150" spans="2:17" ht="12.5">
      <c r="B150" s="195" t="str">
        <f t="shared" si="49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0"/>
        <v>0</v>
      </c>
      <c r="G150" s="523">
        <f t="shared" si="42"/>
        <v>0</v>
      </c>
      <c r="H150" s="526">
        <f t="shared" si="43"/>
        <v>0</v>
      </c>
      <c r="I150" s="577">
        <f t="shared" si="44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  <c r="Q150" s="269"/>
    </row>
    <row r="151" spans="2:17" ht="12.5">
      <c r="B151" s="195" t="str">
        <f t="shared" si="49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0"/>
        <v>0</v>
      </c>
      <c r="G151" s="523">
        <f t="shared" si="42"/>
        <v>0</v>
      </c>
      <c r="H151" s="526">
        <f t="shared" si="43"/>
        <v>0</v>
      </c>
      <c r="I151" s="577">
        <f t="shared" si="44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  <c r="Q151" s="269"/>
    </row>
    <row r="152" spans="2:17" ht="12.5">
      <c r="B152" s="195" t="str">
        <f t="shared" si="49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0"/>
        <v>0</v>
      </c>
      <c r="G152" s="523">
        <f t="shared" si="42"/>
        <v>0</v>
      </c>
      <c r="H152" s="526">
        <f t="shared" si="43"/>
        <v>0</v>
      </c>
      <c r="I152" s="577">
        <f t="shared" si="44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  <c r="Q152" s="269"/>
    </row>
    <row r="153" spans="2:17" ht="12.5">
      <c r="B153" s="195" t="str">
        <f t="shared" si="49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0"/>
        <v>0</v>
      </c>
      <c r="G153" s="523">
        <f t="shared" si="42"/>
        <v>0</v>
      </c>
      <c r="H153" s="526">
        <f t="shared" si="43"/>
        <v>0</v>
      </c>
      <c r="I153" s="577">
        <f t="shared" si="44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  <c r="Q153" s="269"/>
    </row>
    <row r="154" spans="2:17" ht="13" thickBot="1">
      <c r="B154" s="195" t="str">
        <f t="shared" si="49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0"/>
        <v>0</v>
      </c>
      <c r="G154" s="528">
        <f t="shared" si="42"/>
        <v>0</v>
      </c>
      <c r="H154" s="530">
        <f t="shared" si="43"/>
        <v>0</v>
      </c>
      <c r="I154" s="579">
        <f t="shared" si="44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  <c r="Q154" s="269"/>
    </row>
    <row r="155" spans="2:17" ht="12.5">
      <c r="C155" s="374" t="s">
        <v>78</v>
      </c>
      <c r="D155" s="375"/>
      <c r="E155" s="375">
        <f>SUM(E99:E154)</f>
        <v>4175109.9999999986</v>
      </c>
      <c r="F155" s="375"/>
      <c r="G155" s="375"/>
      <c r="H155" s="375">
        <f>SUM(H99:H154)</f>
        <v>14322565.513217198</v>
      </c>
      <c r="I155" s="375">
        <f>SUM(I99:I154)</f>
        <v>14322565.513217198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7" priority="1" stopIfTrue="1" operator="equal">
      <formula>$I$10</formula>
    </cfRule>
  </conditionalFormatting>
  <conditionalFormatting sqref="C99:C154">
    <cfRule type="cellIs" dxfId="9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84"/>
  <dimension ref="A1:Q162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33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7176080.4452867946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7176080.4452867946</v>
      </c>
      <c r="O6" s="269"/>
      <c r="P6" s="269"/>
    </row>
    <row r="7" spans="1:17" ht="13.5" thickBot="1">
      <c r="C7" s="467" t="s">
        <v>48</v>
      </c>
      <c r="D7" s="620" t="s">
        <v>287</v>
      </c>
      <c r="E7" s="269"/>
      <c r="F7" s="269"/>
      <c r="G7" s="534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599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621" t="s">
        <v>463</v>
      </c>
      <c r="E9" s="666" t="s">
        <v>494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59305787.900000013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1412042.5690476194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508">
        <v>1609000</v>
      </c>
      <c r="E17" s="509">
        <v>19154.761904761905</v>
      </c>
      <c r="F17" s="508">
        <v>1589845.2380952381</v>
      </c>
      <c r="G17" s="509">
        <v>255596.76839974581</v>
      </c>
      <c r="H17" s="510">
        <v>255596.76839974581</v>
      </c>
      <c r="I17" s="617">
        <v>0</v>
      </c>
      <c r="J17" s="511"/>
      <c r="K17" s="512">
        <f t="shared" ref="K17:K22" si="0">G17</f>
        <v>255596.76839974581</v>
      </c>
      <c r="L17" s="597">
        <f t="shared" ref="L17:L48" si="1">IF(K17&lt;&gt;0,+G17-K17,0)</f>
        <v>0</v>
      </c>
      <c r="M17" s="512">
        <f t="shared" ref="M17:M22" si="2">H17</f>
        <v>255596.76839974581</v>
      </c>
      <c r="N17" s="513">
        <f t="shared" ref="N17:N48" si="3">IF(M17&lt;&gt;0,+H17-M17,0)</f>
        <v>0</v>
      </c>
      <c r="O17" s="514">
        <f t="shared" ref="O17:O48" si="4">+N17-L17</f>
        <v>0</v>
      </c>
      <c r="P17" s="272"/>
    </row>
    <row r="18" spans="2:16" ht="12.5">
      <c r="B18" s="195" t="str">
        <f t="shared" ref="B18:B49" si="5">IF(D18=F17,"","IU")</f>
        <v>IU</v>
      </c>
      <c r="C18" s="507">
        <f>IF(D11="","-",+C17+1)</f>
        <v>2013</v>
      </c>
      <c r="D18" s="508">
        <v>12452702.238095239</v>
      </c>
      <c r="E18" s="516">
        <v>296948.97619047621</v>
      </c>
      <c r="F18" s="508">
        <v>12155753.261904763</v>
      </c>
      <c r="G18" s="516">
        <v>1998597.4057579383</v>
      </c>
      <c r="H18" s="510">
        <v>1998597.4057579383</v>
      </c>
      <c r="I18" s="616">
        <v>0</v>
      </c>
      <c r="J18" s="511"/>
      <c r="K18" s="518">
        <f t="shared" si="0"/>
        <v>1998597.4057579383</v>
      </c>
      <c r="L18" s="519">
        <f t="shared" ref="L18:L23" si="6">IF(K18&lt;&gt;0,+G18-K18,0)</f>
        <v>0</v>
      </c>
      <c r="M18" s="518">
        <f t="shared" si="2"/>
        <v>1998597.4057579383</v>
      </c>
      <c r="N18" s="514">
        <f t="shared" ref="N18:N23" si="7">IF(M18&lt;&gt;0,+H18-M18,0)</f>
        <v>0</v>
      </c>
      <c r="O18" s="514">
        <f t="shared" ref="O18:O23" si="8">+N18-L18</f>
        <v>0</v>
      </c>
      <c r="P18" s="272"/>
    </row>
    <row r="19" spans="2:16" ht="12.5">
      <c r="B19" s="195" t="str">
        <f t="shared" si="5"/>
        <v>IU</v>
      </c>
      <c r="C19" s="507">
        <f>IF(D11="","-",+C18+1)</f>
        <v>2014</v>
      </c>
      <c r="D19" s="508">
        <v>55180030.261904761</v>
      </c>
      <c r="E19" s="516">
        <v>1321336.5238095238</v>
      </c>
      <c r="F19" s="508">
        <v>53858693.738095239</v>
      </c>
      <c r="G19" s="516">
        <v>8587440.2696967553</v>
      </c>
      <c r="H19" s="510">
        <v>8587440.2696967553</v>
      </c>
      <c r="I19" s="616">
        <v>0</v>
      </c>
      <c r="J19" s="511"/>
      <c r="K19" s="518">
        <f t="shared" si="0"/>
        <v>8587440.2696967553</v>
      </c>
      <c r="L19" s="519">
        <f t="shared" si="6"/>
        <v>0</v>
      </c>
      <c r="M19" s="518">
        <f t="shared" si="2"/>
        <v>8587440.2696967553</v>
      </c>
      <c r="N19" s="514">
        <f t="shared" si="7"/>
        <v>0</v>
      </c>
      <c r="O19" s="514">
        <f t="shared" si="8"/>
        <v>0</v>
      </c>
      <c r="P19" s="272"/>
    </row>
    <row r="20" spans="2:16" ht="12.5">
      <c r="B20" s="195" t="str">
        <f t="shared" si="5"/>
        <v>IU</v>
      </c>
      <c r="C20" s="507">
        <f>IF(D11="","-",+C19+1)</f>
        <v>2015</v>
      </c>
      <c r="D20" s="508">
        <v>56313962.738095239</v>
      </c>
      <c r="E20" s="516">
        <v>1379795.3095238095</v>
      </c>
      <c r="F20" s="508">
        <v>54934167.428571433</v>
      </c>
      <c r="G20" s="516">
        <v>8614888.8974372521</v>
      </c>
      <c r="H20" s="510">
        <v>8614888.8974372521</v>
      </c>
      <c r="I20" s="511">
        <v>0</v>
      </c>
      <c r="J20" s="511"/>
      <c r="K20" s="518">
        <f t="shared" si="0"/>
        <v>8614888.8974372521</v>
      </c>
      <c r="L20" s="519">
        <f t="shared" si="6"/>
        <v>0</v>
      </c>
      <c r="M20" s="518">
        <f t="shared" si="2"/>
        <v>8614888.8974372521</v>
      </c>
      <c r="N20" s="514">
        <f t="shared" si="7"/>
        <v>0</v>
      </c>
      <c r="O20" s="514">
        <f t="shared" si="8"/>
        <v>0</v>
      </c>
      <c r="P20" s="272"/>
    </row>
    <row r="21" spans="2:16" ht="12.5">
      <c r="B21" s="195" t="str">
        <f t="shared" si="5"/>
        <v>IU</v>
      </c>
      <c r="C21" s="507">
        <f>IF(D12="","-",+C20+1)</f>
        <v>2016</v>
      </c>
      <c r="D21" s="508">
        <v>56278364.618571423</v>
      </c>
      <c r="E21" s="516">
        <v>1411800.0045238095</v>
      </c>
      <c r="F21" s="508">
        <v>54866564.614047617</v>
      </c>
      <c r="G21" s="516">
        <v>8548841.3588929959</v>
      </c>
      <c r="H21" s="510">
        <v>8548841.3588929959</v>
      </c>
      <c r="I21" s="511">
        <f t="shared" ref="I21:I48" si="9">H21-G21</f>
        <v>0</v>
      </c>
      <c r="J21" s="511"/>
      <c r="K21" s="518">
        <f t="shared" si="0"/>
        <v>8548841.3588929959</v>
      </c>
      <c r="L21" s="519">
        <f t="shared" si="6"/>
        <v>0</v>
      </c>
      <c r="M21" s="518">
        <f t="shared" si="2"/>
        <v>8548841.3588929959</v>
      </c>
      <c r="N21" s="514">
        <f t="shared" si="7"/>
        <v>0</v>
      </c>
      <c r="O21" s="514">
        <f t="shared" si="8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2017</v>
      </c>
      <c r="D22" s="508">
        <v>54876752.424047619</v>
      </c>
      <c r="E22" s="516">
        <v>1379204.3720930233</v>
      </c>
      <c r="F22" s="508">
        <v>53497548.051954597</v>
      </c>
      <c r="G22" s="516">
        <v>8092587.7045322992</v>
      </c>
      <c r="H22" s="510">
        <v>8092587.7045322992</v>
      </c>
      <c r="I22" s="511">
        <f t="shared" si="9"/>
        <v>0</v>
      </c>
      <c r="J22" s="511"/>
      <c r="K22" s="518">
        <f t="shared" si="0"/>
        <v>8092587.7045322992</v>
      </c>
      <c r="L22" s="519">
        <f t="shared" si="6"/>
        <v>0</v>
      </c>
      <c r="M22" s="518">
        <f t="shared" si="2"/>
        <v>8092587.7045322992</v>
      </c>
      <c r="N22" s="514">
        <f t="shared" si="7"/>
        <v>0</v>
      </c>
      <c r="O22" s="514">
        <f t="shared" si="8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508">
        <v>53497548.051954597</v>
      </c>
      <c r="E23" s="516">
        <v>1446482.6341463414</v>
      </c>
      <c r="F23" s="508">
        <v>52051065.417808257</v>
      </c>
      <c r="G23" s="516">
        <v>8153785.5951796668</v>
      </c>
      <c r="H23" s="510">
        <v>8153785.5951796668</v>
      </c>
      <c r="I23" s="511">
        <f t="shared" si="9"/>
        <v>0</v>
      </c>
      <c r="J23" s="511"/>
      <c r="K23" s="518">
        <f>G23</f>
        <v>8153785.5951796668</v>
      </c>
      <c r="L23" s="519">
        <f t="shared" si="6"/>
        <v>0</v>
      </c>
      <c r="M23" s="518">
        <f>H23</f>
        <v>8153785.5951796668</v>
      </c>
      <c r="N23" s="514">
        <f t="shared" si="7"/>
        <v>0</v>
      </c>
      <c r="O23" s="514">
        <f t="shared" si="8"/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508">
        <v>52051065.417808257</v>
      </c>
      <c r="E24" s="516">
        <v>1446482.6341463414</v>
      </c>
      <c r="F24" s="508">
        <v>50604582.783661917</v>
      </c>
      <c r="G24" s="516">
        <v>7969946.1881774617</v>
      </c>
      <c r="H24" s="510">
        <v>7969946.1881774617</v>
      </c>
      <c r="I24" s="511">
        <f t="shared" si="9"/>
        <v>0</v>
      </c>
      <c r="J24" s="511"/>
      <c r="K24" s="518">
        <f>G24</f>
        <v>7969946.1881774617</v>
      </c>
      <c r="L24" s="519">
        <f t="shared" ref="L24" si="10">IF(K24&lt;&gt;0,+G24-K24,0)</f>
        <v>0</v>
      </c>
      <c r="M24" s="518">
        <f>H24</f>
        <v>7969946.1881774617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508">
        <v>50604582.783661917</v>
      </c>
      <c r="E25" s="516">
        <v>1446482.6341463414</v>
      </c>
      <c r="F25" s="508">
        <v>49158100.149515577</v>
      </c>
      <c r="G25" s="516">
        <v>6551112.4234461179</v>
      </c>
      <c r="H25" s="510">
        <v>6551112.4234461179</v>
      </c>
      <c r="I25" s="511">
        <f t="shared" si="9"/>
        <v>0</v>
      </c>
      <c r="J25" s="511"/>
      <c r="K25" s="518">
        <f>G25</f>
        <v>6551112.4234461179</v>
      </c>
      <c r="L25" s="519">
        <f t="shared" ref="L25" si="11">IF(K25&lt;&gt;0,+G25-K25,0)</f>
        <v>0</v>
      </c>
      <c r="M25" s="518">
        <f>H25</f>
        <v>6551112.4234461179</v>
      </c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508">
        <v>49225378.411568888</v>
      </c>
      <c r="E26" s="516">
        <v>1412042.5714285714</v>
      </c>
      <c r="F26" s="508">
        <v>47813335.840140313</v>
      </c>
      <c r="G26" s="516">
        <v>6555314.9493152928</v>
      </c>
      <c r="H26" s="510">
        <v>6555314.9493152928</v>
      </c>
      <c r="I26" s="511">
        <f t="shared" si="9"/>
        <v>0</v>
      </c>
      <c r="J26" s="511"/>
      <c r="K26" s="518">
        <f>G26</f>
        <v>6555314.9493152928</v>
      </c>
      <c r="L26" s="519">
        <f t="shared" ref="L26" si="12">IF(K26&lt;&gt;0,+G26-K26,0)</f>
        <v>0</v>
      </c>
      <c r="M26" s="518">
        <f>H26</f>
        <v>6555314.9493152928</v>
      </c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508">
        <v>47746057.578087002</v>
      </c>
      <c r="E27" s="516">
        <v>1412042.5714285714</v>
      </c>
      <c r="F27" s="508">
        <v>46334015.006658427</v>
      </c>
      <c r="G27" s="516">
        <v>6701416.9696712773</v>
      </c>
      <c r="H27" s="510">
        <v>6701416.9696712773</v>
      </c>
      <c r="I27" s="511">
        <f t="shared" si="9"/>
        <v>0</v>
      </c>
      <c r="J27" s="511"/>
      <c r="K27" s="518">
        <f>G27</f>
        <v>6701416.9696712773</v>
      </c>
      <c r="L27" s="519">
        <f t="shared" ref="L27" si="13">IF(K27&lt;&gt;0,+G27-K27,0)</f>
        <v>0</v>
      </c>
      <c r="M27" s="518">
        <f>H27</f>
        <v>6701416.9696712773</v>
      </c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2023</v>
      </c>
      <c r="D28" s="523">
        <f>IF(F27+SUM(E$17:E27)=D$10,F27,D$10-SUM(E$17:E27))</f>
        <v>46334014.906658441</v>
      </c>
      <c r="E28" s="522">
        <f>IF(+I14&lt;F27,I14,D28)</f>
        <v>1412042.5690476194</v>
      </c>
      <c r="F28" s="523">
        <f t="shared" ref="F28:F48" si="14">+D28-E28</f>
        <v>44921972.337610818</v>
      </c>
      <c r="G28" s="524">
        <f t="shared" ref="G28:G53" si="15">+I$12*((D28+F28)/2)+E28</f>
        <v>7176080.4452867946</v>
      </c>
      <c r="H28" s="491">
        <f t="shared" ref="H28:H53" si="16">+I$13*((D28+F28)/2)+E28</f>
        <v>7176080.4452867946</v>
      </c>
      <c r="I28" s="511">
        <f t="shared" si="9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44921972.337610818</v>
      </c>
      <c r="E29" s="522">
        <f>IF(+I14&lt;F28,I14,D29)</f>
        <v>1412042.5690476194</v>
      </c>
      <c r="F29" s="523">
        <f t="shared" si="14"/>
        <v>43509929.768563196</v>
      </c>
      <c r="G29" s="524">
        <f t="shared" si="15"/>
        <v>6997701.6430485081</v>
      </c>
      <c r="H29" s="491">
        <f t="shared" si="16"/>
        <v>6997701.6430485081</v>
      </c>
      <c r="I29" s="511">
        <f t="shared" si="9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43509929.768563196</v>
      </c>
      <c r="E30" s="522">
        <f>IF(+I14&lt;F29,I14,D30)</f>
        <v>1412042.5690476194</v>
      </c>
      <c r="F30" s="523">
        <f t="shared" si="14"/>
        <v>42097887.199515574</v>
      </c>
      <c r="G30" s="524">
        <f t="shared" si="15"/>
        <v>6819322.8408102207</v>
      </c>
      <c r="H30" s="491">
        <f t="shared" si="16"/>
        <v>6819322.8408102207</v>
      </c>
      <c r="I30" s="511">
        <f t="shared" si="9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42097887.199515574</v>
      </c>
      <c r="E31" s="522">
        <f>IF(+I14&lt;F30,I14,D31)</f>
        <v>1412042.5690476194</v>
      </c>
      <c r="F31" s="523">
        <f t="shared" si="14"/>
        <v>40685844.630467951</v>
      </c>
      <c r="G31" s="524">
        <f t="shared" si="15"/>
        <v>6640944.0385719342</v>
      </c>
      <c r="H31" s="491">
        <f t="shared" si="16"/>
        <v>6640944.0385719342</v>
      </c>
      <c r="I31" s="511">
        <f t="shared" si="9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40685844.630467951</v>
      </c>
      <c r="E32" s="522">
        <f>IF(+I14&lt;F31,I14,D32)</f>
        <v>1412042.5690476194</v>
      </c>
      <c r="F32" s="523">
        <f t="shared" si="14"/>
        <v>39273802.061420329</v>
      </c>
      <c r="G32" s="524">
        <f t="shared" si="15"/>
        <v>6462565.2363336468</v>
      </c>
      <c r="H32" s="491">
        <f t="shared" si="16"/>
        <v>6462565.2363336468</v>
      </c>
      <c r="I32" s="511">
        <f t="shared" si="9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39273802.061420329</v>
      </c>
      <c r="E33" s="522">
        <f>IF(+I14&lt;F32,I14,D33)</f>
        <v>1412042.5690476194</v>
      </c>
      <c r="F33" s="523">
        <f t="shared" si="14"/>
        <v>37861759.492372707</v>
      </c>
      <c r="G33" s="524">
        <f t="shared" si="15"/>
        <v>6284186.4340953613</v>
      </c>
      <c r="H33" s="491">
        <f t="shared" si="16"/>
        <v>6284186.4340953613</v>
      </c>
      <c r="I33" s="511">
        <f t="shared" si="9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37861759.492372707</v>
      </c>
      <c r="E34" s="522">
        <f>IF(+I14&lt;F33,I14,D34)</f>
        <v>1412042.5690476194</v>
      </c>
      <c r="F34" s="523">
        <f t="shared" si="14"/>
        <v>36449716.923325084</v>
      </c>
      <c r="G34" s="524">
        <f t="shared" si="15"/>
        <v>6105807.6318570729</v>
      </c>
      <c r="H34" s="491">
        <f t="shared" si="16"/>
        <v>6105807.6318570729</v>
      </c>
      <c r="I34" s="511">
        <f t="shared" si="9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36449716.923325084</v>
      </c>
      <c r="E35" s="522">
        <f>IF(+I14&lt;F34,I14,D35)</f>
        <v>1412042.5690476194</v>
      </c>
      <c r="F35" s="523">
        <f t="shared" si="14"/>
        <v>35037674.354277462</v>
      </c>
      <c r="G35" s="524">
        <f t="shared" si="15"/>
        <v>5927428.8296187874</v>
      </c>
      <c r="H35" s="491">
        <f t="shared" si="16"/>
        <v>5927428.8296187874</v>
      </c>
      <c r="I35" s="511">
        <f t="shared" si="9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35037674.354277462</v>
      </c>
      <c r="E36" s="522">
        <f>IF(+I14&lt;F35,I14,D36)</f>
        <v>1412042.5690476194</v>
      </c>
      <c r="F36" s="523">
        <f t="shared" si="14"/>
        <v>33625631.785229839</v>
      </c>
      <c r="G36" s="524">
        <f t="shared" si="15"/>
        <v>5749050.0273804991</v>
      </c>
      <c r="H36" s="491">
        <f t="shared" si="16"/>
        <v>5749050.0273804991</v>
      </c>
      <c r="I36" s="511">
        <f t="shared" si="9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33625631.785229839</v>
      </c>
      <c r="E37" s="522">
        <f>IF(+I14&lt;F36,I14,D37)</f>
        <v>1412042.5690476194</v>
      </c>
      <c r="F37" s="523">
        <f t="shared" si="14"/>
        <v>32213589.216182221</v>
      </c>
      <c r="G37" s="524">
        <f t="shared" si="15"/>
        <v>5570671.2251422135</v>
      </c>
      <c r="H37" s="491">
        <f t="shared" si="16"/>
        <v>5570671.2251422135</v>
      </c>
      <c r="I37" s="511">
        <f t="shared" si="9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32213589.216182221</v>
      </c>
      <c r="E38" s="522">
        <f>IF(+I14&lt;F37,I14,D38)</f>
        <v>1412042.5690476194</v>
      </c>
      <c r="F38" s="523">
        <f t="shared" si="14"/>
        <v>30801546.647134602</v>
      </c>
      <c r="G38" s="524">
        <f t="shared" si="15"/>
        <v>5392292.4229039261</v>
      </c>
      <c r="H38" s="491">
        <f t="shared" si="16"/>
        <v>5392292.4229039261</v>
      </c>
      <c r="I38" s="511">
        <f t="shared" si="9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30801546.647134602</v>
      </c>
      <c r="E39" s="522">
        <f>IF(+I14&lt;F38,I14,D39)</f>
        <v>1412042.5690476194</v>
      </c>
      <c r="F39" s="523">
        <f t="shared" si="14"/>
        <v>29389504.078086983</v>
      </c>
      <c r="G39" s="524">
        <f t="shared" si="15"/>
        <v>5213913.6206656406</v>
      </c>
      <c r="H39" s="491">
        <f t="shared" si="16"/>
        <v>5213913.6206656406</v>
      </c>
      <c r="I39" s="511">
        <f t="shared" si="9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29389504.078086983</v>
      </c>
      <c r="E40" s="522">
        <f>IF(+I14&lt;F39,I14,D40)</f>
        <v>1412042.5690476194</v>
      </c>
      <c r="F40" s="523">
        <f t="shared" si="14"/>
        <v>27977461.509039365</v>
      </c>
      <c r="G40" s="524">
        <f t="shared" si="15"/>
        <v>5035534.8184273541</v>
      </c>
      <c r="H40" s="491">
        <f t="shared" si="16"/>
        <v>5035534.8184273541</v>
      </c>
      <c r="I40" s="511">
        <f t="shared" si="9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27977461.509039365</v>
      </c>
      <c r="E41" s="522">
        <f>IF(+I14&lt;F40,I14,D41)</f>
        <v>1412042.5690476194</v>
      </c>
      <c r="F41" s="523">
        <f t="shared" si="14"/>
        <v>26565418.939991746</v>
      </c>
      <c r="G41" s="524">
        <f t="shared" si="15"/>
        <v>4857156.0161890676</v>
      </c>
      <c r="H41" s="491">
        <f t="shared" si="16"/>
        <v>4857156.0161890676</v>
      </c>
      <c r="I41" s="511">
        <f t="shared" si="9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26565418.939991746</v>
      </c>
      <c r="E42" s="522">
        <f>IF(+I14&lt;F41,I14,D42)</f>
        <v>1412042.5690476194</v>
      </c>
      <c r="F42" s="523">
        <f t="shared" si="14"/>
        <v>25153376.370944127</v>
      </c>
      <c r="G42" s="524">
        <f t="shared" si="15"/>
        <v>4678777.2139507812</v>
      </c>
      <c r="H42" s="491">
        <f t="shared" si="16"/>
        <v>4678777.2139507812</v>
      </c>
      <c r="I42" s="511">
        <f t="shared" si="9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25153376.370944127</v>
      </c>
      <c r="E43" s="522">
        <f>IF(+I14&lt;F42,I14,D43)</f>
        <v>1412042.5690476194</v>
      </c>
      <c r="F43" s="523">
        <f t="shared" si="14"/>
        <v>23741333.801896509</v>
      </c>
      <c r="G43" s="524">
        <f t="shared" si="15"/>
        <v>4500398.4117124956</v>
      </c>
      <c r="H43" s="491">
        <f t="shared" si="16"/>
        <v>4500398.4117124956</v>
      </c>
      <c r="I43" s="511">
        <f t="shared" si="9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23741333.801896509</v>
      </c>
      <c r="E44" s="522">
        <f>IF(+I14&lt;F43,I14,D44)</f>
        <v>1412042.5690476194</v>
      </c>
      <c r="F44" s="523">
        <f t="shared" si="14"/>
        <v>22329291.23284889</v>
      </c>
      <c r="G44" s="524">
        <f t="shared" si="15"/>
        <v>4322019.6094742082</v>
      </c>
      <c r="H44" s="491">
        <f t="shared" si="16"/>
        <v>4322019.6094742082</v>
      </c>
      <c r="I44" s="511">
        <f t="shared" si="9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22329291.23284889</v>
      </c>
      <c r="E45" s="522">
        <f>IF(+I14&lt;F44,I14,D45)</f>
        <v>1412042.5690476194</v>
      </c>
      <c r="F45" s="523">
        <f t="shared" si="14"/>
        <v>20917248.663801271</v>
      </c>
      <c r="G45" s="524">
        <f t="shared" si="15"/>
        <v>4143640.8072359227</v>
      </c>
      <c r="H45" s="491">
        <f t="shared" si="16"/>
        <v>4143640.8072359227</v>
      </c>
      <c r="I45" s="511">
        <f t="shared" si="9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20917248.663801271</v>
      </c>
      <c r="E46" s="522">
        <f>IF(+I14&lt;F45,I14,D46)</f>
        <v>1412042.5690476194</v>
      </c>
      <c r="F46" s="523">
        <f t="shared" si="14"/>
        <v>19505206.094753653</v>
      </c>
      <c r="G46" s="524">
        <f t="shared" si="15"/>
        <v>3965262.0049976353</v>
      </c>
      <c r="H46" s="491">
        <f t="shared" si="16"/>
        <v>3965262.0049976353</v>
      </c>
      <c r="I46" s="511">
        <f t="shared" si="9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19505206.094753653</v>
      </c>
      <c r="E47" s="522">
        <f>IF(+I14&lt;F46,I14,D47)</f>
        <v>1412042.5690476194</v>
      </c>
      <c r="F47" s="523">
        <f t="shared" si="14"/>
        <v>18093163.525706034</v>
      </c>
      <c r="G47" s="524">
        <f t="shared" si="15"/>
        <v>3786883.2027593497</v>
      </c>
      <c r="H47" s="491">
        <f t="shared" si="16"/>
        <v>3786883.2027593497</v>
      </c>
      <c r="I47" s="511">
        <f t="shared" si="9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18093163.525706034</v>
      </c>
      <c r="E48" s="522">
        <f>IF(+I14&lt;F47,I14,D48)</f>
        <v>1412042.5690476194</v>
      </c>
      <c r="F48" s="523">
        <f t="shared" si="14"/>
        <v>16681120.956658415</v>
      </c>
      <c r="G48" s="524">
        <f t="shared" si="15"/>
        <v>3608504.4005210632</v>
      </c>
      <c r="H48" s="491">
        <f t="shared" si="16"/>
        <v>3608504.4005210632</v>
      </c>
      <c r="I48" s="511">
        <f t="shared" si="9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7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16681120.956658415</v>
      </c>
      <c r="E49" s="522">
        <f>IF(+I14&lt;F48,I14,D49)</f>
        <v>1412042.5690476194</v>
      </c>
      <c r="F49" s="523">
        <f t="shared" ref="F49:F72" si="17">+D49-E49</f>
        <v>15269078.387610797</v>
      </c>
      <c r="G49" s="524">
        <f t="shared" si="15"/>
        <v>3430125.5982827768</v>
      </c>
      <c r="H49" s="491">
        <f t="shared" si="16"/>
        <v>3430125.5982827768</v>
      </c>
      <c r="I49" s="511">
        <f t="shared" ref="I49:I72" si="18">H49-G49</f>
        <v>0</v>
      </c>
      <c r="J49" s="511"/>
      <c r="K49" s="525"/>
      <c r="L49" s="514">
        <f t="shared" ref="L49:L72" si="19">IF(K49&lt;&gt;0,+G49-K49,0)</f>
        <v>0</v>
      </c>
      <c r="M49" s="525"/>
      <c r="N49" s="514">
        <f t="shared" ref="N49:N72" si="20">IF(M49&lt;&gt;0,+H49-M49,0)</f>
        <v>0</v>
      </c>
      <c r="O49" s="514">
        <f t="shared" ref="O49:O72" si="21">+N49-L49</f>
        <v>0</v>
      </c>
      <c r="P49" s="272"/>
    </row>
    <row r="50" spans="2:17" ht="12.5">
      <c r="B50" s="195" t="str">
        <f t="shared" ref="B50:B72" si="22">IF(D50=F49,"","IU")</f>
        <v/>
      </c>
      <c r="C50" s="507">
        <f>IF(D11="","-",+C49+1)</f>
        <v>2045</v>
      </c>
      <c r="D50" s="523">
        <f>IF(F49+SUM(E$17:E49)=D$10,F49,D$10-SUM(E$17:E49))</f>
        <v>15269078.387610797</v>
      </c>
      <c r="E50" s="522">
        <f>IF(+I14&lt;F49,I14,D50)</f>
        <v>1412042.5690476194</v>
      </c>
      <c r="F50" s="523">
        <f t="shared" si="17"/>
        <v>13857035.818563178</v>
      </c>
      <c r="G50" s="524">
        <f t="shared" si="15"/>
        <v>3251746.7960444903</v>
      </c>
      <c r="H50" s="491">
        <f t="shared" si="16"/>
        <v>3251746.7960444903</v>
      </c>
      <c r="I50" s="511">
        <f t="shared" si="18"/>
        <v>0</v>
      </c>
      <c r="J50" s="511"/>
      <c r="K50" s="525"/>
      <c r="L50" s="514">
        <f t="shared" si="19"/>
        <v>0</v>
      </c>
      <c r="M50" s="525"/>
      <c r="N50" s="514">
        <f t="shared" si="20"/>
        <v>0</v>
      </c>
      <c r="O50" s="514">
        <f t="shared" si="21"/>
        <v>0</v>
      </c>
      <c r="P50" s="272"/>
    </row>
    <row r="51" spans="2:17" ht="12.5">
      <c r="B51" s="195" t="str">
        <f t="shared" si="22"/>
        <v/>
      </c>
      <c r="C51" s="507">
        <f>IF(D11="","-",+C50+1)</f>
        <v>2046</v>
      </c>
      <c r="D51" s="523">
        <f>IF(F50+SUM(E$17:E50)=D$10,F50,D$10-SUM(E$17:E50))</f>
        <v>13857035.818563178</v>
      </c>
      <c r="E51" s="522">
        <f>IF(+I14&lt;F50,I14,D51)</f>
        <v>1412042.5690476194</v>
      </c>
      <c r="F51" s="523">
        <f t="shared" si="17"/>
        <v>12444993.24951556</v>
      </c>
      <c r="G51" s="524">
        <f t="shared" si="15"/>
        <v>3073367.9938062038</v>
      </c>
      <c r="H51" s="491">
        <f t="shared" si="16"/>
        <v>3073367.9938062038</v>
      </c>
      <c r="I51" s="511">
        <f t="shared" si="18"/>
        <v>0</v>
      </c>
      <c r="J51" s="511"/>
      <c r="K51" s="525"/>
      <c r="L51" s="514">
        <f t="shared" si="19"/>
        <v>0</v>
      </c>
      <c r="M51" s="525"/>
      <c r="N51" s="514">
        <f t="shared" si="20"/>
        <v>0</v>
      </c>
      <c r="O51" s="514">
        <f t="shared" si="21"/>
        <v>0</v>
      </c>
      <c r="P51" s="272"/>
    </row>
    <row r="52" spans="2:17" ht="12.5">
      <c r="B52" s="195" t="str">
        <f t="shared" si="22"/>
        <v/>
      </c>
      <c r="C52" s="507">
        <f>IF(D11="","-",+C51+1)</f>
        <v>2047</v>
      </c>
      <c r="D52" s="523">
        <f>IF(F51+SUM(E$17:E51)=D$10,F51,D$10-SUM(E$17:E51))</f>
        <v>12444993.24951556</v>
      </c>
      <c r="E52" s="522">
        <f>IF(+I14&lt;F51,I14,D52)</f>
        <v>1412042.5690476194</v>
      </c>
      <c r="F52" s="523">
        <f t="shared" si="17"/>
        <v>11032950.680467941</v>
      </c>
      <c r="G52" s="524">
        <f t="shared" si="15"/>
        <v>2894989.1915679174</v>
      </c>
      <c r="H52" s="491">
        <f t="shared" si="16"/>
        <v>2894989.1915679174</v>
      </c>
      <c r="I52" s="511">
        <f t="shared" si="18"/>
        <v>0</v>
      </c>
      <c r="J52" s="511"/>
      <c r="K52" s="525"/>
      <c r="L52" s="514">
        <f t="shared" si="19"/>
        <v>0</v>
      </c>
      <c r="M52" s="525"/>
      <c r="N52" s="514">
        <f t="shared" si="20"/>
        <v>0</v>
      </c>
      <c r="O52" s="514">
        <f t="shared" si="21"/>
        <v>0</v>
      </c>
      <c r="P52" s="272"/>
    </row>
    <row r="53" spans="2:17" ht="12.5">
      <c r="B53" s="195" t="str">
        <f t="shared" si="22"/>
        <v/>
      </c>
      <c r="C53" s="507">
        <f>IF(D11="","-",+C52+1)</f>
        <v>2048</v>
      </c>
      <c r="D53" s="523">
        <f>IF(F52+SUM(E$17:E52)=D$10,F52,D$10-SUM(E$17:E52))</f>
        <v>11032950.680467941</v>
      </c>
      <c r="E53" s="522">
        <f>IF(+I14&lt;F52,I14,D53)</f>
        <v>1412042.5690476194</v>
      </c>
      <c r="F53" s="523">
        <f t="shared" si="17"/>
        <v>9620908.1114203222</v>
      </c>
      <c r="G53" s="524">
        <f t="shared" si="15"/>
        <v>2716610.3893296313</v>
      </c>
      <c r="H53" s="491">
        <f t="shared" si="16"/>
        <v>2716610.3893296313</v>
      </c>
      <c r="I53" s="511">
        <f t="shared" si="18"/>
        <v>0</v>
      </c>
      <c r="J53" s="511"/>
      <c r="K53" s="525"/>
      <c r="L53" s="514">
        <f t="shared" si="19"/>
        <v>0</v>
      </c>
      <c r="M53" s="525"/>
      <c r="N53" s="514">
        <f t="shared" si="20"/>
        <v>0</v>
      </c>
      <c r="O53" s="514">
        <f t="shared" si="21"/>
        <v>0</v>
      </c>
      <c r="P53" s="272"/>
    </row>
    <row r="54" spans="2:17" ht="12.5">
      <c r="B54" s="195" t="str">
        <f t="shared" si="22"/>
        <v/>
      </c>
      <c r="C54" s="507">
        <f>IF(D11="","-",+C53+1)</f>
        <v>2049</v>
      </c>
      <c r="D54" s="523">
        <f>IF(F53+SUM(E$17:E53)=D$10,F53,D$10-SUM(E$17:E53))</f>
        <v>9620908.1114203222</v>
      </c>
      <c r="E54" s="522">
        <f>IF(+I14&lt;F53,I14,D54)</f>
        <v>1412042.5690476194</v>
      </c>
      <c r="F54" s="523">
        <f t="shared" si="17"/>
        <v>8208865.5423727026</v>
      </c>
      <c r="G54" s="524">
        <f t="shared" ref="G54:G72" si="23">+I$12*((D54+F54)/2)+E54</f>
        <v>2538231.5870913449</v>
      </c>
      <c r="H54" s="491">
        <f t="shared" ref="H54:H72" si="24">+I$13*((D54+F54)/2)+E54</f>
        <v>2538231.5870913449</v>
      </c>
      <c r="I54" s="511">
        <f t="shared" si="18"/>
        <v>0</v>
      </c>
      <c r="J54" s="511"/>
      <c r="K54" s="525"/>
      <c r="L54" s="514">
        <f t="shared" si="19"/>
        <v>0</v>
      </c>
      <c r="M54" s="525"/>
      <c r="N54" s="514">
        <f t="shared" si="20"/>
        <v>0</v>
      </c>
      <c r="O54" s="514">
        <f t="shared" si="21"/>
        <v>0</v>
      </c>
      <c r="P54" s="272"/>
    </row>
    <row r="55" spans="2:17" ht="12.5">
      <c r="B55" s="195" t="str">
        <f t="shared" si="22"/>
        <v/>
      </c>
      <c r="C55" s="507">
        <f>IF(D11="","-",+C54+1)</f>
        <v>2050</v>
      </c>
      <c r="D55" s="523">
        <f>IF(F54+SUM(E$17:E54)=D$10,F54,D$10-SUM(E$17:E54))</f>
        <v>8208865.5423727026</v>
      </c>
      <c r="E55" s="522">
        <f>IF(+I14&lt;F54,I14,D55)</f>
        <v>1412042.5690476194</v>
      </c>
      <c r="F55" s="523">
        <f t="shared" si="17"/>
        <v>6796822.973325083</v>
      </c>
      <c r="G55" s="524">
        <f t="shared" si="23"/>
        <v>2359852.7848530584</v>
      </c>
      <c r="H55" s="491">
        <f t="shared" si="24"/>
        <v>2359852.7848530584</v>
      </c>
      <c r="I55" s="511">
        <f t="shared" si="18"/>
        <v>0</v>
      </c>
      <c r="J55" s="511"/>
      <c r="K55" s="525"/>
      <c r="L55" s="514">
        <f t="shared" si="19"/>
        <v>0</v>
      </c>
      <c r="M55" s="525"/>
      <c r="N55" s="514">
        <f t="shared" si="20"/>
        <v>0</v>
      </c>
      <c r="O55" s="514">
        <f t="shared" si="21"/>
        <v>0</v>
      </c>
      <c r="P55" s="272"/>
    </row>
    <row r="56" spans="2:17" ht="12.5">
      <c r="B56" s="195" t="str">
        <f t="shared" si="22"/>
        <v/>
      </c>
      <c r="C56" s="507">
        <f>IF(D11="","-",+C55+1)</f>
        <v>2051</v>
      </c>
      <c r="D56" s="523">
        <f>IF(F55+SUM(E$17:E55)=D$10,F55,D$10-SUM(E$17:E55))</f>
        <v>6796822.973325083</v>
      </c>
      <c r="E56" s="522">
        <f>IF(+I14&lt;F55,I14,D56)</f>
        <v>1412042.5690476194</v>
      </c>
      <c r="F56" s="523">
        <f t="shared" si="17"/>
        <v>5384780.4042774634</v>
      </c>
      <c r="G56" s="524">
        <f t="shared" si="23"/>
        <v>2181473.9826147719</v>
      </c>
      <c r="H56" s="491">
        <f t="shared" si="24"/>
        <v>2181473.9826147719</v>
      </c>
      <c r="I56" s="511">
        <f t="shared" si="18"/>
        <v>0</v>
      </c>
      <c r="J56" s="511"/>
      <c r="K56" s="525"/>
      <c r="L56" s="514">
        <f t="shared" si="19"/>
        <v>0</v>
      </c>
      <c r="M56" s="525"/>
      <c r="N56" s="514">
        <f t="shared" si="20"/>
        <v>0</v>
      </c>
      <c r="O56" s="514">
        <f t="shared" si="21"/>
        <v>0</v>
      </c>
      <c r="P56" s="272"/>
    </row>
    <row r="57" spans="2:17" ht="12.5">
      <c r="B57" s="195" t="str">
        <f t="shared" si="22"/>
        <v/>
      </c>
      <c r="C57" s="507">
        <f>IF(D11="","-",+C56+1)</f>
        <v>2052</v>
      </c>
      <c r="D57" s="523">
        <f>IF(F56+SUM(E$17:E56)=D$10,F56,D$10-SUM(E$17:E56))</f>
        <v>5384780.4042774634</v>
      </c>
      <c r="E57" s="522">
        <f>IF(+I14&lt;F56,I14,D57)</f>
        <v>1412042.5690476194</v>
      </c>
      <c r="F57" s="523">
        <f t="shared" si="17"/>
        <v>3972737.8352298439</v>
      </c>
      <c r="G57" s="524">
        <f t="shared" si="23"/>
        <v>2003095.1803764855</v>
      </c>
      <c r="H57" s="491">
        <f t="shared" si="24"/>
        <v>2003095.1803764855</v>
      </c>
      <c r="I57" s="511">
        <f t="shared" si="18"/>
        <v>0</v>
      </c>
      <c r="J57" s="511"/>
      <c r="K57" s="525"/>
      <c r="L57" s="514">
        <f t="shared" si="19"/>
        <v>0</v>
      </c>
      <c r="M57" s="525"/>
      <c r="N57" s="514">
        <f t="shared" si="20"/>
        <v>0</v>
      </c>
      <c r="O57" s="514">
        <f t="shared" si="21"/>
        <v>0</v>
      </c>
      <c r="P57" s="272"/>
    </row>
    <row r="58" spans="2:17" ht="12.5">
      <c r="B58" s="195" t="str">
        <f t="shared" si="22"/>
        <v/>
      </c>
      <c r="C58" s="507">
        <f>IF(D11="","-",+C57+1)</f>
        <v>2053</v>
      </c>
      <c r="D58" s="523">
        <f>IF(F57+SUM(E$17:E57)=D$10,F57,D$10-SUM(E$17:E57))</f>
        <v>3972737.8352298439</v>
      </c>
      <c r="E58" s="522">
        <f>IF(+I14&lt;F57,I14,D58)</f>
        <v>1412042.5690476194</v>
      </c>
      <c r="F58" s="523">
        <f t="shared" si="17"/>
        <v>2560695.2661822243</v>
      </c>
      <c r="G58" s="524">
        <f t="shared" si="23"/>
        <v>1824716.378138199</v>
      </c>
      <c r="H58" s="491">
        <f t="shared" si="24"/>
        <v>1824716.378138199</v>
      </c>
      <c r="I58" s="511">
        <f t="shared" si="18"/>
        <v>0</v>
      </c>
      <c r="J58" s="511"/>
      <c r="K58" s="525"/>
      <c r="L58" s="514">
        <f t="shared" si="19"/>
        <v>0</v>
      </c>
      <c r="M58" s="525"/>
      <c r="N58" s="514">
        <f t="shared" si="20"/>
        <v>0</v>
      </c>
      <c r="O58" s="514">
        <f t="shared" si="2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22"/>
        <v/>
      </c>
      <c r="C59" s="507">
        <f>IF(D11="","-",+C58+1)</f>
        <v>2054</v>
      </c>
      <c r="D59" s="523">
        <f>IF(F58+SUM(E$17:E58)=D$10,F58,D$10-SUM(E$17:E58))</f>
        <v>2560695.2661822243</v>
      </c>
      <c r="E59" s="522">
        <f>IF(+I14&lt;F58,I14,D59)</f>
        <v>1412042.5690476194</v>
      </c>
      <c r="F59" s="523">
        <f t="shared" si="17"/>
        <v>1148652.6971346049</v>
      </c>
      <c r="G59" s="524">
        <f t="shared" si="23"/>
        <v>1646337.5758999125</v>
      </c>
      <c r="H59" s="491">
        <f t="shared" si="24"/>
        <v>1646337.5758999125</v>
      </c>
      <c r="I59" s="511">
        <f t="shared" si="18"/>
        <v>0</v>
      </c>
      <c r="J59" s="511"/>
      <c r="K59" s="525"/>
      <c r="L59" s="514">
        <f t="shared" si="19"/>
        <v>0</v>
      </c>
      <c r="M59" s="525"/>
      <c r="N59" s="514">
        <f t="shared" si="20"/>
        <v>0</v>
      </c>
      <c r="O59" s="514">
        <f t="shared" si="21"/>
        <v>0</v>
      </c>
      <c r="P59" s="272"/>
    </row>
    <row r="60" spans="2:17" ht="12.5">
      <c r="B60" s="195" t="str">
        <f t="shared" si="22"/>
        <v/>
      </c>
      <c r="C60" s="507">
        <f>IF(D11="","-",+C59+1)</f>
        <v>2055</v>
      </c>
      <c r="D60" s="523">
        <f>IF(F59+SUM(E$17:E59)=D$10,F59,D$10-SUM(E$17:E59))</f>
        <v>1148652.6971346049</v>
      </c>
      <c r="E60" s="522">
        <f>IF(+I14&lt;F59,I14,D60)</f>
        <v>1148652.6971346049</v>
      </c>
      <c r="F60" s="523">
        <f t="shared" si="17"/>
        <v>0</v>
      </c>
      <c r="G60" s="524">
        <f t="shared" si="23"/>
        <v>1221205.50000118</v>
      </c>
      <c r="H60" s="491">
        <f t="shared" si="24"/>
        <v>1221205.50000118</v>
      </c>
      <c r="I60" s="511">
        <f t="shared" si="18"/>
        <v>0</v>
      </c>
      <c r="J60" s="511"/>
      <c r="K60" s="525"/>
      <c r="L60" s="514">
        <f t="shared" si="19"/>
        <v>0</v>
      </c>
      <c r="M60" s="525"/>
      <c r="N60" s="514">
        <f t="shared" si="20"/>
        <v>0</v>
      </c>
      <c r="O60" s="514">
        <f t="shared" si="21"/>
        <v>0</v>
      </c>
      <c r="P60" s="272"/>
    </row>
    <row r="61" spans="2:17" ht="12.5">
      <c r="B61" s="195" t="str">
        <f t="shared" si="22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7"/>
        <v>0</v>
      </c>
      <c r="G61" s="526">
        <f t="shared" si="23"/>
        <v>0</v>
      </c>
      <c r="H61" s="491">
        <f t="shared" si="24"/>
        <v>0</v>
      </c>
      <c r="I61" s="511">
        <f t="shared" si="18"/>
        <v>0</v>
      </c>
      <c r="J61" s="511"/>
      <c r="K61" s="525"/>
      <c r="L61" s="514">
        <f t="shared" si="19"/>
        <v>0</v>
      </c>
      <c r="M61" s="525"/>
      <c r="N61" s="514">
        <f t="shared" si="20"/>
        <v>0</v>
      </c>
      <c r="O61" s="514">
        <f t="shared" si="21"/>
        <v>0</v>
      </c>
      <c r="P61" s="272"/>
    </row>
    <row r="62" spans="2:17" ht="12.5">
      <c r="B62" s="195" t="str">
        <f t="shared" si="22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7"/>
        <v>0</v>
      </c>
      <c r="G62" s="526">
        <f t="shared" si="23"/>
        <v>0</v>
      </c>
      <c r="H62" s="491">
        <f t="shared" si="24"/>
        <v>0</v>
      </c>
      <c r="I62" s="511">
        <f t="shared" si="18"/>
        <v>0</v>
      </c>
      <c r="J62" s="511"/>
      <c r="K62" s="525"/>
      <c r="L62" s="514">
        <f t="shared" si="19"/>
        <v>0</v>
      </c>
      <c r="M62" s="525"/>
      <c r="N62" s="514">
        <f t="shared" si="20"/>
        <v>0</v>
      </c>
      <c r="O62" s="514">
        <f t="shared" si="21"/>
        <v>0</v>
      </c>
      <c r="P62" s="272"/>
    </row>
    <row r="63" spans="2:17" ht="12.5">
      <c r="B63" s="195" t="str">
        <f t="shared" si="22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7"/>
        <v>0</v>
      </c>
      <c r="G63" s="526">
        <f t="shared" si="23"/>
        <v>0</v>
      </c>
      <c r="H63" s="491">
        <f t="shared" si="24"/>
        <v>0</v>
      </c>
      <c r="I63" s="511">
        <f t="shared" si="18"/>
        <v>0</v>
      </c>
      <c r="J63" s="511"/>
      <c r="K63" s="525"/>
      <c r="L63" s="514">
        <f t="shared" si="19"/>
        <v>0</v>
      </c>
      <c r="M63" s="525"/>
      <c r="N63" s="514">
        <f t="shared" si="20"/>
        <v>0</v>
      </c>
      <c r="O63" s="514">
        <f t="shared" si="21"/>
        <v>0</v>
      </c>
      <c r="P63" s="272"/>
    </row>
    <row r="64" spans="2:17" ht="12.5">
      <c r="B64" s="195" t="str">
        <f t="shared" si="22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7"/>
        <v>0</v>
      </c>
      <c r="G64" s="526">
        <f t="shared" si="23"/>
        <v>0</v>
      </c>
      <c r="H64" s="491">
        <f t="shared" si="24"/>
        <v>0</v>
      </c>
      <c r="I64" s="511">
        <f t="shared" si="18"/>
        <v>0</v>
      </c>
      <c r="J64" s="511"/>
      <c r="K64" s="525"/>
      <c r="L64" s="514">
        <f t="shared" si="19"/>
        <v>0</v>
      </c>
      <c r="M64" s="525"/>
      <c r="N64" s="514">
        <f t="shared" si="20"/>
        <v>0</v>
      </c>
      <c r="O64" s="514">
        <f t="shared" si="21"/>
        <v>0</v>
      </c>
      <c r="P64" s="272"/>
    </row>
    <row r="65" spans="1:16" ht="12.5">
      <c r="B65" s="195" t="str">
        <f t="shared" si="22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7"/>
        <v>0</v>
      </c>
      <c r="G65" s="526">
        <f t="shared" si="23"/>
        <v>0</v>
      </c>
      <c r="H65" s="491">
        <f t="shared" si="24"/>
        <v>0</v>
      </c>
      <c r="I65" s="511">
        <f t="shared" si="18"/>
        <v>0</v>
      </c>
      <c r="J65" s="511"/>
      <c r="K65" s="525"/>
      <c r="L65" s="514">
        <f t="shared" si="19"/>
        <v>0</v>
      </c>
      <c r="M65" s="525"/>
      <c r="N65" s="514">
        <f t="shared" si="20"/>
        <v>0</v>
      </c>
      <c r="O65" s="514">
        <f t="shared" si="21"/>
        <v>0</v>
      </c>
      <c r="P65" s="272"/>
    </row>
    <row r="66" spans="1:16" ht="12.5">
      <c r="B66" s="195" t="str">
        <f t="shared" si="22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7"/>
        <v>0</v>
      </c>
      <c r="G66" s="526">
        <f t="shared" si="23"/>
        <v>0</v>
      </c>
      <c r="H66" s="491">
        <f t="shared" si="24"/>
        <v>0</v>
      </c>
      <c r="I66" s="511">
        <f t="shared" si="18"/>
        <v>0</v>
      </c>
      <c r="J66" s="511"/>
      <c r="K66" s="525"/>
      <c r="L66" s="514">
        <f t="shared" si="19"/>
        <v>0</v>
      </c>
      <c r="M66" s="525"/>
      <c r="N66" s="514">
        <f t="shared" si="20"/>
        <v>0</v>
      </c>
      <c r="O66" s="514">
        <f t="shared" si="21"/>
        <v>0</v>
      </c>
      <c r="P66" s="272"/>
    </row>
    <row r="67" spans="1:16" ht="12.5">
      <c r="B67" s="195" t="str">
        <f t="shared" si="22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7"/>
        <v>0</v>
      </c>
      <c r="G67" s="526">
        <f t="shared" si="23"/>
        <v>0</v>
      </c>
      <c r="H67" s="491">
        <f t="shared" si="24"/>
        <v>0</v>
      </c>
      <c r="I67" s="511">
        <f t="shared" si="18"/>
        <v>0</v>
      </c>
      <c r="J67" s="511"/>
      <c r="K67" s="525"/>
      <c r="L67" s="514">
        <f t="shared" si="19"/>
        <v>0</v>
      </c>
      <c r="M67" s="525"/>
      <c r="N67" s="514">
        <f t="shared" si="20"/>
        <v>0</v>
      </c>
      <c r="O67" s="514">
        <f t="shared" si="21"/>
        <v>0</v>
      </c>
      <c r="P67" s="272"/>
    </row>
    <row r="68" spans="1:16" ht="12.5">
      <c r="B68" s="195" t="str">
        <f t="shared" si="22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7"/>
        <v>0</v>
      </c>
      <c r="G68" s="526">
        <f t="shared" si="23"/>
        <v>0</v>
      </c>
      <c r="H68" s="491">
        <f t="shared" si="24"/>
        <v>0</v>
      </c>
      <c r="I68" s="511">
        <f t="shared" si="18"/>
        <v>0</v>
      </c>
      <c r="J68" s="511"/>
      <c r="K68" s="525"/>
      <c r="L68" s="514">
        <f t="shared" si="19"/>
        <v>0</v>
      </c>
      <c r="M68" s="525"/>
      <c r="N68" s="514">
        <f t="shared" si="20"/>
        <v>0</v>
      </c>
      <c r="O68" s="514">
        <f t="shared" si="21"/>
        <v>0</v>
      </c>
      <c r="P68" s="272"/>
    </row>
    <row r="69" spans="1:16" ht="12.5">
      <c r="B69" s="195" t="str">
        <f t="shared" si="22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7"/>
        <v>0</v>
      </c>
      <c r="G69" s="526">
        <f t="shared" si="23"/>
        <v>0</v>
      </c>
      <c r="H69" s="491">
        <f t="shared" si="24"/>
        <v>0</v>
      </c>
      <c r="I69" s="511">
        <f t="shared" si="18"/>
        <v>0</v>
      </c>
      <c r="J69" s="511"/>
      <c r="K69" s="525"/>
      <c r="L69" s="514">
        <f t="shared" si="19"/>
        <v>0</v>
      </c>
      <c r="M69" s="525"/>
      <c r="N69" s="514">
        <f t="shared" si="20"/>
        <v>0</v>
      </c>
      <c r="O69" s="514">
        <f t="shared" si="21"/>
        <v>0</v>
      </c>
      <c r="P69" s="272"/>
    </row>
    <row r="70" spans="1:16" ht="12.5">
      <c r="B70" s="195" t="str">
        <f t="shared" si="22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7"/>
        <v>0</v>
      </c>
      <c r="G70" s="526">
        <f t="shared" si="23"/>
        <v>0</v>
      </c>
      <c r="H70" s="491">
        <f t="shared" si="24"/>
        <v>0</v>
      </c>
      <c r="I70" s="511">
        <f t="shared" si="18"/>
        <v>0</v>
      </c>
      <c r="J70" s="511"/>
      <c r="K70" s="525"/>
      <c r="L70" s="514">
        <f t="shared" si="19"/>
        <v>0</v>
      </c>
      <c r="M70" s="525"/>
      <c r="N70" s="514">
        <f t="shared" si="20"/>
        <v>0</v>
      </c>
      <c r="O70" s="514">
        <f t="shared" si="21"/>
        <v>0</v>
      </c>
      <c r="P70" s="272"/>
    </row>
    <row r="71" spans="1:16" ht="12.5">
      <c r="B71" s="195" t="str">
        <f t="shared" si="22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7"/>
        <v>0</v>
      </c>
      <c r="G71" s="526">
        <f t="shared" si="23"/>
        <v>0</v>
      </c>
      <c r="H71" s="491">
        <f t="shared" si="24"/>
        <v>0</v>
      </c>
      <c r="I71" s="511">
        <f t="shared" si="18"/>
        <v>0</v>
      </c>
      <c r="J71" s="511"/>
      <c r="K71" s="525"/>
      <c r="L71" s="514">
        <f t="shared" si="19"/>
        <v>0</v>
      </c>
      <c r="M71" s="525"/>
      <c r="N71" s="514">
        <f t="shared" si="20"/>
        <v>0</v>
      </c>
      <c r="O71" s="514">
        <f t="shared" si="21"/>
        <v>0</v>
      </c>
      <c r="P71" s="272"/>
    </row>
    <row r="72" spans="1:16" ht="13" thickBot="1">
      <c r="B72" s="195" t="str">
        <f t="shared" si="22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7"/>
        <v>0</v>
      </c>
      <c r="G72" s="530">
        <f t="shared" si="23"/>
        <v>0</v>
      </c>
      <c r="H72" s="471">
        <f t="shared" si="24"/>
        <v>0</v>
      </c>
      <c r="I72" s="531">
        <f t="shared" si="18"/>
        <v>0</v>
      </c>
      <c r="J72" s="511"/>
      <c r="K72" s="532"/>
      <c r="L72" s="533">
        <f t="shared" si="19"/>
        <v>0</v>
      </c>
      <c r="M72" s="532"/>
      <c r="N72" s="533">
        <f t="shared" si="20"/>
        <v>0</v>
      </c>
      <c r="O72" s="533">
        <f t="shared" si="21"/>
        <v>0</v>
      </c>
      <c r="P72" s="272"/>
    </row>
    <row r="73" spans="1:16" ht="12.5">
      <c r="C73" s="374" t="s">
        <v>78</v>
      </c>
      <c r="D73" s="375"/>
      <c r="E73" s="375">
        <f>SUM(E17:E72)</f>
        <v>59305787.900000043</v>
      </c>
      <c r="F73" s="375"/>
      <c r="G73" s="375">
        <f>SUM(G17:G72)</f>
        <v>214409422.36949539</v>
      </c>
      <c r="H73" s="375">
        <f>SUM(H17:H72)</f>
        <v>214409422.36949539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33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6555314.9493152928</v>
      </c>
      <c r="N87" s="546">
        <f>IF(J92&lt;D11,0,VLOOKUP(J92,C17:O72,11))</f>
        <v>6555314.9493152928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6958608.7151588602</v>
      </c>
      <c r="N88" s="550">
        <f>IF(J92&lt;D11,0,VLOOKUP(J92,C99:P154,7))</f>
        <v>6958608.7151588602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620" t="str">
        <f>D7</f>
        <v xml:space="preserve"> Flint Creek-Shipe Road 345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403293.76584356744</v>
      </c>
      <c r="N89" s="555">
        <f>+N88-N87</f>
        <v>403293.76584356744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TP2008126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59305788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1446482.6341463414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2012</v>
      </c>
      <c r="D99" s="508">
        <v>0</v>
      </c>
      <c r="E99" s="516">
        <v>48831.630952380954</v>
      </c>
      <c r="F99" s="515">
        <v>4053025.3690476189</v>
      </c>
      <c r="G99" s="574">
        <v>2026512.6845238095</v>
      </c>
      <c r="H99" s="575">
        <v>347040.94031483348</v>
      </c>
      <c r="I99" s="576">
        <v>347040.94031483348</v>
      </c>
      <c r="J99" s="613">
        <f t="shared" ref="J99:J130" si="25">+I99-H99</f>
        <v>0</v>
      </c>
      <c r="K99" s="514"/>
      <c r="L99" s="512">
        <f t="shared" ref="L99:L104" si="26">H99</f>
        <v>347040.94031483348</v>
      </c>
      <c r="M99" s="597">
        <f t="shared" ref="M99:M130" si="27">IF(L99&lt;&gt;0,+H99-L99,0)</f>
        <v>0</v>
      </c>
      <c r="N99" s="512">
        <f t="shared" ref="N99:N104" si="28">I99</f>
        <v>347040.94031483348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 ht="12.5">
      <c r="B100" s="195" t="str">
        <f t="shared" ref="B100:B131" si="31">IF(D100=F99,"","IU")</f>
        <v>IU</v>
      </c>
      <c r="C100" s="507">
        <f>IF(D93="","-",+C99+1)</f>
        <v>2013</v>
      </c>
      <c r="D100" s="508">
        <v>8932602.3690476194</v>
      </c>
      <c r="E100" s="516">
        <v>213843.66666666666</v>
      </c>
      <c r="F100" s="515">
        <v>8718758.7023809534</v>
      </c>
      <c r="G100" s="515">
        <v>8825680.5357142873</v>
      </c>
      <c r="H100" s="575">
        <v>1407885.0103828101</v>
      </c>
      <c r="I100" s="576">
        <v>1407885.0103828101</v>
      </c>
      <c r="J100" s="613">
        <v>0</v>
      </c>
      <c r="K100" s="514"/>
      <c r="L100" s="518">
        <f t="shared" si="26"/>
        <v>1407885.0103828101</v>
      </c>
      <c r="M100" s="519">
        <f t="shared" ref="M100:M105" si="32">IF(L100&lt;&gt;0,+H100-L100,0)</f>
        <v>0</v>
      </c>
      <c r="N100" s="518">
        <f t="shared" si="28"/>
        <v>1407885.0103828101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si="31"/>
        <v>IU</v>
      </c>
      <c r="C101" s="507">
        <f>IF(D93="","-",+C100+1)</f>
        <v>2014</v>
      </c>
      <c r="D101" s="508">
        <v>57803227.702380955</v>
      </c>
      <c r="E101" s="516">
        <v>1382521.5</v>
      </c>
      <c r="F101" s="515">
        <v>56420706.202380955</v>
      </c>
      <c r="G101" s="515">
        <v>57111966.952380955</v>
      </c>
      <c r="H101" s="575">
        <v>9145377.6421220824</v>
      </c>
      <c r="I101" s="576">
        <v>9145377.6421220824</v>
      </c>
      <c r="J101" s="514">
        <v>0</v>
      </c>
      <c r="K101" s="514"/>
      <c r="L101" s="518">
        <f t="shared" si="26"/>
        <v>9145377.6421220824</v>
      </c>
      <c r="M101" s="519">
        <f t="shared" si="32"/>
        <v>0</v>
      </c>
      <c r="N101" s="518">
        <f t="shared" si="28"/>
        <v>9145377.6421220824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1"/>
        <v>IU</v>
      </c>
      <c r="C102" s="507">
        <f>IF(D93="","-",+C101+1)</f>
        <v>2015</v>
      </c>
      <c r="D102" s="508">
        <v>56479124.932380959</v>
      </c>
      <c r="E102" s="516">
        <v>1383912.4221428572</v>
      </c>
      <c r="F102" s="515">
        <v>55095212.510238104</v>
      </c>
      <c r="G102" s="515">
        <v>55787168.721309528</v>
      </c>
      <c r="H102" s="575">
        <v>8734925.0443726294</v>
      </c>
      <c r="I102" s="576">
        <v>8734925.0443726294</v>
      </c>
      <c r="J102" s="514">
        <f t="shared" si="25"/>
        <v>0</v>
      </c>
      <c r="K102" s="514"/>
      <c r="L102" s="518">
        <f t="shared" si="26"/>
        <v>8734925.0443726294</v>
      </c>
      <c r="M102" s="519">
        <f t="shared" si="32"/>
        <v>0</v>
      </c>
      <c r="N102" s="518">
        <f t="shared" si="28"/>
        <v>8734925.0443726294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1"/>
        <v>IU</v>
      </c>
      <c r="C103" s="507">
        <f>IF(D93="","-",+C102+1)</f>
        <v>2016</v>
      </c>
      <c r="D103" s="508">
        <v>56276678.780238092</v>
      </c>
      <c r="E103" s="516">
        <v>1379204.3720930233</v>
      </c>
      <c r="F103" s="515">
        <v>54897474.40814507</v>
      </c>
      <c r="G103" s="515">
        <v>55587076.594191581</v>
      </c>
      <c r="H103" s="575">
        <v>8435983.0947099216</v>
      </c>
      <c r="I103" s="576">
        <v>8435983.0947099216</v>
      </c>
      <c r="J103" s="514">
        <f t="shared" si="25"/>
        <v>0</v>
      </c>
      <c r="K103" s="514"/>
      <c r="L103" s="518">
        <f t="shared" si="26"/>
        <v>8435983.0947099216</v>
      </c>
      <c r="M103" s="519">
        <f t="shared" si="32"/>
        <v>0</v>
      </c>
      <c r="N103" s="518">
        <f t="shared" si="28"/>
        <v>8435983.0947099216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1"/>
        <v/>
      </c>
      <c r="C104" s="507">
        <f>IF(D93="","-",+C103+1)</f>
        <v>2017</v>
      </c>
      <c r="D104" s="508">
        <v>54897474.40814507</v>
      </c>
      <c r="E104" s="516">
        <v>1412042.5714285714</v>
      </c>
      <c r="F104" s="515">
        <v>53485431.836716495</v>
      </c>
      <c r="G104" s="515">
        <v>54191453.122430786</v>
      </c>
      <c r="H104" s="575">
        <v>7994757.3762234207</v>
      </c>
      <c r="I104" s="576">
        <v>7994757.3762234207</v>
      </c>
      <c r="J104" s="514">
        <f t="shared" si="25"/>
        <v>0</v>
      </c>
      <c r="K104" s="514"/>
      <c r="L104" s="518">
        <f t="shared" si="26"/>
        <v>7994757.3762234207</v>
      </c>
      <c r="M104" s="519">
        <f t="shared" si="32"/>
        <v>0</v>
      </c>
      <c r="N104" s="518">
        <f t="shared" si="28"/>
        <v>7994757.3762234207</v>
      </c>
      <c r="O104" s="514">
        <f>IF(N104&lt;&gt;0,+I104-N104,0)</f>
        <v>0</v>
      </c>
      <c r="P104" s="514">
        <f>+O104-M104</f>
        <v>0</v>
      </c>
      <c r="Q104" s="269"/>
    </row>
    <row r="105" spans="1:17" ht="12.5">
      <c r="B105" s="195" t="str">
        <f t="shared" si="31"/>
        <v/>
      </c>
      <c r="C105" s="507">
        <f>IF(D93="","-",+C104+1)</f>
        <v>2018</v>
      </c>
      <c r="D105" s="508">
        <v>53485431.836716495</v>
      </c>
      <c r="E105" s="516">
        <v>1412042.5714285714</v>
      </c>
      <c r="F105" s="515">
        <v>52073389.265287921</v>
      </c>
      <c r="G105" s="515">
        <v>52779410.551002204</v>
      </c>
      <c r="H105" s="575">
        <v>6985790.362479778</v>
      </c>
      <c r="I105" s="576">
        <v>6985790.362479778</v>
      </c>
      <c r="J105" s="514">
        <f t="shared" si="25"/>
        <v>0</v>
      </c>
      <c r="K105" s="514"/>
      <c r="L105" s="518">
        <f t="shared" ref="L105" si="33">H105</f>
        <v>6985790.362479778</v>
      </c>
      <c r="M105" s="519">
        <f t="shared" si="32"/>
        <v>0</v>
      </c>
      <c r="N105" s="518">
        <f t="shared" ref="N105" si="34">I105</f>
        <v>6985790.362479778</v>
      </c>
      <c r="O105" s="514">
        <f t="shared" si="29"/>
        <v>0</v>
      </c>
      <c r="P105" s="514">
        <f t="shared" si="30"/>
        <v>0</v>
      </c>
      <c r="Q105" s="269"/>
    </row>
    <row r="106" spans="1:17" ht="12.5">
      <c r="B106" s="195" t="str">
        <f t="shared" si="31"/>
        <v/>
      </c>
      <c r="C106" s="507">
        <f>IF(D93="","-",+C105+1)</f>
        <v>2019</v>
      </c>
      <c r="D106" s="508">
        <v>52073389.265287921</v>
      </c>
      <c r="E106" s="516">
        <v>1379204.3720930233</v>
      </c>
      <c r="F106" s="515">
        <v>50694184.893194899</v>
      </c>
      <c r="G106" s="515">
        <v>51383787.07924141</v>
      </c>
      <c r="H106" s="575">
        <v>6879353.0244559515</v>
      </c>
      <c r="I106" s="576">
        <v>6879353.0244559515</v>
      </c>
      <c r="J106" s="514">
        <f t="shared" si="25"/>
        <v>0</v>
      </c>
      <c r="K106" s="514"/>
      <c r="L106" s="518">
        <f t="shared" ref="L106:L107" si="35">H106</f>
        <v>6879353.0244559515</v>
      </c>
      <c r="M106" s="519">
        <f t="shared" ref="M106:M107" si="36">IF(L106&lt;&gt;0,+H106-L106,0)</f>
        <v>0</v>
      </c>
      <c r="N106" s="518">
        <f t="shared" ref="N106:N107" si="37">I106</f>
        <v>6879353.0244559515</v>
      </c>
      <c r="O106" s="514">
        <f t="shared" si="29"/>
        <v>0</v>
      </c>
      <c r="P106" s="514">
        <f t="shared" si="30"/>
        <v>0</v>
      </c>
      <c r="Q106" s="269"/>
    </row>
    <row r="107" spans="1:17" ht="12.5">
      <c r="B107" s="195" t="str">
        <f t="shared" si="31"/>
        <v/>
      </c>
      <c r="C107" s="507">
        <f>IF(D93="","-",+C106+1)</f>
        <v>2020</v>
      </c>
      <c r="D107" s="508">
        <v>50694184.893194899</v>
      </c>
      <c r="E107" s="516">
        <v>1412042.5714285714</v>
      </c>
      <c r="F107" s="515">
        <v>49282142.321766324</v>
      </c>
      <c r="G107" s="515">
        <v>49988163.607480615</v>
      </c>
      <c r="H107" s="575">
        <v>6789460.9103591554</v>
      </c>
      <c r="I107" s="576">
        <v>6789460.9103591554</v>
      </c>
      <c r="J107" s="514">
        <f t="shared" si="25"/>
        <v>0</v>
      </c>
      <c r="K107" s="514"/>
      <c r="L107" s="518">
        <f t="shared" si="35"/>
        <v>6789460.9103591554</v>
      </c>
      <c r="M107" s="519">
        <f t="shared" si="36"/>
        <v>0</v>
      </c>
      <c r="N107" s="518">
        <f t="shared" si="37"/>
        <v>6789460.9103591554</v>
      </c>
      <c r="O107" s="514">
        <f t="shared" si="29"/>
        <v>0</v>
      </c>
      <c r="P107" s="514">
        <f t="shared" si="30"/>
        <v>0</v>
      </c>
      <c r="Q107" s="269"/>
    </row>
    <row r="108" spans="1:17" ht="12.5">
      <c r="B108" s="195" t="str">
        <f t="shared" si="31"/>
        <v/>
      </c>
      <c r="C108" s="507">
        <f>IF(D93="","-",+C107+1)</f>
        <v>2021</v>
      </c>
      <c r="D108" s="374">
        <f>IF(F107+SUM(E$99:E107)=D$92,F107,D$92-SUM(E$99:E107))</f>
        <v>49282142.321766324</v>
      </c>
      <c r="E108" s="522">
        <f>IF(+J96&lt;F107,J96,D108)</f>
        <v>1446482.6341463414</v>
      </c>
      <c r="F108" s="523">
        <f t="shared" ref="F108:F131" si="38">+D108-E108</f>
        <v>47835659.687619984</v>
      </c>
      <c r="G108" s="523">
        <f t="shared" ref="G108:G130" si="39">+(F108+D108)/2</f>
        <v>48558901.004693151</v>
      </c>
      <c r="H108" s="526">
        <f t="shared" ref="H108:H130" si="40">+J$94*G108+E108</f>
        <v>6958608.7151588602</v>
      </c>
      <c r="I108" s="577">
        <f t="shared" ref="I108:I130" si="41">+J$95*G108+E108</f>
        <v>6958608.7151588602</v>
      </c>
      <c r="J108" s="514">
        <f t="shared" si="25"/>
        <v>0</v>
      </c>
      <c r="K108" s="514"/>
      <c r="L108" s="525"/>
      <c r="M108" s="514">
        <f t="shared" si="27"/>
        <v>0</v>
      </c>
      <c r="N108" s="525"/>
      <c r="O108" s="514">
        <f t="shared" si="29"/>
        <v>0</v>
      </c>
      <c r="P108" s="514">
        <f t="shared" si="30"/>
        <v>0</v>
      </c>
      <c r="Q108" s="269"/>
    </row>
    <row r="109" spans="1:17" ht="12.5">
      <c r="B109" s="195" t="str">
        <f t="shared" si="31"/>
        <v/>
      </c>
      <c r="C109" s="507">
        <f>IF(D93="","-",+C108+1)</f>
        <v>2022</v>
      </c>
      <c r="D109" s="374">
        <f>IF(F108+SUM(E$99:E108)=D$92,F108,D$92-SUM(E$99:E108))</f>
        <v>47835659.687619984</v>
      </c>
      <c r="E109" s="522">
        <f>IF(+J96&lt;F108,J96,D109)</f>
        <v>1446482.6341463414</v>
      </c>
      <c r="F109" s="523">
        <f t="shared" si="38"/>
        <v>46389177.053473644</v>
      </c>
      <c r="G109" s="523">
        <f t="shared" si="39"/>
        <v>47112418.370546818</v>
      </c>
      <c r="H109" s="526">
        <f t="shared" si="40"/>
        <v>6794412.357983497</v>
      </c>
      <c r="I109" s="577">
        <f t="shared" si="41"/>
        <v>6794412.357983497</v>
      </c>
      <c r="J109" s="514">
        <f t="shared" si="25"/>
        <v>0</v>
      </c>
      <c r="K109" s="514"/>
      <c r="L109" s="525"/>
      <c r="M109" s="514">
        <f t="shared" si="27"/>
        <v>0</v>
      </c>
      <c r="N109" s="525"/>
      <c r="O109" s="514">
        <f t="shared" si="29"/>
        <v>0</v>
      </c>
      <c r="P109" s="514">
        <f t="shared" si="30"/>
        <v>0</v>
      </c>
      <c r="Q109" s="269"/>
    </row>
    <row r="110" spans="1:17" ht="12.5">
      <c r="B110" s="195" t="str">
        <f t="shared" si="31"/>
        <v/>
      </c>
      <c r="C110" s="507">
        <f>IF(D93="","-",+C109+1)</f>
        <v>2023</v>
      </c>
      <c r="D110" s="374">
        <f>IF(F109+SUM(E$99:E109)=D$92,F109,D$92-SUM(E$99:E109))</f>
        <v>46389177.053473644</v>
      </c>
      <c r="E110" s="522">
        <f>IF(+J96&lt;F109,J96,D110)</f>
        <v>1446482.6341463414</v>
      </c>
      <c r="F110" s="523">
        <f t="shared" si="38"/>
        <v>44942694.419327304</v>
      </c>
      <c r="G110" s="523">
        <f t="shared" si="39"/>
        <v>45665935.73640047</v>
      </c>
      <c r="H110" s="526">
        <f t="shared" si="40"/>
        <v>6630216.0008081328</v>
      </c>
      <c r="I110" s="577">
        <f t="shared" si="41"/>
        <v>6630216.0008081328</v>
      </c>
      <c r="J110" s="514">
        <f t="shared" si="25"/>
        <v>0</v>
      </c>
      <c r="K110" s="514"/>
      <c r="L110" s="525"/>
      <c r="M110" s="514">
        <f t="shared" si="27"/>
        <v>0</v>
      </c>
      <c r="N110" s="525"/>
      <c r="O110" s="514">
        <f t="shared" si="29"/>
        <v>0</v>
      </c>
      <c r="P110" s="514">
        <f t="shared" si="30"/>
        <v>0</v>
      </c>
      <c r="Q110" s="269"/>
    </row>
    <row r="111" spans="1:17" ht="12.5">
      <c r="B111" s="195" t="str">
        <f t="shared" si="31"/>
        <v/>
      </c>
      <c r="C111" s="507">
        <f>IF(D93="","-",+C110+1)</f>
        <v>2024</v>
      </c>
      <c r="D111" s="374">
        <f>IF(F110+SUM(E$99:E110)=D$92,F110,D$92-SUM(E$99:E110))</f>
        <v>44942694.419327304</v>
      </c>
      <c r="E111" s="522">
        <f>IF(+J96&lt;F110,J96,D111)</f>
        <v>1446482.6341463414</v>
      </c>
      <c r="F111" s="523">
        <f t="shared" si="38"/>
        <v>43496211.785180964</v>
      </c>
      <c r="G111" s="523">
        <f t="shared" si="39"/>
        <v>44219453.102254137</v>
      </c>
      <c r="H111" s="526">
        <f t="shared" si="40"/>
        <v>6466019.6436327696</v>
      </c>
      <c r="I111" s="577">
        <f t="shared" si="41"/>
        <v>6466019.6436327696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 ht="12.5">
      <c r="B112" s="195" t="str">
        <f t="shared" si="31"/>
        <v/>
      </c>
      <c r="C112" s="507">
        <f>IF(D93="","-",+C111+1)</f>
        <v>2025</v>
      </c>
      <c r="D112" s="374">
        <f>IF(F111+SUM(E$99:E111)=D$92,F111,D$92-SUM(E$99:E111))</f>
        <v>43496211.785180964</v>
      </c>
      <c r="E112" s="522">
        <f>IF(+J96&lt;F111,J96,D112)</f>
        <v>1446482.6341463414</v>
      </c>
      <c r="F112" s="523">
        <f t="shared" si="38"/>
        <v>42049729.151034623</v>
      </c>
      <c r="G112" s="523">
        <f t="shared" si="39"/>
        <v>42772970.46810779</v>
      </c>
      <c r="H112" s="526">
        <f t="shared" si="40"/>
        <v>6301823.2864574045</v>
      </c>
      <c r="I112" s="577">
        <f t="shared" si="41"/>
        <v>6301823.2864574045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 ht="12.5">
      <c r="B113" s="195" t="str">
        <f t="shared" si="31"/>
        <v/>
      </c>
      <c r="C113" s="507">
        <f>IF(D93="","-",+C112+1)</f>
        <v>2026</v>
      </c>
      <c r="D113" s="374">
        <f>IF(F112+SUM(E$99:E112)=D$92,F112,D$92-SUM(E$99:E112))</f>
        <v>42049729.151034623</v>
      </c>
      <c r="E113" s="522">
        <f>IF(+J96&lt;F112,J96,D113)</f>
        <v>1446482.6341463414</v>
      </c>
      <c r="F113" s="523">
        <f t="shared" si="38"/>
        <v>40603246.516888283</v>
      </c>
      <c r="G113" s="523">
        <f t="shared" si="39"/>
        <v>41326487.833961457</v>
      </c>
      <c r="H113" s="526">
        <f t="shared" si="40"/>
        <v>6137626.9292820422</v>
      </c>
      <c r="I113" s="577">
        <f t="shared" si="41"/>
        <v>6137626.9292820422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 ht="12.5">
      <c r="B114" s="195" t="str">
        <f t="shared" si="31"/>
        <v/>
      </c>
      <c r="C114" s="507">
        <f>IF(D93="","-",+C113+1)</f>
        <v>2027</v>
      </c>
      <c r="D114" s="374">
        <f>IF(F113+SUM(E$99:E113)=D$92,F113,D$92-SUM(E$99:E113))</f>
        <v>40603246.516888283</v>
      </c>
      <c r="E114" s="522">
        <f>IF(+J96&lt;F113,J96,D114)</f>
        <v>1446482.6341463414</v>
      </c>
      <c r="F114" s="523">
        <f t="shared" si="38"/>
        <v>39156763.882741943</v>
      </c>
      <c r="G114" s="523">
        <f t="shared" si="39"/>
        <v>39880005.199815109</v>
      </c>
      <c r="H114" s="526">
        <f t="shared" si="40"/>
        <v>5973430.5721066771</v>
      </c>
      <c r="I114" s="577">
        <f t="shared" si="41"/>
        <v>5973430.5721066771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 ht="12.5">
      <c r="B115" s="195" t="str">
        <f t="shared" si="31"/>
        <v/>
      </c>
      <c r="C115" s="507">
        <f>IF(D93="","-",+C114+1)</f>
        <v>2028</v>
      </c>
      <c r="D115" s="374">
        <f>IF(F114+SUM(E$99:E114)=D$92,F114,D$92-SUM(E$99:E114))</f>
        <v>39156763.882741943</v>
      </c>
      <c r="E115" s="522">
        <f>IF(+J96&lt;F114,J96,D115)</f>
        <v>1446482.6341463414</v>
      </c>
      <c r="F115" s="523">
        <f t="shared" si="38"/>
        <v>37710281.248595603</v>
      </c>
      <c r="G115" s="523">
        <f t="shared" si="39"/>
        <v>38433522.565668777</v>
      </c>
      <c r="H115" s="526">
        <f t="shared" si="40"/>
        <v>5809234.2149313139</v>
      </c>
      <c r="I115" s="577">
        <f t="shared" si="41"/>
        <v>5809234.2149313139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 ht="12.5">
      <c r="B116" s="195" t="str">
        <f t="shared" si="31"/>
        <v/>
      </c>
      <c r="C116" s="507">
        <f>IF(D93="","-",+C115+1)</f>
        <v>2029</v>
      </c>
      <c r="D116" s="374">
        <f>IF(F115+SUM(E$99:E115)=D$92,F115,D$92-SUM(E$99:E115))</f>
        <v>37710281.248595603</v>
      </c>
      <c r="E116" s="522">
        <f>IF(+J96&lt;F115,J96,D116)</f>
        <v>1446482.6341463414</v>
      </c>
      <c r="F116" s="523">
        <f t="shared" si="38"/>
        <v>36263798.614449263</v>
      </c>
      <c r="G116" s="523">
        <f t="shared" si="39"/>
        <v>36987039.931522429</v>
      </c>
      <c r="H116" s="526">
        <f t="shared" si="40"/>
        <v>5645037.8577559497</v>
      </c>
      <c r="I116" s="577">
        <f t="shared" si="41"/>
        <v>5645037.8577559497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 ht="12.5">
      <c r="B117" s="195" t="str">
        <f t="shared" si="31"/>
        <v/>
      </c>
      <c r="C117" s="507">
        <f>IF(D93="","-",+C116+1)</f>
        <v>2030</v>
      </c>
      <c r="D117" s="374">
        <f>IF(F116+SUM(E$99:E116)=D$92,F116,D$92-SUM(E$99:E116))</f>
        <v>36263798.614449263</v>
      </c>
      <c r="E117" s="522">
        <f>IF(+J96&lt;F116,J96,D117)</f>
        <v>1446482.6341463414</v>
      </c>
      <c r="F117" s="523">
        <f t="shared" si="38"/>
        <v>34817315.980302922</v>
      </c>
      <c r="G117" s="523">
        <f t="shared" si="39"/>
        <v>35540557.297376096</v>
      </c>
      <c r="H117" s="526">
        <f t="shared" si="40"/>
        <v>5480841.5005805865</v>
      </c>
      <c r="I117" s="577">
        <f t="shared" si="41"/>
        <v>5480841.5005805865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 ht="12.5">
      <c r="B118" s="195" t="str">
        <f t="shared" si="31"/>
        <v/>
      </c>
      <c r="C118" s="507">
        <f>IF(D93="","-",+C117+1)</f>
        <v>2031</v>
      </c>
      <c r="D118" s="374">
        <f>IF(F117+SUM(E$99:E117)=D$92,F117,D$92-SUM(E$99:E117))</f>
        <v>34817315.980302922</v>
      </c>
      <c r="E118" s="522">
        <f>IF(+J96&lt;F117,J96,D118)</f>
        <v>1446482.6341463414</v>
      </c>
      <c r="F118" s="523">
        <f t="shared" si="38"/>
        <v>33370833.346156582</v>
      </c>
      <c r="G118" s="523">
        <f t="shared" si="39"/>
        <v>34094074.663229749</v>
      </c>
      <c r="H118" s="526">
        <f t="shared" si="40"/>
        <v>5316645.1434052214</v>
      </c>
      <c r="I118" s="577">
        <f t="shared" si="41"/>
        <v>5316645.1434052214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 ht="12.5">
      <c r="B119" s="195" t="str">
        <f t="shared" si="31"/>
        <v/>
      </c>
      <c r="C119" s="507">
        <f>IF(D93="","-",+C118+1)</f>
        <v>2032</v>
      </c>
      <c r="D119" s="374">
        <f>IF(F118+SUM(E$99:E118)=D$92,F118,D$92-SUM(E$99:E118))</f>
        <v>33370833.346156582</v>
      </c>
      <c r="E119" s="522">
        <f>IF(+J96&lt;F118,J96,D119)</f>
        <v>1446482.6341463414</v>
      </c>
      <c r="F119" s="523">
        <f t="shared" si="38"/>
        <v>31924350.712010242</v>
      </c>
      <c r="G119" s="523">
        <f t="shared" si="39"/>
        <v>32647592.029083412</v>
      </c>
      <c r="H119" s="526">
        <f t="shared" si="40"/>
        <v>5152448.7862298582</v>
      </c>
      <c r="I119" s="577">
        <f t="shared" si="41"/>
        <v>5152448.7862298582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 ht="12.5">
      <c r="B120" s="195" t="str">
        <f t="shared" si="31"/>
        <v/>
      </c>
      <c r="C120" s="507">
        <f>IF(D93="","-",+C119+1)</f>
        <v>2033</v>
      </c>
      <c r="D120" s="374">
        <f>IF(F119+SUM(E$99:E119)=D$92,F119,D$92-SUM(E$99:E119))</f>
        <v>31924350.712010242</v>
      </c>
      <c r="E120" s="522">
        <f>IF(+J96&lt;F119,J96,D120)</f>
        <v>1446482.6341463414</v>
      </c>
      <c r="F120" s="523">
        <f t="shared" si="38"/>
        <v>30477868.077863902</v>
      </c>
      <c r="G120" s="523">
        <f t="shared" si="39"/>
        <v>31201109.394937072</v>
      </c>
      <c r="H120" s="526">
        <f t="shared" si="40"/>
        <v>4988252.4290544949</v>
      </c>
      <c r="I120" s="577">
        <f t="shared" si="41"/>
        <v>4988252.4290544949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 ht="12.5">
      <c r="B121" s="195" t="str">
        <f t="shared" si="31"/>
        <v/>
      </c>
      <c r="C121" s="507">
        <f>IF(D93="","-",+C120+1)</f>
        <v>2034</v>
      </c>
      <c r="D121" s="374">
        <f>IF(F120+SUM(E$99:E120)=D$92,F120,D$92-SUM(E$99:E120))</f>
        <v>30477868.077863902</v>
      </c>
      <c r="E121" s="522">
        <f>IF(+J96&lt;F120,J96,D121)</f>
        <v>1446482.6341463414</v>
      </c>
      <c r="F121" s="523">
        <f t="shared" si="38"/>
        <v>29031385.443717562</v>
      </c>
      <c r="G121" s="523">
        <f t="shared" si="39"/>
        <v>29754626.760790732</v>
      </c>
      <c r="H121" s="526">
        <f t="shared" si="40"/>
        <v>4824056.0718791308</v>
      </c>
      <c r="I121" s="577">
        <f t="shared" si="41"/>
        <v>4824056.0718791308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 ht="12.5">
      <c r="B122" s="195" t="str">
        <f t="shared" si="31"/>
        <v/>
      </c>
      <c r="C122" s="507">
        <f>IF(D93="","-",+C121+1)</f>
        <v>2035</v>
      </c>
      <c r="D122" s="374">
        <f>IF(F121+SUM(E$99:E121)=D$92,F121,D$92-SUM(E$99:E121))</f>
        <v>29031385.443717562</v>
      </c>
      <c r="E122" s="522">
        <f>IF(+J96&lt;F121,J96,D122)</f>
        <v>1446482.6341463414</v>
      </c>
      <c r="F122" s="523">
        <f t="shared" si="38"/>
        <v>27584902.809571221</v>
      </c>
      <c r="G122" s="523">
        <f t="shared" si="39"/>
        <v>28308144.126644392</v>
      </c>
      <c r="H122" s="526">
        <f t="shared" si="40"/>
        <v>4659859.7147037666</v>
      </c>
      <c r="I122" s="577">
        <f t="shared" si="41"/>
        <v>4659859.7147037666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 ht="12.5">
      <c r="B123" s="195" t="str">
        <f t="shared" si="31"/>
        <v/>
      </c>
      <c r="C123" s="507">
        <f>IF(D93="","-",+C122+1)</f>
        <v>2036</v>
      </c>
      <c r="D123" s="374">
        <f>IF(F122+SUM(E$99:E122)=D$92,F122,D$92-SUM(E$99:E122))</f>
        <v>27584902.809571221</v>
      </c>
      <c r="E123" s="522">
        <f>IF(+J96&lt;F122,J96,D123)</f>
        <v>1446482.6341463414</v>
      </c>
      <c r="F123" s="523">
        <f t="shared" si="38"/>
        <v>26138420.175424881</v>
      </c>
      <c r="G123" s="523">
        <f t="shared" si="39"/>
        <v>26861661.492498051</v>
      </c>
      <c r="H123" s="526">
        <f t="shared" si="40"/>
        <v>4495663.3575284034</v>
      </c>
      <c r="I123" s="577">
        <f t="shared" si="41"/>
        <v>4495663.3575284034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 ht="12.5">
      <c r="B124" s="195" t="str">
        <f t="shared" si="31"/>
        <v/>
      </c>
      <c r="C124" s="507">
        <f>IF(D93="","-",+C123+1)</f>
        <v>2037</v>
      </c>
      <c r="D124" s="374">
        <f>IF(F123+SUM(E$99:E123)=D$92,F123,D$92-SUM(E$99:E123))</f>
        <v>26138420.175424881</v>
      </c>
      <c r="E124" s="522">
        <f>IF(+J96&lt;F123,J96,D124)</f>
        <v>1446482.6341463414</v>
      </c>
      <c r="F124" s="523">
        <f t="shared" si="38"/>
        <v>24691937.541278541</v>
      </c>
      <c r="G124" s="523">
        <f t="shared" si="39"/>
        <v>25415178.858351711</v>
      </c>
      <c r="H124" s="526">
        <f t="shared" si="40"/>
        <v>4331467.0003530392</v>
      </c>
      <c r="I124" s="577">
        <f t="shared" si="41"/>
        <v>4331467.0003530392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 ht="12.5">
      <c r="B125" s="195" t="str">
        <f t="shared" si="31"/>
        <v/>
      </c>
      <c r="C125" s="507">
        <f>IF(D93="","-",+C124+1)</f>
        <v>2038</v>
      </c>
      <c r="D125" s="374">
        <f>IF(F124+SUM(E$99:E124)=D$92,F124,D$92-SUM(E$99:E124))</f>
        <v>24691937.541278541</v>
      </c>
      <c r="E125" s="522">
        <f>IF(+J96&lt;F124,J96,D125)</f>
        <v>1446482.6341463414</v>
      </c>
      <c r="F125" s="523">
        <f t="shared" si="38"/>
        <v>23245454.907132201</v>
      </c>
      <c r="G125" s="523">
        <f t="shared" si="39"/>
        <v>23968696.224205371</v>
      </c>
      <c r="H125" s="526">
        <f t="shared" si="40"/>
        <v>4167270.6431776751</v>
      </c>
      <c r="I125" s="577">
        <f t="shared" si="41"/>
        <v>4167270.6431776751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 ht="12.5">
      <c r="B126" s="195" t="str">
        <f t="shared" si="31"/>
        <v/>
      </c>
      <c r="C126" s="507">
        <f>IF(D93="","-",+C125+1)</f>
        <v>2039</v>
      </c>
      <c r="D126" s="374">
        <f>IF(F125+SUM(E$99:E125)=D$92,F125,D$92-SUM(E$99:E125))</f>
        <v>23245454.907132201</v>
      </c>
      <c r="E126" s="522">
        <f>IF(+J96&lt;F125,J96,D126)</f>
        <v>1446482.6341463414</v>
      </c>
      <c r="F126" s="523">
        <f t="shared" si="38"/>
        <v>21798972.272985861</v>
      </c>
      <c r="G126" s="523">
        <f t="shared" si="39"/>
        <v>22522213.590059031</v>
      </c>
      <c r="H126" s="526">
        <f t="shared" si="40"/>
        <v>4003074.2860023109</v>
      </c>
      <c r="I126" s="577">
        <f t="shared" si="41"/>
        <v>4003074.2860023109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 ht="12.5">
      <c r="B127" s="195" t="str">
        <f t="shared" si="31"/>
        <v/>
      </c>
      <c r="C127" s="507">
        <f>IF(D93="","-",+C126+1)</f>
        <v>2040</v>
      </c>
      <c r="D127" s="374">
        <f>IF(F126+SUM(E$99:E126)=D$92,F126,D$92-SUM(E$99:E126))</f>
        <v>21798972.272985861</v>
      </c>
      <c r="E127" s="522">
        <f>IF(+J96&lt;F126,J96,D127)</f>
        <v>1446482.6341463414</v>
      </c>
      <c r="F127" s="523">
        <f t="shared" si="38"/>
        <v>20352489.638839521</v>
      </c>
      <c r="G127" s="523">
        <f t="shared" si="39"/>
        <v>21075730.955912691</v>
      </c>
      <c r="H127" s="526">
        <f t="shared" si="40"/>
        <v>3838877.9288269477</v>
      </c>
      <c r="I127" s="577">
        <f t="shared" si="41"/>
        <v>3838877.9288269477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 ht="12.5">
      <c r="B128" s="195" t="str">
        <f t="shared" si="31"/>
        <v/>
      </c>
      <c r="C128" s="507">
        <f>IF(D93="","-",+C127+1)</f>
        <v>2041</v>
      </c>
      <c r="D128" s="374">
        <f>IF(F127+SUM(E$99:E127)=D$92,F127,D$92-SUM(E$99:E127))</f>
        <v>20352489.638839521</v>
      </c>
      <c r="E128" s="522">
        <f>IF(+J96&lt;F127,J96,D128)</f>
        <v>1446482.6341463414</v>
      </c>
      <c r="F128" s="523">
        <f t="shared" si="38"/>
        <v>18906007.00469318</v>
      </c>
      <c r="G128" s="523">
        <f t="shared" si="39"/>
        <v>19629248.32176635</v>
      </c>
      <c r="H128" s="526">
        <f t="shared" si="40"/>
        <v>3674681.5716515835</v>
      </c>
      <c r="I128" s="577">
        <f t="shared" si="41"/>
        <v>3674681.5716515835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 ht="12.5">
      <c r="B129" s="195" t="str">
        <f t="shared" si="31"/>
        <v/>
      </c>
      <c r="C129" s="507">
        <f>IF(D93="","-",+C128+1)</f>
        <v>2042</v>
      </c>
      <c r="D129" s="374">
        <f>IF(F128+SUM(E$99:E128)=D$92,F128,D$92-SUM(E$99:E128))</f>
        <v>18906007.00469318</v>
      </c>
      <c r="E129" s="522">
        <f>IF(+J96&lt;F128,J96,D129)</f>
        <v>1446482.6341463414</v>
      </c>
      <c r="F129" s="523">
        <f t="shared" si="38"/>
        <v>17459524.37054684</v>
      </c>
      <c r="G129" s="523">
        <f t="shared" si="39"/>
        <v>18182765.68762001</v>
      </c>
      <c r="H129" s="526">
        <f t="shared" si="40"/>
        <v>3510485.2144762198</v>
      </c>
      <c r="I129" s="577">
        <f t="shared" si="41"/>
        <v>3510485.2144762198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 ht="12.5">
      <c r="B130" s="195" t="str">
        <f t="shared" si="31"/>
        <v/>
      </c>
      <c r="C130" s="507">
        <f>IF(D93="","-",+C129+1)</f>
        <v>2043</v>
      </c>
      <c r="D130" s="374">
        <f>IF(F129+SUM(E$99:E129)=D$92,F129,D$92-SUM(E$99:E129))</f>
        <v>17459524.37054684</v>
      </c>
      <c r="E130" s="522">
        <f>IF(+J96&lt;F129,J96,D130)</f>
        <v>1446482.6341463414</v>
      </c>
      <c r="F130" s="523">
        <f t="shared" si="38"/>
        <v>16013041.736400498</v>
      </c>
      <c r="G130" s="523">
        <f t="shared" si="39"/>
        <v>16736283.05347367</v>
      </c>
      <c r="H130" s="526">
        <f t="shared" si="40"/>
        <v>3346288.8573008562</v>
      </c>
      <c r="I130" s="577">
        <f t="shared" si="41"/>
        <v>3346288.8573008562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 ht="12.5">
      <c r="B131" s="195" t="str">
        <f t="shared" si="31"/>
        <v/>
      </c>
      <c r="C131" s="507">
        <f>IF(D93="","-",+C130+1)</f>
        <v>2044</v>
      </c>
      <c r="D131" s="374">
        <f>IF(F130+SUM(E$99:E130)=D$92,F130,D$92-SUM(E$99:E130))</f>
        <v>16013041.736400498</v>
      </c>
      <c r="E131" s="522">
        <f>IF(+J96&lt;F130,J96,D131)</f>
        <v>1446482.6341463414</v>
      </c>
      <c r="F131" s="523">
        <f t="shared" si="38"/>
        <v>14566559.102254156</v>
      </c>
      <c r="G131" s="523">
        <f t="shared" ref="G131:G154" si="42">+(F131+D131)/2</f>
        <v>15289800.419327326</v>
      </c>
      <c r="H131" s="526">
        <f t="shared" ref="H131:H154" si="43">+J$94*G131+E131</f>
        <v>3182092.5001254915</v>
      </c>
      <c r="I131" s="577">
        <f t="shared" ref="I131:I154" si="44">+J$95*G131+E131</f>
        <v>3182092.5001254915</v>
      </c>
      <c r="J131" s="514">
        <f t="shared" ref="J131:J154" si="45">+I131-H131</f>
        <v>0</v>
      </c>
      <c r="K131" s="514"/>
      <c r="L131" s="525"/>
      <c r="M131" s="514">
        <f t="shared" ref="M131:M154" si="46">IF(L131&lt;&gt;0,+H131-L131,0)</f>
        <v>0</v>
      </c>
      <c r="N131" s="525"/>
      <c r="O131" s="514">
        <f t="shared" ref="O131:O154" si="47">IF(N131&lt;&gt;0,+I131-N131,0)</f>
        <v>0</v>
      </c>
      <c r="P131" s="514">
        <f t="shared" ref="P131:P154" si="48">+O131-M131</f>
        <v>0</v>
      </c>
      <c r="Q131" s="269"/>
    </row>
    <row r="132" spans="2:17" ht="12.5">
      <c r="B132" s="195" t="str">
        <f t="shared" ref="B132:B154" si="49">IF(D132=F131,"","IU")</f>
        <v/>
      </c>
      <c r="C132" s="507">
        <f>IF(D93="","-",+C131+1)</f>
        <v>2045</v>
      </c>
      <c r="D132" s="374">
        <f>IF(F131+SUM(E$99:E131)=D$92,F131,D$92-SUM(E$99:E131))</f>
        <v>14566559.102254156</v>
      </c>
      <c r="E132" s="522">
        <f>IF(+J96&lt;F131,J96,D132)</f>
        <v>1446482.6341463414</v>
      </c>
      <c r="F132" s="523">
        <f t="shared" ref="F132:F154" si="50">+D132-E132</f>
        <v>13120076.468107814</v>
      </c>
      <c r="G132" s="523">
        <f t="shared" si="42"/>
        <v>13843317.785180986</v>
      </c>
      <c r="H132" s="526">
        <f t="shared" si="43"/>
        <v>3017896.1429501278</v>
      </c>
      <c r="I132" s="577">
        <f t="shared" si="44"/>
        <v>3017896.1429501278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  <c r="Q132" s="269"/>
    </row>
    <row r="133" spans="2:17" ht="12.5">
      <c r="B133" s="195" t="str">
        <f t="shared" si="49"/>
        <v/>
      </c>
      <c r="C133" s="507">
        <f>IF(D93="","-",+C132+1)</f>
        <v>2046</v>
      </c>
      <c r="D133" s="374">
        <f>IF(F132+SUM(E$99:E132)=D$92,F132,D$92-SUM(E$99:E132))</f>
        <v>13120076.468107814</v>
      </c>
      <c r="E133" s="522">
        <f>IF(+J96&lt;F132,J96,D133)</f>
        <v>1446482.6341463414</v>
      </c>
      <c r="F133" s="523">
        <f t="shared" si="50"/>
        <v>11673593.833961472</v>
      </c>
      <c r="G133" s="523">
        <f t="shared" si="42"/>
        <v>12396835.151034642</v>
      </c>
      <c r="H133" s="526">
        <f t="shared" si="43"/>
        <v>2853699.7857747637</v>
      </c>
      <c r="I133" s="577">
        <f t="shared" si="44"/>
        <v>2853699.7857747637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  <c r="Q133" s="269"/>
    </row>
    <row r="134" spans="2:17" ht="12.5">
      <c r="B134" s="195" t="str">
        <f t="shared" si="49"/>
        <v/>
      </c>
      <c r="C134" s="507">
        <f>IF(D93="","-",+C133+1)</f>
        <v>2047</v>
      </c>
      <c r="D134" s="374">
        <f>IF(F133+SUM(E$99:E133)=D$92,F133,D$92-SUM(E$99:E133))</f>
        <v>11673593.833961472</v>
      </c>
      <c r="E134" s="522">
        <f>IF(+J96&lt;F133,J96,D134)</f>
        <v>1446482.6341463414</v>
      </c>
      <c r="F134" s="523">
        <f t="shared" si="50"/>
        <v>10227111.19981513</v>
      </c>
      <c r="G134" s="523">
        <f t="shared" si="42"/>
        <v>10950352.516888302</v>
      </c>
      <c r="H134" s="526">
        <f t="shared" si="43"/>
        <v>2689503.4285993995</v>
      </c>
      <c r="I134" s="577">
        <f t="shared" si="44"/>
        <v>2689503.4285993995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  <c r="Q134" s="269"/>
    </row>
    <row r="135" spans="2:17" ht="12.5">
      <c r="B135" s="195" t="str">
        <f t="shared" si="49"/>
        <v/>
      </c>
      <c r="C135" s="507">
        <f>IF(D93="","-",+C134+1)</f>
        <v>2048</v>
      </c>
      <c r="D135" s="374">
        <f>IF(F134+SUM(E$99:E134)=D$92,F134,D$92-SUM(E$99:E134))</f>
        <v>10227111.19981513</v>
      </c>
      <c r="E135" s="522">
        <f>IF(+J96&lt;F134,J96,D135)</f>
        <v>1446482.6341463414</v>
      </c>
      <c r="F135" s="523">
        <f t="shared" si="50"/>
        <v>8780628.5656687878</v>
      </c>
      <c r="G135" s="523">
        <f t="shared" si="42"/>
        <v>9503869.8827419579</v>
      </c>
      <c r="H135" s="526">
        <f t="shared" si="43"/>
        <v>2525307.0714240354</v>
      </c>
      <c r="I135" s="577">
        <f t="shared" si="44"/>
        <v>2525307.0714240354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  <c r="Q135" s="269"/>
    </row>
    <row r="136" spans="2:17" ht="12.5">
      <c r="B136" s="195" t="str">
        <f t="shared" si="49"/>
        <v/>
      </c>
      <c r="C136" s="507">
        <f>IF(D93="","-",+C135+1)</f>
        <v>2049</v>
      </c>
      <c r="D136" s="374">
        <f>IF(F135+SUM(E$99:E135)=D$92,F135,D$92-SUM(E$99:E135))</f>
        <v>8780628.5656687878</v>
      </c>
      <c r="E136" s="522">
        <f>IF(+J96&lt;F135,J96,D136)</f>
        <v>1446482.6341463414</v>
      </c>
      <c r="F136" s="523">
        <f t="shared" si="50"/>
        <v>7334145.9315224467</v>
      </c>
      <c r="G136" s="523">
        <f t="shared" si="42"/>
        <v>8057387.2485956177</v>
      </c>
      <c r="H136" s="526">
        <f t="shared" si="43"/>
        <v>2361110.7142486717</v>
      </c>
      <c r="I136" s="577">
        <f t="shared" si="44"/>
        <v>2361110.7142486717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  <c r="Q136" s="269"/>
    </row>
    <row r="137" spans="2:17" ht="12.5">
      <c r="B137" s="195" t="str">
        <f t="shared" si="49"/>
        <v/>
      </c>
      <c r="C137" s="507">
        <f>IF(D93="","-",+C136+1)</f>
        <v>2050</v>
      </c>
      <c r="D137" s="374">
        <f>IF(F136+SUM(E$99:E136)=D$92,F136,D$92-SUM(E$99:E136))</f>
        <v>7334145.9315224467</v>
      </c>
      <c r="E137" s="522">
        <f>IF(+J96&lt;F136,J96,D137)</f>
        <v>1446482.6341463414</v>
      </c>
      <c r="F137" s="523">
        <f t="shared" si="50"/>
        <v>5887663.2973761056</v>
      </c>
      <c r="G137" s="523">
        <f t="shared" si="42"/>
        <v>6610904.6144492757</v>
      </c>
      <c r="H137" s="526">
        <f t="shared" si="43"/>
        <v>2196914.3570733075</v>
      </c>
      <c r="I137" s="577">
        <f t="shared" si="44"/>
        <v>2196914.3570733075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  <c r="Q137" s="269"/>
    </row>
    <row r="138" spans="2:17" ht="12.5">
      <c r="B138" s="195" t="str">
        <f t="shared" si="49"/>
        <v/>
      </c>
      <c r="C138" s="507">
        <f>IF(D93="","-",+C137+1)</f>
        <v>2051</v>
      </c>
      <c r="D138" s="374">
        <f>IF(F137+SUM(E$99:E137)=D$92,F137,D$92-SUM(E$99:E137))</f>
        <v>5887663.2973761056</v>
      </c>
      <c r="E138" s="522">
        <f>IF(+J96&lt;F137,J96,D138)</f>
        <v>1446482.6341463414</v>
      </c>
      <c r="F138" s="523">
        <f t="shared" si="50"/>
        <v>4441180.6632297644</v>
      </c>
      <c r="G138" s="523">
        <f t="shared" si="42"/>
        <v>5164421.9803029355</v>
      </c>
      <c r="H138" s="526">
        <f t="shared" si="43"/>
        <v>2032717.9998979436</v>
      </c>
      <c r="I138" s="577">
        <f t="shared" si="44"/>
        <v>2032717.9998979436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  <c r="Q138" s="269"/>
    </row>
    <row r="139" spans="2:17" ht="12.5">
      <c r="B139" s="195" t="str">
        <f t="shared" si="49"/>
        <v/>
      </c>
      <c r="C139" s="507">
        <f>IF(D93="","-",+C138+1)</f>
        <v>2052</v>
      </c>
      <c r="D139" s="374">
        <f>IF(F138+SUM(E$99:E138)=D$92,F138,D$92-SUM(E$99:E138))</f>
        <v>4441180.6632297644</v>
      </c>
      <c r="E139" s="522">
        <f>IF(+J96&lt;F138,J96,D139)</f>
        <v>1446482.6341463414</v>
      </c>
      <c r="F139" s="523">
        <f t="shared" si="50"/>
        <v>2994698.0290834233</v>
      </c>
      <c r="G139" s="523">
        <f t="shared" si="42"/>
        <v>3717939.3461565939</v>
      </c>
      <c r="H139" s="526">
        <f t="shared" si="43"/>
        <v>1868521.6427225797</v>
      </c>
      <c r="I139" s="577">
        <f t="shared" si="44"/>
        <v>1868521.6427225797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  <c r="Q139" s="269"/>
    </row>
    <row r="140" spans="2:17" ht="12.5">
      <c r="B140" s="195" t="str">
        <f t="shared" si="49"/>
        <v/>
      </c>
      <c r="C140" s="507">
        <f>IF(D93="","-",+C139+1)</f>
        <v>2053</v>
      </c>
      <c r="D140" s="374">
        <f>IF(F139+SUM(E$99:E139)=D$92,F139,D$92-SUM(E$99:E139))</f>
        <v>2994698.0290834233</v>
      </c>
      <c r="E140" s="522">
        <f>IF(+J96&lt;F139,J96,D140)</f>
        <v>1446482.6341463414</v>
      </c>
      <c r="F140" s="523">
        <f t="shared" si="50"/>
        <v>1548215.394937082</v>
      </c>
      <c r="G140" s="523">
        <f t="shared" si="42"/>
        <v>2271456.7120102528</v>
      </c>
      <c r="H140" s="526">
        <f t="shared" si="43"/>
        <v>1704325.2855472155</v>
      </c>
      <c r="I140" s="577">
        <f t="shared" si="44"/>
        <v>1704325.2855472155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  <c r="Q140" s="269"/>
    </row>
    <row r="141" spans="2:17" ht="12.5">
      <c r="B141" s="195" t="str">
        <f t="shared" si="49"/>
        <v/>
      </c>
      <c r="C141" s="507">
        <f>IF(D93="","-",+C140+1)</f>
        <v>2054</v>
      </c>
      <c r="D141" s="374">
        <f>IF(F140+SUM(E$99:E140)=D$92,F140,D$92-SUM(E$99:E140))</f>
        <v>1548215.394937082</v>
      </c>
      <c r="E141" s="522">
        <f>IF(+J96&lt;F140,J96,D141)</f>
        <v>1446482.6341463414</v>
      </c>
      <c r="F141" s="523">
        <f t="shared" si="50"/>
        <v>101732.76079074061</v>
      </c>
      <c r="G141" s="523">
        <f t="shared" si="42"/>
        <v>824974.07786391128</v>
      </c>
      <c r="H141" s="526">
        <f t="shared" si="43"/>
        <v>1540128.9283718516</v>
      </c>
      <c r="I141" s="577">
        <f t="shared" si="44"/>
        <v>1540128.9283718516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  <c r="Q141" s="269"/>
    </row>
    <row r="142" spans="2:17" ht="12.5">
      <c r="B142" s="195" t="str">
        <f t="shared" si="49"/>
        <v/>
      </c>
      <c r="C142" s="507">
        <f>IF(D93="","-",+C141+1)</f>
        <v>2055</v>
      </c>
      <c r="D142" s="374">
        <f>IF(F141+SUM(E$99:E141)=D$92,F141,D$92-SUM(E$99:E141))</f>
        <v>101732.76079074061</v>
      </c>
      <c r="E142" s="522">
        <f>IF(+J96&lt;F141,J96,D142)</f>
        <v>101732.76079074061</v>
      </c>
      <c r="F142" s="523">
        <f t="shared" si="50"/>
        <v>0</v>
      </c>
      <c r="G142" s="523">
        <f t="shared" si="42"/>
        <v>50866.380395370303</v>
      </c>
      <c r="H142" s="526">
        <f t="shared" si="43"/>
        <v>107506.81860965471</v>
      </c>
      <c r="I142" s="577">
        <f t="shared" si="44"/>
        <v>107506.81860965471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  <c r="Q142" s="269"/>
    </row>
    <row r="143" spans="2:17" ht="12.5">
      <c r="B143" s="195" t="str">
        <f t="shared" si="49"/>
        <v/>
      </c>
      <c r="C143" s="507">
        <f>IF(D93="","-",+C142+1)</f>
        <v>2056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50"/>
        <v>0</v>
      </c>
      <c r="G143" s="523">
        <f t="shared" si="42"/>
        <v>0</v>
      </c>
      <c r="H143" s="526">
        <f t="shared" si="43"/>
        <v>0</v>
      </c>
      <c r="I143" s="577">
        <f t="shared" si="44"/>
        <v>0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  <c r="Q143" s="269"/>
    </row>
    <row r="144" spans="2:17" ht="12.5">
      <c r="B144" s="195" t="str">
        <f t="shared" si="49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50"/>
        <v>0</v>
      </c>
      <c r="G144" s="523">
        <f t="shared" si="42"/>
        <v>0</v>
      </c>
      <c r="H144" s="526">
        <f t="shared" si="43"/>
        <v>0</v>
      </c>
      <c r="I144" s="577">
        <f t="shared" si="44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  <c r="Q144" s="269"/>
    </row>
    <row r="145" spans="2:17" ht="12.5">
      <c r="B145" s="195" t="str">
        <f t="shared" si="49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50"/>
        <v>0</v>
      </c>
      <c r="G145" s="523">
        <f t="shared" si="42"/>
        <v>0</v>
      </c>
      <c r="H145" s="526">
        <f t="shared" si="43"/>
        <v>0</v>
      </c>
      <c r="I145" s="577">
        <f t="shared" si="44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  <c r="Q145" s="269"/>
    </row>
    <row r="146" spans="2:17" ht="12.5">
      <c r="B146" s="195" t="str">
        <f t="shared" si="49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50"/>
        <v>0</v>
      </c>
      <c r="G146" s="523">
        <f t="shared" si="42"/>
        <v>0</v>
      </c>
      <c r="H146" s="526">
        <f t="shared" si="43"/>
        <v>0</v>
      </c>
      <c r="I146" s="577">
        <f t="shared" si="44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  <c r="Q146" s="269"/>
    </row>
    <row r="147" spans="2:17" ht="12.5">
      <c r="B147" s="195" t="str">
        <f t="shared" si="49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50"/>
        <v>0</v>
      </c>
      <c r="G147" s="523">
        <f t="shared" si="42"/>
        <v>0</v>
      </c>
      <c r="H147" s="526">
        <f t="shared" si="43"/>
        <v>0</v>
      </c>
      <c r="I147" s="577">
        <f t="shared" si="44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  <c r="Q147" s="269"/>
    </row>
    <row r="148" spans="2:17" ht="12.5">
      <c r="B148" s="195" t="str">
        <f t="shared" si="49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50"/>
        <v>0</v>
      </c>
      <c r="G148" s="523">
        <f t="shared" si="42"/>
        <v>0</v>
      </c>
      <c r="H148" s="526">
        <f t="shared" si="43"/>
        <v>0</v>
      </c>
      <c r="I148" s="577">
        <f t="shared" si="44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  <c r="Q148" s="269"/>
    </row>
    <row r="149" spans="2:17" ht="12.5">
      <c r="B149" s="195" t="str">
        <f t="shared" si="49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50"/>
        <v>0</v>
      </c>
      <c r="G149" s="523">
        <f t="shared" si="42"/>
        <v>0</v>
      </c>
      <c r="H149" s="526">
        <f t="shared" si="43"/>
        <v>0</v>
      </c>
      <c r="I149" s="577">
        <f t="shared" si="44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  <c r="Q149" s="269"/>
    </row>
    <row r="150" spans="2:17" ht="12.5">
      <c r="B150" s="195" t="str">
        <f t="shared" si="49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50"/>
        <v>0</v>
      </c>
      <c r="G150" s="523">
        <f t="shared" si="42"/>
        <v>0</v>
      </c>
      <c r="H150" s="526">
        <f t="shared" si="43"/>
        <v>0</v>
      </c>
      <c r="I150" s="577">
        <f t="shared" si="44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  <c r="Q150" s="269"/>
    </row>
    <row r="151" spans="2:17" ht="12.5">
      <c r="B151" s="195" t="str">
        <f t="shared" si="49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50"/>
        <v>0</v>
      </c>
      <c r="G151" s="523">
        <f t="shared" si="42"/>
        <v>0</v>
      </c>
      <c r="H151" s="526">
        <f t="shared" si="43"/>
        <v>0</v>
      </c>
      <c r="I151" s="577">
        <f t="shared" si="44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  <c r="Q151" s="269"/>
    </row>
    <row r="152" spans="2:17" ht="12.5">
      <c r="B152" s="195" t="str">
        <f t="shared" si="49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50"/>
        <v>0</v>
      </c>
      <c r="G152" s="523">
        <f t="shared" si="42"/>
        <v>0</v>
      </c>
      <c r="H152" s="526">
        <f t="shared" si="43"/>
        <v>0</v>
      </c>
      <c r="I152" s="577">
        <f t="shared" si="44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  <c r="Q152" s="269"/>
    </row>
    <row r="153" spans="2:17" ht="12.5">
      <c r="B153" s="195" t="str">
        <f t="shared" si="49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50"/>
        <v>0</v>
      </c>
      <c r="G153" s="523">
        <f t="shared" si="42"/>
        <v>0</v>
      </c>
      <c r="H153" s="526">
        <f t="shared" si="43"/>
        <v>0</v>
      </c>
      <c r="I153" s="577">
        <f t="shared" si="44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  <c r="Q153" s="269"/>
    </row>
    <row r="154" spans="2:17" ht="13" thickBot="1">
      <c r="B154" s="195" t="str">
        <f t="shared" si="49"/>
        <v/>
      </c>
      <c r="C154" s="527">
        <f>IF(D93="","-",+C153+1)</f>
        <v>2067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50"/>
        <v>0</v>
      </c>
      <c r="G154" s="528">
        <f t="shared" si="42"/>
        <v>0</v>
      </c>
      <c r="H154" s="530">
        <f t="shared" si="43"/>
        <v>0</v>
      </c>
      <c r="I154" s="579">
        <f t="shared" si="44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  <c r="Q154" s="269"/>
    </row>
    <row r="155" spans="2:17" ht="12.5">
      <c r="C155" s="374" t="s">
        <v>78</v>
      </c>
      <c r="D155" s="375"/>
      <c r="E155" s="375">
        <f>SUM(E99:E154)</f>
        <v>59305787.999999985</v>
      </c>
      <c r="F155" s="375"/>
      <c r="G155" s="375"/>
      <c r="H155" s="375">
        <f>SUM(H99:H154)</f>
        <v>201306620.16405231</v>
      </c>
      <c r="I155" s="375">
        <f>SUM(I99:I154)</f>
        <v>201306620.16405231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95" priority="1" stopIfTrue="1" operator="equal">
      <formula>$I$10</formula>
    </cfRule>
  </conditionalFormatting>
  <conditionalFormatting sqref="C99:C154">
    <cfRule type="cellIs" dxfId="9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70"/>
  <dimension ref="A1:Q162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.453125" style="183" customWidth="1"/>
    <col min="13" max="13" width="17.7265625" style="183" customWidth="1"/>
    <col min="14" max="14" width="19.1796875" style="183" customWidth="1"/>
    <col min="15" max="15" width="20.179687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34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1031719.7546332029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1031719.7546332029</v>
      </c>
      <c r="O6" s="269"/>
      <c r="P6" s="269"/>
    </row>
    <row r="7" spans="1:17" ht="13.5" thickBot="1">
      <c r="C7" s="467" t="s">
        <v>48</v>
      </c>
      <c r="D7" s="624" t="s">
        <v>297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295</v>
      </c>
      <c r="E9" s="666" t="s">
        <v>495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8598828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204734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8177700</v>
      </c>
      <c r="E17" s="627">
        <v>97353.571428571435</v>
      </c>
      <c r="F17" s="626">
        <v>8080346.4285714282</v>
      </c>
      <c r="G17" s="627">
        <v>1228497.690125915</v>
      </c>
      <c r="H17" s="610">
        <v>1228497.690125915</v>
      </c>
      <c r="I17" s="616">
        <v>0</v>
      </c>
      <c r="J17" s="511"/>
      <c r="K17" s="512">
        <f t="shared" ref="K17:K22" si="0">G17</f>
        <v>1228497.690125915</v>
      </c>
      <c r="L17" s="597">
        <f t="shared" ref="L17:L22" si="1">IF(K17&lt;&gt;0,+G17-K17,0)</f>
        <v>0</v>
      </c>
      <c r="M17" s="512">
        <f t="shared" ref="M17:M22" si="2">H17</f>
        <v>1228497.690125915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8080346.4285714282</v>
      </c>
      <c r="E18" s="609">
        <v>204615.59523809524</v>
      </c>
      <c r="F18" s="626">
        <v>7875730.833333333</v>
      </c>
      <c r="G18" s="609">
        <v>1267134.4448032489</v>
      </c>
      <c r="H18" s="610">
        <v>1267134.4448032489</v>
      </c>
      <c r="I18" s="616">
        <v>0</v>
      </c>
      <c r="J18" s="511"/>
      <c r="K18" s="518">
        <f t="shared" si="0"/>
        <v>1267134.4448032489</v>
      </c>
      <c r="L18" s="519">
        <f t="shared" si="1"/>
        <v>0</v>
      </c>
      <c r="M18" s="518">
        <f t="shared" si="2"/>
        <v>1267134.4448032489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7875730.833333333</v>
      </c>
      <c r="E19" s="609">
        <v>204734</v>
      </c>
      <c r="F19" s="626">
        <v>7670996.833333333</v>
      </c>
      <c r="G19" s="609">
        <v>1215041.1112148757</v>
      </c>
      <c r="H19" s="610">
        <v>1215041.1112148757</v>
      </c>
      <c r="I19" s="511">
        <v>0</v>
      </c>
      <c r="J19" s="511"/>
      <c r="K19" s="518">
        <f t="shared" si="0"/>
        <v>1215041.1112148757</v>
      </c>
      <c r="L19" s="519">
        <f t="shared" si="1"/>
        <v>0</v>
      </c>
      <c r="M19" s="518">
        <f t="shared" si="2"/>
        <v>1215041.1112148757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8092124.833333333</v>
      </c>
      <c r="E20" s="609">
        <v>204734</v>
      </c>
      <c r="F20" s="626">
        <v>7887390.833333333</v>
      </c>
      <c r="G20" s="609">
        <v>1230725.6025644462</v>
      </c>
      <c r="H20" s="610">
        <v>1230725.6025644462</v>
      </c>
      <c r="I20" s="511">
        <f>H20-G20</f>
        <v>0</v>
      </c>
      <c r="J20" s="511"/>
      <c r="K20" s="518">
        <f t="shared" si="0"/>
        <v>1230725.6025644462</v>
      </c>
      <c r="L20" s="519">
        <f t="shared" si="1"/>
        <v>0</v>
      </c>
      <c r="M20" s="518">
        <f t="shared" si="2"/>
        <v>1230725.6025644462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7887390.833333333</v>
      </c>
      <c r="E21" s="609">
        <v>199972.7441860465</v>
      </c>
      <c r="F21" s="626">
        <v>7687418.0891472865</v>
      </c>
      <c r="G21" s="609">
        <v>1164774.0131848808</v>
      </c>
      <c r="H21" s="610">
        <v>1164774.0131848808</v>
      </c>
      <c r="I21" s="511">
        <f t="shared" ref="I21:I72" si="6">H21-G21</f>
        <v>0</v>
      </c>
      <c r="J21" s="511"/>
      <c r="K21" s="518">
        <f t="shared" si="0"/>
        <v>1164774.0131848808</v>
      </c>
      <c r="L21" s="519">
        <f t="shared" si="1"/>
        <v>0</v>
      </c>
      <c r="M21" s="518">
        <f t="shared" si="2"/>
        <v>1164774.0131848808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7687418.0891472865</v>
      </c>
      <c r="E22" s="609">
        <v>209727.51219512196</v>
      </c>
      <c r="F22" s="626">
        <v>7477690.576952165</v>
      </c>
      <c r="G22" s="609">
        <v>1173425.4227286456</v>
      </c>
      <c r="H22" s="610">
        <v>1173425.4227286456</v>
      </c>
      <c r="I22" s="511">
        <f t="shared" si="6"/>
        <v>0</v>
      </c>
      <c r="J22" s="511"/>
      <c r="K22" s="518">
        <f t="shared" si="0"/>
        <v>1173425.4227286456</v>
      </c>
      <c r="L22" s="519">
        <f t="shared" si="1"/>
        <v>0</v>
      </c>
      <c r="M22" s="518">
        <f t="shared" si="2"/>
        <v>1173425.4227286456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7477690.576952165</v>
      </c>
      <c r="E23" s="609">
        <v>209727.51219512196</v>
      </c>
      <c r="F23" s="626">
        <v>7267963.0647570435</v>
      </c>
      <c r="G23" s="609">
        <v>1146770.2935457411</v>
      </c>
      <c r="H23" s="610">
        <v>1146770.2935457411</v>
      </c>
      <c r="I23" s="511">
        <f t="shared" si="6"/>
        <v>0</v>
      </c>
      <c r="J23" s="511"/>
      <c r="K23" s="518">
        <f t="shared" ref="K23" si="7">G23</f>
        <v>1146770.2935457411</v>
      </c>
      <c r="L23" s="519">
        <f t="shared" ref="L23" si="8">IF(K23&lt;&gt;0,+G23-K23,0)</f>
        <v>0</v>
      </c>
      <c r="M23" s="518">
        <f t="shared" ref="M23" si="9">H23</f>
        <v>1146770.2935457411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7267963.0647570435</v>
      </c>
      <c r="E24" s="609">
        <v>209727.51219512196</v>
      </c>
      <c r="F24" s="626">
        <v>7058235.552561922</v>
      </c>
      <c r="G24" s="609">
        <v>942766.54121136409</v>
      </c>
      <c r="H24" s="610">
        <v>942766.54121136409</v>
      </c>
      <c r="I24" s="511">
        <f t="shared" si="6"/>
        <v>0</v>
      </c>
      <c r="J24" s="511"/>
      <c r="K24" s="518">
        <f t="shared" ref="K24" si="12">G24</f>
        <v>942766.54121136409</v>
      </c>
      <c r="L24" s="519">
        <f t="shared" ref="L24" si="13">IF(K24&lt;&gt;0,+G24-K24,0)</f>
        <v>0</v>
      </c>
      <c r="M24" s="518">
        <f t="shared" ref="M24" si="14">H24</f>
        <v>942766.54121136409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26">
        <v>7067990.320570996</v>
      </c>
      <c r="E25" s="609">
        <v>204734</v>
      </c>
      <c r="F25" s="626">
        <v>6863256.320570996</v>
      </c>
      <c r="G25" s="609">
        <v>943121.73103540705</v>
      </c>
      <c r="H25" s="610">
        <v>943121.73103540705</v>
      </c>
      <c r="I25" s="511">
        <f t="shared" si="6"/>
        <v>0</v>
      </c>
      <c r="J25" s="511"/>
      <c r="K25" s="518">
        <f t="shared" ref="K25" si="15">G25</f>
        <v>943121.73103540705</v>
      </c>
      <c r="L25" s="519">
        <f t="shared" ref="L25" si="16">IF(K25&lt;&gt;0,+G25-K25,0)</f>
        <v>0</v>
      </c>
      <c r="M25" s="518">
        <f t="shared" ref="M25" si="17">H25</f>
        <v>943121.73103540705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26">
        <v>6853501.5525619211</v>
      </c>
      <c r="E26" s="609">
        <v>204734</v>
      </c>
      <c r="F26" s="626">
        <v>6648767.5525619211</v>
      </c>
      <c r="G26" s="609">
        <v>963859.22769891692</v>
      </c>
      <c r="H26" s="610">
        <v>963859.22769891692</v>
      </c>
      <c r="I26" s="511">
        <f t="shared" si="6"/>
        <v>0</v>
      </c>
      <c r="J26" s="511"/>
      <c r="K26" s="518">
        <f t="shared" ref="K26" si="18">G26</f>
        <v>963859.22769891692</v>
      </c>
      <c r="L26" s="519">
        <f t="shared" ref="L26" si="19">IF(K26&lt;&gt;0,+G26-K26,0)</f>
        <v>0</v>
      </c>
      <c r="M26" s="518">
        <f t="shared" ref="M26" si="20">H26</f>
        <v>963859.22769891692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6648767.5525619211</v>
      </c>
      <c r="E27" s="522">
        <f t="shared" ref="E27:E72" si="21">IF(+$I$14&lt;F26,$I$14,D27)</f>
        <v>204734</v>
      </c>
      <c r="F27" s="523">
        <f t="shared" ref="F27:F72" si="22">+D27-E27</f>
        <v>6444033.5525619211</v>
      </c>
      <c r="G27" s="524">
        <f t="shared" ref="G27:G52" si="23">+I$12*((D27+F27)/2)+E27</f>
        <v>1031719.7546332029</v>
      </c>
      <c r="H27" s="491">
        <f t="shared" ref="H27:H52" si="24">+I$13*((D27+F27)/2)+E27</f>
        <v>1031719.7546332029</v>
      </c>
      <c r="I27" s="511">
        <f t="shared" si="6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6444033.5525619211</v>
      </c>
      <c r="E28" s="522">
        <f t="shared" si="21"/>
        <v>204734</v>
      </c>
      <c r="F28" s="523">
        <f t="shared" si="22"/>
        <v>6239299.5525619211</v>
      </c>
      <c r="G28" s="524">
        <f t="shared" si="23"/>
        <v>1005856.3660229819</v>
      </c>
      <c r="H28" s="491">
        <f t="shared" si="24"/>
        <v>1005856.3660229819</v>
      </c>
      <c r="I28" s="511">
        <f t="shared" si="6"/>
        <v>0</v>
      </c>
      <c r="J28" s="511"/>
      <c r="K28" s="525"/>
      <c r="L28" s="514">
        <f t="shared" si="25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6239299.5525619211</v>
      </c>
      <c r="E29" s="522">
        <f t="shared" si="21"/>
        <v>204734</v>
      </c>
      <c r="F29" s="523">
        <f t="shared" si="22"/>
        <v>6034565.5525619211</v>
      </c>
      <c r="G29" s="524">
        <f t="shared" si="23"/>
        <v>979992.97741276107</v>
      </c>
      <c r="H29" s="491">
        <f t="shared" si="24"/>
        <v>979992.97741276107</v>
      </c>
      <c r="I29" s="511">
        <f t="shared" si="6"/>
        <v>0</v>
      </c>
      <c r="J29" s="511"/>
      <c r="K29" s="525"/>
      <c r="L29" s="514">
        <f t="shared" si="25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6034565.5525619211</v>
      </c>
      <c r="E30" s="522">
        <f t="shared" si="21"/>
        <v>204734</v>
      </c>
      <c r="F30" s="523">
        <f t="shared" si="22"/>
        <v>5829831.5525619211</v>
      </c>
      <c r="G30" s="524">
        <f t="shared" si="23"/>
        <v>954129.58880254009</v>
      </c>
      <c r="H30" s="491">
        <f t="shared" si="24"/>
        <v>954129.58880254009</v>
      </c>
      <c r="I30" s="511">
        <f t="shared" si="6"/>
        <v>0</v>
      </c>
      <c r="J30" s="511"/>
      <c r="K30" s="525"/>
      <c r="L30" s="514">
        <f t="shared" si="2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5829831.5525619211</v>
      </c>
      <c r="E31" s="522">
        <f t="shared" si="21"/>
        <v>204734</v>
      </c>
      <c r="F31" s="523">
        <f t="shared" si="22"/>
        <v>5625097.5525619211</v>
      </c>
      <c r="G31" s="524">
        <f t="shared" si="23"/>
        <v>928266.20019231911</v>
      </c>
      <c r="H31" s="491">
        <f t="shared" si="24"/>
        <v>928266.20019231911</v>
      </c>
      <c r="I31" s="511">
        <f t="shared" si="6"/>
        <v>0</v>
      </c>
      <c r="J31" s="511"/>
      <c r="K31" s="525"/>
      <c r="L31" s="514">
        <f t="shared" si="2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5625097.5525619211</v>
      </c>
      <c r="E32" s="522">
        <f t="shared" si="21"/>
        <v>204734</v>
      </c>
      <c r="F32" s="523">
        <f t="shared" si="22"/>
        <v>5420363.5525619211</v>
      </c>
      <c r="G32" s="524">
        <f t="shared" si="23"/>
        <v>902402.81158209813</v>
      </c>
      <c r="H32" s="491">
        <f t="shared" si="24"/>
        <v>902402.81158209813</v>
      </c>
      <c r="I32" s="511">
        <f t="shared" si="6"/>
        <v>0</v>
      </c>
      <c r="J32" s="511"/>
      <c r="K32" s="525"/>
      <c r="L32" s="514">
        <f t="shared" si="2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5420363.5525619211</v>
      </c>
      <c r="E33" s="522">
        <f t="shared" si="21"/>
        <v>204734</v>
      </c>
      <c r="F33" s="523">
        <f t="shared" si="22"/>
        <v>5215629.5525619211</v>
      </c>
      <c r="G33" s="524">
        <f t="shared" si="23"/>
        <v>876539.42297187715</v>
      </c>
      <c r="H33" s="491">
        <f t="shared" si="24"/>
        <v>876539.42297187715</v>
      </c>
      <c r="I33" s="511">
        <f t="shared" si="6"/>
        <v>0</v>
      </c>
      <c r="J33" s="511"/>
      <c r="K33" s="525"/>
      <c r="L33" s="514">
        <f t="shared" si="2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5215629.5525619211</v>
      </c>
      <c r="E34" s="522">
        <f t="shared" si="21"/>
        <v>204734</v>
      </c>
      <c r="F34" s="523">
        <f t="shared" si="22"/>
        <v>5010895.5525619211</v>
      </c>
      <c r="G34" s="524">
        <f t="shared" si="23"/>
        <v>850676.03436165629</v>
      </c>
      <c r="H34" s="491">
        <f t="shared" si="24"/>
        <v>850676.03436165629</v>
      </c>
      <c r="I34" s="511">
        <f t="shared" si="6"/>
        <v>0</v>
      </c>
      <c r="J34" s="511"/>
      <c r="K34" s="525"/>
      <c r="L34" s="514">
        <f t="shared" si="2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5010895.5525619211</v>
      </c>
      <c r="E35" s="522">
        <f t="shared" si="21"/>
        <v>204734</v>
      </c>
      <c r="F35" s="523">
        <f t="shared" si="22"/>
        <v>4806161.5525619211</v>
      </c>
      <c r="G35" s="524">
        <f t="shared" si="23"/>
        <v>824812.64575143531</v>
      </c>
      <c r="H35" s="491">
        <f t="shared" si="24"/>
        <v>824812.64575143531</v>
      </c>
      <c r="I35" s="511">
        <f t="shared" si="6"/>
        <v>0</v>
      </c>
      <c r="J35" s="511"/>
      <c r="K35" s="525"/>
      <c r="L35" s="514">
        <f t="shared" si="2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4806161.5525619211</v>
      </c>
      <c r="E36" s="522">
        <f t="shared" si="21"/>
        <v>204734</v>
      </c>
      <c r="F36" s="523">
        <f t="shared" si="22"/>
        <v>4601427.5525619211</v>
      </c>
      <c r="G36" s="524">
        <f t="shared" si="23"/>
        <v>798949.25714121433</v>
      </c>
      <c r="H36" s="491">
        <f t="shared" si="24"/>
        <v>798949.25714121433</v>
      </c>
      <c r="I36" s="511">
        <f t="shared" si="6"/>
        <v>0</v>
      </c>
      <c r="J36" s="511"/>
      <c r="K36" s="525"/>
      <c r="L36" s="514">
        <f t="shared" si="2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4601427.5525619211</v>
      </c>
      <c r="E37" s="522">
        <f t="shared" si="21"/>
        <v>204734</v>
      </c>
      <c r="F37" s="523">
        <f t="shared" si="22"/>
        <v>4396693.5525619211</v>
      </c>
      <c r="G37" s="524">
        <f t="shared" si="23"/>
        <v>773085.86853099335</v>
      </c>
      <c r="H37" s="491">
        <f t="shared" si="24"/>
        <v>773085.86853099335</v>
      </c>
      <c r="I37" s="511">
        <f t="shared" si="6"/>
        <v>0</v>
      </c>
      <c r="J37" s="511"/>
      <c r="K37" s="525"/>
      <c r="L37" s="514">
        <f t="shared" si="2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4396693.5525619211</v>
      </c>
      <c r="E38" s="522">
        <f t="shared" si="21"/>
        <v>204734</v>
      </c>
      <c r="F38" s="523">
        <f t="shared" si="22"/>
        <v>4191959.5525619211</v>
      </c>
      <c r="G38" s="524">
        <f t="shared" si="23"/>
        <v>747222.47992077237</v>
      </c>
      <c r="H38" s="491">
        <f t="shared" si="24"/>
        <v>747222.47992077237</v>
      </c>
      <c r="I38" s="511">
        <f t="shared" si="6"/>
        <v>0</v>
      </c>
      <c r="J38" s="511"/>
      <c r="K38" s="525"/>
      <c r="L38" s="514">
        <f t="shared" si="2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4191959.5525619211</v>
      </c>
      <c r="E39" s="522">
        <f t="shared" si="21"/>
        <v>204734</v>
      </c>
      <c r="F39" s="523">
        <f t="shared" si="22"/>
        <v>3987225.5525619211</v>
      </c>
      <c r="G39" s="524">
        <f t="shared" si="23"/>
        <v>721359.09131055139</v>
      </c>
      <c r="H39" s="491">
        <f t="shared" si="24"/>
        <v>721359.09131055139</v>
      </c>
      <c r="I39" s="511">
        <f t="shared" si="6"/>
        <v>0</v>
      </c>
      <c r="J39" s="511"/>
      <c r="K39" s="525"/>
      <c r="L39" s="514">
        <f t="shared" si="2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3987225.5525619211</v>
      </c>
      <c r="E40" s="522">
        <f t="shared" si="21"/>
        <v>204734</v>
      </c>
      <c r="F40" s="523">
        <f t="shared" si="22"/>
        <v>3782491.5525619211</v>
      </c>
      <c r="G40" s="524">
        <f t="shared" si="23"/>
        <v>695495.70270033041</v>
      </c>
      <c r="H40" s="491">
        <f t="shared" si="24"/>
        <v>695495.70270033041</v>
      </c>
      <c r="I40" s="511">
        <f t="shared" si="6"/>
        <v>0</v>
      </c>
      <c r="J40" s="511"/>
      <c r="K40" s="525"/>
      <c r="L40" s="514">
        <f t="shared" si="2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3782491.5525619211</v>
      </c>
      <c r="E41" s="522">
        <f t="shared" si="21"/>
        <v>204734</v>
      </c>
      <c r="F41" s="523">
        <f t="shared" si="22"/>
        <v>3577757.5525619211</v>
      </c>
      <c r="G41" s="524">
        <f t="shared" si="23"/>
        <v>669632.31409010955</v>
      </c>
      <c r="H41" s="491">
        <f t="shared" si="24"/>
        <v>669632.31409010955</v>
      </c>
      <c r="I41" s="511">
        <f t="shared" si="6"/>
        <v>0</v>
      </c>
      <c r="J41" s="511"/>
      <c r="K41" s="525"/>
      <c r="L41" s="514">
        <f t="shared" si="2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3577757.5525619211</v>
      </c>
      <c r="E42" s="522">
        <f t="shared" si="21"/>
        <v>204734</v>
      </c>
      <c r="F42" s="523">
        <f t="shared" si="22"/>
        <v>3373023.5525619211</v>
      </c>
      <c r="G42" s="524">
        <f t="shared" si="23"/>
        <v>643768.92547988857</v>
      </c>
      <c r="H42" s="491">
        <f t="shared" si="24"/>
        <v>643768.92547988857</v>
      </c>
      <c r="I42" s="511">
        <f t="shared" si="6"/>
        <v>0</v>
      </c>
      <c r="J42" s="511"/>
      <c r="K42" s="525"/>
      <c r="L42" s="514">
        <f t="shared" si="2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3373023.5525619211</v>
      </c>
      <c r="E43" s="522">
        <f t="shared" si="21"/>
        <v>204734</v>
      </c>
      <c r="F43" s="523">
        <f t="shared" si="22"/>
        <v>3168289.5525619211</v>
      </c>
      <c r="G43" s="524">
        <f t="shared" si="23"/>
        <v>617905.5368696677</v>
      </c>
      <c r="H43" s="491">
        <f t="shared" si="24"/>
        <v>617905.5368696677</v>
      </c>
      <c r="I43" s="511">
        <f t="shared" si="6"/>
        <v>0</v>
      </c>
      <c r="J43" s="511"/>
      <c r="K43" s="525"/>
      <c r="L43" s="514">
        <f t="shared" si="2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3168289.5525619211</v>
      </c>
      <c r="E44" s="522">
        <f t="shared" si="21"/>
        <v>204734</v>
      </c>
      <c r="F44" s="523">
        <f t="shared" si="22"/>
        <v>2963555.5525619211</v>
      </c>
      <c r="G44" s="524">
        <f t="shared" si="23"/>
        <v>592042.14825944672</v>
      </c>
      <c r="H44" s="491">
        <f t="shared" si="24"/>
        <v>592042.14825944672</v>
      </c>
      <c r="I44" s="511">
        <f t="shared" si="6"/>
        <v>0</v>
      </c>
      <c r="J44" s="511"/>
      <c r="K44" s="525"/>
      <c r="L44" s="514">
        <f t="shared" si="2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2963555.5525619211</v>
      </c>
      <c r="E45" s="522">
        <f t="shared" si="21"/>
        <v>204734</v>
      </c>
      <c r="F45" s="523">
        <f t="shared" si="22"/>
        <v>2758821.5525619211</v>
      </c>
      <c r="G45" s="524">
        <f t="shared" si="23"/>
        <v>566178.75964922574</v>
      </c>
      <c r="H45" s="491">
        <f t="shared" si="24"/>
        <v>566178.75964922574</v>
      </c>
      <c r="I45" s="511">
        <f t="shared" si="6"/>
        <v>0</v>
      </c>
      <c r="J45" s="511"/>
      <c r="K45" s="525"/>
      <c r="L45" s="514">
        <f t="shared" si="2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2758821.5525619211</v>
      </c>
      <c r="E46" s="522">
        <f t="shared" si="21"/>
        <v>204734</v>
      </c>
      <c r="F46" s="523">
        <f t="shared" si="22"/>
        <v>2554087.5525619211</v>
      </c>
      <c r="G46" s="524">
        <f t="shared" si="23"/>
        <v>540315.37103900476</v>
      </c>
      <c r="H46" s="491">
        <f t="shared" si="24"/>
        <v>540315.37103900476</v>
      </c>
      <c r="I46" s="511">
        <f t="shared" si="6"/>
        <v>0</v>
      </c>
      <c r="J46" s="511"/>
      <c r="K46" s="525"/>
      <c r="L46" s="514">
        <f t="shared" si="2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2554087.5525619211</v>
      </c>
      <c r="E47" s="522">
        <f t="shared" si="21"/>
        <v>204734</v>
      </c>
      <c r="F47" s="523">
        <f t="shared" si="22"/>
        <v>2349353.5525619211</v>
      </c>
      <c r="G47" s="524">
        <f t="shared" si="23"/>
        <v>514451.98242878378</v>
      </c>
      <c r="H47" s="491">
        <f t="shared" si="24"/>
        <v>514451.98242878378</v>
      </c>
      <c r="I47" s="511">
        <f t="shared" si="6"/>
        <v>0</v>
      </c>
      <c r="J47" s="511"/>
      <c r="K47" s="525"/>
      <c r="L47" s="514">
        <f t="shared" si="2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2349353.5525619211</v>
      </c>
      <c r="E48" s="522">
        <f t="shared" si="21"/>
        <v>204734</v>
      </c>
      <c r="F48" s="523">
        <f t="shared" si="22"/>
        <v>2144619.5525619211</v>
      </c>
      <c r="G48" s="524">
        <f t="shared" si="23"/>
        <v>488588.59381856286</v>
      </c>
      <c r="H48" s="491">
        <f t="shared" si="24"/>
        <v>488588.59381856286</v>
      </c>
      <c r="I48" s="511">
        <f t="shared" si="6"/>
        <v>0</v>
      </c>
      <c r="J48" s="511"/>
      <c r="K48" s="525"/>
      <c r="L48" s="514">
        <f t="shared" si="2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2144619.5525619211</v>
      </c>
      <c r="E49" s="522">
        <f t="shared" si="21"/>
        <v>204734</v>
      </c>
      <c r="F49" s="523">
        <f t="shared" si="22"/>
        <v>1939885.5525619211</v>
      </c>
      <c r="G49" s="524">
        <f t="shared" si="23"/>
        <v>462725.20520834188</v>
      </c>
      <c r="H49" s="491">
        <f t="shared" si="24"/>
        <v>462725.20520834188</v>
      </c>
      <c r="I49" s="511">
        <f t="shared" si="6"/>
        <v>0</v>
      </c>
      <c r="J49" s="511"/>
      <c r="K49" s="525"/>
      <c r="L49" s="514">
        <f t="shared" si="2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1939885.5525619211</v>
      </c>
      <c r="E50" s="522">
        <f t="shared" si="21"/>
        <v>204734</v>
      </c>
      <c r="F50" s="523">
        <f t="shared" si="22"/>
        <v>1735151.5525619211</v>
      </c>
      <c r="G50" s="524">
        <f t="shared" si="23"/>
        <v>436861.81659812096</v>
      </c>
      <c r="H50" s="491">
        <f t="shared" si="24"/>
        <v>436861.81659812096</v>
      </c>
      <c r="I50" s="511">
        <f t="shared" si="6"/>
        <v>0</v>
      </c>
      <c r="J50" s="511"/>
      <c r="K50" s="525"/>
      <c r="L50" s="514">
        <f t="shared" si="2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1735151.5525619211</v>
      </c>
      <c r="E51" s="522">
        <f t="shared" si="21"/>
        <v>204734</v>
      </c>
      <c r="F51" s="523">
        <f t="shared" si="22"/>
        <v>1530417.5525619211</v>
      </c>
      <c r="G51" s="524">
        <f t="shared" si="23"/>
        <v>410998.42798789998</v>
      </c>
      <c r="H51" s="491">
        <f t="shared" si="24"/>
        <v>410998.42798789998</v>
      </c>
      <c r="I51" s="511">
        <f t="shared" si="6"/>
        <v>0</v>
      </c>
      <c r="J51" s="511"/>
      <c r="K51" s="525"/>
      <c r="L51" s="514">
        <f t="shared" si="2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1530417.5525619211</v>
      </c>
      <c r="E52" s="522">
        <f t="shared" si="21"/>
        <v>204734</v>
      </c>
      <c r="F52" s="523">
        <f t="shared" si="22"/>
        <v>1325683.5525619211</v>
      </c>
      <c r="G52" s="524">
        <f t="shared" si="23"/>
        <v>385135.039377679</v>
      </c>
      <c r="H52" s="491">
        <f t="shared" si="24"/>
        <v>385135.039377679</v>
      </c>
      <c r="I52" s="511">
        <f t="shared" si="6"/>
        <v>0</v>
      </c>
      <c r="J52" s="511"/>
      <c r="K52" s="525"/>
      <c r="L52" s="514">
        <f t="shared" si="2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1325683.5525619211</v>
      </c>
      <c r="E53" s="522">
        <f t="shared" si="21"/>
        <v>204734</v>
      </c>
      <c r="F53" s="523">
        <f t="shared" si="22"/>
        <v>1120949.5525619211</v>
      </c>
      <c r="G53" s="524">
        <f t="shared" ref="G53:G72" si="26">+I$12*((D53+F53)/2)+E53</f>
        <v>359271.65076745802</v>
      </c>
      <c r="H53" s="491">
        <f t="shared" ref="H53:H72" si="27">+I$13*((D53+F53)/2)+E53</f>
        <v>359271.65076745802</v>
      </c>
      <c r="I53" s="511">
        <f t="shared" si="6"/>
        <v>0</v>
      </c>
      <c r="J53" s="511"/>
      <c r="K53" s="525"/>
      <c r="L53" s="514">
        <f t="shared" si="2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1120949.5525619211</v>
      </c>
      <c r="E54" s="522">
        <f t="shared" si="21"/>
        <v>204734</v>
      </c>
      <c r="F54" s="523">
        <f t="shared" si="22"/>
        <v>916215.55256192107</v>
      </c>
      <c r="G54" s="524">
        <f t="shared" si="26"/>
        <v>333408.2621572371</v>
      </c>
      <c r="H54" s="491">
        <f t="shared" si="27"/>
        <v>333408.2621572371</v>
      </c>
      <c r="I54" s="511">
        <f t="shared" si="6"/>
        <v>0</v>
      </c>
      <c r="J54" s="511"/>
      <c r="K54" s="525"/>
      <c r="L54" s="514">
        <f t="shared" si="2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916215.55256192107</v>
      </c>
      <c r="E55" s="522">
        <f t="shared" si="21"/>
        <v>204734</v>
      </c>
      <c r="F55" s="523">
        <f t="shared" si="22"/>
        <v>711481.55256192107</v>
      </c>
      <c r="G55" s="524">
        <f t="shared" si="26"/>
        <v>307544.87354701612</v>
      </c>
      <c r="H55" s="491">
        <f t="shared" si="27"/>
        <v>307544.87354701612</v>
      </c>
      <c r="I55" s="511">
        <f t="shared" si="6"/>
        <v>0</v>
      </c>
      <c r="J55" s="511"/>
      <c r="K55" s="525"/>
      <c r="L55" s="514">
        <f t="shared" si="2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711481.55256192107</v>
      </c>
      <c r="E56" s="522">
        <f t="shared" si="21"/>
        <v>204734</v>
      </c>
      <c r="F56" s="523">
        <f t="shared" si="22"/>
        <v>506747.55256192107</v>
      </c>
      <c r="G56" s="524">
        <f t="shared" si="26"/>
        <v>281681.4849367952</v>
      </c>
      <c r="H56" s="491">
        <f t="shared" si="27"/>
        <v>281681.4849367952</v>
      </c>
      <c r="I56" s="511">
        <f t="shared" si="6"/>
        <v>0</v>
      </c>
      <c r="J56" s="511"/>
      <c r="K56" s="525"/>
      <c r="L56" s="514">
        <f t="shared" si="2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506747.55256192107</v>
      </c>
      <c r="E57" s="522">
        <f t="shared" si="21"/>
        <v>204734</v>
      </c>
      <c r="F57" s="523">
        <f t="shared" si="22"/>
        <v>302013.55256192107</v>
      </c>
      <c r="G57" s="524">
        <f t="shared" si="26"/>
        <v>255818.09632657422</v>
      </c>
      <c r="H57" s="491">
        <f t="shared" si="27"/>
        <v>255818.09632657422</v>
      </c>
      <c r="I57" s="511">
        <f t="shared" si="6"/>
        <v>0</v>
      </c>
      <c r="J57" s="511"/>
      <c r="K57" s="525"/>
      <c r="L57" s="514">
        <f t="shared" si="2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302013.55256192107</v>
      </c>
      <c r="E58" s="522">
        <f t="shared" si="21"/>
        <v>204734</v>
      </c>
      <c r="F58" s="523">
        <f t="shared" si="22"/>
        <v>97279.552561921068</v>
      </c>
      <c r="G58" s="524">
        <f t="shared" si="26"/>
        <v>229954.70771635327</v>
      </c>
      <c r="H58" s="491">
        <f t="shared" si="27"/>
        <v>229954.70771635327</v>
      </c>
      <c r="I58" s="511">
        <f t="shared" si="6"/>
        <v>0</v>
      </c>
      <c r="J58" s="511"/>
      <c r="K58" s="525"/>
      <c r="L58" s="514">
        <f t="shared" si="25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97279.552561921068</v>
      </c>
      <c r="E59" s="522">
        <f t="shared" si="21"/>
        <v>97279.552561921068</v>
      </c>
      <c r="F59" s="523">
        <f t="shared" si="22"/>
        <v>0</v>
      </c>
      <c r="G59" s="524">
        <f t="shared" si="26"/>
        <v>103424.05926754246</v>
      </c>
      <c r="H59" s="491">
        <f t="shared" si="27"/>
        <v>103424.05926754246</v>
      </c>
      <c r="I59" s="511">
        <f t="shared" si="6"/>
        <v>0</v>
      </c>
      <c r="J59" s="511"/>
      <c r="K59" s="525"/>
      <c r="L59" s="514">
        <f t="shared" si="2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21"/>
        <v>0</v>
      </c>
      <c r="F60" s="523">
        <f t="shared" si="22"/>
        <v>0</v>
      </c>
      <c r="G60" s="524">
        <f t="shared" si="26"/>
        <v>0</v>
      </c>
      <c r="H60" s="491">
        <f t="shared" si="27"/>
        <v>0</v>
      </c>
      <c r="I60" s="511">
        <f t="shared" si="6"/>
        <v>0</v>
      </c>
      <c r="J60" s="511"/>
      <c r="K60" s="525"/>
      <c r="L60" s="514">
        <f t="shared" si="2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1"/>
        <v>0</v>
      </c>
      <c r="F61" s="523">
        <f t="shared" si="22"/>
        <v>0</v>
      </c>
      <c r="G61" s="524">
        <f t="shared" si="26"/>
        <v>0</v>
      </c>
      <c r="H61" s="491">
        <f t="shared" si="27"/>
        <v>0</v>
      </c>
      <c r="I61" s="511">
        <f t="shared" si="6"/>
        <v>0</v>
      </c>
      <c r="J61" s="511"/>
      <c r="K61" s="525"/>
      <c r="L61" s="514">
        <f t="shared" si="2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6"/>
        <v>0</v>
      </c>
      <c r="J62" s="511"/>
      <c r="K62" s="525"/>
      <c r="L62" s="514">
        <f t="shared" si="2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6"/>
        <v>0</v>
      </c>
      <c r="J63" s="511"/>
      <c r="K63" s="525"/>
      <c r="L63" s="514">
        <f t="shared" si="2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6"/>
        <v>0</v>
      </c>
      <c r="J64" s="511"/>
      <c r="K64" s="525"/>
      <c r="L64" s="514">
        <f t="shared" si="2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6"/>
        <v>0</v>
      </c>
      <c r="J65" s="511"/>
      <c r="K65" s="525"/>
      <c r="L65" s="514">
        <f t="shared" si="2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6"/>
        <v>0</v>
      </c>
      <c r="J66" s="511"/>
      <c r="K66" s="525"/>
      <c r="L66" s="514">
        <f t="shared" si="2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6"/>
        <v>0</v>
      </c>
      <c r="J67" s="511"/>
      <c r="K67" s="525"/>
      <c r="L67" s="514">
        <f t="shared" si="2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6"/>
        <v>0</v>
      </c>
      <c r="J68" s="511"/>
      <c r="K68" s="525"/>
      <c r="L68" s="514">
        <f t="shared" si="2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6"/>
        <v>0</v>
      </c>
      <c r="J69" s="511"/>
      <c r="K69" s="525"/>
      <c r="L69" s="514">
        <f t="shared" si="2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6"/>
        <v>0</v>
      </c>
      <c r="J70" s="511"/>
      <c r="K70" s="525"/>
      <c r="L70" s="514">
        <f t="shared" si="2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6"/>
        <v>0</v>
      </c>
      <c r="J71" s="511"/>
      <c r="K71" s="525"/>
      <c r="L71" s="514">
        <f t="shared" si="2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8">
        <f>IF(F71+SUM(E$17:E71)=D$10,F71,D$10-SUM(E$17:E71))</f>
        <v>0</v>
      </c>
      <c r="E72" s="529">
        <f t="shared" si="21"/>
        <v>0</v>
      </c>
      <c r="F72" s="528">
        <f t="shared" si="22"/>
        <v>0</v>
      </c>
      <c r="G72" s="530">
        <f t="shared" si="26"/>
        <v>0</v>
      </c>
      <c r="H72" s="471">
        <f t="shared" si="27"/>
        <v>0</v>
      </c>
      <c r="I72" s="531">
        <f t="shared" si="6"/>
        <v>0</v>
      </c>
      <c r="J72" s="511"/>
      <c r="K72" s="532"/>
      <c r="L72" s="533">
        <f t="shared" si="2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8598828</v>
      </c>
      <c r="F73" s="375"/>
      <c r="G73" s="375">
        <f>SUM(G17:G72)</f>
        <v>31566331.534973882</v>
      </c>
      <c r="H73" s="375">
        <f>SUM(H17:H72)</f>
        <v>31566331.534973882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34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943121.73103540705</v>
      </c>
      <c r="N87" s="546">
        <f>IF(J92&lt;D11,0,VLOOKUP(J92,C17:O72,11))</f>
        <v>943121.73103540705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1000699.2908594325</v>
      </c>
      <c r="N88" s="550">
        <f>IF(J92&lt;D11,0,VLOOKUP(J92,C99:P154,7))</f>
        <v>1000699.2908594325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Bann - LS Ordnance - Hooks 69 kV - Rebuild 7.1 mi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57577.559824025491</v>
      </c>
      <c r="N89" s="555">
        <f>+N88-N87</f>
        <v>57577.559824025491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TP2011024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8598828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64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209727.51219512196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2013</v>
      </c>
      <c r="D99" s="629">
        <v>0</v>
      </c>
      <c r="E99" s="630">
        <v>102307.79761904763</v>
      </c>
      <c r="F99" s="631">
        <v>8491547.2023809515</v>
      </c>
      <c r="G99" s="632">
        <v>4245773.6011904757</v>
      </c>
      <c r="H99" s="633">
        <v>676725.73574462067</v>
      </c>
      <c r="I99" s="634">
        <v>676725.73574462067</v>
      </c>
      <c r="J99" s="613">
        <v>0</v>
      </c>
      <c r="K99" s="514"/>
      <c r="L99" s="518">
        <f t="shared" ref="L99:L104" si="28">H99</f>
        <v>676725.73574462067</v>
      </c>
      <c r="M99" s="519">
        <f t="shared" ref="M99:M104" si="29">IF(L99&lt;&gt;0,+H99-L99,0)</f>
        <v>0</v>
      </c>
      <c r="N99" s="518">
        <f t="shared" ref="N99:N104" si="30">I99</f>
        <v>676725.73574462067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8491547.2023809515</v>
      </c>
      <c r="E100" s="630">
        <v>204734</v>
      </c>
      <c r="F100" s="631">
        <v>8286813.2023809515</v>
      </c>
      <c r="G100" s="631">
        <v>8389180.2023809515</v>
      </c>
      <c r="H100" s="633">
        <v>1345020.3976952727</v>
      </c>
      <c r="I100" s="634">
        <v>1345020.3976952727</v>
      </c>
      <c r="J100" s="514">
        <v>0</v>
      </c>
      <c r="K100" s="514"/>
      <c r="L100" s="518">
        <f t="shared" si="28"/>
        <v>1345020.3976952727</v>
      </c>
      <c r="M100" s="519">
        <f t="shared" si="29"/>
        <v>0</v>
      </c>
      <c r="N100" s="518">
        <f t="shared" si="30"/>
        <v>1345020.3976952727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31">IF(D101=F100,"","IU")</f>
        <v>IU</v>
      </c>
      <c r="C101" s="507">
        <f>IF(D93="","-",+C100+1)</f>
        <v>2015</v>
      </c>
      <c r="D101" s="629">
        <v>8291786.2023809524</v>
      </c>
      <c r="E101" s="630">
        <v>204734</v>
      </c>
      <c r="F101" s="631">
        <v>8087052.2023809524</v>
      </c>
      <c r="G101" s="631">
        <v>8189419.2023809524</v>
      </c>
      <c r="H101" s="633">
        <v>1283844.5787456448</v>
      </c>
      <c r="I101" s="634">
        <v>1283844.5787456448</v>
      </c>
      <c r="J101" s="514">
        <f>+I101-H101</f>
        <v>0</v>
      </c>
      <c r="K101" s="514"/>
      <c r="L101" s="518">
        <f t="shared" si="28"/>
        <v>1283844.5787456448</v>
      </c>
      <c r="M101" s="519">
        <f t="shared" si="29"/>
        <v>0</v>
      </c>
      <c r="N101" s="518">
        <f t="shared" si="30"/>
        <v>1283844.5787456448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1"/>
        <v/>
      </c>
      <c r="C102" s="507">
        <f>IF(D93="","-",+C101+1)</f>
        <v>2016</v>
      </c>
      <c r="D102" s="629">
        <v>8087052.2023809524</v>
      </c>
      <c r="E102" s="630">
        <v>199972.7441860465</v>
      </c>
      <c r="F102" s="631">
        <v>7887079.4581949059</v>
      </c>
      <c r="G102" s="631">
        <v>7987065.8302879296</v>
      </c>
      <c r="H102" s="633">
        <v>1213930.6577994749</v>
      </c>
      <c r="I102" s="634">
        <v>1213930.6577994749</v>
      </c>
      <c r="J102" s="514">
        <f t="shared" ref="J102:J154" si="32">+I102-H102</f>
        <v>0</v>
      </c>
      <c r="K102" s="514"/>
      <c r="L102" s="518">
        <f t="shared" si="28"/>
        <v>1213930.6577994749</v>
      </c>
      <c r="M102" s="519">
        <f t="shared" si="29"/>
        <v>0</v>
      </c>
      <c r="N102" s="518">
        <f t="shared" si="30"/>
        <v>1213930.6577994749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1"/>
        <v/>
      </c>
      <c r="C103" s="507">
        <f>IF(D93="","-",+C102+1)</f>
        <v>2017</v>
      </c>
      <c r="D103" s="629">
        <v>7887079.4581949059</v>
      </c>
      <c r="E103" s="630">
        <v>204734</v>
      </c>
      <c r="F103" s="631">
        <v>7682345.4581949059</v>
      </c>
      <c r="G103" s="631">
        <v>7784712.4581949059</v>
      </c>
      <c r="H103" s="633">
        <v>1150354.3699475904</v>
      </c>
      <c r="I103" s="634">
        <v>1150354.3699475904</v>
      </c>
      <c r="J103" s="514">
        <f t="shared" si="32"/>
        <v>0</v>
      </c>
      <c r="K103" s="514"/>
      <c r="L103" s="518">
        <f t="shared" si="28"/>
        <v>1150354.3699475904</v>
      </c>
      <c r="M103" s="519">
        <f t="shared" si="29"/>
        <v>0</v>
      </c>
      <c r="N103" s="518">
        <f t="shared" si="30"/>
        <v>1150354.3699475904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1"/>
        <v/>
      </c>
      <c r="C104" s="507">
        <f>IF(D93="","-",+C103+1)</f>
        <v>2018</v>
      </c>
      <c r="D104" s="629">
        <v>7682345.4581949059</v>
      </c>
      <c r="E104" s="630">
        <v>204734</v>
      </c>
      <c r="F104" s="631">
        <v>7477611.4581949059</v>
      </c>
      <c r="G104" s="631">
        <v>7579978.4581949059</v>
      </c>
      <c r="H104" s="633">
        <v>1005214.4856005983</v>
      </c>
      <c r="I104" s="634">
        <v>1005214.4856005983</v>
      </c>
      <c r="J104" s="514">
        <f t="shared" si="32"/>
        <v>0</v>
      </c>
      <c r="K104" s="514"/>
      <c r="L104" s="518">
        <f t="shared" si="28"/>
        <v>1005214.4856005983</v>
      </c>
      <c r="M104" s="519">
        <f t="shared" si="29"/>
        <v>0</v>
      </c>
      <c r="N104" s="518">
        <f t="shared" si="30"/>
        <v>1005214.4856005983</v>
      </c>
      <c r="O104" s="514">
        <f t="shared" ref="O104:O130" si="33">IF(N104&lt;&gt;0,+I104-N104,0)</f>
        <v>0</v>
      </c>
      <c r="P104" s="514">
        <f t="shared" ref="P104:P130" si="34">+O104-M104</f>
        <v>0</v>
      </c>
      <c r="Q104" s="269"/>
    </row>
    <row r="105" spans="1:17" ht="12.5">
      <c r="B105" s="195" t="str">
        <f t="shared" si="31"/>
        <v/>
      </c>
      <c r="C105" s="507">
        <f>IF(D93="","-",+C104+1)</f>
        <v>2019</v>
      </c>
      <c r="D105" s="629">
        <v>7477611.4581949059</v>
      </c>
      <c r="E105" s="630">
        <v>199972.7441860465</v>
      </c>
      <c r="F105" s="631">
        <v>7277638.7140088594</v>
      </c>
      <c r="G105" s="631">
        <v>7377625.0861018822</v>
      </c>
      <c r="H105" s="633">
        <v>989677.76558481681</v>
      </c>
      <c r="I105" s="634">
        <v>989677.76558481681</v>
      </c>
      <c r="J105" s="514">
        <f t="shared" si="32"/>
        <v>0</v>
      </c>
      <c r="K105" s="514"/>
      <c r="L105" s="518">
        <f t="shared" ref="L105:L106" si="35">H105</f>
        <v>989677.76558481681</v>
      </c>
      <c r="M105" s="519">
        <f t="shared" ref="M105:M106" si="36">IF(L105&lt;&gt;0,+H105-L105,0)</f>
        <v>0</v>
      </c>
      <c r="N105" s="518">
        <f t="shared" ref="N105:N106" si="37">I105</f>
        <v>989677.76558481681</v>
      </c>
      <c r="O105" s="514">
        <f t="shared" si="33"/>
        <v>0</v>
      </c>
      <c r="P105" s="514">
        <f t="shared" si="34"/>
        <v>0</v>
      </c>
      <c r="Q105" s="269"/>
    </row>
    <row r="106" spans="1:17" ht="12.5">
      <c r="B106" s="195" t="str">
        <f t="shared" si="31"/>
        <v/>
      </c>
      <c r="C106" s="507">
        <f>IF(D93="","-",+C105+1)</f>
        <v>2020</v>
      </c>
      <c r="D106" s="629">
        <v>7277638.7140088594</v>
      </c>
      <c r="E106" s="630">
        <v>204734</v>
      </c>
      <c r="F106" s="631">
        <v>7072904.7140088594</v>
      </c>
      <c r="G106" s="631">
        <v>7175271.7140088594</v>
      </c>
      <c r="H106" s="633">
        <v>976605.47751006903</v>
      </c>
      <c r="I106" s="634">
        <v>976605.47751006903</v>
      </c>
      <c r="J106" s="514">
        <f t="shared" si="32"/>
        <v>0</v>
      </c>
      <c r="K106" s="514"/>
      <c r="L106" s="518">
        <f t="shared" si="35"/>
        <v>976605.47751006903</v>
      </c>
      <c r="M106" s="519">
        <f t="shared" si="36"/>
        <v>0</v>
      </c>
      <c r="N106" s="518">
        <f t="shared" si="37"/>
        <v>976605.47751006903</v>
      </c>
      <c r="O106" s="514">
        <f t="shared" si="33"/>
        <v>0</v>
      </c>
      <c r="P106" s="514">
        <f t="shared" si="34"/>
        <v>0</v>
      </c>
      <c r="Q106" s="269"/>
    </row>
    <row r="107" spans="1:17" ht="12.5">
      <c r="B107" s="195" t="str">
        <f t="shared" si="31"/>
        <v/>
      </c>
      <c r="C107" s="507">
        <f>IF(D93="","-",+C106+1)</f>
        <v>2021</v>
      </c>
      <c r="D107" s="374">
        <f>IF(F106+SUM(E$99:E106)=D$92,F106,D$92-SUM(E$99:E106))</f>
        <v>7072904.7140088594</v>
      </c>
      <c r="E107" s="522">
        <f t="shared" ref="E107:E154" si="38">IF(+$J$96&lt;F106,$J$96,D107)</f>
        <v>209727.51219512196</v>
      </c>
      <c r="F107" s="523">
        <f t="shared" ref="F107:F154" si="39">+D107-E107</f>
        <v>6863177.2018137369</v>
      </c>
      <c r="G107" s="523">
        <f t="shared" ref="G107:G154" si="40">+(F107+D107)/2</f>
        <v>6968040.9579112977</v>
      </c>
      <c r="H107" s="526">
        <f t="shared" ref="H107:H154" si="41">+J$94*G107+E107</f>
        <v>1000699.2908594325</v>
      </c>
      <c r="I107" s="577">
        <f t="shared" ref="I107:I154" si="42">+J$95*G107+E107</f>
        <v>1000699.2908594325</v>
      </c>
      <c r="J107" s="514">
        <f t="shared" si="32"/>
        <v>0</v>
      </c>
      <c r="K107" s="514"/>
      <c r="L107" s="525"/>
      <c r="M107" s="514">
        <f t="shared" ref="M107:M130" si="43">IF(L107&lt;&gt;0,+H107-L107,0)</f>
        <v>0</v>
      </c>
      <c r="N107" s="525"/>
      <c r="O107" s="514">
        <f t="shared" si="33"/>
        <v>0</v>
      </c>
      <c r="P107" s="514">
        <f t="shared" si="34"/>
        <v>0</v>
      </c>
      <c r="Q107" s="269"/>
    </row>
    <row r="108" spans="1:17" ht="12.5">
      <c r="B108" s="195" t="str">
        <f t="shared" si="31"/>
        <v/>
      </c>
      <c r="C108" s="507">
        <f>IF(D93="","-",+C107+1)</f>
        <v>2022</v>
      </c>
      <c r="D108" s="374">
        <f>IF(F107+SUM(E$99:E107)=D$92,F107,D$92-SUM(E$99:E107))</f>
        <v>6863177.2018137369</v>
      </c>
      <c r="E108" s="522">
        <f t="shared" si="38"/>
        <v>209727.51219512196</v>
      </c>
      <c r="F108" s="523">
        <f t="shared" si="39"/>
        <v>6653449.6896186154</v>
      </c>
      <c r="G108" s="523">
        <f t="shared" si="40"/>
        <v>6758313.4457161762</v>
      </c>
      <c r="H108" s="526">
        <f t="shared" si="41"/>
        <v>976892.23456372134</v>
      </c>
      <c r="I108" s="577">
        <f t="shared" si="42"/>
        <v>976892.23456372134</v>
      </c>
      <c r="J108" s="514">
        <f t="shared" si="32"/>
        <v>0</v>
      </c>
      <c r="K108" s="514"/>
      <c r="L108" s="525"/>
      <c r="M108" s="514">
        <f t="shared" si="43"/>
        <v>0</v>
      </c>
      <c r="N108" s="525"/>
      <c r="O108" s="514">
        <f t="shared" si="33"/>
        <v>0</v>
      </c>
      <c r="P108" s="514">
        <f t="shared" si="34"/>
        <v>0</v>
      </c>
      <c r="Q108" s="269"/>
    </row>
    <row r="109" spans="1:17" ht="12.5">
      <c r="B109" s="195" t="str">
        <f t="shared" si="31"/>
        <v/>
      </c>
      <c r="C109" s="507">
        <f>IF(D93="","-",+C108+1)</f>
        <v>2023</v>
      </c>
      <c r="D109" s="374">
        <f>IF(F108+SUM(E$99:E108)=D$92,F108,D$92-SUM(E$99:E108))</f>
        <v>6653449.6896186154</v>
      </c>
      <c r="E109" s="522">
        <f t="shared" si="38"/>
        <v>209727.51219512196</v>
      </c>
      <c r="F109" s="523">
        <f t="shared" si="39"/>
        <v>6443722.1774234939</v>
      </c>
      <c r="G109" s="523">
        <f t="shared" si="40"/>
        <v>6548585.9335210547</v>
      </c>
      <c r="H109" s="526">
        <f t="shared" si="41"/>
        <v>953085.17826801003</v>
      </c>
      <c r="I109" s="577">
        <f t="shared" si="42"/>
        <v>953085.17826801003</v>
      </c>
      <c r="J109" s="514">
        <f t="shared" si="32"/>
        <v>0</v>
      </c>
      <c r="K109" s="514"/>
      <c r="L109" s="525"/>
      <c r="M109" s="514">
        <f t="shared" si="43"/>
        <v>0</v>
      </c>
      <c r="N109" s="525"/>
      <c r="O109" s="514">
        <f t="shared" si="33"/>
        <v>0</v>
      </c>
      <c r="P109" s="514">
        <f t="shared" si="34"/>
        <v>0</v>
      </c>
      <c r="Q109" s="269"/>
    </row>
    <row r="110" spans="1:17" ht="12.5">
      <c r="B110" s="195" t="str">
        <f t="shared" si="31"/>
        <v/>
      </c>
      <c r="C110" s="507">
        <f>IF(D93="","-",+C109+1)</f>
        <v>2024</v>
      </c>
      <c r="D110" s="374">
        <f>IF(F109+SUM(E$99:E109)=D$92,F109,D$92-SUM(E$99:E109))</f>
        <v>6443722.1774234939</v>
      </c>
      <c r="E110" s="522">
        <f t="shared" si="38"/>
        <v>209727.51219512196</v>
      </c>
      <c r="F110" s="523">
        <f t="shared" si="39"/>
        <v>6233994.6652283724</v>
      </c>
      <c r="G110" s="523">
        <f t="shared" si="40"/>
        <v>6338858.4213259332</v>
      </c>
      <c r="H110" s="526">
        <f t="shared" si="41"/>
        <v>929278.12197229872</v>
      </c>
      <c r="I110" s="577">
        <f t="shared" si="42"/>
        <v>929278.12197229872</v>
      </c>
      <c r="J110" s="514">
        <f t="shared" si="32"/>
        <v>0</v>
      </c>
      <c r="K110" s="514"/>
      <c r="L110" s="525"/>
      <c r="M110" s="514">
        <f t="shared" si="43"/>
        <v>0</v>
      </c>
      <c r="N110" s="525"/>
      <c r="O110" s="514">
        <f t="shared" si="33"/>
        <v>0</v>
      </c>
      <c r="P110" s="514">
        <f t="shared" si="34"/>
        <v>0</v>
      </c>
      <c r="Q110" s="269"/>
    </row>
    <row r="111" spans="1:17" ht="12.5">
      <c r="B111" s="195" t="str">
        <f t="shared" si="31"/>
        <v/>
      </c>
      <c r="C111" s="507">
        <f>IF(D93="","-",+C110+1)</f>
        <v>2025</v>
      </c>
      <c r="D111" s="374">
        <f>IF(F110+SUM(E$99:E110)=D$92,F110,D$92-SUM(E$99:E110))</f>
        <v>6233994.6652283724</v>
      </c>
      <c r="E111" s="522">
        <f t="shared" si="38"/>
        <v>209727.51219512196</v>
      </c>
      <c r="F111" s="523">
        <f t="shared" si="39"/>
        <v>6024267.1530332509</v>
      </c>
      <c r="G111" s="523">
        <f t="shared" si="40"/>
        <v>6129130.9091308117</v>
      </c>
      <c r="H111" s="526">
        <f t="shared" si="41"/>
        <v>905471.06567658752</v>
      </c>
      <c r="I111" s="577">
        <f t="shared" si="42"/>
        <v>905471.06567658752</v>
      </c>
      <c r="J111" s="514">
        <f t="shared" si="32"/>
        <v>0</v>
      </c>
      <c r="K111" s="514"/>
      <c r="L111" s="525"/>
      <c r="M111" s="514">
        <f t="shared" si="43"/>
        <v>0</v>
      </c>
      <c r="N111" s="525"/>
      <c r="O111" s="514">
        <f t="shared" si="33"/>
        <v>0</v>
      </c>
      <c r="P111" s="514">
        <f t="shared" si="34"/>
        <v>0</v>
      </c>
      <c r="Q111" s="269"/>
    </row>
    <row r="112" spans="1:17" ht="12.5">
      <c r="B112" s="195" t="str">
        <f t="shared" si="31"/>
        <v/>
      </c>
      <c r="C112" s="507">
        <f>IF(D93="","-",+C111+1)</f>
        <v>2026</v>
      </c>
      <c r="D112" s="374">
        <f>IF(F111+SUM(E$99:E111)=D$92,F111,D$92-SUM(E$99:E111))</f>
        <v>6024267.1530332509</v>
      </c>
      <c r="E112" s="522">
        <f t="shared" si="38"/>
        <v>209727.51219512196</v>
      </c>
      <c r="F112" s="523">
        <f t="shared" si="39"/>
        <v>5814539.6408381294</v>
      </c>
      <c r="G112" s="523">
        <f t="shared" si="40"/>
        <v>5919403.3969356902</v>
      </c>
      <c r="H112" s="526">
        <f t="shared" si="41"/>
        <v>881664.0093808762</v>
      </c>
      <c r="I112" s="577">
        <f t="shared" si="42"/>
        <v>881664.0093808762</v>
      </c>
      <c r="J112" s="514">
        <f t="shared" si="32"/>
        <v>0</v>
      </c>
      <c r="K112" s="514"/>
      <c r="L112" s="525"/>
      <c r="M112" s="514">
        <f t="shared" si="43"/>
        <v>0</v>
      </c>
      <c r="N112" s="525"/>
      <c r="O112" s="514">
        <f t="shared" si="33"/>
        <v>0</v>
      </c>
      <c r="P112" s="514">
        <f t="shared" si="34"/>
        <v>0</v>
      </c>
      <c r="Q112" s="269"/>
    </row>
    <row r="113" spans="2:17" ht="12.5">
      <c r="B113" s="195" t="str">
        <f t="shared" si="31"/>
        <v/>
      </c>
      <c r="C113" s="507">
        <f>IF(D93="","-",+C112+1)</f>
        <v>2027</v>
      </c>
      <c r="D113" s="374">
        <f>IF(F112+SUM(E$99:E112)=D$92,F112,D$92-SUM(E$99:E112))</f>
        <v>5814539.6408381294</v>
      </c>
      <c r="E113" s="522">
        <f t="shared" si="38"/>
        <v>209727.51219512196</v>
      </c>
      <c r="F113" s="523">
        <f t="shared" si="39"/>
        <v>5604812.1286430079</v>
      </c>
      <c r="G113" s="523">
        <f t="shared" si="40"/>
        <v>5709675.8847405687</v>
      </c>
      <c r="H113" s="526">
        <f t="shared" si="41"/>
        <v>857856.95308516501</v>
      </c>
      <c r="I113" s="577">
        <f t="shared" si="42"/>
        <v>857856.95308516501</v>
      </c>
      <c r="J113" s="514">
        <f t="shared" si="32"/>
        <v>0</v>
      </c>
      <c r="K113" s="514"/>
      <c r="L113" s="525"/>
      <c r="M113" s="514">
        <f t="shared" si="43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 ht="12.5">
      <c r="B114" s="195" t="str">
        <f t="shared" si="31"/>
        <v/>
      </c>
      <c r="C114" s="507">
        <f>IF(D93="","-",+C113+1)</f>
        <v>2028</v>
      </c>
      <c r="D114" s="374">
        <f>IF(F113+SUM(E$99:E113)=D$92,F113,D$92-SUM(E$99:E113))</f>
        <v>5604812.1286430079</v>
      </c>
      <c r="E114" s="522">
        <f t="shared" si="38"/>
        <v>209727.51219512196</v>
      </c>
      <c r="F114" s="523">
        <f t="shared" si="39"/>
        <v>5395084.6164478865</v>
      </c>
      <c r="G114" s="523">
        <f t="shared" si="40"/>
        <v>5499948.3725454472</v>
      </c>
      <c r="H114" s="526">
        <f t="shared" si="41"/>
        <v>834049.89678945369</v>
      </c>
      <c r="I114" s="577">
        <f t="shared" si="42"/>
        <v>834049.89678945369</v>
      </c>
      <c r="J114" s="514">
        <f t="shared" si="32"/>
        <v>0</v>
      </c>
      <c r="K114" s="514"/>
      <c r="L114" s="525"/>
      <c r="M114" s="514">
        <f t="shared" si="43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 ht="12.5">
      <c r="B115" s="195" t="str">
        <f t="shared" si="31"/>
        <v/>
      </c>
      <c r="C115" s="507">
        <f>IF(D93="","-",+C114+1)</f>
        <v>2029</v>
      </c>
      <c r="D115" s="374">
        <f>IF(F114+SUM(E$99:E114)=D$92,F114,D$92-SUM(E$99:E114))</f>
        <v>5395084.6164478865</v>
      </c>
      <c r="E115" s="522">
        <f t="shared" si="38"/>
        <v>209727.51219512196</v>
      </c>
      <c r="F115" s="523">
        <f t="shared" si="39"/>
        <v>5185357.104252765</v>
      </c>
      <c r="G115" s="523">
        <f t="shared" si="40"/>
        <v>5290220.8603503257</v>
      </c>
      <c r="H115" s="526">
        <f t="shared" si="41"/>
        <v>810242.84049374238</v>
      </c>
      <c r="I115" s="577">
        <f t="shared" si="42"/>
        <v>810242.84049374238</v>
      </c>
      <c r="J115" s="514">
        <f t="shared" si="32"/>
        <v>0</v>
      </c>
      <c r="K115" s="514"/>
      <c r="L115" s="525"/>
      <c r="M115" s="514">
        <f t="shared" si="43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 ht="12.5">
      <c r="B116" s="195" t="str">
        <f t="shared" si="31"/>
        <v/>
      </c>
      <c r="C116" s="507">
        <f>IF(D93="","-",+C115+1)</f>
        <v>2030</v>
      </c>
      <c r="D116" s="374">
        <f>IF(F115+SUM(E$99:E115)=D$92,F115,D$92-SUM(E$99:E115))</f>
        <v>5185357.104252765</v>
      </c>
      <c r="E116" s="522">
        <f t="shared" si="38"/>
        <v>209727.51219512196</v>
      </c>
      <c r="F116" s="523">
        <f t="shared" si="39"/>
        <v>4975629.5920576435</v>
      </c>
      <c r="G116" s="523">
        <f t="shared" si="40"/>
        <v>5080493.3481552042</v>
      </c>
      <c r="H116" s="526">
        <f t="shared" si="41"/>
        <v>786435.78419803118</v>
      </c>
      <c r="I116" s="577">
        <f t="shared" si="42"/>
        <v>786435.78419803118</v>
      </c>
      <c r="J116" s="514">
        <f t="shared" si="32"/>
        <v>0</v>
      </c>
      <c r="K116" s="514"/>
      <c r="L116" s="525"/>
      <c r="M116" s="514">
        <f t="shared" si="43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 ht="12.5">
      <c r="B117" s="195" t="str">
        <f t="shared" si="31"/>
        <v/>
      </c>
      <c r="C117" s="507">
        <f>IF(D93="","-",+C116+1)</f>
        <v>2031</v>
      </c>
      <c r="D117" s="374">
        <f>IF(F116+SUM(E$99:E116)=D$92,F116,D$92-SUM(E$99:E116))</f>
        <v>4975629.5920576435</v>
      </c>
      <c r="E117" s="522">
        <f t="shared" si="38"/>
        <v>209727.51219512196</v>
      </c>
      <c r="F117" s="523">
        <f t="shared" si="39"/>
        <v>4765902.079862522</v>
      </c>
      <c r="G117" s="523">
        <f t="shared" si="40"/>
        <v>4870765.8359600827</v>
      </c>
      <c r="H117" s="526">
        <f t="shared" si="41"/>
        <v>762628.72790231986</v>
      </c>
      <c r="I117" s="577">
        <f t="shared" si="42"/>
        <v>762628.72790231986</v>
      </c>
      <c r="J117" s="514">
        <f t="shared" si="32"/>
        <v>0</v>
      </c>
      <c r="K117" s="514"/>
      <c r="L117" s="525"/>
      <c r="M117" s="514">
        <f t="shared" si="43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 ht="12.5">
      <c r="B118" s="195" t="str">
        <f t="shared" si="31"/>
        <v/>
      </c>
      <c r="C118" s="507">
        <f>IF(D93="","-",+C117+1)</f>
        <v>2032</v>
      </c>
      <c r="D118" s="374">
        <f>IF(F117+SUM(E$99:E117)=D$92,F117,D$92-SUM(E$99:E117))</f>
        <v>4765902.079862522</v>
      </c>
      <c r="E118" s="522">
        <f t="shared" si="38"/>
        <v>209727.51219512196</v>
      </c>
      <c r="F118" s="523">
        <f t="shared" si="39"/>
        <v>4556174.5676674005</v>
      </c>
      <c r="G118" s="523">
        <f t="shared" si="40"/>
        <v>4661038.3237649612</v>
      </c>
      <c r="H118" s="526">
        <f t="shared" si="41"/>
        <v>738821.67160660855</v>
      </c>
      <c r="I118" s="577">
        <f t="shared" si="42"/>
        <v>738821.67160660855</v>
      </c>
      <c r="J118" s="514">
        <f t="shared" si="32"/>
        <v>0</v>
      </c>
      <c r="K118" s="514"/>
      <c r="L118" s="525"/>
      <c r="M118" s="514">
        <f t="shared" si="43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 ht="12.5">
      <c r="B119" s="195" t="str">
        <f t="shared" si="31"/>
        <v/>
      </c>
      <c r="C119" s="507">
        <f>IF(D93="","-",+C118+1)</f>
        <v>2033</v>
      </c>
      <c r="D119" s="374">
        <f>IF(F118+SUM(E$99:E118)=D$92,F118,D$92-SUM(E$99:E118))</f>
        <v>4556174.5676674005</v>
      </c>
      <c r="E119" s="522">
        <f t="shared" si="38"/>
        <v>209727.51219512196</v>
      </c>
      <c r="F119" s="523">
        <f t="shared" si="39"/>
        <v>4346447.055472279</v>
      </c>
      <c r="G119" s="523">
        <f t="shared" si="40"/>
        <v>4451310.8115698397</v>
      </c>
      <c r="H119" s="526">
        <f t="shared" si="41"/>
        <v>715014.61531089735</v>
      </c>
      <c r="I119" s="577">
        <f t="shared" si="42"/>
        <v>715014.61531089735</v>
      </c>
      <c r="J119" s="514">
        <f t="shared" si="32"/>
        <v>0</v>
      </c>
      <c r="K119" s="514"/>
      <c r="L119" s="525"/>
      <c r="M119" s="514">
        <f t="shared" si="43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 ht="12.5">
      <c r="B120" s="195" t="str">
        <f t="shared" si="31"/>
        <v>IU</v>
      </c>
      <c r="C120" s="507">
        <f>IF(D93="","-",+C119+1)</f>
        <v>2034</v>
      </c>
      <c r="D120" s="374">
        <f>IF(F119+SUM(E$99:E119)=D$92,F119,D$92-SUM(E$99:E119))</f>
        <v>4346447.0554722734</v>
      </c>
      <c r="E120" s="522">
        <f t="shared" si="38"/>
        <v>209727.51219512196</v>
      </c>
      <c r="F120" s="523">
        <f t="shared" si="39"/>
        <v>4136719.5432771514</v>
      </c>
      <c r="G120" s="523">
        <f t="shared" si="40"/>
        <v>4241583.2993747126</v>
      </c>
      <c r="H120" s="526">
        <f t="shared" si="41"/>
        <v>691207.55901518546</v>
      </c>
      <c r="I120" s="577">
        <f t="shared" si="42"/>
        <v>691207.55901518546</v>
      </c>
      <c r="J120" s="514">
        <f t="shared" si="32"/>
        <v>0</v>
      </c>
      <c r="K120" s="514"/>
      <c r="L120" s="525"/>
      <c r="M120" s="514">
        <f t="shared" si="43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 ht="12.5">
      <c r="B121" s="195" t="str">
        <f t="shared" si="31"/>
        <v/>
      </c>
      <c r="C121" s="507">
        <f>IF(D93="","-",+C120+1)</f>
        <v>2035</v>
      </c>
      <c r="D121" s="374">
        <f>IF(F120+SUM(E$99:E120)=D$92,F120,D$92-SUM(E$99:E120))</f>
        <v>4136719.5432771514</v>
      </c>
      <c r="E121" s="522">
        <f t="shared" si="38"/>
        <v>209727.51219512196</v>
      </c>
      <c r="F121" s="523">
        <f t="shared" si="39"/>
        <v>3926992.0310820295</v>
      </c>
      <c r="G121" s="523">
        <f t="shared" si="40"/>
        <v>4031855.7871795902</v>
      </c>
      <c r="H121" s="526">
        <f t="shared" si="41"/>
        <v>667400.50271947403</v>
      </c>
      <c r="I121" s="577">
        <f t="shared" si="42"/>
        <v>667400.50271947403</v>
      </c>
      <c r="J121" s="514">
        <f t="shared" si="32"/>
        <v>0</v>
      </c>
      <c r="K121" s="514"/>
      <c r="L121" s="525"/>
      <c r="M121" s="514">
        <f t="shared" si="43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 ht="12.5">
      <c r="B122" s="195" t="str">
        <f t="shared" si="31"/>
        <v/>
      </c>
      <c r="C122" s="507">
        <f>IF(D93="","-",+C121+1)</f>
        <v>2036</v>
      </c>
      <c r="D122" s="374">
        <f>IF(F121+SUM(E$99:E121)=D$92,F121,D$92-SUM(E$99:E121))</f>
        <v>3926992.0310820295</v>
      </c>
      <c r="E122" s="522">
        <f t="shared" si="38"/>
        <v>209727.51219512196</v>
      </c>
      <c r="F122" s="523">
        <f t="shared" si="39"/>
        <v>3717264.5188869075</v>
      </c>
      <c r="G122" s="523">
        <f t="shared" si="40"/>
        <v>3822128.2749844687</v>
      </c>
      <c r="H122" s="526">
        <f t="shared" si="41"/>
        <v>643593.44642376271</v>
      </c>
      <c r="I122" s="577">
        <f t="shared" si="42"/>
        <v>643593.44642376271</v>
      </c>
      <c r="J122" s="514">
        <f t="shared" si="32"/>
        <v>0</v>
      </c>
      <c r="K122" s="514"/>
      <c r="L122" s="525"/>
      <c r="M122" s="514">
        <f t="shared" si="43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 ht="12.5">
      <c r="B123" s="195" t="str">
        <f t="shared" si="31"/>
        <v/>
      </c>
      <c r="C123" s="507">
        <f>IF(D93="","-",+C122+1)</f>
        <v>2037</v>
      </c>
      <c r="D123" s="374">
        <f>IF(F122+SUM(E$99:E122)=D$92,F122,D$92-SUM(E$99:E122))</f>
        <v>3717264.5188869075</v>
      </c>
      <c r="E123" s="522">
        <f t="shared" si="38"/>
        <v>209727.51219512196</v>
      </c>
      <c r="F123" s="523">
        <f t="shared" si="39"/>
        <v>3507537.0066917855</v>
      </c>
      <c r="G123" s="523">
        <f t="shared" si="40"/>
        <v>3612400.7627893463</v>
      </c>
      <c r="H123" s="526">
        <f t="shared" si="41"/>
        <v>619786.3901280514</v>
      </c>
      <c r="I123" s="577">
        <f t="shared" si="42"/>
        <v>619786.3901280514</v>
      </c>
      <c r="J123" s="514">
        <f t="shared" si="32"/>
        <v>0</v>
      </c>
      <c r="K123" s="514"/>
      <c r="L123" s="525"/>
      <c r="M123" s="514">
        <f t="shared" si="43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 ht="12.5">
      <c r="B124" s="195" t="str">
        <f t="shared" si="31"/>
        <v/>
      </c>
      <c r="C124" s="507">
        <f>IF(D93="","-",+C123+1)</f>
        <v>2038</v>
      </c>
      <c r="D124" s="374">
        <f>IF(F123+SUM(E$99:E123)=D$92,F123,D$92-SUM(E$99:E123))</f>
        <v>3507537.0066917855</v>
      </c>
      <c r="E124" s="522">
        <f t="shared" si="38"/>
        <v>209727.51219512196</v>
      </c>
      <c r="F124" s="523">
        <f t="shared" si="39"/>
        <v>3297809.4944966636</v>
      </c>
      <c r="G124" s="523">
        <f t="shared" si="40"/>
        <v>3402673.2505942248</v>
      </c>
      <c r="H124" s="526">
        <f t="shared" si="41"/>
        <v>595979.33383234008</v>
      </c>
      <c r="I124" s="577">
        <f t="shared" si="42"/>
        <v>595979.33383234008</v>
      </c>
      <c r="J124" s="514">
        <f t="shared" si="32"/>
        <v>0</v>
      </c>
      <c r="K124" s="514"/>
      <c r="L124" s="525"/>
      <c r="M124" s="514">
        <f t="shared" si="43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 ht="12.5">
      <c r="B125" s="195" t="str">
        <f t="shared" si="31"/>
        <v/>
      </c>
      <c r="C125" s="507">
        <f>IF(D93="","-",+C124+1)</f>
        <v>2039</v>
      </c>
      <c r="D125" s="374">
        <f>IF(F124+SUM(E$99:E124)=D$92,F124,D$92-SUM(E$99:E124))</f>
        <v>3297809.4944966636</v>
      </c>
      <c r="E125" s="522">
        <f t="shared" si="38"/>
        <v>209727.51219512196</v>
      </c>
      <c r="F125" s="523">
        <f t="shared" si="39"/>
        <v>3088081.9823015416</v>
      </c>
      <c r="G125" s="523">
        <f t="shared" si="40"/>
        <v>3192945.7383991024</v>
      </c>
      <c r="H125" s="526">
        <f t="shared" si="41"/>
        <v>572172.27753662877</v>
      </c>
      <c r="I125" s="577">
        <f t="shared" si="42"/>
        <v>572172.27753662877</v>
      </c>
      <c r="J125" s="514">
        <f t="shared" si="32"/>
        <v>0</v>
      </c>
      <c r="K125" s="514"/>
      <c r="L125" s="525"/>
      <c r="M125" s="514">
        <f t="shared" si="43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 ht="12.5">
      <c r="B126" s="195" t="str">
        <f t="shared" si="31"/>
        <v/>
      </c>
      <c r="C126" s="507">
        <f>IF(D93="","-",+C125+1)</f>
        <v>2040</v>
      </c>
      <c r="D126" s="374">
        <f>IF(F125+SUM(E$99:E125)=D$92,F125,D$92-SUM(E$99:E125))</f>
        <v>3088081.9823015416</v>
      </c>
      <c r="E126" s="522">
        <f t="shared" si="38"/>
        <v>209727.51219512196</v>
      </c>
      <c r="F126" s="523">
        <f t="shared" si="39"/>
        <v>2878354.4701064196</v>
      </c>
      <c r="G126" s="523">
        <f t="shared" si="40"/>
        <v>2983218.2262039809</v>
      </c>
      <c r="H126" s="526">
        <f t="shared" si="41"/>
        <v>548365.22124091745</v>
      </c>
      <c r="I126" s="577">
        <f t="shared" si="42"/>
        <v>548365.22124091745</v>
      </c>
      <c r="J126" s="514">
        <f t="shared" si="32"/>
        <v>0</v>
      </c>
      <c r="K126" s="514"/>
      <c r="L126" s="525"/>
      <c r="M126" s="514">
        <f t="shared" si="43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 ht="12.5">
      <c r="B127" s="195" t="str">
        <f t="shared" si="31"/>
        <v/>
      </c>
      <c r="C127" s="507">
        <f>IF(D93="","-",+C126+1)</f>
        <v>2041</v>
      </c>
      <c r="D127" s="374">
        <f>IF(F126+SUM(E$99:E126)=D$92,F126,D$92-SUM(E$99:E126))</f>
        <v>2878354.4701064196</v>
      </c>
      <c r="E127" s="522">
        <f t="shared" si="38"/>
        <v>209727.51219512196</v>
      </c>
      <c r="F127" s="523">
        <f t="shared" si="39"/>
        <v>2668626.9579112977</v>
      </c>
      <c r="G127" s="523">
        <f t="shared" si="40"/>
        <v>2773490.7140088584</v>
      </c>
      <c r="H127" s="526">
        <f t="shared" si="41"/>
        <v>524558.16494520614</v>
      </c>
      <c r="I127" s="577">
        <f t="shared" si="42"/>
        <v>524558.16494520614</v>
      </c>
      <c r="J127" s="514">
        <f t="shared" si="32"/>
        <v>0</v>
      </c>
      <c r="K127" s="514"/>
      <c r="L127" s="525"/>
      <c r="M127" s="514">
        <f t="shared" si="43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 ht="12.5">
      <c r="B128" s="195" t="str">
        <f t="shared" si="31"/>
        <v/>
      </c>
      <c r="C128" s="507">
        <f>IF(D93="","-",+C127+1)</f>
        <v>2042</v>
      </c>
      <c r="D128" s="374">
        <f>IF(F127+SUM(E$99:E127)=D$92,F127,D$92-SUM(E$99:E127))</f>
        <v>2668626.9579112977</v>
      </c>
      <c r="E128" s="522">
        <f t="shared" si="38"/>
        <v>209727.51219512196</v>
      </c>
      <c r="F128" s="523">
        <f t="shared" si="39"/>
        <v>2458899.4457161757</v>
      </c>
      <c r="G128" s="523">
        <f t="shared" si="40"/>
        <v>2563763.2018137369</v>
      </c>
      <c r="H128" s="526">
        <f t="shared" si="41"/>
        <v>500751.10864949482</v>
      </c>
      <c r="I128" s="577">
        <f t="shared" si="42"/>
        <v>500751.10864949482</v>
      </c>
      <c r="J128" s="514">
        <f t="shared" si="32"/>
        <v>0</v>
      </c>
      <c r="K128" s="514"/>
      <c r="L128" s="525"/>
      <c r="M128" s="514">
        <f t="shared" si="43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 ht="12.5">
      <c r="B129" s="195" t="str">
        <f t="shared" si="31"/>
        <v/>
      </c>
      <c r="C129" s="507">
        <f>IF(D93="","-",+C128+1)</f>
        <v>2043</v>
      </c>
      <c r="D129" s="374">
        <f>IF(F128+SUM(E$99:E128)=D$92,F128,D$92-SUM(E$99:E128))</f>
        <v>2458899.4457161757</v>
      </c>
      <c r="E129" s="522">
        <f t="shared" si="38"/>
        <v>209727.51219512196</v>
      </c>
      <c r="F129" s="523">
        <f t="shared" si="39"/>
        <v>2249171.9335210538</v>
      </c>
      <c r="G129" s="523">
        <f t="shared" si="40"/>
        <v>2354035.6896186145</v>
      </c>
      <c r="H129" s="526">
        <f t="shared" si="41"/>
        <v>476944.05235378345</v>
      </c>
      <c r="I129" s="577">
        <f t="shared" si="42"/>
        <v>476944.05235378345</v>
      </c>
      <c r="J129" s="514">
        <f t="shared" si="32"/>
        <v>0</v>
      </c>
      <c r="K129" s="514"/>
      <c r="L129" s="525"/>
      <c r="M129" s="514">
        <f t="shared" si="43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 ht="12.5">
      <c r="B130" s="195" t="str">
        <f t="shared" si="31"/>
        <v/>
      </c>
      <c r="C130" s="507">
        <f>IF(D93="","-",+C129+1)</f>
        <v>2044</v>
      </c>
      <c r="D130" s="374">
        <f>IF(F129+SUM(E$99:E129)=D$92,F129,D$92-SUM(E$99:E129))</f>
        <v>2249171.9335210538</v>
      </c>
      <c r="E130" s="522">
        <f t="shared" si="38"/>
        <v>209727.51219512196</v>
      </c>
      <c r="F130" s="523">
        <f t="shared" si="39"/>
        <v>2039444.4213259318</v>
      </c>
      <c r="G130" s="523">
        <f t="shared" si="40"/>
        <v>2144308.177423493</v>
      </c>
      <c r="H130" s="526">
        <f t="shared" si="41"/>
        <v>453136.9960580722</v>
      </c>
      <c r="I130" s="577">
        <f t="shared" si="42"/>
        <v>453136.9960580722</v>
      </c>
      <c r="J130" s="514">
        <f t="shared" si="32"/>
        <v>0</v>
      </c>
      <c r="K130" s="514"/>
      <c r="L130" s="525"/>
      <c r="M130" s="514">
        <f t="shared" si="43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 ht="12.5">
      <c r="B131" s="195" t="str">
        <f t="shared" si="31"/>
        <v>IU</v>
      </c>
      <c r="C131" s="507">
        <f>IF(D93="","-",+C130+1)</f>
        <v>2045</v>
      </c>
      <c r="D131" s="374">
        <f>IF(F130+SUM(E$99:E130)=D$92,F130,D$92-SUM(E$99:E130))</f>
        <v>2039444.4213259369</v>
      </c>
      <c r="E131" s="522">
        <f t="shared" si="38"/>
        <v>209727.51219512196</v>
      </c>
      <c r="F131" s="523">
        <f t="shared" si="39"/>
        <v>1829716.909130815</v>
      </c>
      <c r="G131" s="523">
        <f t="shared" si="40"/>
        <v>1934580.6652283759</v>
      </c>
      <c r="H131" s="526">
        <f t="shared" si="41"/>
        <v>429329.93976236146</v>
      </c>
      <c r="I131" s="577">
        <f t="shared" si="42"/>
        <v>429329.93976236146</v>
      </c>
      <c r="J131" s="514">
        <f t="shared" si="32"/>
        <v>0</v>
      </c>
      <c r="K131" s="514"/>
      <c r="L131" s="525"/>
      <c r="M131" s="514">
        <f t="shared" ref="M131:M154" si="44">IF(L541&lt;&gt;0,+H541-L541,0)</f>
        <v>0</v>
      </c>
      <c r="N131" s="525"/>
      <c r="O131" s="514">
        <f t="shared" ref="O131:O154" si="45">IF(N541&lt;&gt;0,+I541-N541,0)</f>
        <v>0</v>
      </c>
      <c r="P131" s="514">
        <f t="shared" ref="P131:P154" si="46">+O541-M541</f>
        <v>0</v>
      </c>
      <c r="Q131" s="269"/>
    </row>
    <row r="132" spans="2:17" ht="12.5">
      <c r="B132" s="195" t="str">
        <f t="shared" si="31"/>
        <v/>
      </c>
      <c r="C132" s="507">
        <f>IF(D93="","-",+C131+1)</f>
        <v>2046</v>
      </c>
      <c r="D132" s="374">
        <f>IF(F131+SUM(E$99:E131)=D$92,F131,D$92-SUM(E$99:E131))</f>
        <v>1829716.909130815</v>
      </c>
      <c r="E132" s="522">
        <f t="shared" si="38"/>
        <v>209727.51219512196</v>
      </c>
      <c r="F132" s="523">
        <f t="shared" si="39"/>
        <v>1619989.396935693</v>
      </c>
      <c r="G132" s="523">
        <f t="shared" si="40"/>
        <v>1724853.153033254</v>
      </c>
      <c r="H132" s="526">
        <f t="shared" si="41"/>
        <v>405522.88346665015</v>
      </c>
      <c r="I132" s="577">
        <f t="shared" si="42"/>
        <v>405522.88346665015</v>
      </c>
      <c r="J132" s="514">
        <f t="shared" si="32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 ht="12.5">
      <c r="B133" s="195" t="str">
        <f t="shared" si="31"/>
        <v/>
      </c>
      <c r="C133" s="507">
        <f>IF(D93="","-",+C132+1)</f>
        <v>2047</v>
      </c>
      <c r="D133" s="374">
        <f>IF(F132+SUM(E$99:E132)=D$92,F132,D$92-SUM(E$99:E132))</f>
        <v>1619989.396935693</v>
      </c>
      <c r="E133" s="522">
        <f t="shared" si="38"/>
        <v>209727.51219512196</v>
      </c>
      <c r="F133" s="523">
        <f t="shared" si="39"/>
        <v>1410261.884740571</v>
      </c>
      <c r="G133" s="523">
        <f t="shared" si="40"/>
        <v>1515125.640838132</v>
      </c>
      <c r="H133" s="526">
        <f t="shared" si="41"/>
        <v>381715.82717093884</v>
      </c>
      <c r="I133" s="577">
        <f t="shared" si="42"/>
        <v>381715.82717093884</v>
      </c>
      <c r="J133" s="514">
        <f t="shared" si="32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 ht="12.5">
      <c r="B134" s="195" t="str">
        <f t="shared" si="31"/>
        <v/>
      </c>
      <c r="C134" s="507">
        <f>IF(D93="","-",+C133+1)</f>
        <v>2048</v>
      </c>
      <c r="D134" s="374">
        <f>IF(F133+SUM(E$99:E133)=D$92,F133,D$92-SUM(E$99:E133))</f>
        <v>1410261.884740571</v>
      </c>
      <c r="E134" s="522">
        <f t="shared" si="38"/>
        <v>209727.51219512196</v>
      </c>
      <c r="F134" s="523">
        <f t="shared" si="39"/>
        <v>1200534.3725454491</v>
      </c>
      <c r="G134" s="523">
        <f t="shared" si="40"/>
        <v>1305398.12864301</v>
      </c>
      <c r="H134" s="526">
        <f t="shared" si="41"/>
        <v>357908.77087522746</v>
      </c>
      <c r="I134" s="577">
        <f t="shared" si="42"/>
        <v>357908.77087522746</v>
      </c>
      <c r="J134" s="514">
        <f t="shared" si="32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 ht="12.5">
      <c r="B135" s="195" t="str">
        <f t="shared" si="31"/>
        <v/>
      </c>
      <c r="C135" s="507">
        <f>IF(D93="","-",+C134+1)</f>
        <v>2049</v>
      </c>
      <c r="D135" s="374">
        <f>IF(F134+SUM(E$99:E134)=D$92,F134,D$92-SUM(E$99:E134))</f>
        <v>1200534.3725454491</v>
      </c>
      <c r="E135" s="522">
        <f t="shared" si="38"/>
        <v>209727.51219512196</v>
      </c>
      <c r="F135" s="523">
        <f t="shared" si="39"/>
        <v>990806.8603503271</v>
      </c>
      <c r="G135" s="523">
        <f t="shared" si="40"/>
        <v>1095670.6164478881</v>
      </c>
      <c r="H135" s="526">
        <f t="shared" si="41"/>
        <v>334101.71457951615</v>
      </c>
      <c r="I135" s="577">
        <f t="shared" si="42"/>
        <v>334101.71457951615</v>
      </c>
      <c r="J135" s="514">
        <f t="shared" si="32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 ht="12.5">
      <c r="B136" s="195" t="str">
        <f t="shared" si="31"/>
        <v/>
      </c>
      <c r="C136" s="507">
        <f>IF(D93="","-",+C135+1)</f>
        <v>2050</v>
      </c>
      <c r="D136" s="374">
        <f>IF(F135+SUM(E$99:E135)=D$92,F135,D$92-SUM(E$99:E135))</f>
        <v>990806.8603503271</v>
      </c>
      <c r="E136" s="522">
        <f t="shared" si="38"/>
        <v>209727.51219512196</v>
      </c>
      <c r="F136" s="523">
        <f t="shared" si="39"/>
        <v>781079.34815520514</v>
      </c>
      <c r="G136" s="523">
        <f t="shared" si="40"/>
        <v>885943.10425276612</v>
      </c>
      <c r="H136" s="526">
        <f t="shared" si="41"/>
        <v>310294.65828380483</v>
      </c>
      <c r="I136" s="577">
        <f t="shared" si="42"/>
        <v>310294.65828380483</v>
      </c>
      <c r="J136" s="514">
        <f t="shared" si="32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 ht="12.5">
      <c r="B137" s="195" t="str">
        <f t="shared" si="31"/>
        <v/>
      </c>
      <c r="C137" s="507">
        <f>IF(D93="","-",+C136+1)</f>
        <v>2051</v>
      </c>
      <c r="D137" s="374">
        <f>IF(F136+SUM(E$99:E136)=D$92,F136,D$92-SUM(E$99:E136))</f>
        <v>781079.34815520514</v>
      </c>
      <c r="E137" s="522">
        <f t="shared" si="38"/>
        <v>209727.51219512196</v>
      </c>
      <c r="F137" s="523">
        <f t="shared" si="39"/>
        <v>571351.83596008318</v>
      </c>
      <c r="G137" s="523">
        <f t="shared" si="40"/>
        <v>676215.59205764416</v>
      </c>
      <c r="H137" s="526">
        <f t="shared" si="41"/>
        <v>286487.60198809352</v>
      </c>
      <c r="I137" s="577">
        <f t="shared" si="42"/>
        <v>286487.60198809352</v>
      </c>
      <c r="J137" s="514">
        <f t="shared" si="32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 ht="12.5">
      <c r="B138" s="195" t="str">
        <f t="shared" si="31"/>
        <v/>
      </c>
      <c r="C138" s="507">
        <f>IF(D93="","-",+C137+1)</f>
        <v>2052</v>
      </c>
      <c r="D138" s="374">
        <f>IF(F137+SUM(E$99:E137)=D$92,F137,D$92-SUM(E$99:E137))</f>
        <v>571351.83596008318</v>
      </c>
      <c r="E138" s="522">
        <f t="shared" si="38"/>
        <v>209727.51219512196</v>
      </c>
      <c r="F138" s="523">
        <f t="shared" si="39"/>
        <v>361624.32376496121</v>
      </c>
      <c r="G138" s="523">
        <f t="shared" si="40"/>
        <v>466488.07986252219</v>
      </c>
      <c r="H138" s="526">
        <f t="shared" si="41"/>
        <v>262680.54569238221</v>
      </c>
      <c r="I138" s="577">
        <f t="shared" si="42"/>
        <v>262680.54569238221</v>
      </c>
      <c r="J138" s="514">
        <f t="shared" si="32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 ht="12.5">
      <c r="B139" s="195" t="str">
        <f t="shared" si="31"/>
        <v/>
      </c>
      <c r="C139" s="507">
        <f>IF(D93="","-",+C138+1)</f>
        <v>2053</v>
      </c>
      <c r="D139" s="374">
        <f>IF(F138+SUM(E$99:E138)=D$92,F138,D$92-SUM(E$99:E138))</f>
        <v>361624.32376496121</v>
      </c>
      <c r="E139" s="522">
        <f t="shared" si="38"/>
        <v>209727.51219512196</v>
      </c>
      <c r="F139" s="523">
        <f t="shared" si="39"/>
        <v>151896.81156983925</v>
      </c>
      <c r="G139" s="523">
        <f t="shared" si="40"/>
        <v>256760.56766740023</v>
      </c>
      <c r="H139" s="526">
        <f t="shared" si="41"/>
        <v>238873.48939667086</v>
      </c>
      <c r="I139" s="577">
        <f t="shared" si="42"/>
        <v>238873.48939667086</v>
      </c>
      <c r="J139" s="514">
        <f t="shared" si="32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 ht="12.5">
      <c r="B140" s="195" t="str">
        <f t="shared" si="31"/>
        <v/>
      </c>
      <c r="C140" s="507">
        <f>IF(D93="","-",+C139+1)</f>
        <v>2054</v>
      </c>
      <c r="D140" s="374">
        <f>IF(F139+SUM(E$99:E139)=D$92,F139,D$92-SUM(E$99:E139))</f>
        <v>151896.81156983925</v>
      </c>
      <c r="E140" s="522">
        <f t="shared" si="38"/>
        <v>151896.81156983925</v>
      </c>
      <c r="F140" s="523">
        <f t="shared" si="39"/>
        <v>0</v>
      </c>
      <c r="G140" s="523">
        <f t="shared" si="40"/>
        <v>75948.405784919625</v>
      </c>
      <c r="H140" s="526">
        <f t="shared" si="41"/>
        <v>160518.03609668586</v>
      </c>
      <c r="I140" s="577">
        <f t="shared" si="42"/>
        <v>160518.03609668586</v>
      </c>
      <c r="J140" s="514">
        <f t="shared" si="32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 ht="12.5">
      <c r="B141" s="195" t="str">
        <f t="shared" si="31"/>
        <v/>
      </c>
      <c r="C141" s="507">
        <f>IF(D93="","-",+C140+1)</f>
        <v>2055</v>
      </c>
      <c r="D141" s="374">
        <f>IF(F140+SUM(E$99:E140)=D$92,F140,D$92-SUM(E$99:E140))</f>
        <v>0</v>
      </c>
      <c r="E141" s="522">
        <f t="shared" si="38"/>
        <v>0</v>
      </c>
      <c r="F141" s="523">
        <f t="shared" si="39"/>
        <v>0</v>
      </c>
      <c r="G141" s="523">
        <f t="shared" si="40"/>
        <v>0</v>
      </c>
      <c r="H141" s="526">
        <f t="shared" si="41"/>
        <v>0</v>
      </c>
      <c r="I141" s="577">
        <f t="shared" si="42"/>
        <v>0</v>
      </c>
      <c r="J141" s="514">
        <f t="shared" si="32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 ht="12.5">
      <c r="B142" s="195" t="str">
        <f t="shared" si="31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8"/>
        <v>0</v>
      </c>
      <c r="F142" s="523">
        <f t="shared" si="39"/>
        <v>0</v>
      </c>
      <c r="G142" s="523">
        <f t="shared" si="40"/>
        <v>0</v>
      </c>
      <c r="H142" s="526">
        <f t="shared" si="41"/>
        <v>0</v>
      </c>
      <c r="I142" s="577">
        <f t="shared" si="42"/>
        <v>0</v>
      </c>
      <c r="J142" s="514">
        <f t="shared" si="32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 ht="12.5">
      <c r="B143" s="195" t="str">
        <f t="shared" si="31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8"/>
        <v>0</v>
      </c>
      <c r="F143" s="523">
        <f t="shared" si="39"/>
        <v>0</v>
      </c>
      <c r="G143" s="523">
        <f t="shared" si="40"/>
        <v>0</v>
      </c>
      <c r="H143" s="526">
        <f t="shared" si="41"/>
        <v>0</v>
      </c>
      <c r="I143" s="577">
        <f t="shared" si="42"/>
        <v>0</v>
      </c>
      <c r="J143" s="514">
        <f t="shared" si="32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 ht="12.5">
      <c r="B144" s="195" t="str">
        <f t="shared" si="31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8"/>
        <v>0</v>
      </c>
      <c r="F144" s="523">
        <f t="shared" si="39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32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 ht="12.5">
      <c r="B145" s="195" t="str">
        <f t="shared" si="31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8"/>
        <v>0</v>
      </c>
      <c r="F145" s="523">
        <f t="shared" si="39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32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 ht="12.5">
      <c r="B146" s="195" t="str">
        <f t="shared" si="31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8"/>
        <v>0</v>
      </c>
      <c r="F146" s="523">
        <f t="shared" si="39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32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 ht="12.5">
      <c r="B147" s="195" t="str">
        <f t="shared" si="31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8"/>
        <v>0</v>
      </c>
      <c r="F147" s="523">
        <f t="shared" si="39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32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 ht="12.5">
      <c r="B148" s="195" t="str">
        <f t="shared" si="31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8"/>
        <v>0</v>
      </c>
      <c r="F148" s="523">
        <f t="shared" si="39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32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 ht="12.5">
      <c r="B149" s="195" t="str">
        <f t="shared" si="31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8"/>
        <v>0</v>
      </c>
      <c r="F149" s="523">
        <f t="shared" si="39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32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 ht="12.5">
      <c r="B150" s="195" t="str">
        <f t="shared" si="31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8"/>
        <v>0</v>
      </c>
      <c r="F150" s="523">
        <f t="shared" si="39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32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 ht="12.5">
      <c r="B151" s="195" t="str">
        <f t="shared" si="31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8"/>
        <v>0</v>
      </c>
      <c r="F151" s="523">
        <f t="shared" si="39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32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 ht="12.5">
      <c r="B152" s="195" t="str">
        <f t="shared" si="31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8"/>
        <v>0</v>
      </c>
      <c r="F152" s="523">
        <f t="shared" si="39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32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 ht="12.5">
      <c r="B153" s="195" t="str">
        <f t="shared" si="31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8"/>
        <v>0</v>
      </c>
      <c r="F153" s="523">
        <f t="shared" si="39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32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" thickBot="1">
      <c r="B154" s="195" t="str">
        <f t="shared" si="31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8"/>
        <v>0</v>
      </c>
      <c r="F154" s="523">
        <f t="shared" si="39"/>
        <v>0</v>
      </c>
      <c r="G154" s="523">
        <f t="shared" si="40"/>
        <v>0</v>
      </c>
      <c r="H154" s="526">
        <f t="shared" si="41"/>
        <v>0</v>
      </c>
      <c r="I154" s="577">
        <f t="shared" si="42"/>
        <v>0</v>
      </c>
      <c r="J154" s="514">
        <f t="shared" si="32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 ht="12.5">
      <c r="C155" s="374" t="s">
        <v>78</v>
      </c>
      <c r="D155" s="375"/>
      <c r="E155" s="375">
        <f>SUM(E99:E154)</f>
        <v>8598827.9999999963</v>
      </c>
      <c r="F155" s="375"/>
      <c r="G155" s="375"/>
      <c r="H155" s="375">
        <f>SUM(H99:H154)</f>
        <v>29254842.378950469</v>
      </c>
      <c r="I155" s="375">
        <f>SUM(I99:I154)</f>
        <v>29254842.378950469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1">
    <cfRule type="cellIs" dxfId="93" priority="2" stopIfTrue="1" operator="equal">
      <formula>$I$10</formula>
    </cfRule>
  </conditionalFormatting>
  <conditionalFormatting sqref="C99:C154">
    <cfRule type="cellIs" dxfId="92" priority="3" stopIfTrue="1" operator="equal">
      <formula>$J$92</formula>
    </cfRule>
  </conditionalFormatting>
  <conditionalFormatting sqref="C72">
    <cfRule type="cellIs" dxfId="9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85"/>
  <dimension ref="A1:Q162"/>
  <sheetViews>
    <sheetView view="pageBreakPreview" zoomScale="75" zoomScaleNormal="100" zoomScaleSheetLayoutView="75" workbookViewId="0">
      <selection activeCell="D10" sqref="D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35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521810.81321918749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521810.81321918749</v>
      </c>
      <c r="O6" s="269"/>
      <c r="P6" s="269"/>
    </row>
    <row r="7" spans="1:17" ht="13.5" thickBot="1">
      <c r="C7" s="467" t="s">
        <v>48</v>
      </c>
      <c r="D7" s="624" t="s">
        <v>296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298</v>
      </c>
      <c r="E9" s="666" t="s">
        <v>496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4344850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103448.80952380953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3795000</v>
      </c>
      <c r="E17" s="627">
        <v>45178.571428571428</v>
      </c>
      <c r="F17" s="626">
        <v>3749821.4285714286</v>
      </c>
      <c r="G17" s="627">
        <v>570105.1315196018</v>
      </c>
      <c r="H17" s="610">
        <v>570105.1315196018</v>
      </c>
      <c r="I17" s="616">
        <v>0</v>
      </c>
      <c r="J17" s="511"/>
      <c r="K17" s="512">
        <f t="shared" ref="K17:K22" si="0">G17</f>
        <v>570105.1315196018</v>
      </c>
      <c r="L17" s="597">
        <f t="shared" ref="L17:L22" si="1">IF(K17&lt;&gt;0,+G17-K17,0)</f>
        <v>0</v>
      </c>
      <c r="M17" s="512">
        <f t="shared" ref="M17:M22" si="2">H17</f>
        <v>570105.1315196018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3749821.4285714286</v>
      </c>
      <c r="E18" s="609">
        <v>103448.73809523809</v>
      </c>
      <c r="F18" s="626">
        <v>3646372.6904761908</v>
      </c>
      <c r="G18" s="609">
        <v>595382.73103628133</v>
      </c>
      <c r="H18" s="610">
        <v>595382.73103628133</v>
      </c>
      <c r="I18" s="616">
        <v>0</v>
      </c>
      <c r="J18" s="511"/>
      <c r="K18" s="518">
        <f t="shared" si="0"/>
        <v>595382.73103628133</v>
      </c>
      <c r="L18" s="519">
        <f t="shared" si="1"/>
        <v>0</v>
      </c>
      <c r="M18" s="518">
        <f t="shared" si="2"/>
        <v>595382.73103628133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3646372.6904761908</v>
      </c>
      <c r="E19" s="609">
        <v>103448.80952380953</v>
      </c>
      <c r="F19" s="626">
        <v>3542923.8809523811</v>
      </c>
      <c r="G19" s="609">
        <v>570068.89413461182</v>
      </c>
      <c r="H19" s="610">
        <v>570068.89413461182</v>
      </c>
      <c r="I19" s="511">
        <v>0</v>
      </c>
      <c r="J19" s="511"/>
      <c r="K19" s="518">
        <f t="shared" si="0"/>
        <v>570068.89413461182</v>
      </c>
      <c r="L19" s="519">
        <f t="shared" si="1"/>
        <v>0</v>
      </c>
      <c r="M19" s="518">
        <f t="shared" si="2"/>
        <v>570068.89413461182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4092773.8809523811</v>
      </c>
      <c r="E20" s="609">
        <v>103448.80952380953</v>
      </c>
      <c r="F20" s="626">
        <v>3989325.0714285714</v>
      </c>
      <c r="G20" s="609">
        <v>628862.07408133126</v>
      </c>
      <c r="H20" s="610">
        <v>628862.07408133126</v>
      </c>
      <c r="I20" s="511">
        <v>0</v>
      </c>
      <c r="J20" s="511"/>
      <c r="K20" s="518">
        <f t="shared" si="0"/>
        <v>628862.07408133126</v>
      </c>
      <c r="L20" s="519">
        <f t="shared" si="1"/>
        <v>0</v>
      </c>
      <c r="M20" s="518">
        <f t="shared" si="2"/>
        <v>628862.07408133126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3989325.0714285714</v>
      </c>
      <c r="E21" s="609">
        <v>101043.02325581395</v>
      </c>
      <c r="F21" s="626">
        <v>3888282.0481727575</v>
      </c>
      <c r="G21" s="609">
        <v>589031.37569687236</v>
      </c>
      <c r="H21" s="610">
        <v>589031.37569687236</v>
      </c>
      <c r="I21" s="511">
        <f t="shared" ref="I21:I72" si="6">H21-G21</f>
        <v>0</v>
      </c>
      <c r="J21" s="511"/>
      <c r="K21" s="518">
        <f t="shared" si="0"/>
        <v>589031.37569687236</v>
      </c>
      <c r="L21" s="519">
        <f t="shared" si="1"/>
        <v>0</v>
      </c>
      <c r="M21" s="518">
        <f t="shared" si="2"/>
        <v>589031.37569687236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3888282.0481727575</v>
      </c>
      <c r="E22" s="609">
        <v>105971.95121951219</v>
      </c>
      <c r="F22" s="626">
        <v>3782310.0969532453</v>
      </c>
      <c r="G22" s="609">
        <v>593415.44968499895</v>
      </c>
      <c r="H22" s="610">
        <v>593415.44968499895</v>
      </c>
      <c r="I22" s="511">
        <f t="shared" si="6"/>
        <v>0</v>
      </c>
      <c r="J22" s="511"/>
      <c r="K22" s="518">
        <f t="shared" si="0"/>
        <v>593415.44968499895</v>
      </c>
      <c r="L22" s="519">
        <f t="shared" si="1"/>
        <v>0</v>
      </c>
      <c r="M22" s="518">
        <f t="shared" si="2"/>
        <v>593415.44968499895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3782310.0969532453</v>
      </c>
      <c r="E23" s="609">
        <v>105971.95121951219</v>
      </c>
      <c r="F23" s="626">
        <v>3676338.1457337332</v>
      </c>
      <c r="G23" s="609">
        <v>579947.04003308562</v>
      </c>
      <c r="H23" s="610">
        <v>579947.04003308562</v>
      </c>
      <c r="I23" s="511">
        <f t="shared" si="6"/>
        <v>0</v>
      </c>
      <c r="J23" s="511"/>
      <c r="K23" s="518">
        <f t="shared" ref="K23" si="7">G23</f>
        <v>579947.04003308562</v>
      </c>
      <c r="L23" s="519">
        <f t="shared" ref="L23" si="8">IF(K23&lt;&gt;0,+G23-K23,0)</f>
        <v>0</v>
      </c>
      <c r="M23" s="518">
        <f t="shared" ref="M23" si="9">H23</f>
        <v>579947.04003308562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3676338.1457337332</v>
      </c>
      <c r="E24" s="609">
        <v>105971.95121951219</v>
      </c>
      <c r="F24" s="626">
        <v>3570366.194514221</v>
      </c>
      <c r="G24" s="609">
        <v>476769.34521357011</v>
      </c>
      <c r="H24" s="610">
        <v>476769.34521357011</v>
      </c>
      <c r="I24" s="511">
        <f t="shared" si="6"/>
        <v>0</v>
      </c>
      <c r="J24" s="511"/>
      <c r="K24" s="518">
        <f t="shared" ref="K24" si="12">G24</f>
        <v>476769.34521357011</v>
      </c>
      <c r="L24" s="519">
        <f t="shared" ref="L24" si="13">IF(K24&lt;&gt;0,+G24-K24,0)</f>
        <v>0</v>
      </c>
      <c r="M24" s="518">
        <f t="shared" ref="M24" si="14">H24</f>
        <v>476769.34521357011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26">
        <v>3575295.1224779193</v>
      </c>
      <c r="E25" s="609">
        <v>103448.80952380953</v>
      </c>
      <c r="F25" s="626">
        <v>3471846.3129541096</v>
      </c>
      <c r="G25" s="609">
        <v>476963.32038080104</v>
      </c>
      <c r="H25" s="610">
        <v>476963.32038080104</v>
      </c>
      <c r="I25" s="511">
        <f t="shared" si="6"/>
        <v>0</v>
      </c>
      <c r="J25" s="511"/>
      <c r="K25" s="518">
        <f t="shared" ref="K25" si="15">G25</f>
        <v>476963.32038080104</v>
      </c>
      <c r="L25" s="519">
        <f t="shared" ref="L25" si="16">IF(K25&lt;&gt;0,+G25-K25,0)</f>
        <v>0</v>
      </c>
      <c r="M25" s="518">
        <f t="shared" ref="M25" si="17">H25</f>
        <v>476963.32038080104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26">
        <v>3466917.3849904118</v>
      </c>
      <c r="E26" s="609">
        <v>103448.80952380953</v>
      </c>
      <c r="F26" s="626">
        <v>3363468.5754666021</v>
      </c>
      <c r="G26" s="609">
        <v>487467.09986700577</v>
      </c>
      <c r="H26" s="610">
        <v>487467.09986700577</v>
      </c>
      <c r="I26" s="511">
        <f t="shared" si="6"/>
        <v>0</v>
      </c>
      <c r="J26" s="511"/>
      <c r="K26" s="518">
        <f t="shared" ref="K26" si="18">G26</f>
        <v>487467.09986700577</v>
      </c>
      <c r="L26" s="519">
        <f t="shared" ref="L26" si="19">IF(K26&lt;&gt;0,+G26-K26,0)</f>
        <v>0</v>
      </c>
      <c r="M26" s="518">
        <f t="shared" ref="M26" si="20">H26</f>
        <v>487467.09986700577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3363468.5754666021</v>
      </c>
      <c r="E27" s="522">
        <f t="shared" ref="E27:E72" si="21">IF(+$I$14&lt;F26,$I$14,D27)</f>
        <v>103448.80952380953</v>
      </c>
      <c r="F27" s="523">
        <f t="shared" ref="F27:F72" si="22">+D27-E27</f>
        <v>3260019.7659427924</v>
      </c>
      <c r="G27" s="524">
        <f t="shared" ref="G27:G52" si="23">+I$12*((D27+F27)/2)+E27</f>
        <v>521810.81321918749</v>
      </c>
      <c r="H27" s="491">
        <f t="shared" ref="H27:H52" si="24">+I$13*((D27+F27)/2)+E27</f>
        <v>521810.81321918749</v>
      </c>
      <c r="I27" s="511">
        <f t="shared" si="6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3260019.7659427924</v>
      </c>
      <c r="E28" s="522">
        <f t="shared" si="21"/>
        <v>103448.80952380953</v>
      </c>
      <c r="F28" s="523">
        <f t="shared" si="22"/>
        <v>3156570.9564189827</v>
      </c>
      <c r="G28" s="524">
        <f t="shared" si="23"/>
        <v>508742.45739172836</v>
      </c>
      <c r="H28" s="491">
        <f t="shared" si="24"/>
        <v>508742.45739172836</v>
      </c>
      <c r="I28" s="511">
        <f t="shared" si="6"/>
        <v>0</v>
      </c>
      <c r="J28" s="511"/>
      <c r="K28" s="525"/>
      <c r="L28" s="514">
        <f t="shared" si="25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3156570.9564189827</v>
      </c>
      <c r="E29" s="522">
        <f t="shared" si="21"/>
        <v>103448.80952380953</v>
      </c>
      <c r="F29" s="523">
        <f t="shared" si="22"/>
        <v>3053122.146895173</v>
      </c>
      <c r="G29" s="524">
        <f t="shared" si="23"/>
        <v>495674.10156426928</v>
      </c>
      <c r="H29" s="491">
        <f t="shared" si="24"/>
        <v>495674.10156426928</v>
      </c>
      <c r="I29" s="511">
        <f t="shared" si="6"/>
        <v>0</v>
      </c>
      <c r="J29" s="511"/>
      <c r="K29" s="525"/>
      <c r="L29" s="514">
        <f t="shared" si="25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3053122.146895173</v>
      </c>
      <c r="E30" s="522">
        <f t="shared" si="21"/>
        <v>103448.80952380953</v>
      </c>
      <c r="F30" s="523">
        <f t="shared" si="22"/>
        <v>2949673.3373713633</v>
      </c>
      <c r="G30" s="524">
        <f t="shared" si="23"/>
        <v>482605.74573681015</v>
      </c>
      <c r="H30" s="491">
        <f t="shared" si="24"/>
        <v>482605.74573681015</v>
      </c>
      <c r="I30" s="511">
        <f t="shared" si="6"/>
        <v>0</v>
      </c>
      <c r="J30" s="511"/>
      <c r="K30" s="525"/>
      <c r="L30" s="514">
        <f t="shared" si="2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2949673.3373713633</v>
      </c>
      <c r="E31" s="522">
        <f t="shared" si="21"/>
        <v>103448.80952380953</v>
      </c>
      <c r="F31" s="523">
        <f t="shared" si="22"/>
        <v>2846224.5278475536</v>
      </c>
      <c r="G31" s="524">
        <f t="shared" si="23"/>
        <v>469537.38990935101</v>
      </c>
      <c r="H31" s="491">
        <f t="shared" si="24"/>
        <v>469537.38990935101</v>
      </c>
      <c r="I31" s="511">
        <f t="shared" si="6"/>
        <v>0</v>
      </c>
      <c r="J31" s="511"/>
      <c r="K31" s="525"/>
      <c r="L31" s="514">
        <f t="shared" si="2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2846224.5278475536</v>
      </c>
      <c r="E32" s="522">
        <f t="shared" si="21"/>
        <v>103448.80952380953</v>
      </c>
      <c r="F32" s="523">
        <f t="shared" si="22"/>
        <v>2742775.7183237439</v>
      </c>
      <c r="G32" s="524">
        <f t="shared" si="23"/>
        <v>456469.03408189188</v>
      </c>
      <c r="H32" s="491">
        <f t="shared" si="24"/>
        <v>456469.03408189188</v>
      </c>
      <c r="I32" s="511">
        <f t="shared" si="6"/>
        <v>0</v>
      </c>
      <c r="J32" s="511"/>
      <c r="K32" s="525"/>
      <c r="L32" s="514">
        <f t="shared" si="2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2742775.7183237439</v>
      </c>
      <c r="E33" s="522">
        <f t="shared" si="21"/>
        <v>103448.80952380953</v>
      </c>
      <c r="F33" s="523">
        <f t="shared" si="22"/>
        <v>2639326.9087999342</v>
      </c>
      <c r="G33" s="524">
        <f t="shared" si="23"/>
        <v>443400.67825443274</v>
      </c>
      <c r="H33" s="491">
        <f t="shared" si="24"/>
        <v>443400.67825443274</v>
      </c>
      <c r="I33" s="511">
        <f t="shared" si="6"/>
        <v>0</v>
      </c>
      <c r="J33" s="511"/>
      <c r="K33" s="525"/>
      <c r="L33" s="514">
        <f t="shared" si="2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2639326.9087999342</v>
      </c>
      <c r="E34" s="522">
        <f t="shared" si="21"/>
        <v>103448.80952380953</v>
      </c>
      <c r="F34" s="523">
        <f t="shared" si="22"/>
        <v>2535878.0992761245</v>
      </c>
      <c r="G34" s="524">
        <f t="shared" si="23"/>
        <v>430332.32242697361</v>
      </c>
      <c r="H34" s="491">
        <f t="shared" si="24"/>
        <v>430332.32242697361</v>
      </c>
      <c r="I34" s="511">
        <f t="shared" si="6"/>
        <v>0</v>
      </c>
      <c r="J34" s="511"/>
      <c r="K34" s="525"/>
      <c r="L34" s="514">
        <f t="shared" si="2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2535878.0992761245</v>
      </c>
      <c r="E35" s="522">
        <f t="shared" si="21"/>
        <v>103448.80952380953</v>
      </c>
      <c r="F35" s="523">
        <f t="shared" si="22"/>
        <v>2432429.2897523148</v>
      </c>
      <c r="G35" s="524">
        <f t="shared" si="23"/>
        <v>417263.96659951448</v>
      </c>
      <c r="H35" s="491">
        <f t="shared" si="24"/>
        <v>417263.96659951448</v>
      </c>
      <c r="I35" s="511">
        <f t="shared" si="6"/>
        <v>0</v>
      </c>
      <c r="J35" s="511"/>
      <c r="K35" s="525"/>
      <c r="L35" s="514">
        <f t="shared" si="2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2432429.2897523148</v>
      </c>
      <c r="E36" s="522">
        <f t="shared" si="21"/>
        <v>103448.80952380953</v>
      </c>
      <c r="F36" s="523">
        <f t="shared" si="22"/>
        <v>2328980.4802285051</v>
      </c>
      <c r="G36" s="524">
        <f t="shared" si="23"/>
        <v>404195.61077205534</v>
      </c>
      <c r="H36" s="491">
        <f t="shared" si="24"/>
        <v>404195.61077205534</v>
      </c>
      <c r="I36" s="511">
        <f t="shared" si="6"/>
        <v>0</v>
      </c>
      <c r="J36" s="511"/>
      <c r="K36" s="525"/>
      <c r="L36" s="514">
        <f t="shared" si="2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2328980.4802285051</v>
      </c>
      <c r="E37" s="522">
        <f t="shared" si="21"/>
        <v>103448.80952380953</v>
      </c>
      <c r="F37" s="523">
        <f t="shared" si="22"/>
        <v>2225531.6707046954</v>
      </c>
      <c r="G37" s="524">
        <f t="shared" si="23"/>
        <v>391127.25494459621</v>
      </c>
      <c r="H37" s="491">
        <f t="shared" si="24"/>
        <v>391127.25494459621</v>
      </c>
      <c r="I37" s="511">
        <f t="shared" si="6"/>
        <v>0</v>
      </c>
      <c r="J37" s="511"/>
      <c r="K37" s="525"/>
      <c r="L37" s="514">
        <f t="shared" si="2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2225531.6707046954</v>
      </c>
      <c r="E38" s="522">
        <f t="shared" si="21"/>
        <v>103448.80952380953</v>
      </c>
      <c r="F38" s="523">
        <f t="shared" si="22"/>
        <v>2122082.8611808857</v>
      </c>
      <c r="G38" s="524">
        <f t="shared" si="23"/>
        <v>378058.89911713713</v>
      </c>
      <c r="H38" s="491">
        <f t="shared" si="24"/>
        <v>378058.89911713713</v>
      </c>
      <c r="I38" s="511">
        <f t="shared" si="6"/>
        <v>0</v>
      </c>
      <c r="J38" s="511"/>
      <c r="K38" s="525"/>
      <c r="L38" s="514">
        <f t="shared" si="2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2122082.8611808857</v>
      </c>
      <c r="E39" s="522">
        <f t="shared" si="21"/>
        <v>103448.80952380953</v>
      </c>
      <c r="F39" s="523">
        <f t="shared" si="22"/>
        <v>2018634.0516570762</v>
      </c>
      <c r="G39" s="524">
        <f t="shared" si="23"/>
        <v>364990.54328967794</v>
      </c>
      <c r="H39" s="491">
        <f t="shared" si="24"/>
        <v>364990.54328967794</v>
      </c>
      <c r="I39" s="511">
        <f t="shared" si="6"/>
        <v>0</v>
      </c>
      <c r="J39" s="511"/>
      <c r="K39" s="525"/>
      <c r="L39" s="514">
        <f t="shared" si="2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2018634.0516570762</v>
      </c>
      <c r="E40" s="522">
        <f t="shared" si="21"/>
        <v>103448.80952380953</v>
      </c>
      <c r="F40" s="523">
        <f t="shared" si="22"/>
        <v>1915185.2421332668</v>
      </c>
      <c r="G40" s="524">
        <f t="shared" si="23"/>
        <v>351922.18746221892</v>
      </c>
      <c r="H40" s="491">
        <f t="shared" si="24"/>
        <v>351922.18746221892</v>
      </c>
      <c r="I40" s="511">
        <f t="shared" si="6"/>
        <v>0</v>
      </c>
      <c r="J40" s="511"/>
      <c r="K40" s="525"/>
      <c r="L40" s="514">
        <f t="shared" si="2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1915185.2421332668</v>
      </c>
      <c r="E41" s="522">
        <f t="shared" si="21"/>
        <v>103448.80952380953</v>
      </c>
      <c r="F41" s="523">
        <f t="shared" si="22"/>
        <v>1811736.4326094573</v>
      </c>
      <c r="G41" s="524">
        <f t="shared" si="23"/>
        <v>338853.83163475979</v>
      </c>
      <c r="H41" s="491">
        <f t="shared" si="24"/>
        <v>338853.83163475979</v>
      </c>
      <c r="I41" s="511">
        <f t="shared" si="6"/>
        <v>0</v>
      </c>
      <c r="J41" s="511"/>
      <c r="K41" s="525"/>
      <c r="L41" s="514">
        <f t="shared" si="2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1811736.4326094573</v>
      </c>
      <c r="E42" s="522">
        <f t="shared" si="21"/>
        <v>103448.80952380953</v>
      </c>
      <c r="F42" s="523">
        <f t="shared" si="22"/>
        <v>1708287.6230856478</v>
      </c>
      <c r="G42" s="524">
        <f t="shared" si="23"/>
        <v>325785.47580730071</v>
      </c>
      <c r="H42" s="491">
        <f t="shared" si="24"/>
        <v>325785.47580730071</v>
      </c>
      <c r="I42" s="511">
        <f t="shared" si="6"/>
        <v>0</v>
      </c>
      <c r="J42" s="511"/>
      <c r="K42" s="525"/>
      <c r="L42" s="514">
        <f t="shared" si="2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1708287.6230856478</v>
      </c>
      <c r="E43" s="522">
        <f t="shared" si="21"/>
        <v>103448.80952380953</v>
      </c>
      <c r="F43" s="523">
        <f t="shared" si="22"/>
        <v>1604838.8135618384</v>
      </c>
      <c r="G43" s="524">
        <f t="shared" si="23"/>
        <v>312717.11997984158</v>
      </c>
      <c r="H43" s="491">
        <f t="shared" si="24"/>
        <v>312717.11997984158</v>
      </c>
      <c r="I43" s="511">
        <f t="shared" si="6"/>
        <v>0</v>
      </c>
      <c r="J43" s="511"/>
      <c r="K43" s="525"/>
      <c r="L43" s="514">
        <f t="shared" si="2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1604838.8135618384</v>
      </c>
      <c r="E44" s="522">
        <f t="shared" si="21"/>
        <v>103448.80952380953</v>
      </c>
      <c r="F44" s="523">
        <f t="shared" si="22"/>
        <v>1501390.0040380289</v>
      </c>
      <c r="G44" s="524">
        <f t="shared" si="23"/>
        <v>299648.7641523825</v>
      </c>
      <c r="H44" s="491">
        <f t="shared" si="24"/>
        <v>299648.7641523825</v>
      </c>
      <c r="I44" s="511">
        <f t="shared" si="6"/>
        <v>0</v>
      </c>
      <c r="J44" s="511"/>
      <c r="K44" s="525"/>
      <c r="L44" s="514">
        <f t="shared" si="2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1501390.0040380289</v>
      </c>
      <c r="E45" s="522">
        <f t="shared" si="21"/>
        <v>103448.80952380953</v>
      </c>
      <c r="F45" s="523">
        <f t="shared" si="22"/>
        <v>1397941.1945142194</v>
      </c>
      <c r="G45" s="524">
        <f t="shared" si="23"/>
        <v>286580.40832492337</v>
      </c>
      <c r="H45" s="491">
        <f t="shared" si="24"/>
        <v>286580.40832492337</v>
      </c>
      <c r="I45" s="511">
        <f t="shared" si="6"/>
        <v>0</v>
      </c>
      <c r="J45" s="511"/>
      <c r="K45" s="525"/>
      <c r="L45" s="514">
        <f t="shared" si="2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1397941.1945142194</v>
      </c>
      <c r="E46" s="522">
        <f t="shared" si="21"/>
        <v>103448.80952380953</v>
      </c>
      <c r="F46" s="523">
        <f t="shared" si="22"/>
        <v>1294492.3849904099</v>
      </c>
      <c r="G46" s="524">
        <f t="shared" si="23"/>
        <v>273512.05249746435</v>
      </c>
      <c r="H46" s="491">
        <f t="shared" si="24"/>
        <v>273512.05249746435</v>
      </c>
      <c r="I46" s="511">
        <f t="shared" si="6"/>
        <v>0</v>
      </c>
      <c r="J46" s="511"/>
      <c r="K46" s="525"/>
      <c r="L46" s="514">
        <f t="shared" si="2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1294492.3849904099</v>
      </c>
      <c r="E47" s="522">
        <f t="shared" si="21"/>
        <v>103448.80952380953</v>
      </c>
      <c r="F47" s="523">
        <f t="shared" si="22"/>
        <v>1191043.5754666005</v>
      </c>
      <c r="G47" s="524">
        <f t="shared" si="23"/>
        <v>260443.69667000519</v>
      </c>
      <c r="H47" s="491">
        <f t="shared" si="24"/>
        <v>260443.69667000519</v>
      </c>
      <c r="I47" s="511">
        <f t="shared" si="6"/>
        <v>0</v>
      </c>
      <c r="J47" s="511"/>
      <c r="K47" s="525"/>
      <c r="L47" s="514">
        <f t="shared" si="2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1191043.5754666005</v>
      </c>
      <c r="E48" s="522">
        <f t="shared" si="21"/>
        <v>103448.80952380953</v>
      </c>
      <c r="F48" s="523">
        <f t="shared" si="22"/>
        <v>1087594.765942791</v>
      </c>
      <c r="G48" s="524">
        <f t="shared" si="23"/>
        <v>247375.34084254611</v>
      </c>
      <c r="H48" s="491">
        <f t="shared" si="24"/>
        <v>247375.34084254611</v>
      </c>
      <c r="I48" s="511">
        <f t="shared" si="6"/>
        <v>0</v>
      </c>
      <c r="J48" s="511"/>
      <c r="K48" s="525"/>
      <c r="L48" s="514">
        <f t="shared" si="2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1087594.765942791</v>
      </c>
      <c r="E49" s="522">
        <f t="shared" si="21"/>
        <v>103448.80952380953</v>
      </c>
      <c r="F49" s="523">
        <f t="shared" si="22"/>
        <v>984145.95641898154</v>
      </c>
      <c r="G49" s="524">
        <f t="shared" si="23"/>
        <v>234306.985015087</v>
      </c>
      <c r="H49" s="491">
        <f t="shared" si="24"/>
        <v>234306.985015087</v>
      </c>
      <c r="I49" s="511">
        <f t="shared" si="6"/>
        <v>0</v>
      </c>
      <c r="J49" s="511"/>
      <c r="K49" s="525"/>
      <c r="L49" s="514">
        <f t="shared" si="2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984145.95641898154</v>
      </c>
      <c r="E50" s="522">
        <f t="shared" si="21"/>
        <v>103448.80952380953</v>
      </c>
      <c r="F50" s="523">
        <f t="shared" si="22"/>
        <v>880697.14689517207</v>
      </c>
      <c r="G50" s="524">
        <f t="shared" si="23"/>
        <v>221238.6291876279</v>
      </c>
      <c r="H50" s="491">
        <f t="shared" si="24"/>
        <v>221238.6291876279</v>
      </c>
      <c r="I50" s="511">
        <f t="shared" si="6"/>
        <v>0</v>
      </c>
      <c r="J50" s="511"/>
      <c r="K50" s="525"/>
      <c r="L50" s="514">
        <f t="shared" si="2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880697.14689517207</v>
      </c>
      <c r="E51" s="522">
        <f t="shared" si="21"/>
        <v>103448.80952380953</v>
      </c>
      <c r="F51" s="523">
        <f t="shared" si="22"/>
        <v>777248.33737136261</v>
      </c>
      <c r="G51" s="524">
        <f t="shared" si="23"/>
        <v>208170.27336016879</v>
      </c>
      <c r="H51" s="491">
        <f t="shared" si="24"/>
        <v>208170.27336016879</v>
      </c>
      <c r="I51" s="511">
        <f t="shared" si="6"/>
        <v>0</v>
      </c>
      <c r="J51" s="511"/>
      <c r="K51" s="525"/>
      <c r="L51" s="514">
        <f t="shared" si="2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777248.33737136261</v>
      </c>
      <c r="E52" s="522">
        <f t="shared" si="21"/>
        <v>103448.80952380953</v>
      </c>
      <c r="F52" s="523">
        <f t="shared" si="22"/>
        <v>673799.52784755314</v>
      </c>
      <c r="G52" s="524">
        <f t="shared" si="23"/>
        <v>195101.91753270972</v>
      </c>
      <c r="H52" s="491">
        <f t="shared" si="24"/>
        <v>195101.91753270972</v>
      </c>
      <c r="I52" s="511">
        <f t="shared" si="6"/>
        <v>0</v>
      </c>
      <c r="J52" s="511"/>
      <c r="K52" s="525"/>
      <c r="L52" s="514">
        <f t="shared" si="2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673799.52784755314</v>
      </c>
      <c r="E53" s="522">
        <f t="shared" si="21"/>
        <v>103448.80952380953</v>
      </c>
      <c r="F53" s="523">
        <f t="shared" si="22"/>
        <v>570350.71832374367</v>
      </c>
      <c r="G53" s="524">
        <f t="shared" ref="G53:G72" si="26">+I$12*((D53+F53)/2)+E53</f>
        <v>182033.56170525061</v>
      </c>
      <c r="H53" s="491">
        <f t="shared" ref="H53:H72" si="27">+I$13*((D53+F53)/2)+E53</f>
        <v>182033.56170525061</v>
      </c>
      <c r="I53" s="511">
        <f t="shared" si="6"/>
        <v>0</v>
      </c>
      <c r="J53" s="511"/>
      <c r="K53" s="525"/>
      <c r="L53" s="514">
        <f t="shared" si="2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570350.71832374367</v>
      </c>
      <c r="E54" s="522">
        <f t="shared" si="21"/>
        <v>103448.80952380953</v>
      </c>
      <c r="F54" s="523">
        <f t="shared" si="22"/>
        <v>466901.90879993414</v>
      </c>
      <c r="G54" s="524">
        <f t="shared" si="26"/>
        <v>168965.20587779151</v>
      </c>
      <c r="H54" s="491">
        <f t="shared" si="27"/>
        <v>168965.20587779151</v>
      </c>
      <c r="I54" s="511">
        <f t="shared" si="6"/>
        <v>0</v>
      </c>
      <c r="J54" s="511"/>
      <c r="K54" s="525"/>
      <c r="L54" s="514">
        <f t="shared" si="2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466901.90879993414</v>
      </c>
      <c r="E55" s="522">
        <f t="shared" si="21"/>
        <v>103448.80952380953</v>
      </c>
      <c r="F55" s="523">
        <f t="shared" si="22"/>
        <v>363453.09927612462</v>
      </c>
      <c r="G55" s="524">
        <f t="shared" si="26"/>
        <v>155896.8500503324</v>
      </c>
      <c r="H55" s="491">
        <f t="shared" si="27"/>
        <v>155896.8500503324</v>
      </c>
      <c r="I55" s="511">
        <f t="shared" si="6"/>
        <v>0</v>
      </c>
      <c r="J55" s="511"/>
      <c r="K55" s="525"/>
      <c r="L55" s="514">
        <f t="shared" si="2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363453.09927612462</v>
      </c>
      <c r="E56" s="522">
        <f t="shared" si="21"/>
        <v>103448.80952380953</v>
      </c>
      <c r="F56" s="523">
        <f t="shared" si="22"/>
        <v>260004.28975231509</v>
      </c>
      <c r="G56" s="524">
        <f t="shared" si="26"/>
        <v>142828.4942228733</v>
      </c>
      <c r="H56" s="491">
        <f t="shared" si="27"/>
        <v>142828.4942228733</v>
      </c>
      <c r="I56" s="511">
        <f t="shared" si="6"/>
        <v>0</v>
      </c>
      <c r="J56" s="511"/>
      <c r="K56" s="525"/>
      <c r="L56" s="514">
        <f t="shared" si="2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260004.28975231509</v>
      </c>
      <c r="E57" s="522">
        <f t="shared" si="21"/>
        <v>103448.80952380953</v>
      </c>
      <c r="F57" s="523">
        <f t="shared" si="22"/>
        <v>156555.48022850556</v>
      </c>
      <c r="G57" s="524">
        <f t="shared" si="26"/>
        <v>129760.13839541419</v>
      </c>
      <c r="H57" s="491">
        <f t="shared" si="27"/>
        <v>129760.13839541419</v>
      </c>
      <c r="I57" s="511">
        <f t="shared" si="6"/>
        <v>0</v>
      </c>
      <c r="J57" s="511"/>
      <c r="K57" s="525"/>
      <c r="L57" s="514">
        <f t="shared" si="2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156555.48022850556</v>
      </c>
      <c r="E58" s="522">
        <f t="shared" si="21"/>
        <v>103448.80952380953</v>
      </c>
      <c r="F58" s="523">
        <f t="shared" si="22"/>
        <v>53106.670704696036</v>
      </c>
      <c r="G58" s="524">
        <f t="shared" si="26"/>
        <v>116691.78256795509</v>
      </c>
      <c r="H58" s="491">
        <f t="shared" si="27"/>
        <v>116691.78256795509</v>
      </c>
      <c r="I58" s="511">
        <f t="shared" si="6"/>
        <v>0</v>
      </c>
      <c r="J58" s="511"/>
      <c r="K58" s="525"/>
      <c r="L58" s="514">
        <f t="shared" si="25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53106.670704696036</v>
      </c>
      <c r="E59" s="522">
        <f t="shared" si="21"/>
        <v>53106.670704696036</v>
      </c>
      <c r="F59" s="523">
        <f t="shared" si="22"/>
        <v>0</v>
      </c>
      <c r="G59" s="524">
        <f t="shared" si="26"/>
        <v>56461.068269904041</v>
      </c>
      <c r="H59" s="491">
        <f t="shared" si="27"/>
        <v>56461.068269904041</v>
      </c>
      <c r="I59" s="511">
        <f t="shared" si="6"/>
        <v>0</v>
      </c>
      <c r="J59" s="511"/>
      <c r="K59" s="525"/>
      <c r="L59" s="514">
        <f t="shared" si="2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21"/>
        <v>0</v>
      </c>
      <c r="F60" s="523">
        <f t="shared" si="22"/>
        <v>0</v>
      </c>
      <c r="G60" s="524">
        <f t="shared" si="26"/>
        <v>0</v>
      </c>
      <c r="H60" s="491">
        <f t="shared" si="27"/>
        <v>0</v>
      </c>
      <c r="I60" s="511">
        <f t="shared" si="6"/>
        <v>0</v>
      </c>
      <c r="J60" s="511"/>
      <c r="K60" s="525"/>
      <c r="L60" s="514">
        <f t="shared" si="2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1"/>
        <v>0</v>
      </c>
      <c r="F61" s="523">
        <f t="shared" si="22"/>
        <v>0</v>
      </c>
      <c r="G61" s="524">
        <f t="shared" si="26"/>
        <v>0</v>
      </c>
      <c r="H61" s="491">
        <f t="shared" si="27"/>
        <v>0</v>
      </c>
      <c r="I61" s="511">
        <f t="shared" si="6"/>
        <v>0</v>
      </c>
      <c r="J61" s="511"/>
      <c r="K61" s="525"/>
      <c r="L61" s="514">
        <f t="shared" si="2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6"/>
        <v>0</v>
      </c>
      <c r="J62" s="511"/>
      <c r="K62" s="525"/>
      <c r="L62" s="514">
        <f t="shared" si="2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6"/>
        <v>0</v>
      </c>
      <c r="J63" s="511"/>
      <c r="K63" s="525"/>
      <c r="L63" s="514">
        <f t="shared" si="2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6"/>
        <v>0</v>
      </c>
      <c r="J64" s="511"/>
      <c r="K64" s="525"/>
      <c r="L64" s="514">
        <f t="shared" si="2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6"/>
        <v>0</v>
      </c>
      <c r="J65" s="511"/>
      <c r="K65" s="525"/>
      <c r="L65" s="514">
        <f t="shared" si="2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6"/>
        <v>0</v>
      </c>
      <c r="J66" s="511"/>
      <c r="K66" s="525"/>
      <c r="L66" s="514">
        <f t="shared" si="2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6"/>
        <v>0</v>
      </c>
      <c r="J67" s="511"/>
      <c r="K67" s="525"/>
      <c r="L67" s="514">
        <f t="shared" si="2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6"/>
        <v>0</v>
      </c>
      <c r="J68" s="511"/>
      <c r="K68" s="525"/>
      <c r="L68" s="514">
        <f t="shared" si="2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6"/>
        <v>0</v>
      </c>
      <c r="J69" s="511"/>
      <c r="K69" s="525"/>
      <c r="L69" s="514">
        <f t="shared" si="2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6"/>
        <v>0</v>
      </c>
      <c r="J70" s="511"/>
      <c r="K70" s="525"/>
      <c r="L70" s="514">
        <f t="shared" si="2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6"/>
        <v>0</v>
      </c>
      <c r="J71" s="511"/>
      <c r="K71" s="525"/>
      <c r="L71" s="514">
        <f t="shared" si="2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8">
        <f>IF(F71+SUM(E$17:E71)=D$10,F71,D$10-SUM(E$17:E71))</f>
        <v>0</v>
      </c>
      <c r="E72" s="529">
        <f t="shared" si="21"/>
        <v>0</v>
      </c>
      <c r="F72" s="528">
        <f t="shared" si="22"/>
        <v>0</v>
      </c>
      <c r="G72" s="530">
        <f t="shared" si="26"/>
        <v>0</v>
      </c>
      <c r="H72" s="471">
        <f t="shared" si="27"/>
        <v>0</v>
      </c>
      <c r="I72" s="531">
        <f t="shared" si="6"/>
        <v>0</v>
      </c>
      <c r="J72" s="511"/>
      <c r="K72" s="532"/>
      <c r="L72" s="533">
        <f t="shared" si="2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4344850.0000000019</v>
      </c>
      <c r="F73" s="375"/>
      <c r="G73" s="375">
        <f>SUM(G17:G72)</f>
        <v>15840515.062512346</v>
      </c>
      <c r="H73" s="375">
        <f>SUM(H17:H72)</f>
        <v>15840515.062512346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35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476963.32038080104</v>
      </c>
      <c r="N87" s="546">
        <f>IF(J92&lt;D11,0,VLOOKUP(J92,C17:O72,11))</f>
        <v>476963.32038080104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505633.92476291995</v>
      </c>
      <c r="N88" s="550">
        <f>IF(J92&lt;D11,0,VLOOKUP(J92,C99:P154,7))</f>
        <v>505633.92476291995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Diana - Replace North Autotransformer #3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28670.604382118909</v>
      </c>
      <c r="N89" s="555">
        <f>+N88-N87</f>
        <v>28670.604382118909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TP2010065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4344850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64">
        <f>D11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105971.95121951219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2013</v>
      </c>
      <c r="D99" s="629">
        <v>0</v>
      </c>
      <c r="E99" s="630">
        <v>51724.369047619053</v>
      </c>
      <c r="F99" s="631">
        <v>4293122.6309523806</v>
      </c>
      <c r="G99" s="632">
        <v>2146561.3154761903</v>
      </c>
      <c r="H99" s="633">
        <v>342136.30353000003</v>
      </c>
      <c r="I99" s="634">
        <v>342136.30353000003</v>
      </c>
      <c r="J99" s="613">
        <v>0</v>
      </c>
      <c r="K99" s="514"/>
      <c r="L99" s="518">
        <f t="shared" ref="L99:L104" si="28">H99</f>
        <v>342136.30353000003</v>
      </c>
      <c r="M99" s="519">
        <f t="shared" ref="M99:M104" si="29">IF(L99&lt;&gt;0,+H99-L99,0)</f>
        <v>0</v>
      </c>
      <c r="N99" s="518">
        <f t="shared" ref="N99:N104" si="30">I99</f>
        <v>342136.30353000003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4293122.6309523806</v>
      </c>
      <c r="E100" s="630">
        <v>103448.80952380953</v>
      </c>
      <c r="F100" s="631">
        <v>4189673.8214285709</v>
      </c>
      <c r="G100" s="631">
        <v>4241398.2261904757</v>
      </c>
      <c r="H100" s="633">
        <v>679954.3306665339</v>
      </c>
      <c r="I100" s="634">
        <v>679954.3306665339</v>
      </c>
      <c r="J100" s="514">
        <v>0</v>
      </c>
      <c r="K100" s="514"/>
      <c r="L100" s="518">
        <f t="shared" si="28"/>
        <v>679954.3306665339</v>
      </c>
      <c r="M100" s="519">
        <f t="shared" si="29"/>
        <v>0</v>
      </c>
      <c r="N100" s="518">
        <f t="shared" si="30"/>
        <v>679954.3306665339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31">IF(D101=F100,"","IU")</f>
        <v/>
      </c>
      <c r="C101" s="507">
        <f>IF(D93="","-",+C100+1)</f>
        <v>2015</v>
      </c>
      <c r="D101" s="629">
        <v>4189673.8214285709</v>
      </c>
      <c r="E101" s="630">
        <v>103448.80952380953</v>
      </c>
      <c r="F101" s="631">
        <v>4086225.0119047612</v>
      </c>
      <c r="G101" s="631">
        <v>4137949.416666666</v>
      </c>
      <c r="H101" s="633">
        <v>665893.21056754142</v>
      </c>
      <c r="I101" s="634">
        <v>665893.21056754142</v>
      </c>
      <c r="J101" s="514">
        <v>0</v>
      </c>
      <c r="K101" s="514"/>
      <c r="L101" s="518">
        <f t="shared" si="28"/>
        <v>665893.21056754142</v>
      </c>
      <c r="M101" s="519">
        <f t="shared" si="29"/>
        <v>0</v>
      </c>
      <c r="N101" s="518">
        <f t="shared" si="30"/>
        <v>665893.21056754142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1"/>
        <v>IU</v>
      </c>
      <c r="C102" s="507">
        <f>IF(D93="","-",+C101+1)</f>
        <v>2016</v>
      </c>
      <c r="D102" s="629">
        <v>4086228.0119047621</v>
      </c>
      <c r="E102" s="630">
        <v>101043.02325581395</v>
      </c>
      <c r="F102" s="631">
        <v>3985184.9886489483</v>
      </c>
      <c r="G102" s="631">
        <v>4035706.5002768552</v>
      </c>
      <c r="H102" s="633">
        <v>613375.91620122688</v>
      </c>
      <c r="I102" s="634">
        <v>613375.91620122688</v>
      </c>
      <c r="J102" s="514">
        <f>+I102-H102</f>
        <v>0</v>
      </c>
      <c r="K102" s="514"/>
      <c r="L102" s="518">
        <f t="shared" si="28"/>
        <v>613375.91620122688</v>
      </c>
      <c r="M102" s="519">
        <f t="shared" si="29"/>
        <v>0</v>
      </c>
      <c r="N102" s="518">
        <f t="shared" si="30"/>
        <v>613375.91620122688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1"/>
        <v/>
      </c>
      <c r="C103" s="507">
        <f>IF(D93="","-",+C102+1)</f>
        <v>2017</v>
      </c>
      <c r="D103" s="629">
        <v>3985184.9886489483</v>
      </c>
      <c r="E103" s="630">
        <v>103448.80952380953</v>
      </c>
      <c r="F103" s="631">
        <v>3881736.1791251386</v>
      </c>
      <c r="G103" s="631">
        <v>3933460.5838870434</v>
      </c>
      <c r="H103" s="633">
        <v>581252.00039105583</v>
      </c>
      <c r="I103" s="634">
        <v>581252.00039105583</v>
      </c>
      <c r="J103" s="514">
        <f t="shared" ref="J103:J154" si="32">+I103-H103</f>
        <v>0</v>
      </c>
      <c r="K103" s="514"/>
      <c r="L103" s="518">
        <f t="shared" si="28"/>
        <v>581252.00039105583</v>
      </c>
      <c r="M103" s="519">
        <f t="shared" si="29"/>
        <v>0</v>
      </c>
      <c r="N103" s="518">
        <f t="shared" si="30"/>
        <v>581252.00039105583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1"/>
        <v/>
      </c>
      <c r="C104" s="507">
        <f>IF(D93="","-",+C103+1)</f>
        <v>2018</v>
      </c>
      <c r="D104" s="629">
        <v>3881736.1791251386</v>
      </c>
      <c r="E104" s="630">
        <v>103448.80952380953</v>
      </c>
      <c r="F104" s="631">
        <v>3778287.3696013289</v>
      </c>
      <c r="G104" s="631">
        <v>3830011.7743632337</v>
      </c>
      <c r="H104" s="633">
        <v>507915.61664035521</v>
      </c>
      <c r="I104" s="634">
        <v>507915.61664035521</v>
      </c>
      <c r="J104" s="514">
        <f t="shared" si="32"/>
        <v>0</v>
      </c>
      <c r="K104" s="514"/>
      <c r="L104" s="518">
        <f t="shared" si="28"/>
        <v>507915.61664035521</v>
      </c>
      <c r="M104" s="519">
        <f t="shared" si="29"/>
        <v>0</v>
      </c>
      <c r="N104" s="518">
        <f t="shared" si="30"/>
        <v>507915.61664035521</v>
      </c>
      <c r="O104" s="514">
        <f t="shared" ref="O104:O130" si="33">IF(N104&lt;&gt;0,+I104-N104,0)</f>
        <v>0</v>
      </c>
      <c r="P104" s="514">
        <f t="shared" ref="P104:P130" si="34">+O104-M104</f>
        <v>0</v>
      </c>
      <c r="Q104" s="269"/>
    </row>
    <row r="105" spans="1:17" ht="12.5">
      <c r="B105" s="195" t="str">
        <f t="shared" si="31"/>
        <v/>
      </c>
      <c r="C105" s="507">
        <f>IF(D93="","-",+C104+1)</f>
        <v>2019</v>
      </c>
      <c r="D105" s="629">
        <v>3778287.3696013289</v>
      </c>
      <c r="E105" s="630">
        <v>101043.02325581395</v>
      </c>
      <c r="F105" s="631">
        <v>3677244.346345515</v>
      </c>
      <c r="G105" s="631">
        <v>3727765.8579734219</v>
      </c>
      <c r="H105" s="633">
        <v>500065.11807412654</v>
      </c>
      <c r="I105" s="634">
        <v>500065.11807412654</v>
      </c>
      <c r="J105" s="514">
        <f t="shared" si="32"/>
        <v>0</v>
      </c>
      <c r="K105" s="514"/>
      <c r="L105" s="518">
        <f t="shared" ref="L105:L106" si="35">H105</f>
        <v>500065.11807412654</v>
      </c>
      <c r="M105" s="519">
        <f t="shared" ref="M105:M106" si="36">IF(L105&lt;&gt;0,+H105-L105,0)</f>
        <v>0</v>
      </c>
      <c r="N105" s="518">
        <f t="shared" ref="N105:N106" si="37">I105</f>
        <v>500065.11807412654</v>
      </c>
      <c r="O105" s="514">
        <f t="shared" si="33"/>
        <v>0</v>
      </c>
      <c r="P105" s="514">
        <f t="shared" si="34"/>
        <v>0</v>
      </c>
      <c r="Q105" s="269"/>
    </row>
    <row r="106" spans="1:17" ht="12.5">
      <c r="B106" s="195" t="str">
        <f t="shared" si="31"/>
        <v/>
      </c>
      <c r="C106" s="507">
        <f>IF(D93="","-",+C105+1)</f>
        <v>2020</v>
      </c>
      <c r="D106" s="629">
        <v>3677244.346345515</v>
      </c>
      <c r="E106" s="630">
        <v>103448.80952380953</v>
      </c>
      <c r="F106" s="631">
        <v>3573795.5368217053</v>
      </c>
      <c r="G106" s="631">
        <v>3625519.9415836101</v>
      </c>
      <c r="H106" s="633">
        <v>493459.88444780855</v>
      </c>
      <c r="I106" s="634">
        <v>493459.88444780855</v>
      </c>
      <c r="J106" s="514">
        <f t="shared" si="32"/>
        <v>0</v>
      </c>
      <c r="K106" s="514"/>
      <c r="L106" s="518">
        <f t="shared" si="35"/>
        <v>493459.88444780855</v>
      </c>
      <c r="M106" s="519">
        <f t="shared" si="36"/>
        <v>0</v>
      </c>
      <c r="N106" s="518">
        <f t="shared" si="37"/>
        <v>493459.88444780855</v>
      </c>
      <c r="O106" s="514">
        <f t="shared" si="33"/>
        <v>0</v>
      </c>
      <c r="P106" s="514">
        <f t="shared" si="34"/>
        <v>0</v>
      </c>
      <c r="Q106" s="269"/>
    </row>
    <row r="107" spans="1:17" ht="12.5">
      <c r="B107" s="195" t="str">
        <f t="shared" si="31"/>
        <v/>
      </c>
      <c r="C107" s="507">
        <f>IF(D93="","-",+C106+1)</f>
        <v>2021</v>
      </c>
      <c r="D107" s="374">
        <f>IF(F106+SUM(E$99:E106)=D$92,F106,D$92-SUM(E$99:E106))</f>
        <v>3573795.5368217053</v>
      </c>
      <c r="E107" s="522">
        <f t="shared" ref="E107:E154" si="38">IF(+$J$96&lt;F106,$J$96,D107)</f>
        <v>105971.95121951219</v>
      </c>
      <c r="F107" s="523">
        <f t="shared" ref="F107:F154" si="39">+D107-E107</f>
        <v>3467823.5856021931</v>
      </c>
      <c r="G107" s="523">
        <f t="shared" ref="G107:G154" si="40">+(F107+D107)/2</f>
        <v>3520809.5612119492</v>
      </c>
      <c r="H107" s="526">
        <f t="shared" ref="H107:H154" si="41">+J$94*G107+E107</f>
        <v>505633.92476291995</v>
      </c>
      <c r="I107" s="577">
        <f t="shared" ref="I107:I154" si="42">+J$95*G107+E107</f>
        <v>505633.92476291995</v>
      </c>
      <c r="J107" s="514">
        <f t="shared" si="32"/>
        <v>0</v>
      </c>
      <c r="K107" s="514"/>
      <c r="L107" s="525"/>
      <c r="M107" s="514">
        <f t="shared" ref="M107:M130" si="43">IF(L107&lt;&gt;0,+H107-L107,0)</f>
        <v>0</v>
      </c>
      <c r="N107" s="525"/>
      <c r="O107" s="514">
        <f t="shared" si="33"/>
        <v>0</v>
      </c>
      <c r="P107" s="514">
        <f t="shared" si="34"/>
        <v>0</v>
      </c>
      <c r="Q107" s="269"/>
    </row>
    <row r="108" spans="1:17" ht="12.5">
      <c r="B108" s="195" t="str">
        <f t="shared" si="31"/>
        <v/>
      </c>
      <c r="C108" s="507">
        <f>IF(D93="","-",+C107+1)</f>
        <v>2022</v>
      </c>
      <c r="D108" s="374">
        <f>IF(F107+SUM(E$99:E107)=D$92,F107,D$92-SUM(E$99:E107))</f>
        <v>3467823.5856021931</v>
      </c>
      <c r="E108" s="522">
        <f t="shared" si="38"/>
        <v>105971.95121951219</v>
      </c>
      <c r="F108" s="523">
        <f t="shared" si="39"/>
        <v>3361851.634382681</v>
      </c>
      <c r="G108" s="523">
        <f t="shared" si="40"/>
        <v>3414837.6099924371</v>
      </c>
      <c r="H108" s="526">
        <f t="shared" si="41"/>
        <v>493604.60070312698</v>
      </c>
      <c r="I108" s="577">
        <f t="shared" si="42"/>
        <v>493604.60070312698</v>
      </c>
      <c r="J108" s="514">
        <f t="shared" si="32"/>
        <v>0</v>
      </c>
      <c r="K108" s="514"/>
      <c r="L108" s="525"/>
      <c r="M108" s="514">
        <f t="shared" si="43"/>
        <v>0</v>
      </c>
      <c r="N108" s="525"/>
      <c r="O108" s="514">
        <f t="shared" si="33"/>
        <v>0</v>
      </c>
      <c r="P108" s="514">
        <f t="shared" si="34"/>
        <v>0</v>
      </c>
      <c r="Q108" s="269"/>
    </row>
    <row r="109" spans="1:17" ht="12.5">
      <c r="B109" s="195" t="str">
        <f t="shared" si="31"/>
        <v/>
      </c>
      <c r="C109" s="507">
        <f>IF(D93="","-",+C108+1)</f>
        <v>2023</v>
      </c>
      <c r="D109" s="374">
        <f>IF(F108+SUM(E$99:E108)=D$92,F108,D$92-SUM(E$99:E108))</f>
        <v>3361851.634382681</v>
      </c>
      <c r="E109" s="522">
        <f t="shared" si="38"/>
        <v>105971.95121951219</v>
      </c>
      <c r="F109" s="523">
        <f t="shared" si="39"/>
        <v>3255879.6831631688</v>
      </c>
      <c r="G109" s="523">
        <f t="shared" si="40"/>
        <v>3308865.6587729249</v>
      </c>
      <c r="H109" s="526">
        <f t="shared" si="41"/>
        <v>481575.27664333401</v>
      </c>
      <c r="I109" s="577">
        <f t="shared" si="42"/>
        <v>481575.27664333401</v>
      </c>
      <c r="J109" s="514">
        <f t="shared" si="32"/>
        <v>0</v>
      </c>
      <c r="K109" s="514"/>
      <c r="L109" s="525"/>
      <c r="M109" s="514">
        <f t="shared" si="43"/>
        <v>0</v>
      </c>
      <c r="N109" s="525"/>
      <c r="O109" s="514">
        <f t="shared" si="33"/>
        <v>0</v>
      </c>
      <c r="P109" s="514">
        <f t="shared" si="34"/>
        <v>0</v>
      </c>
      <c r="Q109" s="269"/>
    </row>
    <row r="110" spans="1:17" ht="12.5">
      <c r="B110" s="195" t="str">
        <f t="shared" si="31"/>
        <v/>
      </c>
      <c r="C110" s="507">
        <f>IF(D93="","-",+C109+1)</f>
        <v>2024</v>
      </c>
      <c r="D110" s="374">
        <f>IF(F109+SUM(E$99:E109)=D$92,F109,D$92-SUM(E$99:E109))</f>
        <v>3255879.6831631688</v>
      </c>
      <c r="E110" s="522">
        <f t="shared" si="38"/>
        <v>105971.95121951219</v>
      </c>
      <c r="F110" s="523">
        <f t="shared" si="39"/>
        <v>3149907.7319436567</v>
      </c>
      <c r="G110" s="523">
        <f t="shared" si="40"/>
        <v>3202893.7075534128</v>
      </c>
      <c r="H110" s="526">
        <f t="shared" si="41"/>
        <v>469545.9525835411</v>
      </c>
      <c r="I110" s="577">
        <f t="shared" si="42"/>
        <v>469545.9525835411</v>
      </c>
      <c r="J110" s="514">
        <f t="shared" si="32"/>
        <v>0</v>
      </c>
      <c r="K110" s="514"/>
      <c r="L110" s="525"/>
      <c r="M110" s="514">
        <f t="shared" si="43"/>
        <v>0</v>
      </c>
      <c r="N110" s="525"/>
      <c r="O110" s="514">
        <f t="shared" si="33"/>
        <v>0</v>
      </c>
      <c r="P110" s="514">
        <f t="shared" si="34"/>
        <v>0</v>
      </c>
      <c r="Q110" s="269"/>
    </row>
    <row r="111" spans="1:17" ht="12.5">
      <c r="B111" s="195" t="str">
        <f t="shared" si="31"/>
        <v/>
      </c>
      <c r="C111" s="507">
        <f>IF(D93="","-",+C110+1)</f>
        <v>2025</v>
      </c>
      <c r="D111" s="374">
        <f>IF(F110+SUM(E$99:E110)=D$92,F110,D$92-SUM(E$99:E110))</f>
        <v>3149907.7319436567</v>
      </c>
      <c r="E111" s="522">
        <f t="shared" si="38"/>
        <v>105971.95121951219</v>
      </c>
      <c r="F111" s="523">
        <f t="shared" si="39"/>
        <v>3043935.7807241445</v>
      </c>
      <c r="G111" s="523">
        <f t="shared" si="40"/>
        <v>3096921.7563339006</v>
      </c>
      <c r="H111" s="526">
        <f t="shared" si="41"/>
        <v>457516.62852374814</v>
      </c>
      <c r="I111" s="577">
        <f t="shared" si="42"/>
        <v>457516.62852374814</v>
      </c>
      <c r="J111" s="514">
        <f t="shared" si="32"/>
        <v>0</v>
      </c>
      <c r="K111" s="514"/>
      <c r="L111" s="525"/>
      <c r="M111" s="514">
        <f t="shared" si="43"/>
        <v>0</v>
      </c>
      <c r="N111" s="525"/>
      <c r="O111" s="514">
        <f t="shared" si="33"/>
        <v>0</v>
      </c>
      <c r="P111" s="514">
        <f t="shared" si="34"/>
        <v>0</v>
      </c>
      <c r="Q111" s="269"/>
    </row>
    <row r="112" spans="1:17" ht="12.5">
      <c r="B112" s="195" t="str">
        <f t="shared" si="31"/>
        <v/>
      </c>
      <c r="C112" s="507">
        <f>IF(D93="","-",+C111+1)</f>
        <v>2026</v>
      </c>
      <c r="D112" s="374">
        <f>IF(F111+SUM(E$99:E111)=D$92,F111,D$92-SUM(E$99:E111))</f>
        <v>3043935.7807241445</v>
      </c>
      <c r="E112" s="522">
        <f t="shared" si="38"/>
        <v>105971.95121951219</v>
      </c>
      <c r="F112" s="523">
        <f t="shared" si="39"/>
        <v>2937963.8295046324</v>
      </c>
      <c r="G112" s="523">
        <f t="shared" si="40"/>
        <v>2990949.8051143885</v>
      </c>
      <c r="H112" s="526">
        <f t="shared" si="41"/>
        <v>445487.30446395517</v>
      </c>
      <c r="I112" s="577">
        <f t="shared" si="42"/>
        <v>445487.30446395517</v>
      </c>
      <c r="J112" s="514">
        <f t="shared" si="32"/>
        <v>0</v>
      </c>
      <c r="K112" s="514"/>
      <c r="L112" s="525"/>
      <c r="M112" s="514">
        <f t="shared" si="43"/>
        <v>0</v>
      </c>
      <c r="N112" s="525"/>
      <c r="O112" s="514">
        <f t="shared" si="33"/>
        <v>0</v>
      </c>
      <c r="P112" s="514">
        <f t="shared" si="34"/>
        <v>0</v>
      </c>
      <c r="Q112" s="269"/>
    </row>
    <row r="113" spans="2:17" ht="12.5">
      <c r="B113" s="195" t="str">
        <f t="shared" si="31"/>
        <v/>
      </c>
      <c r="C113" s="507">
        <f>IF(D93="","-",+C112+1)</f>
        <v>2027</v>
      </c>
      <c r="D113" s="374">
        <f>IF(F112+SUM(E$99:E112)=D$92,F112,D$92-SUM(E$99:E112))</f>
        <v>2937963.8295046324</v>
      </c>
      <c r="E113" s="522">
        <f t="shared" si="38"/>
        <v>105971.95121951219</v>
      </c>
      <c r="F113" s="523">
        <f t="shared" si="39"/>
        <v>2831991.8782851202</v>
      </c>
      <c r="G113" s="523">
        <f t="shared" si="40"/>
        <v>2884977.8538948763</v>
      </c>
      <c r="H113" s="526">
        <f t="shared" si="41"/>
        <v>433457.98040416226</v>
      </c>
      <c r="I113" s="577">
        <f t="shared" si="42"/>
        <v>433457.98040416226</v>
      </c>
      <c r="J113" s="514">
        <f t="shared" si="32"/>
        <v>0</v>
      </c>
      <c r="K113" s="514"/>
      <c r="L113" s="525"/>
      <c r="M113" s="514">
        <f t="shared" si="43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 ht="12.5">
      <c r="B114" s="195" t="str">
        <f t="shared" si="31"/>
        <v/>
      </c>
      <c r="C114" s="507">
        <f>IF(D93="","-",+C113+1)</f>
        <v>2028</v>
      </c>
      <c r="D114" s="374">
        <f>IF(F113+SUM(E$99:E113)=D$92,F113,D$92-SUM(E$99:E113))</f>
        <v>2831991.8782851202</v>
      </c>
      <c r="E114" s="522">
        <f t="shared" si="38"/>
        <v>105971.95121951219</v>
      </c>
      <c r="F114" s="523">
        <f t="shared" si="39"/>
        <v>2726019.9270656081</v>
      </c>
      <c r="G114" s="523">
        <f t="shared" si="40"/>
        <v>2779005.9026753642</v>
      </c>
      <c r="H114" s="526">
        <f t="shared" si="41"/>
        <v>421428.65634436929</v>
      </c>
      <c r="I114" s="577">
        <f t="shared" si="42"/>
        <v>421428.65634436929</v>
      </c>
      <c r="J114" s="514">
        <f t="shared" si="32"/>
        <v>0</v>
      </c>
      <c r="K114" s="514"/>
      <c r="L114" s="525"/>
      <c r="M114" s="514">
        <f t="shared" si="43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 ht="12.5">
      <c r="B115" s="195" t="str">
        <f t="shared" si="31"/>
        <v/>
      </c>
      <c r="C115" s="507">
        <f>IF(D93="","-",+C114+1)</f>
        <v>2029</v>
      </c>
      <c r="D115" s="374">
        <f>IF(F114+SUM(E$99:E114)=D$92,F114,D$92-SUM(E$99:E114))</f>
        <v>2726019.9270656081</v>
      </c>
      <c r="E115" s="522">
        <f t="shared" si="38"/>
        <v>105971.95121951219</v>
      </c>
      <c r="F115" s="523">
        <f t="shared" si="39"/>
        <v>2620047.9758460959</v>
      </c>
      <c r="G115" s="523">
        <f t="shared" si="40"/>
        <v>2673033.951455852</v>
      </c>
      <c r="H115" s="526">
        <f t="shared" si="41"/>
        <v>409399.33228457632</v>
      </c>
      <c r="I115" s="577">
        <f t="shared" si="42"/>
        <v>409399.33228457632</v>
      </c>
      <c r="J115" s="514">
        <f t="shared" si="32"/>
        <v>0</v>
      </c>
      <c r="K115" s="514"/>
      <c r="L115" s="525"/>
      <c r="M115" s="514">
        <f t="shared" si="43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 ht="12.5">
      <c r="B116" s="195" t="str">
        <f t="shared" si="31"/>
        <v/>
      </c>
      <c r="C116" s="507">
        <f>IF(D93="","-",+C115+1)</f>
        <v>2030</v>
      </c>
      <c r="D116" s="374">
        <f>IF(F115+SUM(E$99:E115)=D$92,F115,D$92-SUM(E$99:E115))</f>
        <v>2620047.9758460959</v>
      </c>
      <c r="E116" s="522">
        <f t="shared" si="38"/>
        <v>105971.95121951219</v>
      </c>
      <c r="F116" s="523">
        <f t="shared" si="39"/>
        <v>2514076.0246265838</v>
      </c>
      <c r="G116" s="523">
        <f t="shared" si="40"/>
        <v>2567062.0002363399</v>
      </c>
      <c r="H116" s="526">
        <f t="shared" si="41"/>
        <v>397370.00822478341</v>
      </c>
      <c r="I116" s="577">
        <f t="shared" si="42"/>
        <v>397370.00822478341</v>
      </c>
      <c r="J116" s="514">
        <f t="shared" si="32"/>
        <v>0</v>
      </c>
      <c r="K116" s="514"/>
      <c r="L116" s="525"/>
      <c r="M116" s="514">
        <f t="shared" si="43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 ht="12.5">
      <c r="B117" s="195" t="str">
        <f t="shared" si="31"/>
        <v/>
      </c>
      <c r="C117" s="507">
        <f>IF(D93="","-",+C116+1)</f>
        <v>2031</v>
      </c>
      <c r="D117" s="374">
        <f>IF(F116+SUM(E$99:E116)=D$92,F116,D$92-SUM(E$99:E116))</f>
        <v>2514076.0246265838</v>
      </c>
      <c r="E117" s="522">
        <f t="shared" si="38"/>
        <v>105971.95121951219</v>
      </c>
      <c r="F117" s="523">
        <f t="shared" si="39"/>
        <v>2408104.0734070716</v>
      </c>
      <c r="G117" s="523">
        <f t="shared" si="40"/>
        <v>2461090.0490168277</v>
      </c>
      <c r="H117" s="526">
        <f t="shared" si="41"/>
        <v>385340.68416499044</v>
      </c>
      <c r="I117" s="577">
        <f t="shared" si="42"/>
        <v>385340.68416499044</v>
      </c>
      <c r="J117" s="514">
        <f t="shared" si="32"/>
        <v>0</v>
      </c>
      <c r="K117" s="514"/>
      <c r="L117" s="525"/>
      <c r="M117" s="514">
        <f t="shared" si="43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 ht="12.5">
      <c r="B118" s="195" t="str">
        <f t="shared" si="31"/>
        <v/>
      </c>
      <c r="C118" s="507">
        <f>IF(D93="","-",+C117+1)</f>
        <v>2032</v>
      </c>
      <c r="D118" s="374">
        <f>IF(F117+SUM(E$99:E117)=D$92,F117,D$92-SUM(E$99:E117))</f>
        <v>2408104.0734070716</v>
      </c>
      <c r="E118" s="522">
        <f t="shared" si="38"/>
        <v>105971.95121951219</v>
      </c>
      <c r="F118" s="523">
        <f t="shared" si="39"/>
        <v>2302132.1221875595</v>
      </c>
      <c r="G118" s="523">
        <f t="shared" si="40"/>
        <v>2355118.0977973156</v>
      </c>
      <c r="H118" s="526">
        <f t="shared" si="41"/>
        <v>373311.36010519747</v>
      </c>
      <c r="I118" s="577">
        <f t="shared" si="42"/>
        <v>373311.36010519747</v>
      </c>
      <c r="J118" s="514">
        <f t="shared" si="32"/>
        <v>0</v>
      </c>
      <c r="K118" s="514"/>
      <c r="L118" s="525"/>
      <c r="M118" s="514">
        <f t="shared" si="43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 ht="12.5">
      <c r="B119" s="195" t="str">
        <f t="shared" si="31"/>
        <v/>
      </c>
      <c r="C119" s="507">
        <f>IF(D93="","-",+C118+1)</f>
        <v>2033</v>
      </c>
      <c r="D119" s="374">
        <f>IF(F118+SUM(E$99:E118)=D$92,F118,D$92-SUM(E$99:E118))</f>
        <v>2302132.1221875595</v>
      </c>
      <c r="E119" s="522">
        <f t="shared" si="38"/>
        <v>105971.95121951219</v>
      </c>
      <c r="F119" s="523">
        <f t="shared" si="39"/>
        <v>2196160.1709680473</v>
      </c>
      <c r="G119" s="523">
        <f t="shared" si="40"/>
        <v>2249146.1465778034</v>
      </c>
      <c r="H119" s="526">
        <f t="shared" si="41"/>
        <v>361282.0360454045</v>
      </c>
      <c r="I119" s="577">
        <f t="shared" si="42"/>
        <v>361282.0360454045</v>
      </c>
      <c r="J119" s="514">
        <f t="shared" si="32"/>
        <v>0</v>
      </c>
      <c r="K119" s="514"/>
      <c r="L119" s="525"/>
      <c r="M119" s="514">
        <f t="shared" si="43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 ht="12.5">
      <c r="B120" s="195" t="str">
        <f t="shared" si="31"/>
        <v/>
      </c>
      <c r="C120" s="507">
        <f>IF(D93="","-",+C119+1)</f>
        <v>2034</v>
      </c>
      <c r="D120" s="374">
        <f>IF(F119+SUM(E$99:E119)=D$92,F119,D$92-SUM(E$99:E119))</f>
        <v>2196160.1709680473</v>
      </c>
      <c r="E120" s="522">
        <f t="shared" si="38"/>
        <v>105971.95121951219</v>
      </c>
      <c r="F120" s="523">
        <f t="shared" si="39"/>
        <v>2090188.2197485352</v>
      </c>
      <c r="G120" s="523">
        <f t="shared" si="40"/>
        <v>2143174.1953582913</v>
      </c>
      <c r="H120" s="526">
        <f t="shared" si="41"/>
        <v>349252.71198561159</v>
      </c>
      <c r="I120" s="577">
        <f t="shared" si="42"/>
        <v>349252.71198561159</v>
      </c>
      <c r="J120" s="514">
        <f t="shared" si="32"/>
        <v>0</v>
      </c>
      <c r="K120" s="514"/>
      <c r="L120" s="525"/>
      <c r="M120" s="514">
        <f t="shared" si="43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 ht="12.5">
      <c r="B121" s="195" t="str">
        <f t="shared" si="31"/>
        <v/>
      </c>
      <c r="C121" s="507">
        <f>IF(D93="","-",+C120+1)</f>
        <v>2035</v>
      </c>
      <c r="D121" s="374">
        <f>IF(F120+SUM(E$99:E120)=D$92,F120,D$92-SUM(E$99:E120))</f>
        <v>2090188.2197485352</v>
      </c>
      <c r="E121" s="522">
        <f t="shared" si="38"/>
        <v>105971.95121951219</v>
      </c>
      <c r="F121" s="523">
        <f t="shared" si="39"/>
        <v>1984216.268529023</v>
      </c>
      <c r="G121" s="523">
        <f t="shared" si="40"/>
        <v>2037202.2441387791</v>
      </c>
      <c r="H121" s="526">
        <f t="shared" si="41"/>
        <v>337223.38792581862</v>
      </c>
      <c r="I121" s="577">
        <f t="shared" si="42"/>
        <v>337223.38792581862</v>
      </c>
      <c r="J121" s="514">
        <f t="shared" si="32"/>
        <v>0</v>
      </c>
      <c r="K121" s="514"/>
      <c r="L121" s="525"/>
      <c r="M121" s="514">
        <f t="shared" si="43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 ht="12.5">
      <c r="B122" s="195" t="str">
        <f t="shared" si="31"/>
        <v/>
      </c>
      <c r="C122" s="507">
        <f>IF(D93="","-",+C121+1)</f>
        <v>2036</v>
      </c>
      <c r="D122" s="374">
        <f>IF(F121+SUM(E$99:E121)=D$92,F121,D$92-SUM(E$99:E121))</f>
        <v>1984216.268529023</v>
      </c>
      <c r="E122" s="522">
        <f t="shared" si="38"/>
        <v>105971.95121951219</v>
      </c>
      <c r="F122" s="523">
        <f t="shared" si="39"/>
        <v>1878244.3173095109</v>
      </c>
      <c r="G122" s="523">
        <f t="shared" si="40"/>
        <v>1931230.292919267</v>
      </c>
      <c r="H122" s="526">
        <f t="shared" si="41"/>
        <v>325194.06386602565</v>
      </c>
      <c r="I122" s="577">
        <f t="shared" si="42"/>
        <v>325194.06386602565</v>
      </c>
      <c r="J122" s="514">
        <f t="shared" si="32"/>
        <v>0</v>
      </c>
      <c r="K122" s="514"/>
      <c r="L122" s="525"/>
      <c r="M122" s="514">
        <f t="shared" si="43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 ht="12.5">
      <c r="B123" s="195" t="str">
        <f t="shared" si="31"/>
        <v/>
      </c>
      <c r="C123" s="507">
        <f>IF(D93="","-",+C122+1)</f>
        <v>2037</v>
      </c>
      <c r="D123" s="374">
        <f>IF(F122+SUM(E$99:E122)=D$92,F122,D$92-SUM(E$99:E122))</f>
        <v>1878244.3173095109</v>
      </c>
      <c r="E123" s="522">
        <f t="shared" si="38"/>
        <v>105971.95121951219</v>
      </c>
      <c r="F123" s="523">
        <f t="shared" si="39"/>
        <v>1772272.3660899987</v>
      </c>
      <c r="G123" s="523">
        <f t="shared" si="40"/>
        <v>1825258.3416997548</v>
      </c>
      <c r="H123" s="526">
        <f t="shared" si="41"/>
        <v>313164.73980623274</v>
      </c>
      <c r="I123" s="577">
        <f t="shared" si="42"/>
        <v>313164.73980623274</v>
      </c>
      <c r="J123" s="514">
        <f t="shared" si="32"/>
        <v>0</v>
      </c>
      <c r="K123" s="514"/>
      <c r="L123" s="525"/>
      <c r="M123" s="514">
        <f t="shared" si="43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 ht="12.5">
      <c r="B124" s="195" t="str">
        <f t="shared" si="31"/>
        <v/>
      </c>
      <c r="C124" s="507">
        <f>IF(D93="","-",+C123+1)</f>
        <v>2038</v>
      </c>
      <c r="D124" s="374">
        <f>IF(F123+SUM(E$99:E123)=D$92,F123,D$92-SUM(E$99:E123))</f>
        <v>1772272.3660899987</v>
      </c>
      <c r="E124" s="522">
        <f t="shared" si="38"/>
        <v>105971.95121951219</v>
      </c>
      <c r="F124" s="523">
        <f t="shared" si="39"/>
        <v>1666300.4148704866</v>
      </c>
      <c r="G124" s="523">
        <f t="shared" si="40"/>
        <v>1719286.3904802427</v>
      </c>
      <c r="H124" s="526">
        <f t="shared" si="41"/>
        <v>301135.41574643977</v>
      </c>
      <c r="I124" s="577">
        <f t="shared" si="42"/>
        <v>301135.41574643977</v>
      </c>
      <c r="J124" s="514">
        <f t="shared" si="32"/>
        <v>0</v>
      </c>
      <c r="K124" s="514"/>
      <c r="L124" s="525"/>
      <c r="M124" s="514">
        <f t="shared" si="43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 ht="12.5">
      <c r="B125" s="195" t="str">
        <f t="shared" si="31"/>
        <v/>
      </c>
      <c r="C125" s="507">
        <f>IF(D93="","-",+C124+1)</f>
        <v>2039</v>
      </c>
      <c r="D125" s="374">
        <f>IF(F124+SUM(E$99:E124)=D$92,F124,D$92-SUM(E$99:E124))</f>
        <v>1666300.4148704866</v>
      </c>
      <c r="E125" s="522">
        <f t="shared" si="38"/>
        <v>105971.95121951219</v>
      </c>
      <c r="F125" s="523">
        <f t="shared" si="39"/>
        <v>1560328.4636509744</v>
      </c>
      <c r="G125" s="523">
        <f t="shared" si="40"/>
        <v>1613314.4392607305</v>
      </c>
      <c r="H125" s="526">
        <f t="shared" si="41"/>
        <v>289106.0916866468</v>
      </c>
      <c r="I125" s="577">
        <f t="shared" si="42"/>
        <v>289106.0916866468</v>
      </c>
      <c r="J125" s="514">
        <f t="shared" si="32"/>
        <v>0</v>
      </c>
      <c r="K125" s="514"/>
      <c r="L125" s="525"/>
      <c r="M125" s="514">
        <f t="shared" si="43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 ht="12.5">
      <c r="B126" s="195" t="str">
        <f t="shared" si="31"/>
        <v/>
      </c>
      <c r="C126" s="507">
        <f>IF(D93="","-",+C125+1)</f>
        <v>2040</v>
      </c>
      <c r="D126" s="374">
        <f>IF(F125+SUM(E$99:E125)=D$92,F125,D$92-SUM(E$99:E125))</f>
        <v>1560328.4636509744</v>
      </c>
      <c r="E126" s="522">
        <f t="shared" si="38"/>
        <v>105971.95121951219</v>
      </c>
      <c r="F126" s="523">
        <f t="shared" si="39"/>
        <v>1454356.5124314623</v>
      </c>
      <c r="G126" s="523">
        <f t="shared" si="40"/>
        <v>1507342.4880412184</v>
      </c>
      <c r="H126" s="526">
        <f t="shared" si="41"/>
        <v>277076.76762685389</v>
      </c>
      <c r="I126" s="577">
        <f t="shared" si="42"/>
        <v>277076.76762685389</v>
      </c>
      <c r="J126" s="514">
        <f t="shared" si="32"/>
        <v>0</v>
      </c>
      <c r="K126" s="514"/>
      <c r="L126" s="525"/>
      <c r="M126" s="514">
        <f t="shared" si="43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 ht="12.5">
      <c r="B127" s="195" t="str">
        <f t="shared" si="31"/>
        <v/>
      </c>
      <c r="C127" s="507">
        <f>IF(D93="","-",+C126+1)</f>
        <v>2041</v>
      </c>
      <c r="D127" s="374">
        <f>IF(F126+SUM(E$99:E126)=D$92,F126,D$92-SUM(E$99:E126))</f>
        <v>1454356.5124314623</v>
      </c>
      <c r="E127" s="522">
        <f t="shared" si="38"/>
        <v>105971.95121951219</v>
      </c>
      <c r="F127" s="523">
        <f t="shared" si="39"/>
        <v>1348384.5612119501</v>
      </c>
      <c r="G127" s="523">
        <f t="shared" si="40"/>
        <v>1401370.5368217062</v>
      </c>
      <c r="H127" s="526">
        <f t="shared" si="41"/>
        <v>265047.44356706092</v>
      </c>
      <c r="I127" s="577">
        <f t="shared" si="42"/>
        <v>265047.44356706092</v>
      </c>
      <c r="J127" s="514">
        <f t="shared" si="32"/>
        <v>0</v>
      </c>
      <c r="K127" s="514"/>
      <c r="L127" s="525"/>
      <c r="M127" s="514">
        <f t="shared" si="43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 ht="12.5">
      <c r="B128" s="195" t="str">
        <f t="shared" si="31"/>
        <v/>
      </c>
      <c r="C128" s="507">
        <f>IF(D93="","-",+C127+1)</f>
        <v>2042</v>
      </c>
      <c r="D128" s="374">
        <f>IF(F127+SUM(E$99:E127)=D$92,F127,D$92-SUM(E$99:E127))</f>
        <v>1348384.5612119501</v>
      </c>
      <c r="E128" s="522">
        <f t="shared" si="38"/>
        <v>105971.95121951219</v>
      </c>
      <c r="F128" s="523">
        <f t="shared" si="39"/>
        <v>1242412.609992438</v>
      </c>
      <c r="G128" s="523">
        <f t="shared" si="40"/>
        <v>1295398.5856021941</v>
      </c>
      <c r="H128" s="526">
        <f t="shared" si="41"/>
        <v>253018.11950726795</v>
      </c>
      <c r="I128" s="577">
        <f t="shared" si="42"/>
        <v>253018.11950726795</v>
      </c>
      <c r="J128" s="514">
        <f t="shared" si="32"/>
        <v>0</v>
      </c>
      <c r="K128" s="514"/>
      <c r="L128" s="525"/>
      <c r="M128" s="514">
        <f t="shared" si="43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 ht="12.5">
      <c r="B129" s="195" t="str">
        <f t="shared" si="31"/>
        <v/>
      </c>
      <c r="C129" s="507">
        <f>IF(D93="","-",+C128+1)</f>
        <v>2043</v>
      </c>
      <c r="D129" s="374">
        <f>IF(F128+SUM(E$99:E128)=D$92,F128,D$92-SUM(E$99:E128))</f>
        <v>1242412.609992438</v>
      </c>
      <c r="E129" s="522">
        <f t="shared" si="38"/>
        <v>105971.95121951219</v>
      </c>
      <c r="F129" s="523">
        <f t="shared" si="39"/>
        <v>1136440.6587729258</v>
      </c>
      <c r="G129" s="523">
        <f t="shared" si="40"/>
        <v>1189426.6343826819</v>
      </c>
      <c r="H129" s="526">
        <f t="shared" si="41"/>
        <v>240988.79544747504</v>
      </c>
      <c r="I129" s="577">
        <f t="shared" si="42"/>
        <v>240988.79544747504</v>
      </c>
      <c r="J129" s="514">
        <f t="shared" si="32"/>
        <v>0</v>
      </c>
      <c r="K129" s="514"/>
      <c r="L129" s="525"/>
      <c r="M129" s="514">
        <f t="shared" si="43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 ht="12.5">
      <c r="B130" s="195" t="str">
        <f t="shared" si="31"/>
        <v/>
      </c>
      <c r="C130" s="507">
        <f>IF(D93="","-",+C129+1)</f>
        <v>2044</v>
      </c>
      <c r="D130" s="374">
        <f>IF(F129+SUM(E$99:E129)=D$92,F129,D$92-SUM(E$99:E129))</f>
        <v>1136440.6587729258</v>
      </c>
      <c r="E130" s="522">
        <f t="shared" si="38"/>
        <v>105971.95121951219</v>
      </c>
      <c r="F130" s="523">
        <f t="shared" si="39"/>
        <v>1030468.7075534137</v>
      </c>
      <c r="G130" s="523">
        <f t="shared" si="40"/>
        <v>1083454.6831631698</v>
      </c>
      <c r="H130" s="526">
        <f t="shared" si="41"/>
        <v>228959.47138768208</v>
      </c>
      <c r="I130" s="577">
        <f t="shared" si="42"/>
        <v>228959.47138768208</v>
      </c>
      <c r="J130" s="514">
        <f t="shared" si="32"/>
        <v>0</v>
      </c>
      <c r="K130" s="514"/>
      <c r="L130" s="525"/>
      <c r="M130" s="514">
        <f t="shared" si="43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 ht="12.5">
      <c r="B131" s="195" t="str">
        <f t="shared" si="31"/>
        <v/>
      </c>
      <c r="C131" s="507">
        <f>IF(D93="","-",+C130+1)</f>
        <v>2045</v>
      </c>
      <c r="D131" s="374">
        <f>IF(F130+SUM(E$99:E130)=D$92,F130,D$92-SUM(E$99:E130))</f>
        <v>1030468.7075534137</v>
      </c>
      <c r="E131" s="522">
        <f t="shared" si="38"/>
        <v>105971.95121951219</v>
      </c>
      <c r="F131" s="523">
        <f t="shared" si="39"/>
        <v>924496.75633390155</v>
      </c>
      <c r="G131" s="523">
        <f t="shared" si="40"/>
        <v>977482.73194365762</v>
      </c>
      <c r="H131" s="526">
        <f t="shared" si="41"/>
        <v>216930.14732788911</v>
      </c>
      <c r="I131" s="577">
        <f t="shared" si="42"/>
        <v>216930.14732788911</v>
      </c>
      <c r="J131" s="514">
        <f t="shared" si="32"/>
        <v>0</v>
      </c>
      <c r="K131" s="514"/>
      <c r="L131" s="525"/>
      <c r="M131" s="514">
        <f t="shared" ref="M131:M154" si="44">IF(L541&lt;&gt;0,+H541-L541,0)</f>
        <v>0</v>
      </c>
      <c r="N131" s="525"/>
      <c r="O131" s="514">
        <f t="shared" ref="O131:O154" si="45">IF(N541&lt;&gt;0,+I541-N541,0)</f>
        <v>0</v>
      </c>
      <c r="P131" s="514">
        <f t="shared" ref="P131:P154" si="46">+O541-M541</f>
        <v>0</v>
      </c>
      <c r="Q131" s="269"/>
    </row>
    <row r="132" spans="2:17" ht="12.5">
      <c r="B132" s="195" t="str">
        <f t="shared" si="31"/>
        <v/>
      </c>
      <c r="C132" s="507">
        <f>IF(D93="","-",+C131+1)</f>
        <v>2046</v>
      </c>
      <c r="D132" s="374">
        <f>IF(F131+SUM(E$99:E131)=D$92,F131,D$92-SUM(E$99:E131))</f>
        <v>924496.75633390155</v>
      </c>
      <c r="E132" s="522">
        <f t="shared" si="38"/>
        <v>105971.95121951219</v>
      </c>
      <c r="F132" s="523">
        <f t="shared" si="39"/>
        <v>818524.8051143894</v>
      </c>
      <c r="G132" s="523">
        <f t="shared" si="40"/>
        <v>871510.78072414547</v>
      </c>
      <c r="H132" s="526">
        <f t="shared" si="41"/>
        <v>204900.8232680962</v>
      </c>
      <c r="I132" s="577">
        <f t="shared" si="42"/>
        <v>204900.8232680962</v>
      </c>
      <c r="J132" s="514">
        <f t="shared" si="32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 ht="12.5">
      <c r="B133" s="195" t="str">
        <f t="shared" si="31"/>
        <v/>
      </c>
      <c r="C133" s="507">
        <f>IF(D93="","-",+C132+1)</f>
        <v>2047</v>
      </c>
      <c r="D133" s="374">
        <f>IF(F132+SUM(E$99:E132)=D$92,F132,D$92-SUM(E$99:E132))</f>
        <v>818524.8051143894</v>
      </c>
      <c r="E133" s="522">
        <f t="shared" si="38"/>
        <v>105971.95121951219</v>
      </c>
      <c r="F133" s="523">
        <f t="shared" si="39"/>
        <v>712552.85389487725</v>
      </c>
      <c r="G133" s="523">
        <f t="shared" si="40"/>
        <v>765538.82950463332</v>
      </c>
      <c r="H133" s="526">
        <f t="shared" si="41"/>
        <v>192871.49920830323</v>
      </c>
      <c r="I133" s="577">
        <f t="shared" si="42"/>
        <v>192871.49920830323</v>
      </c>
      <c r="J133" s="514">
        <f t="shared" si="32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 ht="12.5">
      <c r="B134" s="195" t="str">
        <f t="shared" si="31"/>
        <v/>
      </c>
      <c r="C134" s="507">
        <f>IF(D93="","-",+C133+1)</f>
        <v>2048</v>
      </c>
      <c r="D134" s="374">
        <f>IF(F133+SUM(E$99:E133)=D$92,F133,D$92-SUM(E$99:E133))</f>
        <v>712552.85389487725</v>
      </c>
      <c r="E134" s="522">
        <f t="shared" si="38"/>
        <v>105971.95121951219</v>
      </c>
      <c r="F134" s="523">
        <f t="shared" si="39"/>
        <v>606580.9026753651</v>
      </c>
      <c r="G134" s="523">
        <f t="shared" si="40"/>
        <v>659566.87828512117</v>
      </c>
      <c r="H134" s="526">
        <f t="shared" si="41"/>
        <v>180842.17514851026</v>
      </c>
      <c r="I134" s="577">
        <f t="shared" si="42"/>
        <v>180842.17514851026</v>
      </c>
      <c r="J134" s="514">
        <f t="shared" si="32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 ht="12.5">
      <c r="B135" s="195" t="str">
        <f t="shared" si="31"/>
        <v/>
      </c>
      <c r="C135" s="507">
        <f>IF(D93="","-",+C134+1)</f>
        <v>2049</v>
      </c>
      <c r="D135" s="374">
        <f>IF(F134+SUM(E$99:E134)=D$92,F134,D$92-SUM(E$99:E134))</f>
        <v>606580.9026753651</v>
      </c>
      <c r="E135" s="522">
        <f t="shared" si="38"/>
        <v>105971.95121951219</v>
      </c>
      <c r="F135" s="523">
        <f t="shared" si="39"/>
        <v>500608.95145585289</v>
      </c>
      <c r="G135" s="523">
        <f t="shared" si="40"/>
        <v>553594.92706560902</v>
      </c>
      <c r="H135" s="526">
        <f t="shared" si="41"/>
        <v>168812.85108871732</v>
      </c>
      <c r="I135" s="577">
        <f t="shared" si="42"/>
        <v>168812.85108871732</v>
      </c>
      <c r="J135" s="514">
        <f t="shared" si="32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 ht="12.5">
      <c r="B136" s="195" t="str">
        <f t="shared" si="31"/>
        <v/>
      </c>
      <c r="C136" s="507">
        <f>IF(D93="","-",+C135+1)</f>
        <v>2050</v>
      </c>
      <c r="D136" s="374">
        <f>IF(F135+SUM(E$99:E135)=D$92,F135,D$92-SUM(E$99:E135))</f>
        <v>500608.95145585289</v>
      </c>
      <c r="E136" s="522">
        <f t="shared" si="38"/>
        <v>105971.95121951219</v>
      </c>
      <c r="F136" s="523">
        <f t="shared" si="39"/>
        <v>394637.00023634068</v>
      </c>
      <c r="G136" s="523">
        <f t="shared" si="40"/>
        <v>447622.97584609676</v>
      </c>
      <c r="H136" s="526">
        <f t="shared" si="41"/>
        <v>156783.52702892438</v>
      </c>
      <c r="I136" s="577">
        <f t="shared" si="42"/>
        <v>156783.52702892438</v>
      </c>
      <c r="J136" s="514">
        <f t="shared" si="32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 ht="12.5">
      <c r="B137" s="195" t="str">
        <f t="shared" si="31"/>
        <v/>
      </c>
      <c r="C137" s="507">
        <f>IF(D93="","-",+C136+1)</f>
        <v>2051</v>
      </c>
      <c r="D137" s="374">
        <f>IF(F136+SUM(E$99:E136)=D$92,F136,D$92-SUM(E$99:E136))</f>
        <v>394637.00023634068</v>
      </c>
      <c r="E137" s="522">
        <f t="shared" si="38"/>
        <v>105971.95121951219</v>
      </c>
      <c r="F137" s="523">
        <f t="shared" si="39"/>
        <v>288665.04901682847</v>
      </c>
      <c r="G137" s="523">
        <f t="shared" si="40"/>
        <v>341651.02462658461</v>
      </c>
      <c r="H137" s="526">
        <f t="shared" si="41"/>
        <v>144754.20296913141</v>
      </c>
      <c r="I137" s="577">
        <f t="shared" si="42"/>
        <v>144754.20296913141</v>
      </c>
      <c r="J137" s="514">
        <f t="shared" si="32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 ht="12.5">
      <c r="B138" s="195" t="str">
        <f t="shared" si="31"/>
        <v/>
      </c>
      <c r="C138" s="507">
        <f>IF(D93="","-",+C137+1)</f>
        <v>2052</v>
      </c>
      <c r="D138" s="374">
        <f>IF(F137+SUM(E$99:E137)=D$92,F137,D$92-SUM(E$99:E137))</f>
        <v>288665.04901682847</v>
      </c>
      <c r="E138" s="522">
        <f t="shared" si="38"/>
        <v>105971.95121951219</v>
      </c>
      <c r="F138" s="523">
        <f t="shared" si="39"/>
        <v>182693.09779731627</v>
      </c>
      <c r="G138" s="523">
        <f t="shared" si="40"/>
        <v>235679.07340707237</v>
      </c>
      <c r="H138" s="526">
        <f t="shared" si="41"/>
        <v>132724.87890933844</v>
      </c>
      <c r="I138" s="577">
        <f t="shared" si="42"/>
        <v>132724.87890933844</v>
      </c>
      <c r="J138" s="514">
        <f t="shared" si="32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 ht="12.5">
      <c r="B139" s="195" t="str">
        <f t="shared" si="31"/>
        <v/>
      </c>
      <c r="C139" s="507">
        <f>IF(D93="","-",+C138+1)</f>
        <v>2053</v>
      </c>
      <c r="D139" s="374">
        <f>IF(F138+SUM(E$99:E138)=D$92,F138,D$92-SUM(E$99:E138))</f>
        <v>182693.09779731627</v>
      </c>
      <c r="E139" s="522">
        <f t="shared" si="38"/>
        <v>105971.95121951219</v>
      </c>
      <c r="F139" s="523">
        <f t="shared" si="39"/>
        <v>76721.146577804073</v>
      </c>
      <c r="G139" s="523">
        <f t="shared" si="40"/>
        <v>129707.12218756016</v>
      </c>
      <c r="H139" s="526">
        <f t="shared" si="41"/>
        <v>120695.5548495455</v>
      </c>
      <c r="I139" s="577">
        <f t="shared" si="42"/>
        <v>120695.5548495455</v>
      </c>
      <c r="J139" s="514">
        <f t="shared" si="32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 ht="12.5">
      <c r="B140" s="195" t="str">
        <f t="shared" si="31"/>
        <v/>
      </c>
      <c r="C140" s="507">
        <f>IF(D93="","-",+C139+1)</f>
        <v>2054</v>
      </c>
      <c r="D140" s="374">
        <f>IF(F139+SUM(E$99:E139)=D$92,F139,D$92-SUM(E$99:E139))</f>
        <v>76721.146577804073</v>
      </c>
      <c r="E140" s="522">
        <f t="shared" si="38"/>
        <v>76721.146577804073</v>
      </c>
      <c r="F140" s="523">
        <f t="shared" si="39"/>
        <v>0</v>
      </c>
      <c r="G140" s="523">
        <f t="shared" si="40"/>
        <v>38360.573288902036</v>
      </c>
      <c r="H140" s="526">
        <f t="shared" si="41"/>
        <v>81075.617377872491</v>
      </c>
      <c r="I140" s="577">
        <f t="shared" si="42"/>
        <v>81075.617377872491</v>
      </c>
      <c r="J140" s="514">
        <f t="shared" si="32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 ht="12.5">
      <c r="B141" s="195" t="str">
        <f t="shared" si="31"/>
        <v/>
      </c>
      <c r="C141" s="507">
        <f>IF(D93="","-",+C140+1)</f>
        <v>2055</v>
      </c>
      <c r="D141" s="374">
        <f>IF(F140+SUM(E$99:E140)=D$92,F140,D$92-SUM(E$99:E140))</f>
        <v>0</v>
      </c>
      <c r="E141" s="522">
        <f t="shared" si="38"/>
        <v>0</v>
      </c>
      <c r="F141" s="523">
        <f t="shared" si="39"/>
        <v>0</v>
      </c>
      <c r="G141" s="523">
        <f t="shared" si="40"/>
        <v>0</v>
      </c>
      <c r="H141" s="526">
        <f t="shared" si="41"/>
        <v>0</v>
      </c>
      <c r="I141" s="577">
        <f t="shared" si="42"/>
        <v>0</v>
      </c>
      <c r="J141" s="514">
        <f t="shared" si="32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 ht="12.5">
      <c r="B142" s="195" t="str">
        <f t="shared" si="31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8"/>
        <v>0</v>
      </c>
      <c r="F142" s="523">
        <f t="shared" si="39"/>
        <v>0</v>
      </c>
      <c r="G142" s="523">
        <f t="shared" si="40"/>
        <v>0</v>
      </c>
      <c r="H142" s="526">
        <f t="shared" si="41"/>
        <v>0</v>
      </c>
      <c r="I142" s="577">
        <f t="shared" si="42"/>
        <v>0</v>
      </c>
      <c r="J142" s="514">
        <f t="shared" si="32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 ht="12.5">
      <c r="B143" s="195" t="str">
        <f t="shared" si="31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8"/>
        <v>0</v>
      </c>
      <c r="F143" s="523">
        <f t="shared" si="39"/>
        <v>0</v>
      </c>
      <c r="G143" s="523">
        <f t="shared" si="40"/>
        <v>0</v>
      </c>
      <c r="H143" s="526">
        <f t="shared" si="41"/>
        <v>0</v>
      </c>
      <c r="I143" s="577">
        <f t="shared" si="42"/>
        <v>0</v>
      </c>
      <c r="J143" s="514">
        <f t="shared" si="32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 ht="12.5">
      <c r="B144" s="195" t="str">
        <f t="shared" si="31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8"/>
        <v>0</v>
      </c>
      <c r="F144" s="523">
        <f t="shared" si="39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32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 ht="12.5">
      <c r="B145" s="195" t="str">
        <f t="shared" si="31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8"/>
        <v>0</v>
      </c>
      <c r="F145" s="523">
        <f t="shared" si="39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32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 ht="12.5">
      <c r="B146" s="195" t="str">
        <f t="shared" si="31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8"/>
        <v>0</v>
      </c>
      <c r="F146" s="523">
        <f t="shared" si="39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32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 ht="12.5">
      <c r="B147" s="195" t="str">
        <f t="shared" si="31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8"/>
        <v>0</v>
      </c>
      <c r="F147" s="523">
        <f t="shared" si="39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32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 ht="12.5">
      <c r="B148" s="195" t="str">
        <f t="shared" si="31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8"/>
        <v>0</v>
      </c>
      <c r="F148" s="523">
        <f t="shared" si="39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32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 ht="12.5">
      <c r="B149" s="195" t="str">
        <f t="shared" si="31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8"/>
        <v>0</v>
      </c>
      <c r="F149" s="523">
        <f t="shared" si="39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32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 ht="12.5">
      <c r="B150" s="195" t="str">
        <f t="shared" si="31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8"/>
        <v>0</v>
      </c>
      <c r="F150" s="523">
        <f t="shared" si="39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32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 ht="12.5">
      <c r="B151" s="195" t="str">
        <f t="shared" si="31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8"/>
        <v>0</v>
      </c>
      <c r="F151" s="523">
        <f t="shared" si="39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32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 ht="12.5">
      <c r="B152" s="195" t="str">
        <f t="shared" si="31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8"/>
        <v>0</v>
      </c>
      <c r="F152" s="523">
        <f t="shared" si="39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32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 ht="12.5">
      <c r="B153" s="195" t="str">
        <f t="shared" si="31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8"/>
        <v>0</v>
      </c>
      <c r="F153" s="523">
        <f t="shared" si="39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32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" thickBot="1">
      <c r="B154" s="195" t="str">
        <f t="shared" si="31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8"/>
        <v>0</v>
      </c>
      <c r="F154" s="523">
        <f t="shared" si="39"/>
        <v>0</v>
      </c>
      <c r="G154" s="523">
        <f t="shared" si="40"/>
        <v>0</v>
      </c>
      <c r="H154" s="526">
        <f t="shared" si="41"/>
        <v>0</v>
      </c>
      <c r="I154" s="577">
        <f t="shared" si="42"/>
        <v>0</v>
      </c>
      <c r="J154" s="514">
        <f t="shared" si="32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 ht="12.5">
      <c r="C155" s="374" t="s">
        <v>78</v>
      </c>
      <c r="D155" s="375"/>
      <c r="E155" s="375">
        <f>SUM(E99:E154)</f>
        <v>4344850</v>
      </c>
      <c r="F155" s="375"/>
      <c r="G155" s="375"/>
      <c r="H155" s="375">
        <f>SUM(H99:H154)</f>
        <v>14799564.411502199</v>
      </c>
      <c r="I155" s="375">
        <f>SUM(I99:I154)</f>
        <v>14799564.411502199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90" priority="1" stopIfTrue="1" operator="equal">
      <formula>$I$10</formula>
    </cfRule>
  </conditionalFormatting>
  <conditionalFormatting sqref="C99:C154">
    <cfRule type="cellIs" dxfId="8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87"/>
  <dimension ref="A1:Q162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8" style="183" customWidth="1"/>
    <col min="13" max="13" width="17.7265625" style="183" customWidth="1"/>
    <col min="14" max="14" width="19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36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783680.43817514717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783680.43817514717</v>
      </c>
      <c r="O6" s="269"/>
      <c r="P6" s="269"/>
    </row>
    <row r="7" spans="1:17" ht="13.5" thickBot="1">
      <c r="C7" s="467" t="s">
        <v>48</v>
      </c>
      <c r="D7" s="624" t="s">
        <v>299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263</v>
      </c>
      <c r="E9" s="666" t="s">
        <v>497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6389739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9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152136.64285714287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1750000</v>
      </c>
      <c r="E17" s="627">
        <v>17361.111111111109</v>
      </c>
      <c r="F17" s="626">
        <v>1732638.888888889</v>
      </c>
      <c r="G17" s="627">
        <v>259908.17345772672</v>
      </c>
      <c r="H17" s="610">
        <v>259908.17345772672</v>
      </c>
      <c r="I17" s="616">
        <v>0</v>
      </c>
      <c r="J17" s="511"/>
      <c r="K17" s="512">
        <f t="shared" ref="K17:K22" si="0">G17</f>
        <v>259908.17345772672</v>
      </c>
      <c r="L17" s="597">
        <f t="shared" ref="L17:L22" si="1">IF(K17&lt;&gt;0,+G17-K17,0)</f>
        <v>0</v>
      </c>
      <c r="M17" s="512">
        <f t="shared" ref="M17:M22" si="2">H17</f>
        <v>259908.17345772672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1732638.888888889</v>
      </c>
      <c r="E18" s="609">
        <v>72336.119047619053</v>
      </c>
      <c r="F18" s="626">
        <v>1660302.7698412701</v>
      </c>
      <c r="G18" s="609">
        <v>296328.40957577864</v>
      </c>
      <c r="H18" s="610">
        <v>296328.40957577864</v>
      </c>
      <c r="I18" s="616">
        <v>0</v>
      </c>
      <c r="J18" s="511"/>
      <c r="K18" s="518">
        <f t="shared" si="0"/>
        <v>296328.40957577864</v>
      </c>
      <c r="L18" s="519">
        <f t="shared" si="1"/>
        <v>0</v>
      </c>
      <c r="M18" s="518">
        <f t="shared" si="2"/>
        <v>296328.40957577864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1660302.7698412701</v>
      </c>
      <c r="E19" s="609">
        <v>152136.64285714287</v>
      </c>
      <c r="F19" s="626">
        <v>1508166.1269841271</v>
      </c>
      <c r="G19" s="609">
        <v>350769.36244899174</v>
      </c>
      <c r="H19" s="610">
        <v>350769.36244899174</v>
      </c>
      <c r="I19" s="511">
        <v>0</v>
      </c>
      <c r="J19" s="511"/>
      <c r="K19" s="518">
        <f t="shared" si="0"/>
        <v>350769.36244899174</v>
      </c>
      <c r="L19" s="519">
        <f t="shared" si="1"/>
        <v>0</v>
      </c>
      <c r="M19" s="518">
        <f t="shared" si="2"/>
        <v>350769.36244899174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6147905.1269841269</v>
      </c>
      <c r="E20" s="609">
        <v>152136.64285714287</v>
      </c>
      <c r="F20" s="626">
        <v>5995768.4841269841</v>
      </c>
      <c r="G20" s="609">
        <v>932066.05749159923</v>
      </c>
      <c r="H20" s="610">
        <v>932066.05749159923</v>
      </c>
      <c r="I20" s="511">
        <f>H20-G20</f>
        <v>0</v>
      </c>
      <c r="J20" s="511"/>
      <c r="K20" s="518">
        <f t="shared" si="0"/>
        <v>932066.05749159923</v>
      </c>
      <c r="L20" s="519">
        <f t="shared" si="1"/>
        <v>0</v>
      </c>
      <c r="M20" s="518">
        <f t="shared" si="2"/>
        <v>932066.05749159923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5995768.4841269841</v>
      </c>
      <c r="E21" s="609">
        <v>148598.58139534883</v>
      </c>
      <c r="F21" s="626">
        <v>5847169.9027316356</v>
      </c>
      <c r="G21" s="609">
        <v>882224.40250085481</v>
      </c>
      <c r="H21" s="610">
        <v>882224.40250085481</v>
      </c>
      <c r="I21" s="511">
        <f t="shared" ref="I21:I72" si="6">H21-G21</f>
        <v>0</v>
      </c>
      <c r="J21" s="511"/>
      <c r="K21" s="518">
        <f t="shared" si="0"/>
        <v>882224.40250085481</v>
      </c>
      <c r="L21" s="519">
        <f t="shared" si="1"/>
        <v>0</v>
      </c>
      <c r="M21" s="518">
        <f t="shared" si="2"/>
        <v>882224.40250085481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5847169.9027316356</v>
      </c>
      <c r="E22" s="609">
        <v>155847.29268292684</v>
      </c>
      <c r="F22" s="626">
        <v>5691322.6100487085</v>
      </c>
      <c r="G22" s="609">
        <v>889084.4471340694</v>
      </c>
      <c r="H22" s="610">
        <v>889084.4471340694</v>
      </c>
      <c r="I22" s="511">
        <f t="shared" si="6"/>
        <v>0</v>
      </c>
      <c r="J22" s="511"/>
      <c r="K22" s="518">
        <f t="shared" si="0"/>
        <v>889084.4471340694</v>
      </c>
      <c r="L22" s="519">
        <f t="shared" si="1"/>
        <v>0</v>
      </c>
      <c r="M22" s="518">
        <f t="shared" si="2"/>
        <v>889084.4471340694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5691322.6100487085</v>
      </c>
      <c r="E23" s="609">
        <v>155847.29268292684</v>
      </c>
      <c r="F23" s="626">
        <v>5535475.3173657814</v>
      </c>
      <c r="G23" s="609">
        <v>869277.17590012413</v>
      </c>
      <c r="H23" s="610">
        <v>869277.17590012413</v>
      </c>
      <c r="I23" s="511">
        <f t="shared" si="6"/>
        <v>0</v>
      </c>
      <c r="J23" s="511"/>
      <c r="K23" s="518">
        <f t="shared" ref="K23" si="7">G23</f>
        <v>869277.17590012413</v>
      </c>
      <c r="L23" s="519">
        <f t="shared" ref="L23" si="8">IF(K23&lt;&gt;0,+G23-K23,0)</f>
        <v>0</v>
      </c>
      <c r="M23" s="518">
        <f t="shared" ref="M23" si="9">H23</f>
        <v>869277.17590012413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5535475.3173657814</v>
      </c>
      <c r="E24" s="609">
        <v>155847.29268292684</v>
      </c>
      <c r="F24" s="626">
        <v>5379628.0246828543</v>
      </c>
      <c r="G24" s="609">
        <v>714348.32768844545</v>
      </c>
      <c r="H24" s="610">
        <v>714348.32768844545</v>
      </c>
      <c r="I24" s="511">
        <f t="shared" si="6"/>
        <v>0</v>
      </c>
      <c r="J24" s="511"/>
      <c r="K24" s="518">
        <f t="shared" ref="K24" si="12">G24</f>
        <v>714348.32768844545</v>
      </c>
      <c r="L24" s="519">
        <f t="shared" ref="L24" si="13">IF(K24&lt;&gt;0,+G24-K24,0)</f>
        <v>0</v>
      </c>
      <c r="M24" s="518">
        <f t="shared" ref="M24" si="14">H24</f>
        <v>714348.32768844545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26">
        <v>5386876.7359704329</v>
      </c>
      <c r="E25" s="609">
        <v>152136.64285714287</v>
      </c>
      <c r="F25" s="626">
        <v>5234740.0931132901</v>
      </c>
      <c r="G25" s="609">
        <v>715106.47264918196</v>
      </c>
      <c r="H25" s="610">
        <v>715106.47264918196</v>
      </c>
      <c r="I25" s="511">
        <f t="shared" si="6"/>
        <v>0</v>
      </c>
      <c r="J25" s="511"/>
      <c r="K25" s="518">
        <f t="shared" ref="K25" si="15">G25</f>
        <v>715106.47264918196</v>
      </c>
      <c r="L25" s="519">
        <f t="shared" ref="L25" si="16">IF(K25&lt;&gt;0,+G25-K25,0)</f>
        <v>0</v>
      </c>
      <c r="M25" s="518">
        <f t="shared" ref="M25" si="17">H25</f>
        <v>715106.47264918196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26">
        <v>5227491.3818257116</v>
      </c>
      <c r="E26" s="609">
        <v>152136.64285714287</v>
      </c>
      <c r="F26" s="626">
        <v>5075354.7389685689</v>
      </c>
      <c r="G26" s="609">
        <v>731383.75654612202</v>
      </c>
      <c r="H26" s="610">
        <v>731383.75654612202</v>
      </c>
      <c r="I26" s="511">
        <f t="shared" si="6"/>
        <v>0</v>
      </c>
      <c r="J26" s="511"/>
      <c r="K26" s="518">
        <f t="shared" ref="K26" si="18">G26</f>
        <v>731383.75654612202</v>
      </c>
      <c r="L26" s="519">
        <f t="shared" ref="L26" si="19">IF(K26&lt;&gt;0,+G26-K26,0)</f>
        <v>0</v>
      </c>
      <c r="M26" s="518">
        <f t="shared" ref="M26" si="20">H26</f>
        <v>731383.75654612202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5075354.7389685689</v>
      </c>
      <c r="E27" s="522">
        <f t="shared" ref="E27:E72" si="21">IF(+$I$14&lt;F26,$I$14,D27)</f>
        <v>152136.64285714287</v>
      </c>
      <c r="F27" s="523">
        <f t="shared" ref="F27:F72" si="22">+D27-E27</f>
        <v>4923218.0961114261</v>
      </c>
      <c r="G27" s="524">
        <f t="shared" ref="G27:G52" si="23">+I$12*((D27+F27)/2)+E27</f>
        <v>783680.43817514717</v>
      </c>
      <c r="H27" s="491">
        <f t="shared" ref="H27:H52" si="24">+I$13*((D27+F27)/2)+E27</f>
        <v>783680.43817514717</v>
      </c>
      <c r="I27" s="511">
        <f t="shared" si="6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4923218.0961114261</v>
      </c>
      <c r="E28" s="522">
        <f t="shared" si="21"/>
        <v>152136.64285714287</v>
      </c>
      <c r="F28" s="523">
        <f t="shared" si="22"/>
        <v>4771081.4532542834</v>
      </c>
      <c r="G28" s="524">
        <f t="shared" si="23"/>
        <v>764461.50474900077</v>
      </c>
      <c r="H28" s="491">
        <f t="shared" si="24"/>
        <v>764461.50474900077</v>
      </c>
      <c r="I28" s="511">
        <f t="shared" si="6"/>
        <v>0</v>
      </c>
      <c r="J28" s="511"/>
      <c r="K28" s="525"/>
      <c r="L28" s="514">
        <f t="shared" si="25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4771081.4532542834</v>
      </c>
      <c r="E29" s="522">
        <f t="shared" si="21"/>
        <v>152136.64285714287</v>
      </c>
      <c r="F29" s="523">
        <f t="shared" si="22"/>
        <v>4618944.8103971407</v>
      </c>
      <c r="G29" s="524">
        <f t="shared" si="23"/>
        <v>745242.57132285414</v>
      </c>
      <c r="H29" s="491">
        <f t="shared" si="24"/>
        <v>745242.57132285414</v>
      </c>
      <c r="I29" s="511">
        <f t="shared" si="6"/>
        <v>0</v>
      </c>
      <c r="J29" s="511"/>
      <c r="K29" s="525"/>
      <c r="L29" s="514">
        <f t="shared" si="25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4618944.8103971407</v>
      </c>
      <c r="E30" s="522">
        <f t="shared" si="21"/>
        <v>152136.64285714287</v>
      </c>
      <c r="F30" s="523">
        <f t="shared" si="22"/>
        <v>4466808.167539998</v>
      </c>
      <c r="G30" s="524">
        <f t="shared" si="23"/>
        <v>726023.63789670775</v>
      </c>
      <c r="H30" s="491">
        <f t="shared" si="24"/>
        <v>726023.63789670775</v>
      </c>
      <c r="I30" s="511">
        <f t="shared" si="6"/>
        <v>0</v>
      </c>
      <c r="J30" s="511"/>
      <c r="K30" s="525"/>
      <c r="L30" s="514">
        <f t="shared" si="2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4466808.167539998</v>
      </c>
      <c r="E31" s="522">
        <f t="shared" si="21"/>
        <v>152136.64285714287</v>
      </c>
      <c r="F31" s="523">
        <f t="shared" si="22"/>
        <v>4314671.5246828552</v>
      </c>
      <c r="G31" s="524">
        <f t="shared" si="23"/>
        <v>706804.70447056112</v>
      </c>
      <c r="H31" s="491">
        <f t="shared" si="24"/>
        <v>706804.70447056112</v>
      </c>
      <c r="I31" s="511">
        <f t="shared" si="6"/>
        <v>0</v>
      </c>
      <c r="J31" s="511"/>
      <c r="K31" s="525"/>
      <c r="L31" s="514">
        <f t="shared" si="2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4314671.5246828552</v>
      </c>
      <c r="E32" s="522">
        <f t="shared" si="21"/>
        <v>152136.64285714287</v>
      </c>
      <c r="F32" s="523">
        <f t="shared" si="22"/>
        <v>4162534.8818257125</v>
      </c>
      <c r="G32" s="524">
        <f t="shared" si="23"/>
        <v>687585.77104441472</v>
      </c>
      <c r="H32" s="491">
        <f t="shared" si="24"/>
        <v>687585.77104441472</v>
      </c>
      <c r="I32" s="511">
        <f t="shared" si="6"/>
        <v>0</v>
      </c>
      <c r="J32" s="511"/>
      <c r="K32" s="525"/>
      <c r="L32" s="514">
        <f t="shared" si="2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4162534.8818257125</v>
      </c>
      <c r="E33" s="522">
        <f t="shared" si="21"/>
        <v>152136.64285714287</v>
      </c>
      <c r="F33" s="523">
        <f t="shared" si="22"/>
        <v>4010398.2389685698</v>
      </c>
      <c r="G33" s="524">
        <f t="shared" si="23"/>
        <v>668366.83761826821</v>
      </c>
      <c r="H33" s="491">
        <f t="shared" si="24"/>
        <v>668366.83761826821</v>
      </c>
      <c r="I33" s="511">
        <f t="shared" si="6"/>
        <v>0</v>
      </c>
      <c r="J33" s="511"/>
      <c r="K33" s="525"/>
      <c r="L33" s="514">
        <f t="shared" si="2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4010398.2389685698</v>
      </c>
      <c r="E34" s="522">
        <f t="shared" si="21"/>
        <v>152136.64285714287</v>
      </c>
      <c r="F34" s="523">
        <f t="shared" si="22"/>
        <v>3858261.5961114271</v>
      </c>
      <c r="G34" s="524">
        <f t="shared" si="23"/>
        <v>649147.9041921217</v>
      </c>
      <c r="H34" s="491">
        <f t="shared" si="24"/>
        <v>649147.9041921217</v>
      </c>
      <c r="I34" s="511">
        <f t="shared" si="6"/>
        <v>0</v>
      </c>
      <c r="J34" s="511"/>
      <c r="K34" s="525"/>
      <c r="L34" s="514">
        <f t="shared" si="2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3858261.5961114271</v>
      </c>
      <c r="E35" s="522">
        <f t="shared" si="21"/>
        <v>152136.64285714287</v>
      </c>
      <c r="F35" s="523">
        <f t="shared" si="22"/>
        <v>3706124.9532542843</v>
      </c>
      <c r="G35" s="524">
        <f t="shared" si="23"/>
        <v>629928.97076597519</v>
      </c>
      <c r="H35" s="491">
        <f t="shared" si="24"/>
        <v>629928.97076597519</v>
      </c>
      <c r="I35" s="511">
        <f t="shared" si="6"/>
        <v>0</v>
      </c>
      <c r="J35" s="511"/>
      <c r="K35" s="525"/>
      <c r="L35" s="514">
        <f t="shared" si="2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3706124.9532542843</v>
      </c>
      <c r="E36" s="522">
        <f t="shared" si="21"/>
        <v>152136.64285714287</v>
      </c>
      <c r="F36" s="523">
        <f t="shared" si="22"/>
        <v>3553988.3103971416</v>
      </c>
      <c r="G36" s="524">
        <f t="shared" si="23"/>
        <v>610710.03733982868</v>
      </c>
      <c r="H36" s="491">
        <f t="shared" si="24"/>
        <v>610710.03733982868</v>
      </c>
      <c r="I36" s="511">
        <f t="shared" si="6"/>
        <v>0</v>
      </c>
      <c r="J36" s="511"/>
      <c r="K36" s="525"/>
      <c r="L36" s="514">
        <f t="shared" si="2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3553988.3103971416</v>
      </c>
      <c r="E37" s="522">
        <f t="shared" si="21"/>
        <v>152136.64285714287</v>
      </c>
      <c r="F37" s="523">
        <f t="shared" si="22"/>
        <v>3401851.6675399989</v>
      </c>
      <c r="G37" s="524">
        <f t="shared" si="23"/>
        <v>591491.10391368216</v>
      </c>
      <c r="H37" s="491">
        <f t="shared" si="24"/>
        <v>591491.10391368216</v>
      </c>
      <c r="I37" s="511">
        <f t="shared" si="6"/>
        <v>0</v>
      </c>
      <c r="J37" s="511"/>
      <c r="K37" s="525"/>
      <c r="L37" s="514">
        <f t="shared" si="2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3401851.6675399989</v>
      </c>
      <c r="E38" s="522">
        <f t="shared" si="21"/>
        <v>152136.64285714287</v>
      </c>
      <c r="F38" s="523">
        <f t="shared" si="22"/>
        <v>3249715.0246828562</v>
      </c>
      <c r="G38" s="524">
        <f t="shared" si="23"/>
        <v>572272.17048753565</v>
      </c>
      <c r="H38" s="491">
        <f t="shared" si="24"/>
        <v>572272.17048753565</v>
      </c>
      <c r="I38" s="511">
        <f t="shared" si="6"/>
        <v>0</v>
      </c>
      <c r="J38" s="511"/>
      <c r="K38" s="525"/>
      <c r="L38" s="514">
        <f t="shared" si="2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3249715.0246828562</v>
      </c>
      <c r="E39" s="522">
        <f t="shared" si="21"/>
        <v>152136.64285714287</v>
      </c>
      <c r="F39" s="523">
        <f t="shared" si="22"/>
        <v>3097578.3818257134</v>
      </c>
      <c r="G39" s="524">
        <f t="shared" si="23"/>
        <v>553053.23706138914</v>
      </c>
      <c r="H39" s="491">
        <f t="shared" si="24"/>
        <v>553053.23706138914</v>
      </c>
      <c r="I39" s="511">
        <f t="shared" si="6"/>
        <v>0</v>
      </c>
      <c r="J39" s="511"/>
      <c r="K39" s="525"/>
      <c r="L39" s="514">
        <f t="shared" si="2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3097578.3818257134</v>
      </c>
      <c r="E40" s="522">
        <f t="shared" si="21"/>
        <v>152136.64285714287</v>
      </c>
      <c r="F40" s="523">
        <f t="shared" si="22"/>
        <v>2945441.7389685707</v>
      </c>
      <c r="G40" s="524">
        <f t="shared" si="23"/>
        <v>533834.30363524263</v>
      </c>
      <c r="H40" s="491">
        <f t="shared" si="24"/>
        <v>533834.30363524263</v>
      </c>
      <c r="I40" s="511">
        <f t="shared" si="6"/>
        <v>0</v>
      </c>
      <c r="J40" s="511"/>
      <c r="K40" s="525"/>
      <c r="L40" s="514">
        <f t="shared" si="2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2945441.7389685707</v>
      </c>
      <c r="E41" s="522">
        <f t="shared" si="21"/>
        <v>152136.64285714287</v>
      </c>
      <c r="F41" s="523">
        <f t="shared" si="22"/>
        <v>2793305.096111428</v>
      </c>
      <c r="G41" s="524">
        <f t="shared" si="23"/>
        <v>514615.37020909612</v>
      </c>
      <c r="H41" s="491">
        <f t="shared" si="24"/>
        <v>514615.37020909612</v>
      </c>
      <c r="I41" s="511">
        <f t="shared" si="6"/>
        <v>0</v>
      </c>
      <c r="J41" s="511"/>
      <c r="K41" s="525"/>
      <c r="L41" s="514">
        <f t="shared" si="2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2793305.096111428</v>
      </c>
      <c r="E42" s="522">
        <f t="shared" si="21"/>
        <v>152136.64285714287</v>
      </c>
      <c r="F42" s="523">
        <f t="shared" si="22"/>
        <v>2641168.4532542853</v>
      </c>
      <c r="G42" s="524">
        <f t="shared" si="23"/>
        <v>495396.4367829496</v>
      </c>
      <c r="H42" s="491">
        <f t="shared" si="24"/>
        <v>495396.4367829496</v>
      </c>
      <c r="I42" s="511">
        <f t="shared" si="6"/>
        <v>0</v>
      </c>
      <c r="J42" s="511"/>
      <c r="K42" s="525"/>
      <c r="L42" s="514">
        <f t="shared" si="2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2641168.4532542853</v>
      </c>
      <c r="E43" s="522">
        <f t="shared" si="21"/>
        <v>152136.64285714287</v>
      </c>
      <c r="F43" s="523">
        <f t="shared" si="22"/>
        <v>2489031.8103971425</v>
      </c>
      <c r="G43" s="524">
        <f t="shared" si="23"/>
        <v>476177.50335680309</v>
      </c>
      <c r="H43" s="491">
        <f t="shared" si="24"/>
        <v>476177.50335680309</v>
      </c>
      <c r="I43" s="511">
        <f t="shared" si="6"/>
        <v>0</v>
      </c>
      <c r="J43" s="511"/>
      <c r="K43" s="525"/>
      <c r="L43" s="514">
        <f t="shared" si="2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2489031.8103971425</v>
      </c>
      <c r="E44" s="522">
        <f t="shared" si="21"/>
        <v>152136.64285714287</v>
      </c>
      <c r="F44" s="523">
        <f t="shared" si="22"/>
        <v>2336895.1675399998</v>
      </c>
      <c r="G44" s="524">
        <f t="shared" si="23"/>
        <v>456958.56993065658</v>
      </c>
      <c r="H44" s="491">
        <f t="shared" si="24"/>
        <v>456958.56993065658</v>
      </c>
      <c r="I44" s="511">
        <f t="shared" si="6"/>
        <v>0</v>
      </c>
      <c r="J44" s="511"/>
      <c r="K44" s="525"/>
      <c r="L44" s="514">
        <f t="shared" si="2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2336895.1675399998</v>
      </c>
      <c r="E45" s="522">
        <f t="shared" si="21"/>
        <v>152136.64285714287</v>
      </c>
      <c r="F45" s="523">
        <f t="shared" si="22"/>
        <v>2184758.5246828571</v>
      </c>
      <c r="G45" s="524">
        <f t="shared" si="23"/>
        <v>437739.63650451007</v>
      </c>
      <c r="H45" s="491">
        <f t="shared" si="24"/>
        <v>437739.63650451007</v>
      </c>
      <c r="I45" s="511">
        <f t="shared" si="6"/>
        <v>0</v>
      </c>
      <c r="J45" s="511"/>
      <c r="K45" s="525"/>
      <c r="L45" s="514">
        <f t="shared" si="2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2184758.5246828571</v>
      </c>
      <c r="E46" s="522">
        <f t="shared" si="21"/>
        <v>152136.64285714287</v>
      </c>
      <c r="F46" s="523">
        <f t="shared" si="22"/>
        <v>2032621.8818257141</v>
      </c>
      <c r="G46" s="524">
        <f t="shared" si="23"/>
        <v>418520.70307836367</v>
      </c>
      <c r="H46" s="491">
        <f t="shared" si="24"/>
        <v>418520.70307836367</v>
      </c>
      <c r="I46" s="511">
        <f t="shared" si="6"/>
        <v>0</v>
      </c>
      <c r="J46" s="511"/>
      <c r="K46" s="525"/>
      <c r="L46" s="514">
        <f t="shared" si="2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2032621.8818257141</v>
      </c>
      <c r="E47" s="522">
        <f t="shared" si="21"/>
        <v>152136.64285714287</v>
      </c>
      <c r="F47" s="523">
        <f t="shared" si="22"/>
        <v>1880485.2389685712</v>
      </c>
      <c r="G47" s="524">
        <f t="shared" si="23"/>
        <v>399301.76965221704</v>
      </c>
      <c r="H47" s="491">
        <f t="shared" si="24"/>
        <v>399301.76965221704</v>
      </c>
      <c r="I47" s="511">
        <f t="shared" si="6"/>
        <v>0</v>
      </c>
      <c r="J47" s="511"/>
      <c r="K47" s="525"/>
      <c r="L47" s="514">
        <f t="shared" si="2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1880485.2389685712</v>
      </c>
      <c r="E48" s="522">
        <f t="shared" si="21"/>
        <v>152136.64285714287</v>
      </c>
      <c r="F48" s="523">
        <f t="shared" si="22"/>
        <v>1728348.5961114282</v>
      </c>
      <c r="G48" s="524">
        <f t="shared" si="23"/>
        <v>380082.83622607053</v>
      </c>
      <c r="H48" s="491">
        <f t="shared" si="24"/>
        <v>380082.83622607053</v>
      </c>
      <c r="I48" s="511">
        <f t="shared" si="6"/>
        <v>0</v>
      </c>
      <c r="J48" s="511"/>
      <c r="K48" s="525"/>
      <c r="L48" s="514">
        <f t="shared" si="2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1728348.5961114282</v>
      </c>
      <c r="E49" s="522">
        <f t="shared" si="21"/>
        <v>152136.64285714287</v>
      </c>
      <c r="F49" s="523">
        <f t="shared" si="22"/>
        <v>1576211.9532542853</v>
      </c>
      <c r="G49" s="524">
        <f t="shared" si="23"/>
        <v>360863.90279992402</v>
      </c>
      <c r="H49" s="491">
        <f t="shared" si="24"/>
        <v>360863.90279992402</v>
      </c>
      <c r="I49" s="511">
        <f t="shared" si="6"/>
        <v>0</v>
      </c>
      <c r="J49" s="511"/>
      <c r="K49" s="525"/>
      <c r="L49" s="514">
        <f t="shared" si="2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1576211.9532542853</v>
      </c>
      <c r="E50" s="522">
        <f t="shared" si="21"/>
        <v>152136.64285714287</v>
      </c>
      <c r="F50" s="523">
        <f t="shared" si="22"/>
        <v>1424075.3103971423</v>
      </c>
      <c r="G50" s="524">
        <f t="shared" si="23"/>
        <v>341644.96937377751</v>
      </c>
      <c r="H50" s="491">
        <f t="shared" si="24"/>
        <v>341644.96937377751</v>
      </c>
      <c r="I50" s="511">
        <f t="shared" si="6"/>
        <v>0</v>
      </c>
      <c r="J50" s="511"/>
      <c r="K50" s="525"/>
      <c r="L50" s="514">
        <f t="shared" si="2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1424075.3103971423</v>
      </c>
      <c r="E51" s="522">
        <f t="shared" si="21"/>
        <v>152136.64285714287</v>
      </c>
      <c r="F51" s="523">
        <f t="shared" si="22"/>
        <v>1271938.6675399994</v>
      </c>
      <c r="G51" s="524">
        <f t="shared" si="23"/>
        <v>322426.03594763088</v>
      </c>
      <c r="H51" s="491">
        <f t="shared" si="24"/>
        <v>322426.03594763088</v>
      </c>
      <c r="I51" s="511">
        <f t="shared" si="6"/>
        <v>0</v>
      </c>
      <c r="J51" s="511"/>
      <c r="K51" s="525"/>
      <c r="L51" s="514">
        <f t="shared" si="2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1271938.6675399994</v>
      </c>
      <c r="E52" s="522">
        <f t="shared" si="21"/>
        <v>152136.64285714287</v>
      </c>
      <c r="F52" s="523">
        <f t="shared" si="22"/>
        <v>1119802.0246828564</v>
      </c>
      <c r="G52" s="524">
        <f t="shared" si="23"/>
        <v>303207.10252148437</v>
      </c>
      <c r="H52" s="491">
        <f t="shared" si="24"/>
        <v>303207.10252148437</v>
      </c>
      <c r="I52" s="511">
        <f t="shared" si="6"/>
        <v>0</v>
      </c>
      <c r="J52" s="511"/>
      <c r="K52" s="525"/>
      <c r="L52" s="514">
        <f t="shared" si="2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1119802.0246828564</v>
      </c>
      <c r="E53" s="522">
        <f t="shared" si="21"/>
        <v>152136.64285714287</v>
      </c>
      <c r="F53" s="523">
        <f t="shared" si="22"/>
        <v>967665.38182571356</v>
      </c>
      <c r="G53" s="524">
        <f t="shared" ref="G53:G72" si="26">+I$12*((D53+F53)/2)+E53</f>
        <v>283988.16909533786</v>
      </c>
      <c r="H53" s="491">
        <f t="shared" ref="H53:H72" si="27">+I$13*((D53+F53)/2)+E53</f>
        <v>283988.16909533786</v>
      </c>
      <c r="I53" s="511">
        <f t="shared" si="6"/>
        <v>0</v>
      </c>
      <c r="J53" s="511"/>
      <c r="K53" s="525"/>
      <c r="L53" s="514">
        <f t="shared" si="2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967665.38182571356</v>
      </c>
      <c r="E54" s="522">
        <f t="shared" si="21"/>
        <v>152136.64285714287</v>
      </c>
      <c r="F54" s="523">
        <f t="shared" si="22"/>
        <v>815528.73896857072</v>
      </c>
      <c r="G54" s="524">
        <f t="shared" si="26"/>
        <v>264769.23566919134</v>
      </c>
      <c r="H54" s="491">
        <f t="shared" si="27"/>
        <v>264769.23566919134</v>
      </c>
      <c r="I54" s="511">
        <f t="shared" si="6"/>
        <v>0</v>
      </c>
      <c r="J54" s="511"/>
      <c r="K54" s="525"/>
      <c r="L54" s="514">
        <f t="shared" si="2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815528.73896857072</v>
      </c>
      <c r="E55" s="522">
        <f t="shared" si="21"/>
        <v>152136.64285714287</v>
      </c>
      <c r="F55" s="523">
        <f t="shared" si="22"/>
        <v>663392.09611142788</v>
      </c>
      <c r="G55" s="524">
        <f t="shared" si="26"/>
        <v>245550.30224304483</v>
      </c>
      <c r="H55" s="491">
        <f t="shared" si="27"/>
        <v>245550.30224304483</v>
      </c>
      <c r="I55" s="511">
        <f t="shared" si="6"/>
        <v>0</v>
      </c>
      <c r="J55" s="511"/>
      <c r="K55" s="525"/>
      <c r="L55" s="514">
        <f t="shared" si="2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663392.09611142788</v>
      </c>
      <c r="E56" s="522">
        <f t="shared" si="21"/>
        <v>152136.64285714287</v>
      </c>
      <c r="F56" s="523">
        <f t="shared" si="22"/>
        <v>511255.45325428504</v>
      </c>
      <c r="G56" s="524">
        <f t="shared" si="26"/>
        <v>226331.36881689829</v>
      </c>
      <c r="H56" s="491">
        <f t="shared" si="27"/>
        <v>226331.36881689829</v>
      </c>
      <c r="I56" s="511">
        <f t="shared" si="6"/>
        <v>0</v>
      </c>
      <c r="J56" s="511"/>
      <c r="K56" s="525"/>
      <c r="L56" s="514">
        <f t="shared" si="2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511255.45325428504</v>
      </c>
      <c r="E57" s="522">
        <f t="shared" si="21"/>
        <v>152136.64285714287</v>
      </c>
      <c r="F57" s="523">
        <f t="shared" si="22"/>
        <v>359118.8103971422</v>
      </c>
      <c r="G57" s="524">
        <f t="shared" si="26"/>
        <v>207112.43539075178</v>
      </c>
      <c r="H57" s="491">
        <f t="shared" si="27"/>
        <v>207112.43539075178</v>
      </c>
      <c r="I57" s="511">
        <f t="shared" si="6"/>
        <v>0</v>
      </c>
      <c r="J57" s="511"/>
      <c r="K57" s="525"/>
      <c r="L57" s="514">
        <f t="shared" si="2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359118.8103971422</v>
      </c>
      <c r="E58" s="522">
        <f t="shared" si="21"/>
        <v>152136.64285714287</v>
      </c>
      <c r="F58" s="523">
        <f t="shared" si="22"/>
        <v>206982.16753999933</v>
      </c>
      <c r="G58" s="524">
        <f t="shared" si="26"/>
        <v>187893.50196460527</v>
      </c>
      <c r="H58" s="491">
        <f t="shared" si="27"/>
        <v>187893.50196460527</v>
      </c>
      <c r="I58" s="511">
        <f t="shared" si="6"/>
        <v>0</v>
      </c>
      <c r="J58" s="511"/>
      <c r="K58" s="525"/>
      <c r="L58" s="514">
        <f t="shared" si="25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206982.16753999933</v>
      </c>
      <c r="E59" s="522">
        <f t="shared" si="21"/>
        <v>152136.64285714287</v>
      </c>
      <c r="F59" s="523">
        <f t="shared" si="22"/>
        <v>54845.524682856456</v>
      </c>
      <c r="G59" s="524">
        <f t="shared" si="26"/>
        <v>168674.56853845873</v>
      </c>
      <c r="H59" s="491">
        <f t="shared" si="27"/>
        <v>168674.56853845873</v>
      </c>
      <c r="I59" s="511">
        <f t="shared" si="6"/>
        <v>0</v>
      </c>
      <c r="J59" s="511"/>
      <c r="K59" s="525"/>
      <c r="L59" s="514">
        <f t="shared" si="2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54845.524682856456</v>
      </c>
      <c r="E60" s="522">
        <f t="shared" si="21"/>
        <v>54845.524682856456</v>
      </c>
      <c r="F60" s="523">
        <f t="shared" si="22"/>
        <v>0</v>
      </c>
      <c r="G60" s="524">
        <f t="shared" si="26"/>
        <v>58309.754166977757</v>
      </c>
      <c r="H60" s="491">
        <f t="shared" si="27"/>
        <v>58309.754166977757</v>
      </c>
      <c r="I60" s="511">
        <f t="shared" si="6"/>
        <v>0</v>
      </c>
      <c r="J60" s="511"/>
      <c r="K60" s="525"/>
      <c r="L60" s="514">
        <f t="shared" si="2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1"/>
        <v>0</v>
      </c>
      <c r="F61" s="523">
        <f t="shared" si="22"/>
        <v>0</v>
      </c>
      <c r="G61" s="524">
        <f t="shared" si="26"/>
        <v>0</v>
      </c>
      <c r="H61" s="491">
        <f t="shared" si="27"/>
        <v>0</v>
      </c>
      <c r="I61" s="511">
        <f t="shared" si="6"/>
        <v>0</v>
      </c>
      <c r="J61" s="511"/>
      <c r="K61" s="525"/>
      <c r="L61" s="514">
        <f t="shared" si="2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6"/>
        <v>0</v>
      </c>
      <c r="J62" s="511"/>
      <c r="K62" s="525"/>
      <c r="L62" s="514">
        <f t="shared" si="2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6"/>
        <v>0</v>
      </c>
      <c r="J63" s="511"/>
      <c r="K63" s="525"/>
      <c r="L63" s="514">
        <f t="shared" si="2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6"/>
        <v>0</v>
      </c>
      <c r="J64" s="511"/>
      <c r="K64" s="525"/>
      <c r="L64" s="514">
        <f t="shared" si="2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6"/>
        <v>0</v>
      </c>
      <c r="J65" s="511"/>
      <c r="K65" s="525"/>
      <c r="L65" s="514">
        <f t="shared" si="2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6"/>
        <v>0</v>
      </c>
      <c r="J66" s="511"/>
      <c r="K66" s="525"/>
      <c r="L66" s="514">
        <f t="shared" si="2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6"/>
        <v>0</v>
      </c>
      <c r="J67" s="511"/>
      <c r="K67" s="525"/>
      <c r="L67" s="514">
        <f t="shared" si="2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6"/>
        <v>0</v>
      </c>
      <c r="J68" s="511"/>
      <c r="K68" s="525"/>
      <c r="L68" s="514">
        <f t="shared" si="2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6"/>
        <v>0</v>
      </c>
      <c r="J69" s="511"/>
      <c r="K69" s="525"/>
      <c r="L69" s="514">
        <f t="shared" si="2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6"/>
        <v>0</v>
      </c>
      <c r="J70" s="511"/>
      <c r="K70" s="525"/>
      <c r="L70" s="514">
        <f t="shared" si="2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6"/>
        <v>0</v>
      </c>
      <c r="J71" s="511"/>
      <c r="K71" s="525"/>
      <c r="L71" s="514">
        <f t="shared" si="2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21"/>
        <v>0</v>
      </c>
      <c r="F72" s="523">
        <f t="shared" si="22"/>
        <v>0</v>
      </c>
      <c r="G72" s="524">
        <f t="shared" si="26"/>
        <v>0</v>
      </c>
      <c r="H72" s="491">
        <f t="shared" si="27"/>
        <v>0</v>
      </c>
      <c r="I72" s="511">
        <f t="shared" si="6"/>
        <v>0</v>
      </c>
      <c r="J72" s="511"/>
      <c r="K72" s="532"/>
      <c r="L72" s="533">
        <f t="shared" si="2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6389738.9999999991</v>
      </c>
      <c r="F73" s="375"/>
      <c r="G73" s="375">
        <f>SUM(G17:G72)</f>
        <v>22412663.950334374</v>
      </c>
      <c r="H73" s="375">
        <f>SUM(H17:H72)</f>
        <v>22412663.950334374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36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715106.47264918196</v>
      </c>
      <c r="N87" s="546">
        <f>IF(J92&lt;D11,0,VLOOKUP(J92,C17:O72,11))</f>
        <v>715106.47264918196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748822.33254387113</v>
      </c>
      <c r="N88" s="550">
        <f>IF(J92&lt;D11,0,VLOOKUP(J92,C99:P154,7))</f>
        <v>748822.33254387113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Osburn 161 kV Line Work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33715.859894689173</v>
      </c>
      <c r="N89" s="555">
        <f>+N88-N87</f>
        <v>33715.859894689173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TP______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6389739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36" t="s">
        <v>369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9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155847.29268292684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 t="str">
        <f>IF(D93= "","-",D93)</f>
        <v>2013</v>
      </c>
      <c r="D99" s="629">
        <v>0</v>
      </c>
      <c r="E99" s="630">
        <v>30140.049603174608</v>
      </c>
      <c r="F99" s="631">
        <v>3007976.9503968256</v>
      </c>
      <c r="G99" s="632">
        <v>1503988.4751984128</v>
      </c>
      <c r="H99" s="633">
        <v>233617.21066655827</v>
      </c>
      <c r="I99" s="634">
        <v>233617.21066655827</v>
      </c>
      <c r="J99" s="613">
        <v>0</v>
      </c>
      <c r="K99" s="514"/>
      <c r="L99" s="518">
        <f t="shared" ref="L99:L104" si="28">H99</f>
        <v>233617.21066655827</v>
      </c>
      <c r="M99" s="519">
        <f t="shared" ref="M99:M104" si="29">IF(L99&lt;&gt;0,+H99-L99,0)</f>
        <v>0</v>
      </c>
      <c r="N99" s="518">
        <f t="shared" ref="N99:N104" si="30">I99</f>
        <v>233617.21066655827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3007976.9503968256</v>
      </c>
      <c r="E100" s="630">
        <v>152136.64285714287</v>
      </c>
      <c r="F100" s="631">
        <v>2855840.3075396828</v>
      </c>
      <c r="G100" s="631">
        <v>2931908.6289682542</v>
      </c>
      <c r="H100" s="633">
        <v>550651.80741983175</v>
      </c>
      <c r="I100" s="634">
        <v>550651.80741983175</v>
      </c>
      <c r="J100" s="514">
        <v>0</v>
      </c>
      <c r="K100" s="514"/>
      <c r="L100" s="518">
        <f t="shared" si="28"/>
        <v>550651.80741983175</v>
      </c>
      <c r="M100" s="519">
        <f t="shared" si="29"/>
        <v>0</v>
      </c>
      <c r="N100" s="518">
        <f t="shared" si="30"/>
        <v>550651.80741983175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31">IF(D101=F100,"","IU")</f>
        <v>IU</v>
      </c>
      <c r="C101" s="507">
        <f>IF(D93="","-",+C100+1)</f>
        <v>2015</v>
      </c>
      <c r="D101" s="629">
        <v>6207462.3075396828</v>
      </c>
      <c r="E101" s="630">
        <v>152136.64285714287</v>
      </c>
      <c r="F101" s="631">
        <v>6055325.6646825401</v>
      </c>
      <c r="G101" s="631">
        <v>6131393.9861111119</v>
      </c>
      <c r="H101" s="633">
        <v>960063.54821647424</v>
      </c>
      <c r="I101" s="634">
        <v>960063.54821647424</v>
      </c>
      <c r="J101" s="514">
        <f>+I101-H101</f>
        <v>0</v>
      </c>
      <c r="K101" s="514"/>
      <c r="L101" s="518">
        <f t="shared" si="28"/>
        <v>960063.54821647424</v>
      </c>
      <c r="M101" s="519">
        <f t="shared" si="29"/>
        <v>0</v>
      </c>
      <c r="N101" s="518">
        <f t="shared" si="30"/>
        <v>960063.54821647424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1"/>
        <v/>
      </c>
      <c r="C102" s="507">
        <f>IF(D93="","-",+C101+1)</f>
        <v>2016</v>
      </c>
      <c r="D102" s="629">
        <v>6055325.6646825401</v>
      </c>
      <c r="E102" s="630">
        <v>148598.58139534883</v>
      </c>
      <c r="F102" s="631">
        <v>5906727.0832871916</v>
      </c>
      <c r="G102" s="631">
        <v>5981026.3739848658</v>
      </c>
      <c r="H102" s="633">
        <v>907889.80952511146</v>
      </c>
      <c r="I102" s="634">
        <v>907889.80952511146</v>
      </c>
      <c r="J102" s="514">
        <f t="shared" ref="J102:J154" si="32">+I102-H102</f>
        <v>0</v>
      </c>
      <c r="K102" s="514"/>
      <c r="L102" s="518">
        <f t="shared" si="28"/>
        <v>907889.80952511146</v>
      </c>
      <c r="M102" s="519">
        <f t="shared" si="29"/>
        <v>0</v>
      </c>
      <c r="N102" s="518">
        <f t="shared" si="30"/>
        <v>907889.80952511146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1"/>
        <v/>
      </c>
      <c r="C103" s="507">
        <f>IF(D93="","-",+C102+1)</f>
        <v>2017</v>
      </c>
      <c r="D103" s="629">
        <v>5906727.0832871916</v>
      </c>
      <c r="E103" s="630">
        <v>152136.64285714287</v>
      </c>
      <c r="F103" s="631">
        <v>5754590.4404300489</v>
      </c>
      <c r="G103" s="631">
        <v>5830658.7618586197</v>
      </c>
      <c r="H103" s="633">
        <v>860395.26191799133</v>
      </c>
      <c r="I103" s="634">
        <v>860395.26191799133</v>
      </c>
      <c r="J103" s="514">
        <f t="shared" si="32"/>
        <v>0</v>
      </c>
      <c r="K103" s="514"/>
      <c r="L103" s="518">
        <f t="shared" si="28"/>
        <v>860395.26191799133</v>
      </c>
      <c r="M103" s="519">
        <f t="shared" si="29"/>
        <v>0</v>
      </c>
      <c r="N103" s="518">
        <f t="shared" si="30"/>
        <v>860395.26191799133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1"/>
        <v/>
      </c>
      <c r="C104" s="507">
        <f>IF(D93="","-",+C103+1)</f>
        <v>2018</v>
      </c>
      <c r="D104" s="629">
        <v>5754590.4404300489</v>
      </c>
      <c r="E104" s="630">
        <v>152136.64285714287</v>
      </c>
      <c r="F104" s="631">
        <v>5602453.7975729061</v>
      </c>
      <c r="G104" s="631">
        <v>5678522.119001478</v>
      </c>
      <c r="H104" s="633">
        <v>751814.61930280633</v>
      </c>
      <c r="I104" s="634">
        <v>751814.61930280633</v>
      </c>
      <c r="J104" s="514">
        <f t="shared" si="32"/>
        <v>0</v>
      </c>
      <c r="K104" s="514"/>
      <c r="L104" s="518">
        <f t="shared" si="28"/>
        <v>751814.61930280633</v>
      </c>
      <c r="M104" s="519">
        <f t="shared" si="29"/>
        <v>0</v>
      </c>
      <c r="N104" s="518">
        <f t="shared" si="30"/>
        <v>751814.61930280633</v>
      </c>
      <c r="O104" s="514">
        <f t="shared" ref="O104:O130" si="33">IF(N104&lt;&gt;0,+I104-N104,0)</f>
        <v>0</v>
      </c>
      <c r="P104" s="514">
        <f t="shared" ref="P104:P130" si="34">+O104-M104</f>
        <v>0</v>
      </c>
      <c r="Q104" s="269"/>
    </row>
    <row r="105" spans="1:17" ht="12.5">
      <c r="B105" s="195" t="str">
        <f t="shared" si="31"/>
        <v/>
      </c>
      <c r="C105" s="507">
        <f>IF(D93="","-",+C104+1)</f>
        <v>2019</v>
      </c>
      <c r="D105" s="629">
        <v>5602453.7975729061</v>
      </c>
      <c r="E105" s="630">
        <v>148598.58139534883</v>
      </c>
      <c r="F105" s="631">
        <v>5453855.2161775576</v>
      </c>
      <c r="G105" s="631">
        <v>5528154.5068752319</v>
      </c>
      <c r="H105" s="633">
        <v>740335.26118023507</v>
      </c>
      <c r="I105" s="634">
        <v>740335.26118023507</v>
      </c>
      <c r="J105" s="514">
        <f t="shared" si="32"/>
        <v>0</v>
      </c>
      <c r="K105" s="514"/>
      <c r="L105" s="518">
        <f t="shared" ref="L105:L106" si="35">H105</f>
        <v>740335.26118023507</v>
      </c>
      <c r="M105" s="519">
        <f t="shared" ref="M105:M106" si="36">IF(L105&lt;&gt;0,+H105-L105,0)</f>
        <v>0</v>
      </c>
      <c r="N105" s="518">
        <f t="shared" ref="N105:N106" si="37">I105</f>
        <v>740335.26118023507</v>
      </c>
      <c r="O105" s="514">
        <f t="shared" si="33"/>
        <v>0</v>
      </c>
      <c r="P105" s="514">
        <f t="shared" si="34"/>
        <v>0</v>
      </c>
      <c r="Q105" s="269"/>
    </row>
    <row r="106" spans="1:17" ht="12.5">
      <c r="B106" s="195" t="str">
        <f t="shared" si="31"/>
        <v/>
      </c>
      <c r="C106" s="507">
        <f>IF(D93="","-",+C105+1)</f>
        <v>2020</v>
      </c>
      <c r="D106" s="629">
        <v>5453855.2161775576</v>
      </c>
      <c r="E106" s="630">
        <v>152136.64285714287</v>
      </c>
      <c r="F106" s="631">
        <v>5301718.5733204149</v>
      </c>
      <c r="G106" s="631">
        <v>5377786.8947489858</v>
      </c>
      <c r="H106" s="633">
        <v>730645.78949753172</v>
      </c>
      <c r="I106" s="634">
        <v>730645.78949753172</v>
      </c>
      <c r="J106" s="514">
        <f t="shared" si="32"/>
        <v>0</v>
      </c>
      <c r="K106" s="514"/>
      <c r="L106" s="518">
        <f t="shared" si="35"/>
        <v>730645.78949753172</v>
      </c>
      <c r="M106" s="519">
        <f t="shared" si="36"/>
        <v>0</v>
      </c>
      <c r="N106" s="518">
        <f t="shared" si="37"/>
        <v>730645.78949753172</v>
      </c>
      <c r="O106" s="514">
        <f t="shared" si="33"/>
        <v>0</v>
      </c>
      <c r="P106" s="514">
        <f t="shared" si="34"/>
        <v>0</v>
      </c>
      <c r="Q106" s="269"/>
    </row>
    <row r="107" spans="1:17" ht="12.5">
      <c r="B107" s="195" t="str">
        <f t="shared" si="31"/>
        <v/>
      </c>
      <c r="C107" s="507">
        <f>IF(D93="","-",+C106+1)</f>
        <v>2021</v>
      </c>
      <c r="D107" s="374">
        <f>IF(F106+SUM(E$99:E106)=D$92,F106,D$92-SUM(E$99:E106))</f>
        <v>5301718.5733204149</v>
      </c>
      <c r="E107" s="522">
        <f t="shared" ref="E107:E154" si="38">IF(+$J$96&lt;F106,$J$96,D107)</f>
        <v>155847.29268292684</v>
      </c>
      <c r="F107" s="523">
        <f t="shared" ref="F107:F154" si="39">+D107-E107</f>
        <v>5145871.2806374878</v>
      </c>
      <c r="G107" s="523">
        <f t="shared" ref="G107:G154" si="40">+(F107+D107)/2</f>
        <v>5223794.9269789513</v>
      </c>
      <c r="H107" s="526">
        <f t="shared" ref="H107:H154" si="41">+J$94*G107+E107</f>
        <v>748822.33254387113</v>
      </c>
      <c r="I107" s="577">
        <f t="shared" ref="I107:I154" si="42">+J$95*G107+E107</f>
        <v>748822.33254387113</v>
      </c>
      <c r="J107" s="514">
        <f t="shared" si="32"/>
        <v>0</v>
      </c>
      <c r="K107" s="514"/>
      <c r="L107" s="525"/>
      <c r="M107" s="514">
        <f t="shared" ref="M107:M130" si="43">IF(L107&lt;&gt;0,+H107-L107,0)</f>
        <v>0</v>
      </c>
      <c r="N107" s="525"/>
      <c r="O107" s="514">
        <f t="shared" si="33"/>
        <v>0</v>
      </c>
      <c r="P107" s="514">
        <f t="shared" si="34"/>
        <v>0</v>
      </c>
      <c r="Q107" s="269"/>
    </row>
    <row r="108" spans="1:17" ht="12.5">
      <c r="B108" s="195" t="str">
        <f t="shared" si="31"/>
        <v/>
      </c>
      <c r="C108" s="507">
        <f>IF(D93="","-",+C107+1)</f>
        <v>2022</v>
      </c>
      <c r="D108" s="374">
        <f>IF(F107+SUM(E$99:E107)=D$92,F107,D$92-SUM(E$99:E107))</f>
        <v>5145871.2806374878</v>
      </c>
      <c r="E108" s="522">
        <f t="shared" si="38"/>
        <v>155847.29268292684</v>
      </c>
      <c r="F108" s="523">
        <f t="shared" si="39"/>
        <v>4990023.9879545607</v>
      </c>
      <c r="G108" s="523">
        <f t="shared" si="40"/>
        <v>5067947.6342960242</v>
      </c>
      <c r="H108" s="526">
        <f t="shared" si="41"/>
        <v>731131.44768282922</v>
      </c>
      <c r="I108" s="577">
        <f t="shared" si="42"/>
        <v>731131.44768282922</v>
      </c>
      <c r="J108" s="514">
        <f t="shared" si="32"/>
        <v>0</v>
      </c>
      <c r="K108" s="514"/>
      <c r="L108" s="525"/>
      <c r="M108" s="514">
        <f t="shared" si="43"/>
        <v>0</v>
      </c>
      <c r="N108" s="525"/>
      <c r="O108" s="514">
        <f t="shared" si="33"/>
        <v>0</v>
      </c>
      <c r="P108" s="514">
        <f t="shared" si="34"/>
        <v>0</v>
      </c>
      <c r="Q108" s="269"/>
    </row>
    <row r="109" spans="1:17" ht="12.5">
      <c r="B109" s="195" t="str">
        <f t="shared" si="31"/>
        <v/>
      </c>
      <c r="C109" s="507">
        <f>IF(D93="","-",+C108+1)</f>
        <v>2023</v>
      </c>
      <c r="D109" s="374">
        <f>IF(F108+SUM(E$99:E108)=D$92,F108,D$92-SUM(E$99:E108))</f>
        <v>4990023.9879545607</v>
      </c>
      <c r="E109" s="522">
        <f t="shared" si="38"/>
        <v>155847.29268292684</v>
      </c>
      <c r="F109" s="523">
        <f t="shared" si="39"/>
        <v>4834176.6952716336</v>
      </c>
      <c r="G109" s="523">
        <f t="shared" si="40"/>
        <v>4912100.3416130971</v>
      </c>
      <c r="H109" s="526">
        <f t="shared" si="41"/>
        <v>713440.56282178743</v>
      </c>
      <c r="I109" s="577">
        <f t="shared" si="42"/>
        <v>713440.56282178743</v>
      </c>
      <c r="J109" s="514">
        <f t="shared" si="32"/>
        <v>0</v>
      </c>
      <c r="K109" s="514"/>
      <c r="L109" s="525"/>
      <c r="M109" s="514">
        <f t="shared" si="43"/>
        <v>0</v>
      </c>
      <c r="N109" s="525"/>
      <c r="O109" s="514">
        <f t="shared" si="33"/>
        <v>0</v>
      </c>
      <c r="P109" s="514">
        <f t="shared" si="34"/>
        <v>0</v>
      </c>
      <c r="Q109" s="269"/>
    </row>
    <row r="110" spans="1:17" ht="12.5">
      <c r="B110" s="195" t="str">
        <f t="shared" si="31"/>
        <v/>
      </c>
      <c r="C110" s="507">
        <f>IF(D93="","-",+C109+1)</f>
        <v>2024</v>
      </c>
      <c r="D110" s="374">
        <f>IF(F109+SUM(E$99:E109)=D$92,F109,D$92-SUM(E$99:E109))</f>
        <v>4834176.6952716336</v>
      </c>
      <c r="E110" s="522">
        <f t="shared" si="38"/>
        <v>155847.29268292684</v>
      </c>
      <c r="F110" s="523">
        <f t="shared" si="39"/>
        <v>4678329.4025887065</v>
      </c>
      <c r="G110" s="523">
        <f t="shared" si="40"/>
        <v>4756253.04893017</v>
      </c>
      <c r="H110" s="526">
        <f t="shared" si="41"/>
        <v>695749.67796074564</v>
      </c>
      <c r="I110" s="577">
        <f t="shared" si="42"/>
        <v>695749.67796074564</v>
      </c>
      <c r="J110" s="514">
        <f t="shared" si="32"/>
        <v>0</v>
      </c>
      <c r="K110" s="514"/>
      <c r="L110" s="525"/>
      <c r="M110" s="514">
        <f t="shared" si="43"/>
        <v>0</v>
      </c>
      <c r="N110" s="525"/>
      <c r="O110" s="514">
        <f t="shared" si="33"/>
        <v>0</v>
      </c>
      <c r="P110" s="514">
        <f t="shared" si="34"/>
        <v>0</v>
      </c>
      <c r="Q110" s="269"/>
    </row>
    <row r="111" spans="1:17" ht="12.5">
      <c r="B111" s="195" t="str">
        <f t="shared" si="31"/>
        <v/>
      </c>
      <c r="C111" s="507">
        <f>IF(D93="","-",+C110+1)</f>
        <v>2025</v>
      </c>
      <c r="D111" s="374">
        <f>IF(F110+SUM(E$99:E110)=D$92,F110,D$92-SUM(E$99:E110))</f>
        <v>4678329.4025887065</v>
      </c>
      <c r="E111" s="522">
        <f t="shared" si="38"/>
        <v>155847.29268292684</v>
      </c>
      <c r="F111" s="523">
        <f t="shared" si="39"/>
        <v>4522482.1099057794</v>
      </c>
      <c r="G111" s="523">
        <f t="shared" si="40"/>
        <v>4600405.7562472429</v>
      </c>
      <c r="H111" s="526">
        <f t="shared" si="41"/>
        <v>678058.79309970385</v>
      </c>
      <c r="I111" s="577">
        <f t="shared" si="42"/>
        <v>678058.79309970385</v>
      </c>
      <c r="J111" s="514">
        <f t="shared" si="32"/>
        <v>0</v>
      </c>
      <c r="K111" s="514"/>
      <c r="L111" s="525"/>
      <c r="M111" s="514">
        <f t="shared" si="43"/>
        <v>0</v>
      </c>
      <c r="N111" s="525"/>
      <c r="O111" s="514">
        <f t="shared" si="33"/>
        <v>0</v>
      </c>
      <c r="P111" s="514">
        <f t="shared" si="34"/>
        <v>0</v>
      </c>
      <c r="Q111" s="269"/>
    </row>
    <row r="112" spans="1:17" ht="12.5">
      <c r="B112" s="195" t="str">
        <f t="shared" si="31"/>
        <v/>
      </c>
      <c r="C112" s="507">
        <f>IF(D93="","-",+C111+1)</f>
        <v>2026</v>
      </c>
      <c r="D112" s="374">
        <f>IF(F111+SUM(E$99:E111)=D$92,F111,D$92-SUM(E$99:E111))</f>
        <v>4522482.1099057794</v>
      </c>
      <c r="E112" s="522">
        <f t="shared" si="38"/>
        <v>155847.29268292684</v>
      </c>
      <c r="F112" s="523">
        <f t="shared" si="39"/>
        <v>4366634.8172228523</v>
      </c>
      <c r="G112" s="523">
        <f t="shared" si="40"/>
        <v>4444558.4635643158</v>
      </c>
      <c r="H112" s="526">
        <f t="shared" si="41"/>
        <v>660367.90823866206</v>
      </c>
      <c r="I112" s="577">
        <f t="shared" si="42"/>
        <v>660367.90823866206</v>
      </c>
      <c r="J112" s="514">
        <f t="shared" si="32"/>
        <v>0</v>
      </c>
      <c r="K112" s="514"/>
      <c r="L112" s="525"/>
      <c r="M112" s="514">
        <f t="shared" si="43"/>
        <v>0</v>
      </c>
      <c r="N112" s="525"/>
      <c r="O112" s="514">
        <f t="shared" si="33"/>
        <v>0</v>
      </c>
      <c r="P112" s="514">
        <f t="shared" si="34"/>
        <v>0</v>
      </c>
      <c r="Q112" s="269"/>
    </row>
    <row r="113" spans="2:17" ht="12.5">
      <c r="B113" s="195" t="str">
        <f t="shared" si="31"/>
        <v/>
      </c>
      <c r="C113" s="507">
        <f>IF(D93="","-",+C112+1)</f>
        <v>2027</v>
      </c>
      <c r="D113" s="374">
        <f>IF(F112+SUM(E$99:E112)=D$92,F112,D$92-SUM(E$99:E112))</f>
        <v>4366634.8172228523</v>
      </c>
      <c r="E113" s="522">
        <f t="shared" si="38"/>
        <v>155847.29268292684</v>
      </c>
      <c r="F113" s="523">
        <f t="shared" si="39"/>
        <v>4210787.5245399252</v>
      </c>
      <c r="G113" s="523">
        <f t="shared" si="40"/>
        <v>4288711.1708813887</v>
      </c>
      <c r="H113" s="526">
        <f t="shared" si="41"/>
        <v>642677.02337762015</v>
      </c>
      <c r="I113" s="577">
        <f t="shared" si="42"/>
        <v>642677.02337762015</v>
      </c>
      <c r="J113" s="514">
        <f t="shared" si="32"/>
        <v>0</v>
      </c>
      <c r="K113" s="514"/>
      <c r="L113" s="525"/>
      <c r="M113" s="514">
        <f t="shared" si="43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 ht="12.5">
      <c r="B114" s="195" t="str">
        <f t="shared" si="31"/>
        <v/>
      </c>
      <c r="C114" s="507">
        <f>IF(D93="","-",+C113+1)</f>
        <v>2028</v>
      </c>
      <c r="D114" s="374">
        <f>IF(F113+SUM(E$99:E113)=D$92,F113,D$92-SUM(E$99:E113))</f>
        <v>4210787.5245399252</v>
      </c>
      <c r="E114" s="522">
        <f t="shared" si="38"/>
        <v>155847.29268292684</v>
      </c>
      <c r="F114" s="523">
        <f t="shared" si="39"/>
        <v>4054940.2318569985</v>
      </c>
      <c r="G114" s="523">
        <f t="shared" si="40"/>
        <v>4132863.8781984616</v>
      </c>
      <c r="H114" s="526">
        <f t="shared" si="41"/>
        <v>624986.13851657836</v>
      </c>
      <c r="I114" s="577">
        <f t="shared" si="42"/>
        <v>624986.13851657836</v>
      </c>
      <c r="J114" s="514">
        <f t="shared" si="32"/>
        <v>0</v>
      </c>
      <c r="K114" s="514"/>
      <c r="L114" s="525"/>
      <c r="M114" s="514">
        <f t="shared" si="43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 ht="12.5">
      <c r="B115" s="195" t="str">
        <f t="shared" si="31"/>
        <v/>
      </c>
      <c r="C115" s="507">
        <f>IF(D93="","-",+C114+1)</f>
        <v>2029</v>
      </c>
      <c r="D115" s="374">
        <f>IF(F114+SUM(E$99:E114)=D$92,F114,D$92-SUM(E$99:E114))</f>
        <v>4054940.2318569985</v>
      </c>
      <c r="E115" s="522">
        <f t="shared" si="38"/>
        <v>155847.29268292684</v>
      </c>
      <c r="F115" s="523">
        <f t="shared" si="39"/>
        <v>3899092.9391740719</v>
      </c>
      <c r="G115" s="523">
        <f t="shared" si="40"/>
        <v>3977016.5855155354</v>
      </c>
      <c r="H115" s="526">
        <f t="shared" si="41"/>
        <v>607295.25365553668</v>
      </c>
      <c r="I115" s="577">
        <f t="shared" si="42"/>
        <v>607295.25365553668</v>
      </c>
      <c r="J115" s="514">
        <f t="shared" si="32"/>
        <v>0</v>
      </c>
      <c r="K115" s="514"/>
      <c r="L115" s="525"/>
      <c r="M115" s="514">
        <f t="shared" si="43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 ht="12.5">
      <c r="B116" s="195" t="str">
        <f t="shared" si="31"/>
        <v/>
      </c>
      <c r="C116" s="507">
        <f>IF(D93="","-",+C115+1)</f>
        <v>2030</v>
      </c>
      <c r="D116" s="374">
        <f>IF(F115+SUM(E$99:E115)=D$92,F115,D$92-SUM(E$99:E115))</f>
        <v>3899092.9391740719</v>
      </c>
      <c r="E116" s="522">
        <f t="shared" si="38"/>
        <v>155847.29268292684</v>
      </c>
      <c r="F116" s="523">
        <f t="shared" si="39"/>
        <v>3743245.6464911452</v>
      </c>
      <c r="G116" s="523">
        <f t="shared" si="40"/>
        <v>3821169.2928326083</v>
      </c>
      <c r="H116" s="526">
        <f t="shared" si="41"/>
        <v>589604.36879449489</v>
      </c>
      <c r="I116" s="577">
        <f t="shared" si="42"/>
        <v>589604.36879449489</v>
      </c>
      <c r="J116" s="514">
        <f t="shared" si="32"/>
        <v>0</v>
      </c>
      <c r="K116" s="514"/>
      <c r="L116" s="525"/>
      <c r="M116" s="514">
        <f t="shared" si="43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 ht="12.5">
      <c r="B117" s="195" t="str">
        <f t="shared" si="31"/>
        <v/>
      </c>
      <c r="C117" s="507">
        <f>IF(D93="","-",+C116+1)</f>
        <v>2031</v>
      </c>
      <c r="D117" s="374">
        <f>IF(F116+SUM(E$99:E116)=D$92,F116,D$92-SUM(E$99:E116))</f>
        <v>3743245.6464911452</v>
      </c>
      <c r="E117" s="522">
        <f t="shared" si="38"/>
        <v>155847.29268292684</v>
      </c>
      <c r="F117" s="523">
        <f t="shared" si="39"/>
        <v>3587398.3538082186</v>
      </c>
      <c r="G117" s="523">
        <f t="shared" si="40"/>
        <v>3665322.0001496822</v>
      </c>
      <c r="H117" s="526">
        <f t="shared" si="41"/>
        <v>571913.48393345322</v>
      </c>
      <c r="I117" s="577">
        <f t="shared" si="42"/>
        <v>571913.48393345322</v>
      </c>
      <c r="J117" s="514">
        <f t="shared" si="32"/>
        <v>0</v>
      </c>
      <c r="K117" s="514"/>
      <c r="L117" s="525"/>
      <c r="M117" s="514">
        <f t="shared" si="43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 ht="12.5">
      <c r="B118" s="195" t="str">
        <f t="shared" si="31"/>
        <v/>
      </c>
      <c r="C118" s="507">
        <f>IF(D93="","-",+C117+1)</f>
        <v>2032</v>
      </c>
      <c r="D118" s="374">
        <f>IF(F117+SUM(E$99:E117)=D$92,F117,D$92-SUM(E$99:E117))</f>
        <v>3587398.3538082186</v>
      </c>
      <c r="E118" s="522">
        <f t="shared" si="38"/>
        <v>155847.29268292684</v>
      </c>
      <c r="F118" s="523">
        <f t="shared" si="39"/>
        <v>3431551.061125292</v>
      </c>
      <c r="G118" s="523">
        <f t="shared" si="40"/>
        <v>3509474.7074667551</v>
      </c>
      <c r="H118" s="526">
        <f t="shared" si="41"/>
        <v>554222.59907241131</v>
      </c>
      <c r="I118" s="577">
        <f t="shared" si="42"/>
        <v>554222.59907241131</v>
      </c>
      <c r="J118" s="514">
        <f t="shared" si="32"/>
        <v>0</v>
      </c>
      <c r="K118" s="514"/>
      <c r="L118" s="525"/>
      <c r="M118" s="514">
        <f t="shared" si="43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 ht="12.5">
      <c r="B119" s="195" t="str">
        <f t="shared" si="31"/>
        <v/>
      </c>
      <c r="C119" s="507">
        <f>IF(D93="","-",+C118+1)</f>
        <v>2033</v>
      </c>
      <c r="D119" s="374">
        <f>IF(F118+SUM(E$99:E118)=D$92,F118,D$92-SUM(E$99:E118))</f>
        <v>3431551.061125292</v>
      </c>
      <c r="E119" s="522">
        <f t="shared" si="38"/>
        <v>155847.29268292684</v>
      </c>
      <c r="F119" s="523">
        <f t="shared" si="39"/>
        <v>3275703.7684423653</v>
      </c>
      <c r="G119" s="523">
        <f t="shared" si="40"/>
        <v>3353627.4147838289</v>
      </c>
      <c r="H119" s="526">
        <f t="shared" si="41"/>
        <v>536531.71421136963</v>
      </c>
      <c r="I119" s="577">
        <f t="shared" si="42"/>
        <v>536531.71421136963</v>
      </c>
      <c r="J119" s="514">
        <f t="shared" si="32"/>
        <v>0</v>
      </c>
      <c r="K119" s="514"/>
      <c r="L119" s="525"/>
      <c r="M119" s="514">
        <f t="shared" si="43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 ht="12.5">
      <c r="B120" s="195" t="str">
        <f t="shared" si="31"/>
        <v/>
      </c>
      <c r="C120" s="507">
        <f>IF(D93="","-",+C119+1)</f>
        <v>2034</v>
      </c>
      <c r="D120" s="374">
        <f>IF(F119+SUM(E$99:E119)=D$92,F119,D$92-SUM(E$99:E119))</f>
        <v>3275703.7684423653</v>
      </c>
      <c r="E120" s="522">
        <f t="shared" si="38"/>
        <v>155847.29268292684</v>
      </c>
      <c r="F120" s="523">
        <f t="shared" si="39"/>
        <v>3119856.4757594387</v>
      </c>
      <c r="G120" s="523">
        <f t="shared" si="40"/>
        <v>3197780.1221009018</v>
      </c>
      <c r="H120" s="526">
        <f t="shared" si="41"/>
        <v>518840.82935032784</v>
      </c>
      <c r="I120" s="577">
        <f t="shared" si="42"/>
        <v>518840.82935032784</v>
      </c>
      <c r="J120" s="514">
        <f t="shared" si="32"/>
        <v>0</v>
      </c>
      <c r="K120" s="514"/>
      <c r="L120" s="525"/>
      <c r="M120" s="514">
        <f t="shared" si="43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 ht="12.5">
      <c r="B121" s="195" t="str">
        <f t="shared" si="31"/>
        <v/>
      </c>
      <c r="C121" s="507">
        <f>IF(D93="","-",+C120+1)</f>
        <v>2035</v>
      </c>
      <c r="D121" s="374">
        <f>IF(F120+SUM(E$99:E120)=D$92,F120,D$92-SUM(E$99:E120))</f>
        <v>3119856.4757594387</v>
      </c>
      <c r="E121" s="522">
        <f t="shared" si="38"/>
        <v>155847.29268292684</v>
      </c>
      <c r="F121" s="523">
        <f t="shared" si="39"/>
        <v>2964009.1830765121</v>
      </c>
      <c r="G121" s="523">
        <f t="shared" si="40"/>
        <v>3041932.8294179756</v>
      </c>
      <c r="H121" s="526">
        <f t="shared" si="41"/>
        <v>501149.94448928616</v>
      </c>
      <c r="I121" s="577">
        <f t="shared" si="42"/>
        <v>501149.94448928616</v>
      </c>
      <c r="J121" s="514">
        <f t="shared" si="32"/>
        <v>0</v>
      </c>
      <c r="K121" s="514"/>
      <c r="L121" s="525"/>
      <c r="M121" s="514">
        <f t="shared" si="43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 ht="12.5">
      <c r="B122" s="195" t="str">
        <f t="shared" si="31"/>
        <v/>
      </c>
      <c r="C122" s="507">
        <f>IF(D93="","-",+C121+1)</f>
        <v>2036</v>
      </c>
      <c r="D122" s="374">
        <f>IF(F121+SUM(E$99:E121)=D$92,F121,D$92-SUM(E$99:E121))</f>
        <v>2964009.1830765121</v>
      </c>
      <c r="E122" s="522">
        <f t="shared" si="38"/>
        <v>155847.29268292684</v>
      </c>
      <c r="F122" s="523">
        <f t="shared" si="39"/>
        <v>2808161.8903935854</v>
      </c>
      <c r="G122" s="523">
        <f t="shared" si="40"/>
        <v>2886085.5367350485</v>
      </c>
      <c r="H122" s="526">
        <f t="shared" si="41"/>
        <v>483459.05962824437</v>
      </c>
      <c r="I122" s="577">
        <f t="shared" si="42"/>
        <v>483459.05962824437</v>
      </c>
      <c r="J122" s="514">
        <f t="shared" si="32"/>
        <v>0</v>
      </c>
      <c r="K122" s="514"/>
      <c r="L122" s="525"/>
      <c r="M122" s="514">
        <f t="shared" si="43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 ht="12.5">
      <c r="B123" s="195" t="str">
        <f t="shared" si="31"/>
        <v/>
      </c>
      <c r="C123" s="507">
        <f>IF(D93="","-",+C122+1)</f>
        <v>2037</v>
      </c>
      <c r="D123" s="374">
        <f>IF(F122+SUM(E$99:E122)=D$92,F122,D$92-SUM(E$99:E122))</f>
        <v>2808161.8903935854</v>
      </c>
      <c r="E123" s="522">
        <f t="shared" si="38"/>
        <v>155847.29268292684</v>
      </c>
      <c r="F123" s="523">
        <f t="shared" si="39"/>
        <v>2652314.5977106588</v>
      </c>
      <c r="G123" s="523">
        <f t="shared" si="40"/>
        <v>2730238.2440521223</v>
      </c>
      <c r="H123" s="526">
        <f t="shared" si="41"/>
        <v>465768.17476720258</v>
      </c>
      <c r="I123" s="577">
        <f t="shared" si="42"/>
        <v>465768.17476720258</v>
      </c>
      <c r="J123" s="514">
        <f t="shared" si="32"/>
        <v>0</v>
      </c>
      <c r="K123" s="514"/>
      <c r="L123" s="525"/>
      <c r="M123" s="514">
        <f t="shared" si="43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 ht="12.5">
      <c r="B124" s="195" t="str">
        <f t="shared" si="31"/>
        <v/>
      </c>
      <c r="C124" s="507">
        <f>IF(D93="","-",+C123+1)</f>
        <v>2038</v>
      </c>
      <c r="D124" s="374">
        <f>IF(F123+SUM(E$99:E123)=D$92,F123,D$92-SUM(E$99:E123))</f>
        <v>2652314.5977106588</v>
      </c>
      <c r="E124" s="522">
        <f t="shared" si="38"/>
        <v>155847.29268292684</v>
      </c>
      <c r="F124" s="523">
        <f t="shared" si="39"/>
        <v>2496467.3050277322</v>
      </c>
      <c r="G124" s="523">
        <f t="shared" si="40"/>
        <v>2574390.9513691952</v>
      </c>
      <c r="H124" s="526">
        <f t="shared" si="41"/>
        <v>448077.28990616079</v>
      </c>
      <c r="I124" s="577">
        <f t="shared" si="42"/>
        <v>448077.28990616079</v>
      </c>
      <c r="J124" s="514">
        <f t="shared" si="32"/>
        <v>0</v>
      </c>
      <c r="K124" s="514"/>
      <c r="L124" s="525"/>
      <c r="M124" s="514">
        <f t="shared" si="43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 ht="12.5">
      <c r="B125" s="195" t="str">
        <f t="shared" si="31"/>
        <v/>
      </c>
      <c r="C125" s="507">
        <f>IF(D93="","-",+C124+1)</f>
        <v>2039</v>
      </c>
      <c r="D125" s="374">
        <f>IF(F124+SUM(E$99:E124)=D$92,F124,D$92-SUM(E$99:E124))</f>
        <v>2496467.3050277322</v>
      </c>
      <c r="E125" s="522">
        <f t="shared" si="38"/>
        <v>155847.29268292684</v>
      </c>
      <c r="F125" s="523">
        <f t="shared" si="39"/>
        <v>2340620.0123448055</v>
      </c>
      <c r="G125" s="523">
        <f t="shared" si="40"/>
        <v>2418543.6586862691</v>
      </c>
      <c r="H125" s="526">
        <f t="shared" si="41"/>
        <v>430386.40504511911</v>
      </c>
      <c r="I125" s="577">
        <f t="shared" si="42"/>
        <v>430386.40504511911</v>
      </c>
      <c r="J125" s="514">
        <f t="shared" si="32"/>
        <v>0</v>
      </c>
      <c r="K125" s="514"/>
      <c r="L125" s="525"/>
      <c r="M125" s="514">
        <f t="shared" si="43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 ht="12.5">
      <c r="B126" s="195" t="str">
        <f t="shared" si="31"/>
        <v/>
      </c>
      <c r="C126" s="507">
        <f>IF(D93="","-",+C125+1)</f>
        <v>2040</v>
      </c>
      <c r="D126" s="374">
        <f>IF(F125+SUM(E$99:E125)=D$92,F125,D$92-SUM(E$99:E125))</f>
        <v>2340620.0123448055</v>
      </c>
      <c r="E126" s="522">
        <f t="shared" si="38"/>
        <v>155847.29268292684</v>
      </c>
      <c r="F126" s="523">
        <f t="shared" si="39"/>
        <v>2184772.7196618789</v>
      </c>
      <c r="G126" s="523">
        <f t="shared" si="40"/>
        <v>2262696.366003342</v>
      </c>
      <c r="H126" s="526">
        <f t="shared" si="41"/>
        <v>412695.52018407732</v>
      </c>
      <c r="I126" s="577">
        <f t="shared" si="42"/>
        <v>412695.52018407732</v>
      </c>
      <c r="J126" s="514">
        <f t="shared" si="32"/>
        <v>0</v>
      </c>
      <c r="K126" s="514"/>
      <c r="L126" s="525"/>
      <c r="M126" s="514">
        <f t="shared" si="43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 ht="12.5">
      <c r="B127" s="195" t="str">
        <f t="shared" si="31"/>
        <v/>
      </c>
      <c r="C127" s="507">
        <f>IF(D93="","-",+C126+1)</f>
        <v>2041</v>
      </c>
      <c r="D127" s="374">
        <f>IF(F126+SUM(E$99:E126)=D$92,F126,D$92-SUM(E$99:E126))</f>
        <v>2184772.7196618789</v>
      </c>
      <c r="E127" s="522">
        <f t="shared" si="38"/>
        <v>155847.29268292684</v>
      </c>
      <c r="F127" s="523">
        <f t="shared" si="39"/>
        <v>2028925.426978952</v>
      </c>
      <c r="G127" s="523">
        <f t="shared" si="40"/>
        <v>2106849.0733204153</v>
      </c>
      <c r="H127" s="526">
        <f t="shared" si="41"/>
        <v>395004.63532303553</v>
      </c>
      <c r="I127" s="577">
        <f t="shared" si="42"/>
        <v>395004.63532303553</v>
      </c>
      <c r="J127" s="514">
        <f t="shared" si="32"/>
        <v>0</v>
      </c>
      <c r="K127" s="514"/>
      <c r="L127" s="525"/>
      <c r="M127" s="514">
        <f t="shared" si="43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 ht="12.5">
      <c r="B128" s="195" t="str">
        <f t="shared" si="31"/>
        <v/>
      </c>
      <c r="C128" s="507">
        <f>IF(D93="","-",+C127+1)</f>
        <v>2042</v>
      </c>
      <c r="D128" s="374">
        <f>IF(F127+SUM(E$99:E127)=D$92,F127,D$92-SUM(E$99:E127))</f>
        <v>2028925.426978952</v>
      </c>
      <c r="E128" s="522">
        <f t="shared" si="38"/>
        <v>155847.29268292684</v>
      </c>
      <c r="F128" s="523">
        <f t="shared" si="39"/>
        <v>1873078.1342960251</v>
      </c>
      <c r="G128" s="523">
        <f t="shared" si="40"/>
        <v>1951001.7806374887</v>
      </c>
      <c r="H128" s="526">
        <f t="shared" si="41"/>
        <v>377313.7504619938</v>
      </c>
      <c r="I128" s="577">
        <f t="shared" si="42"/>
        <v>377313.7504619938</v>
      </c>
      <c r="J128" s="514">
        <f t="shared" si="32"/>
        <v>0</v>
      </c>
      <c r="K128" s="514"/>
      <c r="L128" s="525"/>
      <c r="M128" s="514">
        <f t="shared" si="43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 ht="12.5">
      <c r="B129" s="195" t="str">
        <f t="shared" si="31"/>
        <v/>
      </c>
      <c r="C129" s="507">
        <f>IF(D93="","-",+C128+1)</f>
        <v>2043</v>
      </c>
      <c r="D129" s="374">
        <f>IF(F128+SUM(E$99:E128)=D$92,F128,D$92-SUM(E$99:E128))</f>
        <v>1873078.1342960251</v>
      </c>
      <c r="E129" s="522">
        <f t="shared" si="38"/>
        <v>155847.29268292684</v>
      </c>
      <c r="F129" s="523">
        <f t="shared" si="39"/>
        <v>1717230.8416130983</v>
      </c>
      <c r="G129" s="523">
        <f t="shared" si="40"/>
        <v>1795154.4879545616</v>
      </c>
      <c r="H129" s="526">
        <f t="shared" si="41"/>
        <v>359622.86560095195</v>
      </c>
      <c r="I129" s="577">
        <f t="shared" si="42"/>
        <v>359622.86560095195</v>
      </c>
      <c r="J129" s="514">
        <f t="shared" si="32"/>
        <v>0</v>
      </c>
      <c r="K129" s="514"/>
      <c r="L129" s="525"/>
      <c r="M129" s="514">
        <f t="shared" si="43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 ht="12.5">
      <c r="B130" s="195" t="str">
        <f t="shared" si="31"/>
        <v/>
      </c>
      <c r="C130" s="507">
        <f>IF(D93="","-",+C129+1)</f>
        <v>2044</v>
      </c>
      <c r="D130" s="374">
        <f>IF(F129+SUM(E$99:E129)=D$92,F129,D$92-SUM(E$99:E129))</f>
        <v>1717230.8416130983</v>
      </c>
      <c r="E130" s="522">
        <f t="shared" si="38"/>
        <v>155847.29268292684</v>
      </c>
      <c r="F130" s="523">
        <f t="shared" si="39"/>
        <v>1561383.5489301714</v>
      </c>
      <c r="G130" s="523">
        <f t="shared" si="40"/>
        <v>1639307.195271635</v>
      </c>
      <c r="H130" s="526">
        <f t="shared" si="41"/>
        <v>341931.98073991021</v>
      </c>
      <c r="I130" s="577">
        <f t="shared" si="42"/>
        <v>341931.98073991021</v>
      </c>
      <c r="J130" s="514">
        <f t="shared" si="32"/>
        <v>0</v>
      </c>
      <c r="K130" s="514"/>
      <c r="L130" s="525"/>
      <c r="M130" s="514">
        <f t="shared" si="43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 ht="12.5">
      <c r="B131" s="195" t="str">
        <f t="shared" si="31"/>
        <v/>
      </c>
      <c r="C131" s="507">
        <f>IF(D93="","-",+C130+1)</f>
        <v>2045</v>
      </c>
      <c r="D131" s="374">
        <f>IF(F130+SUM(E$99:E130)=D$92,F130,D$92-SUM(E$99:E130))</f>
        <v>1561383.5489301714</v>
      </c>
      <c r="E131" s="522">
        <f t="shared" si="38"/>
        <v>155847.29268292684</v>
      </c>
      <c r="F131" s="523">
        <f t="shared" si="39"/>
        <v>1405536.2562472445</v>
      </c>
      <c r="G131" s="523">
        <f t="shared" si="40"/>
        <v>1483459.9025887079</v>
      </c>
      <c r="H131" s="526">
        <f t="shared" si="41"/>
        <v>324241.09587886836</v>
      </c>
      <c r="I131" s="577">
        <f t="shared" si="42"/>
        <v>324241.09587886836</v>
      </c>
      <c r="J131" s="514">
        <f t="shared" si="32"/>
        <v>0</v>
      </c>
      <c r="K131" s="514"/>
      <c r="L131" s="525"/>
      <c r="M131" s="514">
        <f t="shared" ref="M131:M154" si="44">IF(L541&lt;&gt;0,+H541-L541,0)</f>
        <v>0</v>
      </c>
      <c r="N131" s="525"/>
      <c r="O131" s="514">
        <f t="shared" ref="O131:O154" si="45">IF(N541&lt;&gt;0,+I541-N541,0)</f>
        <v>0</v>
      </c>
      <c r="P131" s="514">
        <f t="shared" ref="P131:P154" si="46">+O541-M541</f>
        <v>0</v>
      </c>
      <c r="Q131" s="269"/>
    </row>
    <row r="132" spans="2:17" ht="12.5">
      <c r="B132" s="195" t="str">
        <f t="shared" si="31"/>
        <v/>
      </c>
      <c r="C132" s="507">
        <f>IF(D93="","-",+C131+1)</f>
        <v>2046</v>
      </c>
      <c r="D132" s="374">
        <f>IF(F131+SUM(E$99:E131)=D$92,F131,D$92-SUM(E$99:E131))</f>
        <v>1405536.2562472445</v>
      </c>
      <c r="E132" s="522">
        <f t="shared" si="38"/>
        <v>155847.29268292684</v>
      </c>
      <c r="F132" s="523">
        <f t="shared" si="39"/>
        <v>1249688.9635643177</v>
      </c>
      <c r="G132" s="523">
        <f t="shared" si="40"/>
        <v>1327612.6099057812</v>
      </c>
      <c r="H132" s="526">
        <f t="shared" si="41"/>
        <v>306550.21101782669</v>
      </c>
      <c r="I132" s="577">
        <f t="shared" si="42"/>
        <v>306550.21101782669</v>
      </c>
      <c r="J132" s="514">
        <f t="shared" si="32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 ht="12.5">
      <c r="B133" s="195" t="str">
        <f t="shared" si="31"/>
        <v/>
      </c>
      <c r="C133" s="507">
        <f>IF(D93="","-",+C132+1)</f>
        <v>2047</v>
      </c>
      <c r="D133" s="374">
        <f>IF(F132+SUM(E$99:E132)=D$92,F132,D$92-SUM(E$99:E132))</f>
        <v>1249688.9635643177</v>
      </c>
      <c r="E133" s="522">
        <f t="shared" si="38"/>
        <v>155847.29268292684</v>
      </c>
      <c r="F133" s="523">
        <f t="shared" si="39"/>
        <v>1093841.6708813908</v>
      </c>
      <c r="G133" s="523">
        <f t="shared" si="40"/>
        <v>1171765.3172228541</v>
      </c>
      <c r="H133" s="526">
        <f t="shared" si="41"/>
        <v>288859.32615678484</v>
      </c>
      <c r="I133" s="577">
        <f t="shared" si="42"/>
        <v>288859.32615678484</v>
      </c>
      <c r="J133" s="514">
        <f t="shared" si="32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 ht="12.5">
      <c r="B134" s="195" t="str">
        <f t="shared" si="31"/>
        <v/>
      </c>
      <c r="C134" s="507">
        <f>IF(D93="","-",+C133+1)</f>
        <v>2048</v>
      </c>
      <c r="D134" s="374">
        <f>IF(F133+SUM(E$99:E133)=D$92,F133,D$92-SUM(E$99:E133))</f>
        <v>1093841.6708813908</v>
      </c>
      <c r="E134" s="522">
        <f t="shared" si="38"/>
        <v>155847.29268292684</v>
      </c>
      <c r="F134" s="523">
        <f t="shared" si="39"/>
        <v>937994.37819846394</v>
      </c>
      <c r="G134" s="523">
        <f t="shared" si="40"/>
        <v>1015918.0245399274</v>
      </c>
      <c r="H134" s="526">
        <f t="shared" si="41"/>
        <v>271168.44129574305</v>
      </c>
      <c r="I134" s="577">
        <f t="shared" si="42"/>
        <v>271168.44129574305</v>
      </c>
      <c r="J134" s="514">
        <f t="shared" si="32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 ht="12.5">
      <c r="B135" s="195" t="str">
        <f t="shared" si="31"/>
        <v/>
      </c>
      <c r="C135" s="507">
        <f>IF(D93="","-",+C134+1)</f>
        <v>2049</v>
      </c>
      <c r="D135" s="374">
        <f>IF(F134+SUM(E$99:E134)=D$92,F134,D$92-SUM(E$99:E134))</f>
        <v>937994.37819846394</v>
      </c>
      <c r="E135" s="522">
        <f t="shared" si="38"/>
        <v>155847.29268292684</v>
      </c>
      <c r="F135" s="523">
        <f t="shared" si="39"/>
        <v>782147.08551553707</v>
      </c>
      <c r="G135" s="523">
        <f t="shared" si="40"/>
        <v>860070.7318570005</v>
      </c>
      <c r="H135" s="526">
        <f t="shared" si="41"/>
        <v>253477.55643470128</v>
      </c>
      <c r="I135" s="577">
        <f t="shared" si="42"/>
        <v>253477.55643470128</v>
      </c>
      <c r="J135" s="514">
        <f t="shared" si="32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 ht="12.5">
      <c r="B136" s="195" t="str">
        <f t="shared" si="31"/>
        <v/>
      </c>
      <c r="C136" s="507">
        <f>IF(D93="","-",+C135+1)</f>
        <v>2050</v>
      </c>
      <c r="D136" s="374">
        <f>IF(F135+SUM(E$99:E135)=D$92,F135,D$92-SUM(E$99:E135))</f>
        <v>782147.08551553707</v>
      </c>
      <c r="E136" s="522">
        <f t="shared" si="38"/>
        <v>155847.29268292684</v>
      </c>
      <c r="F136" s="523">
        <f t="shared" si="39"/>
        <v>626299.7928326102</v>
      </c>
      <c r="G136" s="523">
        <f t="shared" si="40"/>
        <v>704223.43917407363</v>
      </c>
      <c r="H136" s="526">
        <f t="shared" si="41"/>
        <v>235786.67157365952</v>
      </c>
      <c r="I136" s="577">
        <f t="shared" si="42"/>
        <v>235786.67157365952</v>
      </c>
      <c r="J136" s="514">
        <f t="shared" si="32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 ht="12.5">
      <c r="B137" s="195" t="str">
        <f t="shared" si="31"/>
        <v/>
      </c>
      <c r="C137" s="507">
        <f>IF(D93="","-",+C136+1)</f>
        <v>2051</v>
      </c>
      <c r="D137" s="374">
        <f>IF(F136+SUM(E$99:E136)=D$92,F136,D$92-SUM(E$99:E136))</f>
        <v>626299.7928326102</v>
      </c>
      <c r="E137" s="522">
        <f t="shared" si="38"/>
        <v>155847.29268292684</v>
      </c>
      <c r="F137" s="523">
        <f t="shared" si="39"/>
        <v>470452.50014968333</v>
      </c>
      <c r="G137" s="523">
        <f t="shared" si="40"/>
        <v>548376.14649114676</v>
      </c>
      <c r="H137" s="526">
        <f t="shared" si="41"/>
        <v>218095.78671261773</v>
      </c>
      <c r="I137" s="577">
        <f t="shared" si="42"/>
        <v>218095.78671261773</v>
      </c>
      <c r="J137" s="514">
        <f t="shared" si="32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 ht="12.5">
      <c r="B138" s="195" t="str">
        <f t="shared" si="31"/>
        <v/>
      </c>
      <c r="C138" s="507">
        <f>IF(D93="","-",+C137+1)</f>
        <v>2052</v>
      </c>
      <c r="D138" s="374">
        <f>IF(F137+SUM(E$99:E137)=D$92,F137,D$92-SUM(E$99:E137))</f>
        <v>470452.50014968333</v>
      </c>
      <c r="E138" s="522">
        <f t="shared" si="38"/>
        <v>155847.29268292684</v>
      </c>
      <c r="F138" s="523">
        <f t="shared" si="39"/>
        <v>314605.20746675646</v>
      </c>
      <c r="G138" s="523">
        <f t="shared" si="40"/>
        <v>392528.85380821989</v>
      </c>
      <c r="H138" s="526">
        <f t="shared" si="41"/>
        <v>200404.90185157594</v>
      </c>
      <c r="I138" s="577">
        <f t="shared" si="42"/>
        <v>200404.90185157594</v>
      </c>
      <c r="J138" s="514">
        <f t="shared" si="32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 ht="12.5">
      <c r="B139" s="195" t="str">
        <f t="shared" si="31"/>
        <v/>
      </c>
      <c r="C139" s="507">
        <f>IF(D93="","-",+C138+1)</f>
        <v>2053</v>
      </c>
      <c r="D139" s="374">
        <f>IF(F138+SUM(E$99:E138)=D$92,F138,D$92-SUM(E$99:E138))</f>
        <v>314605.20746675646</v>
      </c>
      <c r="E139" s="522">
        <f t="shared" si="38"/>
        <v>155847.29268292684</v>
      </c>
      <c r="F139" s="523">
        <f t="shared" si="39"/>
        <v>158757.91478382962</v>
      </c>
      <c r="G139" s="523">
        <f t="shared" si="40"/>
        <v>236681.56112529302</v>
      </c>
      <c r="H139" s="526">
        <f t="shared" si="41"/>
        <v>182714.01699053415</v>
      </c>
      <c r="I139" s="577">
        <f t="shared" si="42"/>
        <v>182714.01699053415</v>
      </c>
      <c r="J139" s="514">
        <f t="shared" si="32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 ht="12.5">
      <c r="B140" s="195" t="str">
        <f t="shared" si="31"/>
        <v/>
      </c>
      <c r="C140" s="507">
        <f>IF(D93="","-",+C139+1)</f>
        <v>2054</v>
      </c>
      <c r="D140" s="374">
        <f>IF(F139+SUM(E$99:E139)=D$92,F139,D$92-SUM(E$99:E139))</f>
        <v>158757.91478382962</v>
      </c>
      <c r="E140" s="522">
        <f t="shared" si="38"/>
        <v>155847.29268292684</v>
      </c>
      <c r="F140" s="523">
        <f t="shared" si="39"/>
        <v>2910.6221009027795</v>
      </c>
      <c r="G140" s="523">
        <f t="shared" si="40"/>
        <v>80834.268442366199</v>
      </c>
      <c r="H140" s="526">
        <f t="shared" si="41"/>
        <v>165023.13212949235</v>
      </c>
      <c r="I140" s="577">
        <f t="shared" si="42"/>
        <v>165023.13212949235</v>
      </c>
      <c r="J140" s="514">
        <f t="shared" si="32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 ht="12.5">
      <c r="B141" s="195" t="str">
        <f t="shared" si="31"/>
        <v/>
      </c>
      <c r="C141" s="507">
        <f>IF(D93="","-",+C140+1)</f>
        <v>2055</v>
      </c>
      <c r="D141" s="374">
        <f>IF(F140+SUM(E$99:E140)=D$92,F140,D$92-SUM(E$99:E140))</f>
        <v>2910.6221009027795</v>
      </c>
      <c r="E141" s="522">
        <f t="shared" si="38"/>
        <v>2910.6221009027795</v>
      </c>
      <c r="F141" s="523">
        <f t="shared" si="39"/>
        <v>0</v>
      </c>
      <c r="G141" s="523">
        <f t="shared" si="40"/>
        <v>1455.3110504513897</v>
      </c>
      <c r="H141" s="526">
        <f t="shared" si="41"/>
        <v>3075.8206089250994</v>
      </c>
      <c r="I141" s="577">
        <f t="shared" si="42"/>
        <v>3075.8206089250994</v>
      </c>
      <c r="J141" s="514">
        <f t="shared" si="32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 ht="12.5">
      <c r="B142" s="195" t="str">
        <f t="shared" si="31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8"/>
        <v>0</v>
      </c>
      <c r="F142" s="523">
        <f t="shared" si="39"/>
        <v>0</v>
      </c>
      <c r="G142" s="523">
        <f t="shared" si="40"/>
        <v>0</v>
      </c>
      <c r="H142" s="526">
        <f t="shared" si="41"/>
        <v>0</v>
      </c>
      <c r="I142" s="577">
        <f t="shared" si="42"/>
        <v>0</v>
      </c>
      <c r="J142" s="514">
        <f t="shared" si="32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 ht="12.5">
      <c r="B143" s="195" t="str">
        <f t="shared" si="31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8"/>
        <v>0</v>
      </c>
      <c r="F143" s="523">
        <f t="shared" si="39"/>
        <v>0</v>
      </c>
      <c r="G143" s="523">
        <f t="shared" si="40"/>
        <v>0</v>
      </c>
      <c r="H143" s="526">
        <f t="shared" si="41"/>
        <v>0</v>
      </c>
      <c r="I143" s="577">
        <f t="shared" si="42"/>
        <v>0</v>
      </c>
      <c r="J143" s="514">
        <f t="shared" si="32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 ht="12.5">
      <c r="B144" s="195" t="str">
        <f t="shared" si="31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8"/>
        <v>0</v>
      </c>
      <c r="F144" s="523">
        <f t="shared" si="39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32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 ht="12.5">
      <c r="B145" s="195" t="str">
        <f t="shared" si="31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8"/>
        <v>0</v>
      </c>
      <c r="F145" s="523">
        <f t="shared" si="39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32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 ht="12.5">
      <c r="B146" s="195" t="str">
        <f t="shared" si="31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8"/>
        <v>0</v>
      </c>
      <c r="F146" s="523">
        <f t="shared" si="39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32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 ht="12.5">
      <c r="B147" s="195" t="str">
        <f t="shared" si="31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8"/>
        <v>0</v>
      </c>
      <c r="F147" s="523">
        <f t="shared" si="39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32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 ht="12.5">
      <c r="B148" s="195" t="str">
        <f t="shared" si="31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8"/>
        <v>0</v>
      </c>
      <c r="F148" s="523">
        <f t="shared" si="39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32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 ht="12.5">
      <c r="B149" s="195" t="str">
        <f t="shared" si="31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8"/>
        <v>0</v>
      </c>
      <c r="F149" s="523">
        <f t="shared" si="39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32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 ht="12.5">
      <c r="B150" s="195" t="str">
        <f t="shared" si="31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8"/>
        <v>0</v>
      </c>
      <c r="F150" s="523">
        <f t="shared" si="39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32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 ht="12.5">
      <c r="B151" s="195" t="str">
        <f t="shared" si="31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8"/>
        <v>0</v>
      </c>
      <c r="F151" s="523">
        <f t="shared" si="39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32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 ht="12.5">
      <c r="B152" s="195" t="str">
        <f t="shared" si="31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8"/>
        <v>0</v>
      </c>
      <c r="F152" s="523">
        <f t="shared" si="39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32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 ht="12.5">
      <c r="B153" s="195" t="str">
        <f t="shared" si="31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8"/>
        <v>0</v>
      </c>
      <c r="F153" s="523">
        <f t="shared" si="39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32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" thickBot="1">
      <c r="B154" s="195" t="str">
        <f t="shared" si="31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8"/>
        <v>0</v>
      </c>
      <c r="F154" s="523">
        <f t="shared" si="39"/>
        <v>0</v>
      </c>
      <c r="G154" s="523">
        <f t="shared" si="40"/>
        <v>0</v>
      </c>
      <c r="H154" s="526">
        <f t="shared" si="41"/>
        <v>0</v>
      </c>
      <c r="I154" s="577">
        <f t="shared" si="42"/>
        <v>0</v>
      </c>
      <c r="J154" s="514">
        <f t="shared" si="32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 ht="12.5">
      <c r="C155" s="374" t="s">
        <v>78</v>
      </c>
      <c r="D155" s="375"/>
      <c r="E155" s="375">
        <f>SUM(E99:E154)</f>
        <v>6389739.0000000037</v>
      </c>
      <c r="F155" s="375"/>
      <c r="G155" s="375"/>
      <c r="H155" s="375">
        <f>SUM(H99:H154)</f>
        <v>21273862.027782649</v>
      </c>
      <c r="I155" s="375">
        <f>SUM(I99:I154)</f>
        <v>21273862.027782649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8" priority="1" stopIfTrue="1" operator="equal">
      <formula>$I$10</formula>
    </cfRule>
  </conditionalFormatting>
  <conditionalFormatting sqref="C99:C154">
    <cfRule type="cellIs" dxfId="8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9"/>
  <dimension ref="A1:Q162"/>
  <sheetViews>
    <sheetView view="pageBreakPreview" zoomScale="82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1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1925804.5853895803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1925804.5853895803</v>
      </c>
      <c r="O6" s="269"/>
      <c r="P6" s="269"/>
    </row>
    <row r="7" spans="1:17" ht="13.5" thickBot="1">
      <c r="C7" s="467" t="s">
        <v>48</v>
      </c>
      <c r="D7" s="468" t="s">
        <v>225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140</v>
      </c>
      <c r="E9" s="666" t="s">
        <v>471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17671482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420749.57142857142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9057179</v>
      </c>
      <c r="E17" s="509">
        <v>0</v>
      </c>
      <c r="F17" s="508">
        <v>9057179</v>
      </c>
      <c r="G17" s="509">
        <v>115677</v>
      </c>
      <c r="H17" s="510">
        <v>115677</v>
      </c>
      <c r="I17" s="511">
        <f t="shared" ref="I17:I48" si="0">H17-G17</f>
        <v>0</v>
      </c>
      <c r="J17" s="511"/>
      <c r="K17" s="512">
        <v>115677</v>
      </c>
      <c r="L17" s="513">
        <f t="shared" ref="L17:L48" si="1">IF(K17&lt;&gt;0,+G17-K17,0)</f>
        <v>0</v>
      </c>
      <c r="M17" s="512">
        <v>115677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17740954</v>
      </c>
      <c r="E18" s="516">
        <v>466867</v>
      </c>
      <c r="F18" s="515">
        <v>17274087</v>
      </c>
      <c r="G18" s="516">
        <v>2950276</v>
      </c>
      <c r="H18" s="510">
        <v>2950276</v>
      </c>
      <c r="I18" s="517">
        <v>0</v>
      </c>
      <c r="J18" s="511"/>
      <c r="K18" s="518">
        <f t="shared" ref="K18:K23" si="4">G18</f>
        <v>2950276</v>
      </c>
      <c r="L18" s="519">
        <f t="shared" si="1"/>
        <v>0</v>
      </c>
      <c r="M18" s="518">
        <f t="shared" ref="M18:M23" si="5">H18</f>
        <v>2950276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17204615</v>
      </c>
      <c r="E19" s="516">
        <v>431011.75609756098</v>
      </c>
      <c r="F19" s="515">
        <v>16773603.243902439</v>
      </c>
      <c r="G19" s="516">
        <v>3050917.4869010281</v>
      </c>
      <c r="H19" s="510">
        <v>3050917.4869010281</v>
      </c>
      <c r="I19" s="517">
        <v>0</v>
      </c>
      <c r="J19" s="511"/>
      <c r="K19" s="518">
        <f t="shared" si="4"/>
        <v>3050917.4869010281</v>
      </c>
      <c r="L19" s="519">
        <f t="shared" si="1"/>
        <v>0</v>
      </c>
      <c r="M19" s="518">
        <f t="shared" si="5"/>
        <v>3050917.4869010281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16773603.243902439</v>
      </c>
      <c r="E20" s="520">
        <v>420749.57142857142</v>
      </c>
      <c r="F20" s="515">
        <v>16352853.672473868</v>
      </c>
      <c r="G20" s="516">
        <v>2852748.2601002851</v>
      </c>
      <c r="H20" s="510">
        <v>2852748.2601002851</v>
      </c>
      <c r="I20" s="517">
        <v>0</v>
      </c>
      <c r="J20" s="511"/>
      <c r="K20" s="518">
        <f t="shared" si="4"/>
        <v>2852748.2601002851</v>
      </c>
      <c r="L20" s="519">
        <f t="shared" si="1"/>
        <v>0</v>
      </c>
      <c r="M20" s="518">
        <f t="shared" si="5"/>
        <v>2852748.2601002851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16352853.672473868</v>
      </c>
      <c r="E21" s="520">
        <v>420749.57142857142</v>
      </c>
      <c r="F21" s="515">
        <v>15932104.101045297</v>
      </c>
      <c r="G21" s="516">
        <v>2651038.335861824</v>
      </c>
      <c r="H21" s="510">
        <v>2651038.335861824</v>
      </c>
      <c r="I21" s="511">
        <v>0</v>
      </c>
      <c r="J21" s="511"/>
      <c r="K21" s="518">
        <f t="shared" si="4"/>
        <v>2651038.335861824</v>
      </c>
      <c r="L21" s="519">
        <f t="shared" ref="L21:L26" si="7">IF(K21&lt;&gt;0,+G21-K21,0)</f>
        <v>0</v>
      </c>
      <c r="M21" s="518">
        <f t="shared" si="5"/>
        <v>2651038.335861824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15932104.101045297</v>
      </c>
      <c r="E22" s="520">
        <v>420749.57142857142</v>
      </c>
      <c r="F22" s="515">
        <v>15511354.529616727</v>
      </c>
      <c r="G22" s="516">
        <v>2513394.2946650204</v>
      </c>
      <c r="H22" s="510">
        <v>2513394.2946650204</v>
      </c>
      <c r="I22" s="511">
        <v>0</v>
      </c>
      <c r="J22" s="511"/>
      <c r="K22" s="518">
        <f t="shared" si="4"/>
        <v>2513394.2946650204</v>
      </c>
      <c r="L22" s="519">
        <f t="shared" si="7"/>
        <v>0</v>
      </c>
      <c r="M22" s="518">
        <f t="shared" si="5"/>
        <v>2513394.2946650204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15511354.529616727</v>
      </c>
      <c r="E23" s="520">
        <v>420749.57142857142</v>
      </c>
      <c r="F23" s="515">
        <v>15090604.958188156</v>
      </c>
      <c r="G23" s="516">
        <v>2408254.6940407706</v>
      </c>
      <c r="H23" s="510">
        <v>2408254.6940407706</v>
      </c>
      <c r="I23" s="511">
        <v>0</v>
      </c>
      <c r="J23" s="511"/>
      <c r="K23" s="518">
        <f t="shared" si="4"/>
        <v>2408254.6940407706</v>
      </c>
      <c r="L23" s="519">
        <f t="shared" si="7"/>
        <v>0</v>
      </c>
      <c r="M23" s="518">
        <f t="shared" si="5"/>
        <v>2408254.6940407706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/>
      </c>
      <c r="C24" s="507">
        <f>IF(D11="","-",+C23+1)</f>
        <v>2016</v>
      </c>
      <c r="D24" s="515">
        <v>15090604.958188156</v>
      </c>
      <c r="E24" s="520">
        <v>420749.57142857142</v>
      </c>
      <c r="F24" s="515">
        <v>14669855.386759585</v>
      </c>
      <c r="G24" s="516">
        <v>2329003.9936694037</v>
      </c>
      <c r="H24" s="510">
        <v>2329003.9936694037</v>
      </c>
      <c r="I24" s="511">
        <f t="shared" si="0"/>
        <v>0</v>
      </c>
      <c r="J24" s="511"/>
      <c r="K24" s="518">
        <f t="shared" ref="K24:K29" si="10">G24</f>
        <v>2329003.9936694037</v>
      </c>
      <c r="L24" s="519">
        <f t="shared" si="7"/>
        <v>0</v>
      </c>
      <c r="M24" s="518">
        <f t="shared" ref="M24:M29" si="11">H24</f>
        <v>2329003.9936694037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14669855.386759585</v>
      </c>
      <c r="E25" s="520">
        <v>410964.69767441862</v>
      </c>
      <c r="F25" s="515">
        <v>14258890.689085167</v>
      </c>
      <c r="G25" s="516">
        <v>2202992.5205155816</v>
      </c>
      <c r="H25" s="510">
        <v>2202992.5205155816</v>
      </c>
      <c r="I25" s="511">
        <f t="shared" si="0"/>
        <v>0</v>
      </c>
      <c r="J25" s="511"/>
      <c r="K25" s="518">
        <f t="shared" si="10"/>
        <v>2202992.5205155816</v>
      </c>
      <c r="L25" s="519">
        <f t="shared" si="7"/>
        <v>0</v>
      </c>
      <c r="M25" s="518">
        <f t="shared" si="11"/>
        <v>2202992.5205155816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14258890.689085167</v>
      </c>
      <c r="E26" s="520">
        <v>431011.75609756098</v>
      </c>
      <c r="F26" s="515">
        <v>13827878.932987606</v>
      </c>
      <c r="G26" s="516">
        <v>2215843.0945590343</v>
      </c>
      <c r="H26" s="510">
        <v>2215843.0945590343</v>
      </c>
      <c r="I26" s="511">
        <f t="shared" si="0"/>
        <v>0</v>
      </c>
      <c r="J26" s="511"/>
      <c r="K26" s="518">
        <f t="shared" si="10"/>
        <v>2215843.0945590343</v>
      </c>
      <c r="L26" s="519">
        <f t="shared" si="7"/>
        <v>0</v>
      </c>
      <c r="M26" s="518">
        <f t="shared" si="11"/>
        <v>2215843.0945590343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13827878.932987606</v>
      </c>
      <c r="E27" s="520">
        <v>431011.75609756098</v>
      </c>
      <c r="F27" s="515">
        <v>13396867.176890045</v>
      </c>
      <c r="G27" s="516">
        <v>2161064.0437903283</v>
      </c>
      <c r="H27" s="510">
        <v>2161064.0437903283</v>
      </c>
      <c r="I27" s="511">
        <f t="shared" si="0"/>
        <v>0</v>
      </c>
      <c r="J27" s="511"/>
      <c r="K27" s="518">
        <f t="shared" si="10"/>
        <v>2161064.0437903283</v>
      </c>
      <c r="L27" s="519">
        <f t="shared" ref="L27" si="12">IF(K27&lt;&gt;0,+G27-K27,0)</f>
        <v>0</v>
      </c>
      <c r="M27" s="518">
        <f t="shared" si="11"/>
        <v>2161064.0437903283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13396867.176890045</v>
      </c>
      <c r="E28" s="520">
        <v>431011.75609756098</v>
      </c>
      <c r="F28" s="515">
        <v>12965855.420792485</v>
      </c>
      <c r="G28" s="516">
        <v>1779932.3659143087</v>
      </c>
      <c r="H28" s="510">
        <v>1779932.3659143087</v>
      </c>
      <c r="I28" s="511">
        <f t="shared" si="0"/>
        <v>0</v>
      </c>
      <c r="J28" s="511"/>
      <c r="K28" s="518">
        <f t="shared" si="10"/>
        <v>1779932.3659143087</v>
      </c>
      <c r="L28" s="519">
        <f t="shared" ref="L28" si="13">IF(K28&lt;&gt;0,+G28-K28,0)</f>
        <v>0</v>
      </c>
      <c r="M28" s="518">
        <f t="shared" si="11"/>
        <v>1779932.3659143087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15">
        <v>12985902.479215622</v>
      </c>
      <c r="E29" s="520">
        <v>420749.57142857142</v>
      </c>
      <c r="F29" s="515">
        <v>12565152.907787051</v>
      </c>
      <c r="G29" s="516">
        <v>1775013.5722575998</v>
      </c>
      <c r="H29" s="510">
        <v>1775013.5722575998</v>
      </c>
      <c r="I29" s="511">
        <f t="shared" si="0"/>
        <v>0</v>
      </c>
      <c r="J29" s="511"/>
      <c r="K29" s="518">
        <f t="shared" si="10"/>
        <v>1775013.5722575998</v>
      </c>
      <c r="L29" s="519">
        <f t="shared" ref="L29" si="14">IF(K29&lt;&gt;0,+G29-K29,0)</f>
        <v>0</v>
      </c>
      <c r="M29" s="518">
        <f t="shared" si="11"/>
        <v>1775013.5722575998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515">
        <v>12545105.849363908</v>
      </c>
      <c r="E30" s="520">
        <v>420749.57142857142</v>
      </c>
      <c r="F30" s="515">
        <v>12124356.277935337</v>
      </c>
      <c r="G30" s="516">
        <v>1807717.2661762077</v>
      </c>
      <c r="H30" s="510">
        <v>1807717.2661762077</v>
      </c>
      <c r="I30" s="511">
        <f t="shared" si="0"/>
        <v>0</v>
      </c>
      <c r="J30" s="511"/>
      <c r="K30" s="518">
        <f t="shared" ref="K30" si="15">G30</f>
        <v>1807717.2661762077</v>
      </c>
      <c r="L30" s="519">
        <f t="shared" ref="L30" si="16">IF(K30&lt;&gt;0,+G30-K30,0)</f>
        <v>0</v>
      </c>
      <c r="M30" s="518">
        <f t="shared" ref="M30" si="17">H30</f>
        <v>1807717.2661762077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12124356.277935337</v>
      </c>
      <c r="E31" s="522">
        <f>IF(+I14&lt;F30,I14,D31)</f>
        <v>420749.57142857142</v>
      </c>
      <c r="F31" s="523">
        <f t="shared" ref="F31:F48" si="18">+D31-E31</f>
        <v>11703606.706506766</v>
      </c>
      <c r="G31" s="524">
        <f t="shared" ref="G31:G72" si="19">+I$12*((D31+F31)/2)+E31</f>
        <v>1925804.5853895803</v>
      </c>
      <c r="H31" s="491">
        <f t="shared" ref="H31:H72" si="20">+I$13*((D31+F31)/2)+E31</f>
        <v>1925804.5853895803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11703606.706506766</v>
      </c>
      <c r="E32" s="522">
        <f>IF(+I14&lt;F31,I14,D32)</f>
        <v>420749.57142857142</v>
      </c>
      <c r="F32" s="523">
        <f t="shared" si="18"/>
        <v>11282857.135078195</v>
      </c>
      <c r="G32" s="524">
        <f t="shared" si="19"/>
        <v>1872652.6434872043</v>
      </c>
      <c r="H32" s="491">
        <f t="shared" si="20"/>
        <v>1872652.6434872043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11282857.135078195</v>
      </c>
      <c r="E33" s="522">
        <f>IF(+I14&lt;F32,I14,D33)</f>
        <v>420749.57142857142</v>
      </c>
      <c r="F33" s="523">
        <f t="shared" si="18"/>
        <v>10862107.563649625</v>
      </c>
      <c r="G33" s="524">
        <f t="shared" si="19"/>
        <v>1819500.7015848286</v>
      </c>
      <c r="H33" s="491">
        <f t="shared" si="20"/>
        <v>1819500.7015848286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10862107.563649625</v>
      </c>
      <c r="E34" s="522">
        <f>IF(+I14&lt;F33,I14,D34)</f>
        <v>420749.57142857142</v>
      </c>
      <c r="F34" s="523">
        <f t="shared" si="18"/>
        <v>10441357.992221054</v>
      </c>
      <c r="G34" s="524">
        <f t="shared" si="19"/>
        <v>1766348.7596824525</v>
      </c>
      <c r="H34" s="491">
        <f t="shared" si="20"/>
        <v>1766348.7596824525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10441357.992221054</v>
      </c>
      <c r="E35" s="522">
        <f>IF(+I14&lt;F34,I14,D35)</f>
        <v>420749.57142857142</v>
      </c>
      <c r="F35" s="523">
        <f t="shared" si="18"/>
        <v>10020608.420792483</v>
      </c>
      <c r="G35" s="524">
        <f t="shared" si="19"/>
        <v>1713196.8177800765</v>
      </c>
      <c r="H35" s="491">
        <f t="shared" si="20"/>
        <v>1713196.8177800765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10020608.420792483</v>
      </c>
      <c r="E36" s="522">
        <f>IF(+I14&lt;F35,I14,D36)</f>
        <v>420749.57142857142</v>
      </c>
      <c r="F36" s="523">
        <f t="shared" si="18"/>
        <v>9599858.8493639119</v>
      </c>
      <c r="G36" s="524">
        <f t="shared" si="19"/>
        <v>1660044.8758777005</v>
      </c>
      <c r="H36" s="491">
        <f t="shared" si="20"/>
        <v>1660044.8758777005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9599858.8493639119</v>
      </c>
      <c r="E37" s="522">
        <f>IF(+I14&lt;F36,I14,D37)</f>
        <v>420749.57142857142</v>
      </c>
      <c r="F37" s="523">
        <f t="shared" si="18"/>
        <v>9179109.277935341</v>
      </c>
      <c r="G37" s="524">
        <f t="shared" si="19"/>
        <v>1606892.9339753245</v>
      </c>
      <c r="H37" s="491">
        <f t="shared" si="20"/>
        <v>1606892.9339753245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9179109.277935341</v>
      </c>
      <c r="E38" s="522">
        <f>IF(+I14&lt;F37,I14,D38)</f>
        <v>420749.57142857142</v>
      </c>
      <c r="F38" s="523">
        <f t="shared" si="18"/>
        <v>8758359.7065067701</v>
      </c>
      <c r="G38" s="524">
        <f t="shared" si="19"/>
        <v>1553740.9920729485</v>
      </c>
      <c r="H38" s="491">
        <f t="shared" si="20"/>
        <v>1553740.9920729485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8758359.7065067701</v>
      </c>
      <c r="E39" s="522">
        <f>IF(+I14&lt;F38,I14,D39)</f>
        <v>420749.57142857142</v>
      </c>
      <c r="F39" s="523">
        <f t="shared" si="18"/>
        <v>8337610.1350781983</v>
      </c>
      <c r="G39" s="524">
        <f t="shared" si="19"/>
        <v>1500589.0501705725</v>
      </c>
      <c r="H39" s="491">
        <f t="shared" si="20"/>
        <v>1500589.0501705725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8337610.1350781983</v>
      </c>
      <c r="E40" s="522">
        <f>IF(+I14&lt;F39,I14,D40)</f>
        <v>420749.57142857142</v>
      </c>
      <c r="F40" s="523">
        <f t="shared" si="18"/>
        <v>7916860.5636496264</v>
      </c>
      <c r="G40" s="524">
        <f t="shared" si="19"/>
        <v>1447437.1082681962</v>
      </c>
      <c r="H40" s="491">
        <f t="shared" si="20"/>
        <v>1447437.1082681962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7916860.5636496264</v>
      </c>
      <c r="E41" s="522">
        <f>IF(+I14&lt;F40,I14,D41)</f>
        <v>420749.57142857142</v>
      </c>
      <c r="F41" s="523">
        <f t="shared" si="18"/>
        <v>7496110.9922210546</v>
      </c>
      <c r="G41" s="524">
        <f t="shared" si="19"/>
        <v>1394285.1663658202</v>
      </c>
      <c r="H41" s="491">
        <f t="shared" si="20"/>
        <v>1394285.1663658202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7496110.9922210546</v>
      </c>
      <c r="E42" s="522">
        <f>IF(+I14&lt;F41,I14,D42)</f>
        <v>420749.57142857142</v>
      </c>
      <c r="F42" s="523">
        <f t="shared" si="18"/>
        <v>7075361.4207924828</v>
      </c>
      <c r="G42" s="524">
        <f t="shared" si="19"/>
        <v>1341133.224463444</v>
      </c>
      <c r="H42" s="491">
        <f t="shared" si="20"/>
        <v>1341133.224463444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7075361.4207924828</v>
      </c>
      <c r="E43" s="522">
        <f>IF(+I14&lt;F42,I14,D43)</f>
        <v>420749.57142857142</v>
      </c>
      <c r="F43" s="523">
        <f t="shared" si="18"/>
        <v>6654611.849363911</v>
      </c>
      <c r="G43" s="524">
        <f t="shared" si="19"/>
        <v>1287981.282561068</v>
      </c>
      <c r="H43" s="491">
        <f t="shared" si="20"/>
        <v>1287981.282561068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6654611.849363911</v>
      </c>
      <c r="E44" s="522">
        <f>IF(+I14&lt;F43,I14,D44)</f>
        <v>420749.57142857142</v>
      </c>
      <c r="F44" s="523">
        <f t="shared" si="18"/>
        <v>6233862.2779353391</v>
      </c>
      <c r="G44" s="524">
        <f t="shared" si="19"/>
        <v>1234829.3406586917</v>
      </c>
      <c r="H44" s="491">
        <f t="shared" si="20"/>
        <v>1234829.3406586917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6233862.2779353391</v>
      </c>
      <c r="E45" s="522">
        <f>IF(+I14&lt;F44,I14,D45)</f>
        <v>420749.57142857142</v>
      </c>
      <c r="F45" s="523">
        <f t="shared" si="18"/>
        <v>5813112.7065067673</v>
      </c>
      <c r="G45" s="524">
        <f t="shared" si="19"/>
        <v>1181677.3987563157</v>
      </c>
      <c r="H45" s="491">
        <f t="shared" si="20"/>
        <v>1181677.3987563157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5813112.7065067673</v>
      </c>
      <c r="E46" s="522">
        <f>IF(+I14&lt;F45,I14,D46)</f>
        <v>420749.57142857142</v>
      </c>
      <c r="F46" s="523">
        <f t="shared" si="18"/>
        <v>5392363.1350781955</v>
      </c>
      <c r="G46" s="524">
        <f t="shared" si="19"/>
        <v>1128525.4568539395</v>
      </c>
      <c r="H46" s="491">
        <f t="shared" si="20"/>
        <v>1128525.4568539395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5392363.1350781955</v>
      </c>
      <c r="E47" s="522">
        <f>IF(+I14&lt;F46,I14,D47)</f>
        <v>420749.57142857142</v>
      </c>
      <c r="F47" s="523">
        <f t="shared" si="18"/>
        <v>4971613.5636496237</v>
      </c>
      <c r="G47" s="524">
        <f t="shared" si="19"/>
        <v>1075373.5149515634</v>
      </c>
      <c r="H47" s="491">
        <f t="shared" si="20"/>
        <v>1075373.5149515634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4971613.5636496237</v>
      </c>
      <c r="E48" s="522">
        <f>IF(+I14&lt;F47,I14,D48)</f>
        <v>420749.57142857142</v>
      </c>
      <c r="F48" s="523">
        <f t="shared" si="18"/>
        <v>4550863.9922210518</v>
      </c>
      <c r="G48" s="524">
        <f t="shared" si="19"/>
        <v>1022221.5730491872</v>
      </c>
      <c r="H48" s="491">
        <f t="shared" si="20"/>
        <v>1022221.5730491872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4550863.9922210518</v>
      </c>
      <c r="E49" s="522">
        <f>IF(+I14&lt;F48,I14,D49)</f>
        <v>420749.57142857142</v>
      </c>
      <c r="F49" s="523">
        <f t="shared" ref="F49:F72" si="21">+D49-E49</f>
        <v>4130114.4207924805</v>
      </c>
      <c r="G49" s="524">
        <f t="shared" si="19"/>
        <v>969069.63114681118</v>
      </c>
      <c r="H49" s="491">
        <f t="shared" si="20"/>
        <v>969069.63114681118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4130114.4207924805</v>
      </c>
      <c r="E50" s="522">
        <f>IF(+I14&lt;F49,I14,D50)</f>
        <v>420749.57142857142</v>
      </c>
      <c r="F50" s="523">
        <f t="shared" si="21"/>
        <v>3709364.8493639091</v>
      </c>
      <c r="G50" s="524">
        <f t="shared" si="19"/>
        <v>915917.68924443505</v>
      </c>
      <c r="H50" s="491">
        <f t="shared" si="20"/>
        <v>915917.68924443505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3709364.8493639091</v>
      </c>
      <c r="E51" s="522">
        <f>IF(+I14&lt;F50,I14,D51)</f>
        <v>420749.57142857142</v>
      </c>
      <c r="F51" s="523">
        <f t="shared" si="21"/>
        <v>3288615.2779353377</v>
      </c>
      <c r="G51" s="524">
        <f t="shared" si="19"/>
        <v>862765.74734205904</v>
      </c>
      <c r="H51" s="491">
        <f t="shared" si="20"/>
        <v>862765.74734205904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3288615.2779353377</v>
      </c>
      <c r="E52" s="522">
        <f>IF(+I14&lt;F51,I14,D52)</f>
        <v>420749.57142857142</v>
      </c>
      <c r="F52" s="523">
        <f t="shared" si="21"/>
        <v>2867865.7065067664</v>
      </c>
      <c r="G52" s="524">
        <f t="shared" si="19"/>
        <v>809613.80543968291</v>
      </c>
      <c r="H52" s="491">
        <f t="shared" si="20"/>
        <v>809613.80543968291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2867865.7065067664</v>
      </c>
      <c r="E53" s="522">
        <f>IF(+I14&lt;F52,I14,D53)</f>
        <v>420749.57142857142</v>
      </c>
      <c r="F53" s="523">
        <f t="shared" si="21"/>
        <v>2447116.135078195</v>
      </c>
      <c r="G53" s="524">
        <f t="shared" si="19"/>
        <v>756461.8635373069</v>
      </c>
      <c r="H53" s="491">
        <f t="shared" si="20"/>
        <v>756461.8635373069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2447116.135078195</v>
      </c>
      <c r="E54" s="522">
        <f>IF(+I14&lt;F53,I14,D54)</f>
        <v>420749.57142857142</v>
      </c>
      <c r="F54" s="523">
        <f t="shared" si="21"/>
        <v>2026366.5636496237</v>
      </c>
      <c r="G54" s="524">
        <f t="shared" si="19"/>
        <v>703309.92163493088</v>
      </c>
      <c r="H54" s="491">
        <f t="shared" si="20"/>
        <v>703309.92163493088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2026366.5636496237</v>
      </c>
      <c r="E55" s="522">
        <f>IF(+I14&lt;F54,I14,D55)</f>
        <v>420749.57142857142</v>
      </c>
      <c r="F55" s="523">
        <f t="shared" si="21"/>
        <v>1605616.9922210523</v>
      </c>
      <c r="G55" s="524">
        <f t="shared" si="19"/>
        <v>650157.97973255476</v>
      </c>
      <c r="H55" s="491">
        <f t="shared" si="20"/>
        <v>650157.97973255476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1605616.9922210523</v>
      </c>
      <c r="E56" s="522">
        <f>IF(+I14&lt;F55,I14,D56)</f>
        <v>420749.57142857142</v>
      </c>
      <c r="F56" s="523">
        <f t="shared" si="21"/>
        <v>1184867.4207924809</v>
      </c>
      <c r="G56" s="524">
        <f t="shared" si="19"/>
        <v>597006.03783017863</v>
      </c>
      <c r="H56" s="491">
        <f t="shared" si="20"/>
        <v>597006.03783017863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1184867.4207924809</v>
      </c>
      <c r="E57" s="522">
        <f>IF(+I14&lt;F56,I14,D57)</f>
        <v>420749.57142857142</v>
      </c>
      <c r="F57" s="523">
        <f t="shared" si="21"/>
        <v>764117.84936390957</v>
      </c>
      <c r="G57" s="524">
        <f t="shared" si="19"/>
        <v>543854.09592780261</v>
      </c>
      <c r="H57" s="491">
        <f t="shared" si="20"/>
        <v>543854.09592780261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764117.84936390957</v>
      </c>
      <c r="E58" s="522">
        <f>IF(+I14&lt;F57,I14,D58)</f>
        <v>420749.57142857142</v>
      </c>
      <c r="F58" s="523">
        <f t="shared" si="21"/>
        <v>343368.27793533815</v>
      </c>
      <c r="G58" s="524">
        <f t="shared" si="19"/>
        <v>490702.1540254266</v>
      </c>
      <c r="H58" s="491">
        <f t="shared" si="20"/>
        <v>490702.1540254266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343368.27793533815</v>
      </c>
      <c r="E59" s="522">
        <f>IF(+I14&lt;F58,I14,D59)</f>
        <v>343368.27793533815</v>
      </c>
      <c r="F59" s="523">
        <f t="shared" si="21"/>
        <v>0</v>
      </c>
      <c r="G59" s="524">
        <f t="shared" si="19"/>
        <v>365056.58375817171</v>
      </c>
      <c r="H59" s="491">
        <f t="shared" si="20"/>
        <v>365056.58375817171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19"/>
        <v>0</v>
      </c>
      <c r="H60" s="491">
        <f t="shared" si="20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19"/>
        <v>0</v>
      </c>
      <c r="H61" s="491">
        <f t="shared" si="20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19"/>
        <v>0</v>
      </c>
      <c r="H72" s="47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 ht="12.5">
      <c r="C73" s="374" t="s">
        <v>78</v>
      </c>
      <c r="D73" s="375"/>
      <c r="E73" s="375">
        <f>SUM(E17:E72)</f>
        <v>17671481.999999993</v>
      </c>
      <c r="F73" s="375"/>
      <c r="G73" s="375">
        <f>SUM(G17:G72)</f>
        <v>65010023.864019684</v>
      </c>
      <c r="H73" s="375">
        <f>SUM(H17:H72)</f>
        <v>65010023.864019684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1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1775013.5722575998</v>
      </c>
      <c r="N87" s="546">
        <f>IF(J92&lt;D11,0,VLOOKUP(J92,C17:O72,11))</f>
        <v>1775013.5722575998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1888198.2388737798</v>
      </c>
      <c r="N88" s="550">
        <f>IF(J92&lt;D11,0,VLOOKUP(J92,C99:P154,7))</f>
        <v>1888198.2388737798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Arsenal Hill Auto xfmr &amp; AH to Water Works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113184.66661617998</v>
      </c>
      <c r="N89" s="555">
        <f>+N88-N87</f>
        <v>113184.66661617998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TP2007057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17671482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431011.75609756098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0</v>
      </c>
      <c r="F99" s="515">
        <v>12134740</v>
      </c>
      <c r="G99" s="574">
        <v>6067370</v>
      </c>
      <c r="H99" s="575">
        <v>878177</v>
      </c>
      <c r="I99" s="576">
        <v>878177</v>
      </c>
      <c r="J99" s="514">
        <f t="shared" ref="J99:J130" si="26">+I99-H99</f>
        <v>0</v>
      </c>
      <c r="K99" s="514"/>
      <c r="L99" s="512">
        <f t="shared" ref="L99:L104" si="27">H99</f>
        <v>878177</v>
      </c>
      <c r="M99" s="513">
        <f t="shared" ref="M99:M130" si="28">IF(L99&lt;&gt;0,+H99-L99,0)</f>
        <v>0</v>
      </c>
      <c r="N99" s="512">
        <f t="shared" ref="N99:N104" si="29">I99</f>
        <v>878177</v>
      </c>
      <c r="O99" s="513">
        <f t="shared" ref="O99:O130" si="30">IF(N99&lt;&gt;0,+I99-N99,0)</f>
        <v>0</v>
      </c>
      <c r="P99" s="513">
        <f t="shared" ref="P99:P130" si="31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17671482</v>
      </c>
      <c r="E100" s="516">
        <v>431011.75609756098</v>
      </c>
      <c r="F100" s="515">
        <v>17240470.243902437</v>
      </c>
      <c r="G100" s="515">
        <v>17455976.121951219</v>
      </c>
      <c r="H100" s="516">
        <v>3312750.4635227108</v>
      </c>
      <c r="I100" s="510">
        <v>3312750.4635227108</v>
      </c>
      <c r="J100" s="514">
        <f t="shared" si="26"/>
        <v>0</v>
      </c>
      <c r="K100" s="514"/>
      <c r="L100" s="518">
        <f t="shared" si="27"/>
        <v>3312750.4635227108</v>
      </c>
      <c r="M100" s="519">
        <f t="shared" si="28"/>
        <v>0</v>
      </c>
      <c r="N100" s="518">
        <f t="shared" si="29"/>
        <v>3312750.4635227108</v>
      </c>
      <c r="O100" s="514">
        <f t="shared" si="30"/>
        <v>0</v>
      </c>
      <c r="P100" s="514">
        <f t="shared" si="31"/>
        <v>0</v>
      </c>
      <c r="Q100" s="269"/>
    </row>
    <row r="101" spans="1:17" ht="12.5">
      <c r="B101" s="195" t="str">
        <f t="shared" ref="B101:B154" si="32">IF(D101=F100,"","IU")</f>
        <v/>
      </c>
      <c r="C101" s="507">
        <f>IF(D93="","-",+C100+1)</f>
        <v>2011</v>
      </c>
      <c r="D101" s="508">
        <v>17240470.243902437</v>
      </c>
      <c r="E101" s="520">
        <v>420749.57142857142</v>
      </c>
      <c r="F101" s="515">
        <v>16819720.672473866</v>
      </c>
      <c r="G101" s="515">
        <v>17030095.458188154</v>
      </c>
      <c r="H101" s="516">
        <v>2981733.6450111624</v>
      </c>
      <c r="I101" s="510">
        <v>2981733.6450111624</v>
      </c>
      <c r="J101" s="514">
        <f t="shared" si="26"/>
        <v>0</v>
      </c>
      <c r="K101" s="514"/>
      <c r="L101" s="518">
        <f t="shared" si="27"/>
        <v>2981733.6450111624</v>
      </c>
      <c r="M101" s="519">
        <f t="shared" si="28"/>
        <v>0</v>
      </c>
      <c r="N101" s="518">
        <f t="shared" si="29"/>
        <v>2981733.6450111624</v>
      </c>
      <c r="O101" s="514">
        <f t="shared" si="30"/>
        <v>0</v>
      </c>
      <c r="P101" s="514">
        <f t="shared" si="31"/>
        <v>0</v>
      </c>
      <c r="Q101" s="269"/>
    </row>
    <row r="102" spans="1:17" ht="12.5">
      <c r="B102" s="195" t="str">
        <f t="shared" si="32"/>
        <v/>
      </c>
      <c r="C102" s="507">
        <f>IF(D93="","-",+C101+1)</f>
        <v>2012</v>
      </c>
      <c r="D102" s="508">
        <v>16819720.672473866</v>
      </c>
      <c r="E102" s="520">
        <v>420749.57142857142</v>
      </c>
      <c r="F102" s="515">
        <v>16398971.101045296</v>
      </c>
      <c r="G102" s="515">
        <v>16609345.886759581</v>
      </c>
      <c r="H102" s="516">
        <v>2864880.1232274803</v>
      </c>
      <c r="I102" s="510">
        <v>2864880.1232274803</v>
      </c>
      <c r="J102" s="514">
        <v>0</v>
      </c>
      <c r="K102" s="514"/>
      <c r="L102" s="518">
        <f t="shared" si="27"/>
        <v>2864880.1232274803</v>
      </c>
      <c r="M102" s="519">
        <f t="shared" ref="M102:M107" si="33">IF(L102&lt;&gt;0,+H102-L102,0)</f>
        <v>0</v>
      </c>
      <c r="N102" s="518">
        <f t="shared" si="29"/>
        <v>2864880.1232274803</v>
      </c>
      <c r="O102" s="514">
        <f t="shared" ref="O102:O107" si="34">IF(N102&lt;&gt;0,+I102-N102,0)</f>
        <v>0</v>
      </c>
      <c r="P102" s="514">
        <f t="shared" ref="P102:P107" si="35">+O102-M102</f>
        <v>0</v>
      </c>
      <c r="Q102" s="269"/>
    </row>
    <row r="103" spans="1:17" ht="12.5">
      <c r="B103" s="195" t="str">
        <f t="shared" si="32"/>
        <v/>
      </c>
      <c r="C103" s="507">
        <f>IF(D93="","-",+C102+1)</f>
        <v>2013</v>
      </c>
      <c r="D103" s="508">
        <v>16398971.101045296</v>
      </c>
      <c r="E103" s="520">
        <v>420749.57142857142</v>
      </c>
      <c r="F103" s="515">
        <v>15978221.529616725</v>
      </c>
      <c r="G103" s="515">
        <v>16188596.31533101</v>
      </c>
      <c r="H103" s="516">
        <v>2610932.3249301547</v>
      </c>
      <c r="I103" s="510">
        <v>2610932.3249301547</v>
      </c>
      <c r="J103" s="514">
        <v>0</v>
      </c>
      <c r="K103" s="514"/>
      <c r="L103" s="518">
        <f t="shared" si="27"/>
        <v>2610932.3249301547</v>
      </c>
      <c r="M103" s="519">
        <f t="shared" si="33"/>
        <v>0</v>
      </c>
      <c r="N103" s="518">
        <f t="shared" si="29"/>
        <v>2610932.3249301547</v>
      </c>
      <c r="O103" s="514">
        <f t="shared" si="34"/>
        <v>0</v>
      </c>
      <c r="P103" s="514">
        <f t="shared" si="35"/>
        <v>0</v>
      </c>
      <c r="Q103" s="269"/>
    </row>
    <row r="104" spans="1:17" ht="12.5">
      <c r="B104" s="195" t="str">
        <f t="shared" si="32"/>
        <v/>
      </c>
      <c r="C104" s="507">
        <f>IF(D93="","-",+C103+1)</f>
        <v>2014</v>
      </c>
      <c r="D104" s="508">
        <v>15978221.529616725</v>
      </c>
      <c r="E104" s="520">
        <v>420749.57142857142</v>
      </c>
      <c r="F104" s="515">
        <v>15557471.958188154</v>
      </c>
      <c r="G104" s="515">
        <v>15767846.743902439</v>
      </c>
      <c r="H104" s="516">
        <v>2563969.8538958314</v>
      </c>
      <c r="I104" s="510">
        <v>2563969.8538958314</v>
      </c>
      <c r="J104" s="514">
        <v>0</v>
      </c>
      <c r="K104" s="514"/>
      <c r="L104" s="518">
        <f t="shared" si="27"/>
        <v>2563969.8538958314</v>
      </c>
      <c r="M104" s="519">
        <f t="shared" si="33"/>
        <v>0</v>
      </c>
      <c r="N104" s="518">
        <f t="shared" si="29"/>
        <v>2563969.8538958314</v>
      </c>
      <c r="O104" s="514">
        <f t="shared" si="34"/>
        <v>0</v>
      </c>
      <c r="P104" s="514">
        <f t="shared" si="35"/>
        <v>0</v>
      </c>
      <c r="Q104" s="269"/>
    </row>
    <row r="105" spans="1:17" ht="12.5">
      <c r="B105" s="195" t="str">
        <f t="shared" si="32"/>
        <v/>
      </c>
      <c r="C105" s="507">
        <f>IF(D93="","-",+C104+1)</f>
        <v>2015</v>
      </c>
      <c r="D105" s="508">
        <v>15557471.958188154</v>
      </c>
      <c r="E105" s="520">
        <v>420749.57142857142</v>
      </c>
      <c r="F105" s="515">
        <v>15136722.386759583</v>
      </c>
      <c r="G105" s="515">
        <v>15347097.172473868</v>
      </c>
      <c r="H105" s="516">
        <v>2443019.3444839055</v>
      </c>
      <c r="I105" s="510">
        <v>2443019.3444839055</v>
      </c>
      <c r="J105" s="514">
        <f t="shared" si="26"/>
        <v>0</v>
      </c>
      <c r="K105" s="514"/>
      <c r="L105" s="518">
        <f t="shared" ref="L105:L110" si="36">H105</f>
        <v>2443019.3444839055</v>
      </c>
      <c r="M105" s="519">
        <f t="shared" si="33"/>
        <v>0</v>
      </c>
      <c r="N105" s="518">
        <f t="shared" ref="N105:N110" si="37">I105</f>
        <v>2443019.3444839055</v>
      </c>
      <c r="O105" s="514">
        <f t="shared" si="34"/>
        <v>0</v>
      </c>
      <c r="P105" s="514">
        <f t="shared" si="35"/>
        <v>0</v>
      </c>
      <c r="Q105" s="269"/>
    </row>
    <row r="106" spans="1:17" ht="12.5">
      <c r="B106" s="195" t="str">
        <f t="shared" si="32"/>
        <v/>
      </c>
      <c r="C106" s="507">
        <f>IF(D93="","-",+C105+1)</f>
        <v>2016</v>
      </c>
      <c r="D106" s="508">
        <v>15136722.386759583</v>
      </c>
      <c r="E106" s="520">
        <v>410964.69767441862</v>
      </c>
      <c r="F106" s="515">
        <v>14725757.689085165</v>
      </c>
      <c r="G106" s="515">
        <v>14931240.037922375</v>
      </c>
      <c r="H106" s="516">
        <v>2306485.4456193848</v>
      </c>
      <c r="I106" s="510">
        <v>2306485.4456193848</v>
      </c>
      <c r="J106" s="514">
        <f t="shared" si="26"/>
        <v>0</v>
      </c>
      <c r="K106" s="514"/>
      <c r="L106" s="518">
        <f t="shared" si="36"/>
        <v>2306485.4456193848</v>
      </c>
      <c r="M106" s="519">
        <f t="shared" si="33"/>
        <v>0</v>
      </c>
      <c r="N106" s="518">
        <f t="shared" si="37"/>
        <v>2306485.4456193848</v>
      </c>
      <c r="O106" s="514">
        <f t="shared" si="34"/>
        <v>0</v>
      </c>
      <c r="P106" s="514">
        <f t="shared" si="35"/>
        <v>0</v>
      </c>
      <c r="Q106" s="269"/>
    </row>
    <row r="107" spans="1:17" ht="12.5">
      <c r="B107" s="195" t="str">
        <f t="shared" si="32"/>
        <v/>
      </c>
      <c r="C107" s="507">
        <f>IF(D93="","-",+C106+1)</f>
        <v>2017</v>
      </c>
      <c r="D107" s="508">
        <v>14725757.689085165</v>
      </c>
      <c r="E107" s="520">
        <v>420749.57142857142</v>
      </c>
      <c r="F107" s="515">
        <v>14305008.117656594</v>
      </c>
      <c r="G107" s="515">
        <v>14515382.90337088</v>
      </c>
      <c r="H107" s="516">
        <v>2183954.2915421841</v>
      </c>
      <c r="I107" s="510">
        <v>2183954.2915421841</v>
      </c>
      <c r="J107" s="514">
        <f t="shared" si="26"/>
        <v>0</v>
      </c>
      <c r="K107" s="514"/>
      <c r="L107" s="518">
        <f t="shared" si="36"/>
        <v>2183954.2915421841</v>
      </c>
      <c r="M107" s="519">
        <f t="shared" si="33"/>
        <v>0</v>
      </c>
      <c r="N107" s="518">
        <f t="shared" si="37"/>
        <v>2183954.2915421841</v>
      </c>
      <c r="O107" s="514">
        <f t="shared" si="34"/>
        <v>0</v>
      </c>
      <c r="P107" s="514">
        <f t="shared" si="35"/>
        <v>0</v>
      </c>
      <c r="Q107" s="269"/>
    </row>
    <row r="108" spans="1:17" ht="12.5">
      <c r="B108" s="195" t="str">
        <f t="shared" si="32"/>
        <v/>
      </c>
      <c r="C108" s="507">
        <f>IF(D93="","-",+C107+1)</f>
        <v>2018</v>
      </c>
      <c r="D108" s="508">
        <v>14305008.117656594</v>
      </c>
      <c r="E108" s="520">
        <v>420749.57142857142</v>
      </c>
      <c r="F108" s="515">
        <v>13884258.546228023</v>
      </c>
      <c r="G108" s="515">
        <v>14094633.331942309</v>
      </c>
      <c r="H108" s="516">
        <v>1909207.486730136</v>
      </c>
      <c r="I108" s="510">
        <v>1909207.486730136</v>
      </c>
      <c r="J108" s="514">
        <f t="shared" si="26"/>
        <v>0</v>
      </c>
      <c r="K108" s="514"/>
      <c r="L108" s="518">
        <f t="shared" si="36"/>
        <v>1909207.486730136</v>
      </c>
      <c r="M108" s="519">
        <f t="shared" ref="M108" si="38">IF(L108&lt;&gt;0,+H108-L108,0)</f>
        <v>0</v>
      </c>
      <c r="N108" s="518">
        <f t="shared" si="37"/>
        <v>1909207.486730136</v>
      </c>
      <c r="O108" s="514">
        <f t="shared" ref="O108" si="39">IF(N108&lt;&gt;0,+I108-N108,0)</f>
        <v>0</v>
      </c>
      <c r="P108" s="514">
        <f t="shared" si="31"/>
        <v>0</v>
      </c>
      <c r="Q108" s="269"/>
    </row>
    <row r="109" spans="1:17" ht="12.5">
      <c r="B109" s="195" t="str">
        <f t="shared" si="32"/>
        <v/>
      </c>
      <c r="C109" s="507">
        <f>IF(D93="","-",+C108+1)</f>
        <v>2019</v>
      </c>
      <c r="D109" s="508">
        <v>13884258.546228023</v>
      </c>
      <c r="E109" s="520">
        <v>410964.69767441862</v>
      </c>
      <c r="F109" s="515">
        <v>13473293.848553605</v>
      </c>
      <c r="G109" s="515">
        <v>13678776.197390813</v>
      </c>
      <c r="H109" s="516">
        <v>1875148.3778696754</v>
      </c>
      <c r="I109" s="510">
        <v>1875148.3778696754</v>
      </c>
      <c r="J109" s="514">
        <f t="shared" si="26"/>
        <v>0</v>
      </c>
      <c r="K109" s="514"/>
      <c r="L109" s="518">
        <f t="shared" si="36"/>
        <v>1875148.3778696754</v>
      </c>
      <c r="M109" s="519">
        <f t="shared" ref="M109:M110" si="40">IF(L109&lt;&gt;0,+H109-L109,0)</f>
        <v>0</v>
      </c>
      <c r="N109" s="518">
        <f t="shared" si="37"/>
        <v>1875148.3778696754</v>
      </c>
      <c r="O109" s="514">
        <f t="shared" si="30"/>
        <v>0</v>
      </c>
      <c r="P109" s="514">
        <f t="shared" si="31"/>
        <v>0</v>
      </c>
      <c r="Q109" s="269"/>
    </row>
    <row r="110" spans="1:17" ht="12.5">
      <c r="B110" s="195" t="str">
        <f t="shared" si="32"/>
        <v/>
      </c>
      <c r="C110" s="507">
        <f>IF(D93="","-",+C109+1)</f>
        <v>2020</v>
      </c>
      <c r="D110" s="508">
        <v>13473293.848553605</v>
      </c>
      <c r="E110" s="520">
        <v>420749.57142857142</v>
      </c>
      <c r="F110" s="515">
        <v>13052544.277125034</v>
      </c>
      <c r="G110" s="515">
        <v>13262919.06283932</v>
      </c>
      <c r="H110" s="516">
        <v>1847492.6051652874</v>
      </c>
      <c r="I110" s="510">
        <v>1847492.6051652874</v>
      </c>
      <c r="J110" s="514">
        <f t="shared" si="26"/>
        <v>0</v>
      </c>
      <c r="K110" s="514"/>
      <c r="L110" s="518">
        <f t="shared" si="36"/>
        <v>1847492.6051652874</v>
      </c>
      <c r="M110" s="519">
        <f t="shared" si="40"/>
        <v>0</v>
      </c>
      <c r="N110" s="518">
        <f t="shared" si="37"/>
        <v>1847492.6051652874</v>
      </c>
      <c r="O110" s="514">
        <f t="shared" si="30"/>
        <v>0</v>
      </c>
      <c r="P110" s="514">
        <f t="shared" si="31"/>
        <v>0</v>
      </c>
      <c r="Q110" s="269"/>
    </row>
    <row r="111" spans="1:17" ht="12.5">
      <c r="B111" s="195" t="str">
        <f t="shared" si="32"/>
        <v/>
      </c>
      <c r="C111" s="507">
        <f>IF(D93="","-",+C110+1)</f>
        <v>2021</v>
      </c>
      <c r="D111" s="374">
        <f>IF(F110+SUM(E$99:E110)=D$92,F110,D$92-SUM(E$99:E110))</f>
        <v>13052544.277125034</v>
      </c>
      <c r="E111" s="522">
        <f>IF(+J96&lt;F110,J96,D111)</f>
        <v>431011.75609756098</v>
      </c>
      <c r="F111" s="523">
        <f t="shared" ref="F111:F130" si="41">+D111-E111</f>
        <v>12621532.521027474</v>
      </c>
      <c r="G111" s="523">
        <f t="shared" ref="G111:G130" si="42">+(F111+D111)/2</f>
        <v>12837038.399076253</v>
      </c>
      <c r="H111" s="526">
        <f>+J$94*G111+E111</f>
        <v>1888198.2388737798</v>
      </c>
      <c r="I111" s="577">
        <f>+J$95*G111+E111</f>
        <v>1888198.2388737798</v>
      </c>
      <c r="J111" s="514">
        <f t="shared" si="26"/>
        <v>0</v>
      </c>
      <c r="K111" s="514"/>
      <c r="L111" s="525"/>
      <c r="M111" s="514">
        <f t="shared" si="28"/>
        <v>0</v>
      </c>
      <c r="N111" s="525"/>
      <c r="O111" s="514">
        <f t="shared" si="30"/>
        <v>0</v>
      </c>
      <c r="P111" s="514">
        <f t="shared" si="31"/>
        <v>0</v>
      </c>
      <c r="Q111" s="269"/>
    </row>
    <row r="112" spans="1:17" ht="12.5">
      <c r="B112" s="195" t="str">
        <f t="shared" si="32"/>
        <v/>
      </c>
      <c r="C112" s="507">
        <f>IF(D93="","-",+C111+1)</f>
        <v>2022</v>
      </c>
      <c r="D112" s="374">
        <f>IF(F111+SUM(E$99:E111)=D$92,F111,D$92-SUM(E$99:E111))</f>
        <v>12621532.521027474</v>
      </c>
      <c r="E112" s="522">
        <f>IF(+J96&lt;F111,J96,D112)</f>
        <v>431011.75609756098</v>
      </c>
      <c r="F112" s="523">
        <f t="shared" si="41"/>
        <v>12190520.764929913</v>
      </c>
      <c r="G112" s="523">
        <f t="shared" si="42"/>
        <v>12406026.642978694</v>
      </c>
      <c r="H112" s="526">
        <f>+J$94*G112+E112</f>
        <v>1839272.2728232148</v>
      </c>
      <c r="I112" s="577">
        <f>+J$95*G112+E112</f>
        <v>1839272.2728232148</v>
      </c>
      <c r="J112" s="514">
        <f t="shared" si="26"/>
        <v>0</v>
      </c>
      <c r="K112" s="514"/>
      <c r="L112" s="525"/>
      <c r="M112" s="514">
        <f t="shared" si="28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 ht="12.5">
      <c r="B113" s="195" t="str">
        <f t="shared" si="32"/>
        <v/>
      </c>
      <c r="C113" s="507">
        <f>IF(D93="","-",+C112+1)</f>
        <v>2023</v>
      </c>
      <c r="D113" s="374">
        <f>IF(F112+SUM(E$99:E112)=D$92,F112,D$92-SUM(E$99:E112))</f>
        <v>12190520.764929913</v>
      </c>
      <c r="E113" s="522">
        <f>IF(+J96&lt;F112,J96,D113)</f>
        <v>431011.75609756098</v>
      </c>
      <c r="F113" s="523">
        <f t="shared" si="41"/>
        <v>11759509.008832352</v>
      </c>
      <c r="G113" s="523">
        <f t="shared" si="42"/>
        <v>11975014.886881132</v>
      </c>
      <c r="H113" s="526">
        <f t="shared" ref="H113:H154" si="43">+J$94*G113+E113</f>
        <v>1790346.3067726495</v>
      </c>
      <c r="I113" s="577">
        <f t="shared" ref="I113:I154" si="44">+J$95*G113+E113</f>
        <v>1790346.3067726495</v>
      </c>
      <c r="J113" s="514">
        <f t="shared" si="26"/>
        <v>0</v>
      </c>
      <c r="K113" s="514"/>
      <c r="L113" s="525"/>
      <c r="M113" s="514">
        <f t="shared" si="28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 ht="12.5">
      <c r="B114" s="195" t="str">
        <f t="shared" si="32"/>
        <v/>
      </c>
      <c r="C114" s="507">
        <f>IF(D93="","-",+C113+1)</f>
        <v>2024</v>
      </c>
      <c r="D114" s="374">
        <f>IF(F113+SUM(E$99:E113)=D$92,F113,D$92-SUM(E$99:E113))</f>
        <v>11759509.008832352</v>
      </c>
      <c r="E114" s="522">
        <f>IF(+J96&lt;F113,J96,D114)</f>
        <v>431011.75609756098</v>
      </c>
      <c r="F114" s="523">
        <f t="shared" si="41"/>
        <v>11328497.252734791</v>
      </c>
      <c r="G114" s="523">
        <f t="shared" si="42"/>
        <v>11544003.130783573</v>
      </c>
      <c r="H114" s="526">
        <f t="shared" si="43"/>
        <v>1741420.3407220845</v>
      </c>
      <c r="I114" s="577">
        <f t="shared" si="44"/>
        <v>1741420.3407220845</v>
      </c>
      <c r="J114" s="514">
        <f t="shared" si="26"/>
        <v>0</v>
      </c>
      <c r="K114" s="514"/>
      <c r="L114" s="525"/>
      <c r="M114" s="514">
        <f t="shared" si="28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 ht="12.5">
      <c r="B115" s="195" t="str">
        <f t="shared" si="32"/>
        <v/>
      </c>
      <c r="C115" s="507">
        <f>IF(D93="","-",+C114+1)</f>
        <v>2025</v>
      </c>
      <c r="D115" s="374">
        <f>IF(F114+SUM(E$99:E114)=D$92,F114,D$92-SUM(E$99:E114))</f>
        <v>11328497.252734791</v>
      </c>
      <c r="E115" s="522">
        <f>IF(+J96&lt;F114,J96,D115)</f>
        <v>431011.75609756098</v>
      </c>
      <c r="F115" s="523">
        <f t="shared" si="41"/>
        <v>10897485.496637231</v>
      </c>
      <c r="G115" s="523">
        <f t="shared" si="42"/>
        <v>11112991.37468601</v>
      </c>
      <c r="H115" s="526">
        <f t="shared" si="43"/>
        <v>1692494.3746715193</v>
      </c>
      <c r="I115" s="577">
        <f t="shared" si="44"/>
        <v>1692494.3746715193</v>
      </c>
      <c r="J115" s="514">
        <f t="shared" si="26"/>
        <v>0</v>
      </c>
      <c r="K115" s="514"/>
      <c r="L115" s="525"/>
      <c r="M115" s="514">
        <f t="shared" si="28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 ht="12.5">
      <c r="B116" s="195" t="str">
        <f t="shared" si="32"/>
        <v/>
      </c>
      <c r="C116" s="507">
        <f>IF(D93="","-",+C115+1)</f>
        <v>2026</v>
      </c>
      <c r="D116" s="374">
        <f>IF(F115+SUM(E$99:E115)=D$92,F115,D$92-SUM(E$99:E115))</f>
        <v>10897485.496637231</v>
      </c>
      <c r="E116" s="522">
        <f>IF(+J96&lt;F115,J96,D116)</f>
        <v>431011.75609756098</v>
      </c>
      <c r="F116" s="523">
        <f t="shared" si="41"/>
        <v>10466473.74053967</v>
      </c>
      <c r="G116" s="523">
        <f t="shared" si="42"/>
        <v>10681979.618588451</v>
      </c>
      <c r="H116" s="526">
        <f t="shared" si="43"/>
        <v>1643568.4086209543</v>
      </c>
      <c r="I116" s="577">
        <f t="shared" si="44"/>
        <v>1643568.4086209543</v>
      </c>
      <c r="J116" s="514">
        <f t="shared" si="26"/>
        <v>0</v>
      </c>
      <c r="K116" s="514"/>
      <c r="L116" s="525"/>
      <c r="M116" s="514">
        <f t="shared" si="28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 ht="12.5">
      <c r="B117" s="195" t="str">
        <f t="shared" si="32"/>
        <v/>
      </c>
      <c r="C117" s="507">
        <f>IF(D93="","-",+C116+1)</f>
        <v>2027</v>
      </c>
      <c r="D117" s="374">
        <f>IF(F116+SUM(E$99:E116)=D$92,F116,D$92-SUM(E$99:E116))</f>
        <v>10466473.74053967</v>
      </c>
      <c r="E117" s="522">
        <f>IF(+J96&lt;F116,J96,D117)</f>
        <v>431011.75609756098</v>
      </c>
      <c r="F117" s="523">
        <f t="shared" si="41"/>
        <v>10035461.984442109</v>
      </c>
      <c r="G117" s="523">
        <f t="shared" si="42"/>
        <v>10250967.862490889</v>
      </c>
      <c r="H117" s="526">
        <f t="shared" si="43"/>
        <v>1594642.4425703888</v>
      </c>
      <c r="I117" s="577">
        <f t="shared" si="44"/>
        <v>1594642.4425703888</v>
      </c>
      <c r="J117" s="514">
        <f t="shared" si="26"/>
        <v>0</v>
      </c>
      <c r="K117" s="514"/>
      <c r="L117" s="525"/>
      <c r="M117" s="514">
        <f t="shared" si="28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 ht="12.5">
      <c r="B118" s="195" t="str">
        <f t="shared" si="32"/>
        <v/>
      </c>
      <c r="C118" s="507">
        <f>IF(D93="","-",+C117+1)</f>
        <v>2028</v>
      </c>
      <c r="D118" s="374">
        <f>IF(F117+SUM(E$99:E117)=D$92,F117,D$92-SUM(E$99:E117))</f>
        <v>10035461.984442109</v>
      </c>
      <c r="E118" s="522">
        <f>IF(+J96&lt;F117,J96,D118)</f>
        <v>431011.75609756098</v>
      </c>
      <c r="F118" s="523">
        <f t="shared" si="41"/>
        <v>9604450.2283445485</v>
      </c>
      <c r="G118" s="523">
        <f t="shared" si="42"/>
        <v>9819956.1063933298</v>
      </c>
      <c r="H118" s="526">
        <f t="shared" si="43"/>
        <v>1545716.476519824</v>
      </c>
      <c r="I118" s="577">
        <f t="shared" si="44"/>
        <v>1545716.476519824</v>
      </c>
      <c r="J118" s="514">
        <f t="shared" si="26"/>
        <v>0</v>
      </c>
      <c r="K118" s="514"/>
      <c r="L118" s="525"/>
      <c r="M118" s="514">
        <f t="shared" si="28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 ht="12.5">
      <c r="B119" s="195" t="str">
        <f t="shared" si="32"/>
        <v/>
      </c>
      <c r="C119" s="507">
        <f>IF(D93="","-",+C118+1)</f>
        <v>2029</v>
      </c>
      <c r="D119" s="374">
        <f>IF(F118+SUM(E$99:E118)=D$92,F118,D$92-SUM(E$99:E118))</f>
        <v>9604450.2283445485</v>
      </c>
      <c r="E119" s="522">
        <f>IF(+J96&lt;F118,J96,D119)</f>
        <v>431011.75609756098</v>
      </c>
      <c r="F119" s="523">
        <f t="shared" si="41"/>
        <v>9173438.4722469877</v>
      </c>
      <c r="G119" s="523">
        <f t="shared" si="42"/>
        <v>9388944.3502957672</v>
      </c>
      <c r="H119" s="526">
        <f t="shared" si="43"/>
        <v>1496790.5104692585</v>
      </c>
      <c r="I119" s="577">
        <f t="shared" si="44"/>
        <v>1496790.5104692585</v>
      </c>
      <c r="J119" s="514">
        <f t="shared" si="26"/>
        <v>0</v>
      </c>
      <c r="K119" s="514"/>
      <c r="L119" s="525"/>
      <c r="M119" s="514">
        <f t="shared" si="28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 ht="12.5">
      <c r="B120" s="195" t="str">
        <f t="shared" si="32"/>
        <v/>
      </c>
      <c r="C120" s="507">
        <f>IF(D93="","-",+C119+1)</f>
        <v>2030</v>
      </c>
      <c r="D120" s="374">
        <f>IF(F119+SUM(E$99:E119)=D$92,F119,D$92-SUM(E$99:E119))</f>
        <v>9173438.4722469877</v>
      </c>
      <c r="E120" s="522">
        <f>IF(+J96&lt;F119,J96,D120)</f>
        <v>431011.75609756098</v>
      </c>
      <c r="F120" s="523">
        <f t="shared" si="41"/>
        <v>8742426.716149427</v>
      </c>
      <c r="G120" s="523">
        <f t="shared" si="42"/>
        <v>8957932.5941982083</v>
      </c>
      <c r="H120" s="526">
        <f t="shared" si="43"/>
        <v>1447864.5444186935</v>
      </c>
      <c r="I120" s="577">
        <f t="shared" si="44"/>
        <v>1447864.5444186935</v>
      </c>
      <c r="J120" s="514">
        <f t="shared" si="26"/>
        <v>0</v>
      </c>
      <c r="K120" s="514"/>
      <c r="L120" s="525"/>
      <c r="M120" s="514">
        <f t="shared" si="28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 ht="12.5">
      <c r="B121" s="195" t="str">
        <f t="shared" si="32"/>
        <v/>
      </c>
      <c r="C121" s="507">
        <f>IF(D93="","-",+C120+1)</f>
        <v>2031</v>
      </c>
      <c r="D121" s="374">
        <f>IF(F120+SUM(E$99:E120)=D$92,F120,D$92-SUM(E$99:E120))</f>
        <v>8742426.716149427</v>
      </c>
      <c r="E121" s="522">
        <f>IF(+J96&lt;F120,J96,D121)</f>
        <v>431011.75609756098</v>
      </c>
      <c r="F121" s="523">
        <f t="shared" si="41"/>
        <v>8311414.9600518662</v>
      </c>
      <c r="G121" s="523">
        <f t="shared" si="42"/>
        <v>8526920.8381006457</v>
      </c>
      <c r="H121" s="526">
        <f t="shared" si="43"/>
        <v>1398938.5783681283</v>
      </c>
      <c r="I121" s="577">
        <f t="shared" si="44"/>
        <v>1398938.5783681283</v>
      </c>
      <c r="J121" s="514">
        <f t="shared" si="26"/>
        <v>0</v>
      </c>
      <c r="K121" s="514"/>
      <c r="L121" s="525"/>
      <c r="M121" s="514">
        <f t="shared" si="28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 ht="12.5">
      <c r="B122" s="195" t="str">
        <f t="shared" si="32"/>
        <v/>
      </c>
      <c r="C122" s="507">
        <f>IF(D93="","-",+C121+1)</f>
        <v>2032</v>
      </c>
      <c r="D122" s="374">
        <f>IF(F121+SUM(E$99:E121)=D$92,F121,D$92-SUM(E$99:E121))</f>
        <v>8311414.9600518662</v>
      </c>
      <c r="E122" s="522">
        <f>IF(+J96&lt;F121,J96,D122)</f>
        <v>431011.75609756098</v>
      </c>
      <c r="F122" s="523">
        <f t="shared" si="41"/>
        <v>7880403.2039543055</v>
      </c>
      <c r="G122" s="523">
        <f t="shared" si="42"/>
        <v>8095909.0820030859</v>
      </c>
      <c r="H122" s="526">
        <f t="shared" si="43"/>
        <v>1350012.612317563</v>
      </c>
      <c r="I122" s="577">
        <f t="shared" si="44"/>
        <v>1350012.612317563</v>
      </c>
      <c r="J122" s="514">
        <f t="shared" si="26"/>
        <v>0</v>
      </c>
      <c r="K122" s="514"/>
      <c r="L122" s="525"/>
      <c r="M122" s="514">
        <f t="shared" si="28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 ht="12.5">
      <c r="B123" s="195" t="str">
        <f t="shared" si="32"/>
        <v/>
      </c>
      <c r="C123" s="507">
        <f>IF(D93="","-",+C122+1)</f>
        <v>2033</v>
      </c>
      <c r="D123" s="374">
        <f>IF(F122+SUM(E$99:E122)=D$92,F122,D$92-SUM(E$99:E122))</f>
        <v>7880403.2039543055</v>
      </c>
      <c r="E123" s="522">
        <f>IF(+J96&lt;F122,J96,D123)</f>
        <v>431011.75609756098</v>
      </c>
      <c r="F123" s="523">
        <f t="shared" si="41"/>
        <v>7449391.4478567448</v>
      </c>
      <c r="G123" s="523">
        <f t="shared" si="42"/>
        <v>7664897.3259055251</v>
      </c>
      <c r="H123" s="526">
        <f t="shared" si="43"/>
        <v>1301086.646266998</v>
      </c>
      <c r="I123" s="577">
        <f t="shared" si="44"/>
        <v>1301086.646266998</v>
      </c>
      <c r="J123" s="514">
        <f t="shared" si="26"/>
        <v>0</v>
      </c>
      <c r="K123" s="514"/>
      <c r="L123" s="525"/>
      <c r="M123" s="514">
        <f t="shared" si="28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 ht="12.5">
      <c r="B124" s="195" t="str">
        <f t="shared" si="32"/>
        <v/>
      </c>
      <c r="C124" s="507">
        <f>IF(D93="","-",+C123+1)</f>
        <v>2034</v>
      </c>
      <c r="D124" s="374">
        <f>IF(F123+SUM(E$99:E123)=D$92,F123,D$92-SUM(E$99:E123))</f>
        <v>7449391.4478567448</v>
      </c>
      <c r="E124" s="522">
        <f>IF(+J96&lt;F123,J96,D124)</f>
        <v>431011.75609756098</v>
      </c>
      <c r="F124" s="523">
        <f t="shared" si="41"/>
        <v>7018379.691759184</v>
      </c>
      <c r="G124" s="523">
        <f t="shared" si="42"/>
        <v>7233885.5698079644</v>
      </c>
      <c r="H124" s="526">
        <f t="shared" si="43"/>
        <v>1252160.680216433</v>
      </c>
      <c r="I124" s="577">
        <f t="shared" si="44"/>
        <v>1252160.680216433</v>
      </c>
      <c r="J124" s="514">
        <f t="shared" si="26"/>
        <v>0</v>
      </c>
      <c r="K124" s="514"/>
      <c r="L124" s="525"/>
      <c r="M124" s="514">
        <f t="shared" si="28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 ht="12.5">
      <c r="B125" s="195" t="str">
        <f t="shared" si="32"/>
        <v/>
      </c>
      <c r="C125" s="507">
        <f>IF(D93="","-",+C124+1)</f>
        <v>2035</v>
      </c>
      <c r="D125" s="374">
        <f>IF(F124+SUM(E$99:E124)=D$92,F124,D$92-SUM(E$99:E124))</f>
        <v>7018379.691759184</v>
      </c>
      <c r="E125" s="522">
        <f>IF(+J96&lt;F124,J96,D125)</f>
        <v>431011.75609756098</v>
      </c>
      <c r="F125" s="523">
        <f t="shared" si="41"/>
        <v>6587367.9356616233</v>
      </c>
      <c r="G125" s="523">
        <f t="shared" si="42"/>
        <v>6802873.8137104036</v>
      </c>
      <c r="H125" s="526">
        <f t="shared" si="43"/>
        <v>1203234.7141658678</v>
      </c>
      <c r="I125" s="577">
        <f t="shared" si="44"/>
        <v>1203234.7141658678</v>
      </c>
      <c r="J125" s="514">
        <f t="shared" si="26"/>
        <v>0</v>
      </c>
      <c r="K125" s="514"/>
      <c r="L125" s="525"/>
      <c r="M125" s="514">
        <f t="shared" si="28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 ht="12.5">
      <c r="B126" s="195" t="str">
        <f t="shared" si="32"/>
        <v/>
      </c>
      <c r="C126" s="507">
        <f>IF(D93="","-",+C125+1)</f>
        <v>2036</v>
      </c>
      <c r="D126" s="374">
        <f>IF(F125+SUM(E$99:E125)=D$92,F125,D$92-SUM(E$99:E125))</f>
        <v>6587367.9356616233</v>
      </c>
      <c r="E126" s="522">
        <f>IF(+J96&lt;F125,J96,D126)</f>
        <v>431011.75609756098</v>
      </c>
      <c r="F126" s="523">
        <f t="shared" si="41"/>
        <v>6156356.1795640625</v>
      </c>
      <c r="G126" s="523">
        <f t="shared" si="42"/>
        <v>6371862.0576128429</v>
      </c>
      <c r="H126" s="526">
        <f t="shared" si="43"/>
        <v>1154308.7481153025</v>
      </c>
      <c r="I126" s="577">
        <f t="shared" si="44"/>
        <v>1154308.7481153025</v>
      </c>
      <c r="J126" s="514">
        <f t="shared" si="26"/>
        <v>0</v>
      </c>
      <c r="K126" s="514"/>
      <c r="L126" s="525"/>
      <c r="M126" s="514">
        <f t="shared" si="28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 ht="12.5">
      <c r="B127" s="195" t="str">
        <f t="shared" si="32"/>
        <v/>
      </c>
      <c r="C127" s="507">
        <f>IF(D93="","-",+C126+1)</f>
        <v>2037</v>
      </c>
      <c r="D127" s="374">
        <f>IF(F126+SUM(E$99:E126)=D$92,F126,D$92-SUM(E$99:E126))</f>
        <v>6156356.1795640625</v>
      </c>
      <c r="E127" s="522">
        <f>IF(+J96&lt;F126,J96,D127)</f>
        <v>431011.75609756098</v>
      </c>
      <c r="F127" s="523">
        <f t="shared" si="41"/>
        <v>5725344.4234665018</v>
      </c>
      <c r="G127" s="523">
        <f t="shared" si="42"/>
        <v>5940850.3015152821</v>
      </c>
      <c r="H127" s="526">
        <f t="shared" si="43"/>
        <v>1105382.7820647373</v>
      </c>
      <c r="I127" s="577">
        <f t="shared" si="44"/>
        <v>1105382.7820647373</v>
      </c>
      <c r="J127" s="514">
        <f t="shared" si="26"/>
        <v>0</v>
      </c>
      <c r="K127" s="514"/>
      <c r="L127" s="525"/>
      <c r="M127" s="514">
        <f t="shared" si="28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 ht="12.5">
      <c r="B128" s="195" t="str">
        <f t="shared" si="32"/>
        <v/>
      </c>
      <c r="C128" s="507">
        <f>IF(D93="","-",+C127+1)</f>
        <v>2038</v>
      </c>
      <c r="D128" s="374">
        <f>IF(F127+SUM(E$99:E127)=D$92,F127,D$92-SUM(E$99:E127))</f>
        <v>5725344.4234665018</v>
      </c>
      <c r="E128" s="522">
        <f>IF(+J96&lt;F127,J96,D128)</f>
        <v>431011.75609756098</v>
      </c>
      <c r="F128" s="523">
        <f t="shared" si="41"/>
        <v>5294332.667368941</v>
      </c>
      <c r="G128" s="523">
        <f t="shared" si="42"/>
        <v>5509838.5454177214</v>
      </c>
      <c r="H128" s="526">
        <f t="shared" si="43"/>
        <v>1056456.8160141723</v>
      </c>
      <c r="I128" s="577">
        <f t="shared" si="44"/>
        <v>1056456.8160141723</v>
      </c>
      <c r="J128" s="514">
        <f t="shared" si="26"/>
        <v>0</v>
      </c>
      <c r="K128" s="514"/>
      <c r="L128" s="525"/>
      <c r="M128" s="514">
        <f t="shared" si="28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 ht="12.5">
      <c r="B129" s="195" t="str">
        <f t="shared" si="32"/>
        <v/>
      </c>
      <c r="C129" s="507">
        <f>IF(D93="","-",+C128+1)</f>
        <v>2039</v>
      </c>
      <c r="D129" s="374">
        <f>IF(F128+SUM(E$99:E128)=D$92,F128,D$92-SUM(E$99:E128))</f>
        <v>5294332.667368941</v>
      </c>
      <c r="E129" s="522">
        <f>IF(+J96&lt;F128,J96,D129)</f>
        <v>431011.75609756098</v>
      </c>
      <c r="F129" s="523">
        <f t="shared" si="41"/>
        <v>4863320.9112713803</v>
      </c>
      <c r="G129" s="523">
        <f t="shared" si="42"/>
        <v>5078826.7893201606</v>
      </c>
      <c r="H129" s="526">
        <f t="shared" si="43"/>
        <v>1007530.8499636072</v>
      </c>
      <c r="I129" s="577">
        <f t="shared" si="44"/>
        <v>1007530.8499636072</v>
      </c>
      <c r="J129" s="514">
        <f t="shared" si="26"/>
        <v>0</v>
      </c>
      <c r="K129" s="514"/>
      <c r="L129" s="525"/>
      <c r="M129" s="514">
        <f t="shared" si="28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 ht="12.5">
      <c r="B130" s="195" t="str">
        <f t="shared" si="32"/>
        <v/>
      </c>
      <c r="C130" s="507">
        <f>IF(D93="","-",+C129+1)</f>
        <v>2040</v>
      </c>
      <c r="D130" s="374">
        <f>IF(F129+SUM(E$99:E129)=D$92,F129,D$92-SUM(E$99:E129))</f>
        <v>4863320.9112713803</v>
      </c>
      <c r="E130" s="522">
        <f>IF(+J96&lt;F129,J96,D130)</f>
        <v>431011.75609756098</v>
      </c>
      <c r="F130" s="523">
        <f t="shared" si="41"/>
        <v>4432309.1551738195</v>
      </c>
      <c r="G130" s="523">
        <f t="shared" si="42"/>
        <v>4647815.0332225999</v>
      </c>
      <c r="H130" s="526">
        <f t="shared" si="43"/>
        <v>958604.88391304191</v>
      </c>
      <c r="I130" s="577">
        <f t="shared" si="44"/>
        <v>958604.88391304191</v>
      </c>
      <c r="J130" s="514">
        <f t="shared" si="26"/>
        <v>0</v>
      </c>
      <c r="K130" s="514"/>
      <c r="L130" s="525"/>
      <c r="M130" s="514">
        <f t="shared" si="28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 ht="12.5">
      <c r="B131" s="195" t="str">
        <f t="shared" si="32"/>
        <v/>
      </c>
      <c r="C131" s="507">
        <f>IF(D93="","-",+C130+1)</f>
        <v>2041</v>
      </c>
      <c r="D131" s="374">
        <f>IF(F130+SUM(E$99:E130)=D$92,F130,D$92-SUM(E$99:E130))</f>
        <v>4432309.1551738195</v>
      </c>
      <c r="E131" s="522">
        <f>IF(+J96&lt;F130,J96,D131)</f>
        <v>431011.75609756098</v>
      </c>
      <c r="F131" s="523">
        <f t="shared" ref="F131:F154" si="45">+D131-E131</f>
        <v>4001297.3990762588</v>
      </c>
      <c r="G131" s="523">
        <f t="shared" ref="G131:G154" si="46">+(F131+D131)/2</f>
        <v>4216803.2771250391</v>
      </c>
      <c r="H131" s="526">
        <f t="shared" si="43"/>
        <v>909678.91786247678</v>
      </c>
      <c r="I131" s="577">
        <f t="shared" si="44"/>
        <v>909678.91786247678</v>
      </c>
      <c r="J131" s="514">
        <f t="shared" ref="J131:J154" si="47">+I131-H131</f>
        <v>0</v>
      </c>
      <c r="K131" s="514"/>
      <c r="L131" s="525"/>
      <c r="M131" s="514">
        <f t="shared" ref="M131:M154" si="48">IF(L131&lt;&gt;0,+H131-L131,0)</f>
        <v>0</v>
      </c>
      <c r="N131" s="525"/>
      <c r="O131" s="514">
        <f t="shared" ref="O131:O154" si="49">IF(N131&lt;&gt;0,+I131-N131,0)</f>
        <v>0</v>
      </c>
      <c r="P131" s="514">
        <f t="shared" ref="P131:P154" si="50">+O131-M131</f>
        <v>0</v>
      </c>
      <c r="Q131" s="269"/>
    </row>
    <row r="132" spans="2:17" ht="12.5">
      <c r="B132" s="195" t="str">
        <f t="shared" si="32"/>
        <v/>
      </c>
      <c r="C132" s="507">
        <f>IF(D93="","-",+C131+1)</f>
        <v>2042</v>
      </c>
      <c r="D132" s="374">
        <f>IF(F131+SUM(E$99:E131)=D$92,F131,D$92-SUM(E$99:E131))</f>
        <v>4001297.3990762588</v>
      </c>
      <c r="E132" s="522">
        <f>IF(+J96&lt;F131,J96,D132)</f>
        <v>431011.75609756098</v>
      </c>
      <c r="F132" s="523">
        <f t="shared" si="45"/>
        <v>3570285.642978698</v>
      </c>
      <c r="G132" s="523">
        <f t="shared" si="46"/>
        <v>3785791.5210274784</v>
      </c>
      <c r="H132" s="526">
        <f t="shared" si="43"/>
        <v>860752.95181191165</v>
      </c>
      <c r="I132" s="577">
        <f t="shared" si="44"/>
        <v>860752.95181191165</v>
      </c>
      <c r="J132" s="514">
        <f t="shared" si="47"/>
        <v>0</v>
      </c>
      <c r="K132" s="514"/>
      <c r="L132" s="525"/>
      <c r="M132" s="514">
        <f t="shared" si="48"/>
        <v>0</v>
      </c>
      <c r="N132" s="525"/>
      <c r="O132" s="514">
        <f t="shared" si="49"/>
        <v>0</v>
      </c>
      <c r="P132" s="514">
        <f t="shared" si="50"/>
        <v>0</v>
      </c>
      <c r="Q132" s="269"/>
    </row>
    <row r="133" spans="2:17" ht="12.5">
      <c r="B133" s="195" t="str">
        <f t="shared" si="32"/>
        <v/>
      </c>
      <c r="C133" s="507">
        <f>IF(D93="","-",+C132+1)</f>
        <v>2043</v>
      </c>
      <c r="D133" s="374">
        <f>IF(F132+SUM(E$99:E132)=D$92,F132,D$92-SUM(E$99:E132))</f>
        <v>3570285.642978698</v>
      </c>
      <c r="E133" s="522">
        <f>IF(+J96&lt;F132,J96,D133)</f>
        <v>431011.75609756098</v>
      </c>
      <c r="F133" s="523">
        <f t="shared" si="45"/>
        <v>3139273.8868811373</v>
      </c>
      <c r="G133" s="523">
        <f t="shared" si="46"/>
        <v>3354779.7649299176</v>
      </c>
      <c r="H133" s="526">
        <f t="shared" si="43"/>
        <v>811826.98576134653</v>
      </c>
      <c r="I133" s="577">
        <f t="shared" si="44"/>
        <v>811826.98576134653</v>
      </c>
      <c r="J133" s="514">
        <f t="shared" si="47"/>
        <v>0</v>
      </c>
      <c r="K133" s="514"/>
      <c r="L133" s="525"/>
      <c r="M133" s="514">
        <f t="shared" si="48"/>
        <v>0</v>
      </c>
      <c r="N133" s="525"/>
      <c r="O133" s="514">
        <f t="shared" si="49"/>
        <v>0</v>
      </c>
      <c r="P133" s="514">
        <f t="shared" si="50"/>
        <v>0</v>
      </c>
      <c r="Q133" s="269"/>
    </row>
    <row r="134" spans="2:17" ht="12.5">
      <c r="B134" s="195" t="str">
        <f t="shared" si="32"/>
        <v/>
      </c>
      <c r="C134" s="507">
        <f>IF(D93="","-",+C133+1)</f>
        <v>2044</v>
      </c>
      <c r="D134" s="374">
        <f>IF(F133+SUM(E$99:E133)=D$92,F133,D$92-SUM(E$99:E133))</f>
        <v>3139273.8868811373</v>
      </c>
      <c r="E134" s="522">
        <f>IF(+J96&lt;F133,J96,D134)</f>
        <v>431011.75609756098</v>
      </c>
      <c r="F134" s="523">
        <f t="shared" si="45"/>
        <v>2708262.1307835765</v>
      </c>
      <c r="G134" s="523">
        <f t="shared" si="46"/>
        <v>2923768.0088323569</v>
      </c>
      <c r="H134" s="526">
        <f t="shared" si="43"/>
        <v>762901.01971078129</v>
      </c>
      <c r="I134" s="577">
        <f t="shared" si="44"/>
        <v>762901.01971078129</v>
      </c>
      <c r="J134" s="514">
        <f t="shared" si="47"/>
        <v>0</v>
      </c>
      <c r="K134" s="514"/>
      <c r="L134" s="525"/>
      <c r="M134" s="514">
        <f t="shared" si="48"/>
        <v>0</v>
      </c>
      <c r="N134" s="525"/>
      <c r="O134" s="514">
        <f t="shared" si="49"/>
        <v>0</v>
      </c>
      <c r="P134" s="514">
        <f t="shared" si="50"/>
        <v>0</v>
      </c>
      <c r="Q134" s="269"/>
    </row>
    <row r="135" spans="2:17" ht="12.5">
      <c r="B135" s="195" t="str">
        <f t="shared" si="32"/>
        <v/>
      </c>
      <c r="C135" s="507">
        <f>IF(D93="","-",+C134+1)</f>
        <v>2045</v>
      </c>
      <c r="D135" s="374">
        <f>IF(F134+SUM(E$99:E134)=D$92,F134,D$92-SUM(E$99:E134))</f>
        <v>2708262.1307835765</v>
      </c>
      <c r="E135" s="522">
        <f>IF(+J96&lt;F134,J96,D135)</f>
        <v>431011.75609756098</v>
      </c>
      <c r="F135" s="523">
        <f t="shared" si="45"/>
        <v>2277250.3746860158</v>
      </c>
      <c r="G135" s="523">
        <f t="shared" si="46"/>
        <v>2492756.2527347961</v>
      </c>
      <c r="H135" s="526">
        <f t="shared" si="43"/>
        <v>713975.05366021616</v>
      </c>
      <c r="I135" s="577">
        <f t="shared" si="44"/>
        <v>713975.05366021616</v>
      </c>
      <c r="J135" s="514">
        <f t="shared" si="47"/>
        <v>0</v>
      </c>
      <c r="K135" s="514"/>
      <c r="L135" s="525"/>
      <c r="M135" s="514">
        <f t="shared" si="48"/>
        <v>0</v>
      </c>
      <c r="N135" s="525"/>
      <c r="O135" s="514">
        <f t="shared" si="49"/>
        <v>0</v>
      </c>
      <c r="P135" s="514">
        <f t="shared" si="50"/>
        <v>0</v>
      </c>
      <c r="Q135" s="269"/>
    </row>
    <row r="136" spans="2:17" ht="12.5">
      <c r="B136" s="195" t="str">
        <f t="shared" si="32"/>
        <v/>
      </c>
      <c r="C136" s="507">
        <f>IF(D93="","-",+C135+1)</f>
        <v>2046</v>
      </c>
      <c r="D136" s="374">
        <f>IF(F135+SUM(E$99:E135)=D$92,F135,D$92-SUM(E$99:E135))</f>
        <v>2277250.3746860158</v>
      </c>
      <c r="E136" s="522">
        <f>IF(+J96&lt;F135,J96,D136)</f>
        <v>431011.75609756098</v>
      </c>
      <c r="F136" s="523">
        <f t="shared" si="45"/>
        <v>1846238.6185884548</v>
      </c>
      <c r="G136" s="523">
        <f t="shared" si="46"/>
        <v>2061744.4966372354</v>
      </c>
      <c r="H136" s="526">
        <f t="shared" si="43"/>
        <v>665049.08760965103</v>
      </c>
      <c r="I136" s="577">
        <f t="shared" si="44"/>
        <v>665049.08760965103</v>
      </c>
      <c r="J136" s="514">
        <f t="shared" si="47"/>
        <v>0</v>
      </c>
      <c r="K136" s="514"/>
      <c r="L136" s="525"/>
      <c r="M136" s="514">
        <f t="shared" si="48"/>
        <v>0</v>
      </c>
      <c r="N136" s="525"/>
      <c r="O136" s="514">
        <f t="shared" si="49"/>
        <v>0</v>
      </c>
      <c r="P136" s="514">
        <f t="shared" si="50"/>
        <v>0</v>
      </c>
      <c r="Q136" s="269"/>
    </row>
    <row r="137" spans="2:17" ht="12.5">
      <c r="B137" s="195" t="str">
        <f t="shared" si="32"/>
        <v/>
      </c>
      <c r="C137" s="507">
        <f>IF(D93="","-",+C136+1)</f>
        <v>2047</v>
      </c>
      <c r="D137" s="374">
        <f>IF(F136+SUM(E$99:E136)=D$92,F136,D$92-SUM(E$99:E136))</f>
        <v>1846238.6185884548</v>
      </c>
      <c r="E137" s="522">
        <f>IF(+J96&lt;F136,J96,D137)</f>
        <v>431011.75609756098</v>
      </c>
      <c r="F137" s="523">
        <f t="shared" si="45"/>
        <v>1415226.8624908938</v>
      </c>
      <c r="G137" s="523">
        <f t="shared" si="46"/>
        <v>1630732.7405396742</v>
      </c>
      <c r="H137" s="526">
        <f t="shared" si="43"/>
        <v>616123.12155908579</v>
      </c>
      <c r="I137" s="577">
        <f t="shared" si="44"/>
        <v>616123.12155908579</v>
      </c>
      <c r="J137" s="514">
        <f t="shared" si="47"/>
        <v>0</v>
      </c>
      <c r="K137" s="514"/>
      <c r="L137" s="525"/>
      <c r="M137" s="514">
        <f t="shared" si="48"/>
        <v>0</v>
      </c>
      <c r="N137" s="525"/>
      <c r="O137" s="514">
        <f t="shared" si="49"/>
        <v>0</v>
      </c>
      <c r="P137" s="514">
        <f t="shared" si="50"/>
        <v>0</v>
      </c>
      <c r="Q137" s="269"/>
    </row>
    <row r="138" spans="2:17" ht="12.5">
      <c r="B138" s="195" t="str">
        <f t="shared" si="32"/>
        <v/>
      </c>
      <c r="C138" s="507">
        <f>IF(D93="","-",+C137+1)</f>
        <v>2048</v>
      </c>
      <c r="D138" s="374">
        <f>IF(F137+SUM(E$99:E137)=D$92,F137,D$92-SUM(E$99:E137))</f>
        <v>1415226.8624908938</v>
      </c>
      <c r="E138" s="522">
        <f>IF(+J96&lt;F137,J96,D138)</f>
        <v>431011.75609756098</v>
      </c>
      <c r="F138" s="523">
        <f t="shared" si="45"/>
        <v>984215.10639333283</v>
      </c>
      <c r="G138" s="523">
        <f t="shared" si="46"/>
        <v>1199720.9844421134</v>
      </c>
      <c r="H138" s="526">
        <f t="shared" si="43"/>
        <v>567197.15550852066</v>
      </c>
      <c r="I138" s="577">
        <f t="shared" si="44"/>
        <v>567197.15550852066</v>
      </c>
      <c r="J138" s="514">
        <f t="shared" si="47"/>
        <v>0</v>
      </c>
      <c r="K138" s="514"/>
      <c r="L138" s="525"/>
      <c r="M138" s="514">
        <f t="shared" si="48"/>
        <v>0</v>
      </c>
      <c r="N138" s="525"/>
      <c r="O138" s="514">
        <f t="shared" si="49"/>
        <v>0</v>
      </c>
      <c r="P138" s="514">
        <f t="shared" si="50"/>
        <v>0</v>
      </c>
      <c r="Q138" s="269"/>
    </row>
    <row r="139" spans="2:17" ht="12.5">
      <c r="B139" s="195" t="str">
        <f t="shared" si="32"/>
        <v/>
      </c>
      <c r="C139" s="507">
        <f>IF(D93="","-",+C138+1)</f>
        <v>2049</v>
      </c>
      <c r="D139" s="374">
        <f>IF(F138+SUM(E$99:E138)=D$92,F138,D$92-SUM(E$99:E138))</f>
        <v>984215.10639333283</v>
      </c>
      <c r="E139" s="522">
        <f>IF(+J96&lt;F138,J96,D139)</f>
        <v>431011.75609756098</v>
      </c>
      <c r="F139" s="523">
        <f t="shared" si="45"/>
        <v>553203.35029577184</v>
      </c>
      <c r="G139" s="523">
        <f t="shared" si="46"/>
        <v>768709.22834455234</v>
      </c>
      <c r="H139" s="526">
        <f t="shared" si="43"/>
        <v>518271.18945795548</v>
      </c>
      <c r="I139" s="577">
        <f t="shared" si="44"/>
        <v>518271.18945795548</v>
      </c>
      <c r="J139" s="514">
        <f t="shared" si="47"/>
        <v>0</v>
      </c>
      <c r="K139" s="514"/>
      <c r="L139" s="525"/>
      <c r="M139" s="514">
        <f t="shared" si="48"/>
        <v>0</v>
      </c>
      <c r="N139" s="525"/>
      <c r="O139" s="514">
        <f t="shared" si="49"/>
        <v>0</v>
      </c>
      <c r="P139" s="514">
        <f t="shared" si="50"/>
        <v>0</v>
      </c>
      <c r="Q139" s="269"/>
    </row>
    <row r="140" spans="2:17" ht="12.5">
      <c r="B140" s="195" t="str">
        <f t="shared" si="32"/>
        <v/>
      </c>
      <c r="C140" s="507">
        <f>IF(D93="","-",+C139+1)</f>
        <v>2050</v>
      </c>
      <c r="D140" s="374">
        <f>IF(F139+SUM(E$99:E139)=D$92,F139,D$92-SUM(E$99:E139))</f>
        <v>553203.35029577184</v>
      </c>
      <c r="E140" s="522">
        <f>IF(+J96&lt;F139,J96,D140)</f>
        <v>431011.75609756098</v>
      </c>
      <c r="F140" s="523">
        <f t="shared" si="45"/>
        <v>122191.59419821086</v>
      </c>
      <c r="G140" s="523">
        <f t="shared" si="46"/>
        <v>337697.47224699135</v>
      </c>
      <c r="H140" s="526">
        <f t="shared" si="43"/>
        <v>469345.22340739029</v>
      </c>
      <c r="I140" s="577">
        <f t="shared" si="44"/>
        <v>469345.22340739029</v>
      </c>
      <c r="J140" s="514">
        <f t="shared" si="47"/>
        <v>0</v>
      </c>
      <c r="K140" s="514"/>
      <c r="L140" s="525"/>
      <c r="M140" s="514">
        <f t="shared" si="48"/>
        <v>0</v>
      </c>
      <c r="N140" s="525"/>
      <c r="O140" s="514">
        <f t="shared" si="49"/>
        <v>0</v>
      </c>
      <c r="P140" s="514">
        <f t="shared" si="50"/>
        <v>0</v>
      </c>
      <c r="Q140" s="269"/>
    </row>
    <row r="141" spans="2:17" ht="12.5">
      <c r="B141" s="195" t="str">
        <f t="shared" si="32"/>
        <v/>
      </c>
      <c r="C141" s="507">
        <f>IF(D93="","-",+C140+1)</f>
        <v>2051</v>
      </c>
      <c r="D141" s="374">
        <f>IF(F140+SUM(E$99:E140)=D$92,F140,D$92-SUM(E$99:E140))</f>
        <v>122191.59419821086</v>
      </c>
      <c r="E141" s="522">
        <f>IF(+J96&lt;F140,J96,D141)</f>
        <v>122191.59419821086</v>
      </c>
      <c r="F141" s="523">
        <f t="shared" si="45"/>
        <v>0</v>
      </c>
      <c r="G141" s="523">
        <f t="shared" si="46"/>
        <v>61095.797099105432</v>
      </c>
      <c r="H141" s="526">
        <f t="shared" si="43"/>
        <v>129126.83634048422</v>
      </c>
      <c r="I141" s="577">
        <f t="shared" si="44"/>
        <v>129126.83634048422</v>
      </c>
      <c r="J141" s="514">
        <f t="shared" si="47"/>
        <v>0</v>
      </c>
      <c r="K141" s="514"/>
      <c r="L141" s="525"/>
      <c r="M141" s="514">
        <f t="shared" si="48"/>
        <v>0</v>
      </c>
      <c r="N141" s="525"/>
      <c r="O141" s="514">
        <f t="shared" si="49"/>
        <v>0</v>
      </c>
      <c r="P141" s="514">
        <f t="shared" si="50"/>
        <v>0</v>
      </c>
      <c r="Q141" s="269"/>
    </row>
    <row r="142" spans="2:17" ht="12.5">
      <c r="B142" s="195" t="str">
        <f t="shared" si="32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5"/>
        <v>0</v>
      </c>
      <c r="G142" s="523">
        <f t="shared" si="46"/>
        <v>0</v>
      </c>
      <c r="H142" s="526">
        <f t="shared" si="43"/>
        <v>0</v>
      </c>
      <c r="I142" s="577">
        <f t="shared" si="44"/>
        <v>0</v>
      </c>
      <c r="J142" s="514">
        <f t="shared" si="47"/>
        <v>0</v>
      </c>
      <c r="K142" s="514"/>
      <c r="L142" s="525"/>
      <c r="M142" s="514">
        <f t="shared" si="48"/>
        <v>0</v>
      </c>
      <c r="N142" s="525"/>
      <c r="O142" s="514">
        <f t="shared" si="49"/>
        <v>0</v>
      </c>
      <c r="P142" s="514">
        <f t="shared" si="50"/>
        <v>0</v>
      </c>
      <c r="Q142" s="269"/>
    </row>
    <row r="143" spans="2:17" ht="12.5">
      <c r="B143" s="195" t="str">
        <f t="shared" si="32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5"/>
        <v>0</v>
      </c>
      <c r="G143" s="523">
        <f t="shared" si="46"/>
        <v>0</v>
      </c>
      <c r="H143" s="526">
        <f t="shared" si="43"/>
        <v>0</v>
      </c>
      <c r="I143" s="577">
        <f t="shared" si="44"/>
        <v>0</v>
      </c>
      <c r="J143" s="514">
        <f t="shared" si="47"/>
        <v>0</v>
      </c>
      <c r="K143" s="514"/>
      <c r="L143" s="525"/>
      <c r="M143" s="514">
        <f t="shared" si="48"/>
        <v>0</v>
      </c>
      <c r="N143" s="525"/>
      <c r="O143" s="514">
        <f t="shared" si="49"/>
        <v>0</v>
      </c>
      <c r="P143" s="514">
        <f t="shared" si="50"/>
        <v>0</v>
      </c>
      <c r="Q143" s="269"/>
    </row>
    <row r="144" spans="2:17" ht="12.5">
      <c r="B144" s="195" t="str">
        <f t="shared" si="32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5"/>
        <v>0</v>
      </c>
      <c r="G144" s="523">
        <f t="shared" si="46"/>
        <v>0</v>
      </c>
      <c r="H144" s="526">
        <f t="shared" si="43"/>
        <v>0</v>
      </c>
      <c r="I144" s="577">
        <f t="shared" si="44"/>
        <v>0</v>
      </c>
      <c r="J144" s="514">
        <f t="shared" si="47"/>
        <v>0</v>
      </c>
      <c r="K144" s="514"/>
      <c r="L144" s="525"/>
      <c r="M144" s="514">
        <f t="shared" si="48"/>
        <v>0</v>
      </c>
      <c r="N144" s="525"/>
      <c r="O144" s="514">
        <f t="shared" si="49"/>
        <v>0</v>
      </c>
      <c r="P144" s="514">
        <f t="shared" si="50"/>
        <v>0</v>
      </c>
      <c r="Q144" s="269"/>
    </row>
    <row r="145" spans="2:17" ht="12.5">
      <c r="B145" s="195" t="str">
        <f t="shared" si="32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5"/>
        <v>0</v>
      </c>
      <c r="G145" s="523">
        <f t="shared" si="46"/>
        <v>0</v>
      </c>
      <c r="H145" s="526">
        <f t="shared" si="43"/>
        <v>0</v>
      </c>
      <c r="I145" s="577">
        <f t="shared" si="44"/>
        <v>0</v>
      </c>
      <c r="J145" s="514">
        <f t="shared" si="47"/>
        <v>0</v>
      </c>
      <c r="K145" s="514"/>
      <c r="L145" s="525"/>
      <c r="M145" s="514">
        <f t="shared" si="48"/>
        <v>0</v>
      </c>
      <c r="N145" s="525"/>
      <c r="O145" s="514">
        <f t="shared" si="49"/>
        <v>0</v>
      </c>
      <c r="P145" s="514">
        <f t="shared" si="50"/>
        <v>0</v>
      </c>
      <c r="Q145" s="269"/>
    </row>
    <row r="146" spans="2:17" ht="12.5">
      <c r="B146" s="195" t="str">
        <f t="shared" si="32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5"/>
        <v>0</v>
      </c>
      <c r="G146" s="523">
        <f t="shared" si="46"/>
        <v>0</v>
      </c>
      <c r="H146" s="526">
        <f t="shared" si="43"/>
        <v>0</v>
      </c>
      <c r="I146" s="577">
        <f t="shared" si="44"/>
        <v>0</v>
      </c>
      <c r="J146" s="514">
        <f t="shared" si="47"/>
        <v>0</v>
      </c>
      <c r="K146" s="514"/>
      <c r="L146" s="525"/>
      <c r="M146" s="514">
        <f t="shared" si="48"/>
        <v>0</v>
      </c>
      <c r="N146" s="525"/>
      <c r="O146" s="514">
        <f t="shared" si="49"/>
        <v>0</v>
      </c>
      <c r="P146" s="514">
        <f t="shared" si="50"/>
        <v>0</v>
      </c>
      <c r="Q146" s="269"/>
    </row>
    <row r="147" spans="2:17" ht="12.5">
      <c r="B147" s="195" t="str">
        <f t="shared" si="32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5"/>
        <v>0</v>
      </c>
      <c r="G147" s="523">
        <f t="shared" si="46"/>
        <v>0</v>
      </c>
      <c r="H147" s="526">
        <f t="shared" si="43"/>
        <v>0</v>
      </c>
      <c r="I147" s="577">
        <f t="shared" si="44"/>
        <v>0</v>
      </c>
      <c r="J147" s="514">
        <f t="shared" si="47"/>
        <v>0</v>
      </c>
      <c r="K147" s="514"/>
      <c r="L147" s="525"/>
      <c r="M147" s="514">
        <f t="shared" si="48"/>
        <v>0</v>
      </c>
      <c r="N147" s="525"/>
      <c r="O147" s="514">
        <f t="shared" si="49"/>
        <v>0</v>
      </c>
      <c r="P147" s="514">
        <f t="shared" si="50"/>
        <v>0</v>
      </c>
      <c r="Q147" s="269"/>
    </row>
    <row r="148" spans="2:17" ht="12.5">
      <c r="B148" s="195" t="str">
        <f t="shared" si="32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5"/>
        <v>0</v>
      </c>
      <c r="G148" s="523">
        <f t="shared" si="46"/>
        <v>0</v>
      </c>
      <c r="H148" s="526">
        <f t="shared" si="43"/>
        <v>0</v>
      </c>
      <c r="I148" s="577">
        <f t="shared" si="44"/>
        <v>0</v>
      </c>
      <c r="J148" s="514">
        <f t="shared" si="47"/>
        <v>0</v>
      </c>
      <c r="K148" s="514"/>
      <c r="L148" s="525"/>
      <c r="M148" s="514">
        <f t="shared" si="48"/>
        <v>0</v>
      </c>
      <c r="N148" s="525"/>
      <c r="O148" s="514">
        <f t="shared" si="49"/>
        <v>0</v>
      </c>
      <c r="P148" s="514">
        <f t="shared" si="50"/>
        <v>0</v>
      </c>
      <c r="Q148" s="269"/>
    </row>
    <row r="149" spans="2:17" ht="12.5">
      <c r="B149" s="195" t="str">
        <f t="shared" si="32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5"/>
        <v>0</v>
      </c>
      <c r="G149" s="523">
        <f t="shared" si="46"/>
        <v>0</v>
      </c>
      <c r="H149" s="526">
        <f t="shared" si="43"/>
        <v>0</v>
      </c>
      <c r="I149" s="577">
        <f t="shared" si="44"/>
        <v>0</v>
      </c>
      <c r="J149" s="514">
        <f t="shared" si="47"/>
        <v>0</v>
      </c>
      <c r="K149" s="514"/>
      <c r="L149" s="525"/>
      <c r="M149" s="514">
        <f t="shared" si="48"/>
        <v>0</v>
      </c>
      <c r="N149" s="525"/>
      <c r="O149" s="514">
        <f t="shared" si="49"/>
        <v>0</v>
      </c>
      <c r="P149" s="514">
        <f t="shared" si="50"/>
        <v>0</v>
      </c>
      <c r="Q149" s="269"/>
    </row>
    <row r="150" spans="2:17" ht="12.5">
      <c r="B150" s="195" t="str">
        <f t="shared" si="32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5"/>
        <v>0</v>
      </c>
      <c r="G150" s="523">
        <f t="shared" si="46"/>
        <v>0</v>
      </c>
      <c r="H150" s="526">
        <f t="shared" si="43"/>
        <v>0</v>
      </c>
      <c r="I150" s="577">
        <f t="shared" si="44"/>
        <v>0</v>
      </c>
      <c r="J150" s="514">
        <f t="shared" si="47"/>
        <v>0</v>
      </c>
      <c r="K150" s="514"/>
      <c r="L150" s="525"/>
      <c r="M150" s="514">
        <f t="shared" si="48"/>
        <v>0</v>
      </c>
      <c r="N150" s="525"/>
      <c r="O150" s="514">
        <f t="shared" si="49"/>
        <v>0</v>
      </c>
      <c r="P150" s="514">
        <f t="shared" si="50"/>
        <v>0</v>
      </c>
      <c r="Q150" s="269"/>
    </row>
    <row r="151" spans="2:17" ht="12.5">
      <c r="B151" s="195" t="str">
        <f t="shared" si="32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5"/>
        <v>0</v>
      </c>
      <c r="G151" s="523">
        <f t="shared" si="46"/>
        <v>0</v>
      </c>
      <c r="H151" s="526">
        <f t="shared" si="43"/>
        <v>0</v>
      </c>
      <c r="I151" s="577">
        <f t="shared" si="44"/>
        <v>0</v>
      </c>
      <c r="J151" s="514">
        <f t="shared" si="47"/>
        <v>0</v>
      </c>
      <c r="K151" s="514"/>
      <c r="L151" s="525"/>
      <c r="M151" s="514">
        <f t="shared" si="48"/>
        <v>0</v>
      </c>
      <c r="N151" s="525"/>
      <c r="O151" s="514">
        <f t="shared" si="49"/>
        <v>0</v>
      </c>
      <c r="P151" s="514">
        <f t="shared" si="50"/>
        <v>0</v>
      </c>
      <c r="Q151" s="269"/>
    </row>
    <row r="152" spans="2:17" ht="12.5">
      <c r="B152" s="195" t="str">
        <f t="shared" si="32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5"/>
        <v>0</v>
      </c>
      <c r="G152" s="523">
        <f t="shared" si="46"/>
        <v>0</v>
      </c>
      <c r="H152" s="526">
        <f t="shared" si="43"/>
        <v>0</v>
      </c>
      <c r="I152" s="577">
        <f t="shared" si="44"/>
        <v>0</v>
      </c>
      <c r="J152" s="514">
        <f t="shared" si="47"/>
        <v>0</v>
      </c>
      <c r="K152" s="514"/>
      <c r="L152" s="525"/>
      <c r="M152" s="514">
        <f t="shared" si="48"/>
        <v>0</v>
      </c>
      <c r="N152" s="525"/>
      <c r="O152" s="514">
        <f t="shared" si="49"/>
        <v>0</v>
      </c>
      <c r="P152" s="514">
        <f t="shared" si="50"/>
        <v>0</v>
      </c>
      <c r="Q152" s="269"/>
    </row>
    <row r="153" spans="2:17" ht="12.5">
      <c r="B153" s="195" t="str">
        <f t="shared" si="32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5"/>
        <v>0</v>
      </c>
      <c r="G153" s="523">
        <f t="shared" si="46"/>
        <v>0</v>
      </c>
      <c r="H153" s="526">
        <f t="shared" si="43"/>
        <v>0</v>
      </c>
      <c r="I153" s="577">
        <f t="shared" si="44"/>
        <v>0</v>
      </c>
      <c r="J153" s="514">
        <f t="shared" si="47"/>
        <v>0</v>
      </c>
      <c r="K153" s="514"/>
      <c r="L153" s="525"/>
      <c r="M153" s="514">
        <f t="shared" si="48"/>
        <v>0</v>
      </c>
      <c r="N153" s="525"/>
      <c r="O153" s="514">
        <f t="shared" si="49"/>
        <v>0</v>
      </c>
      <c r="P153" s="514">
        <f t="shared" si="50"/>
        <v>0</v>
      </c>
      <c r="Q153" s="269"/>
    </row>
    <row r="154" spans="2:17" ht="13" thickBot="1">
      <c r="B154" s="195" t="str">
        <f t="shared" si="32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5"/>
        <v>0</v>
      </c>
      <c r="G154" s="528">
        <f t="shared" si="46"/>
        <v>0</v>
      </c>
      <c r="H154" s="530">
        <f t="shared" si="43"/>
        <v>0</v>
      </c>
      <c r="I154" s="579">
        <f t="shared" si="44"/>
        <v>0</v>
      </c>
      <c r="J154" s="533">
        <f t="shared" si="47"/>
        <v>0</v>
      </c>
      <c r="K154" s="514"/>
      <c r="L154" s="532"/>
      <c r="M154" s="533">
        <f t="shared" si="48"/>
        <v>0</v>
      </c>
      <c r="N154" s="532"/>
      <c r="O154" s="533">
        <f t="shared" si="49"/>
        <v>0</v>
      </c>
      <c r="P154" s="533">
        <f t="shared" si="50"/>
        <v>0</v>
      </c>
      <c r="Q154" s="269"/>
    </row>
    <row r="155" spans="2:17" ht="12.5">
      <c r="C155" s="374" t="s">
        <v>78</v>
      </c>
      <c r="D155" s="375"/>
      <c r="E155" s="375">
        <f>SUM(E99:E154)</f>
        <v>17671482.000000007</v>
      </c>
      <c r="F155" s="375"/>
      <c r="G155" s="375"/>
      <c r="H155" s="375">
        <f>SUM(H99:H154)</f>
        <v>63270029.732555918</v>
      </c>
      <c r="I155" s="375">
        <f>SUM(I99:I154)</f>
        <v>63270029.732555918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9" priority="1" stopIfTrue="1" operator="equal">
      <formula>$I$10</formula>
    </cfRule>
  </conditionalFormatting>
  <conditionalFormatting sqref="C99:C154">
    <cfRule type="cellIs" dxfId="15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86"/>
  <dimension ref="A1:Q162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37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606058.35081928712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606058.35081928712</v>
      </c>
      <c r="O6" s="269"/>
      <c r="P6" s="269"/>
    </row>
    <row r="7" spans="1:17" ht="13.5" thickBot="1">
      <c r="C7" s="467" t="s">
        <v>48</v>
      </c>
      <c r="D7" s="624" t="s">
        <v>301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300</v>
      </c>
      <c r="E9" s="666" t="s">
        <v>498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5048526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120203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4585200</v>
      </c>
      <c r="E17" s="627">
        <v>54585.71428571429</v>
      </c>
      <c r="F17" s="626">
        <v>4530614.2857142854</v>
      </c>
      <c r="G17" s="627">
        <v>688813.18815380184</v>
      </c>
      <c r="H17" s="610">
        <v>688813.18815380184</v>
      </c>
      <c r="I17" s="616">
        <v>0</v>
      </c>
      <c r="J17" s="511"/>
      <c r="K17" s="512">
        <f t="shared" ref="K17:K22" si="0">G17</f>
        <v>688813.18815380184</v>
      </c>
      <c r="L17" s="597">
        <f t="shared" ref="L17:L22" si="1">IF(K17&lt;&gt;0,+G17-K17,0)</f>
        <v>0</v>
      </c>
      <c r="M17" s="512">
        <f t="shared" ref="M17:M22" si="2">H17</f>
        <v>688813.18815380184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4530614.2857142854</v>
      </c>
      <c r="E18" s="609">
        <v>120194.88095238095</v>
      </c>
      <c r="F18" s="626">
        <v>4410419.4047619049</v>
      </c>
      <c r="G18" s="609">
        <v>715206.80444444832</v>
      </c>
      <c r="H18" s="610">
        <v>715206.80444444832</v>
      </c>
      <c r="I18" s="616">
        <v>0</v>
      </c>
      <c r="J18" s="511"/>
      <c r="K18" s="518">
        <f t="shared" si="0"/>
        <v>715206.80444444832</v>
      </c>
      <c r="L18" s="519">
        <f t="shared" si="1"/>
        <v>0</v>
      </c>
      <c r="M18" s="518">
        <f t="shared" si="2"/>
        <v>715206.80444444832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4410419.4047619049</v>
      </c>
      <c r="E19" s="609">
        <v>120203</v>
      </c>
      <c r="F19" s="626">
        <v>4290216.4047619049</v>
      </c>
      <c r="G19" s="609">
        <v>685245.09772932425</v>
      </c>
      <c r="H19" s="610">
        <v>685245.09772932425</v>
      </c>
      <c r="I19" s="511">
        <v>0</v>
      </c>
      <c r="J19" s="511"/>
      <c r="K19" s="518">
        <f t="shared" si="0"/>
        <v>685245.09772932425</v>
      </c>
      <c r="L19" s="519">
        <f t="shared" si="1"/>
        <v>0</v>
      </c>
      <c r="M19" s="518">
        <f t="shared" si="2"/>
        <v>685245.09772932425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4753542.4047619049</v>
      </c>
      <c r="E20" s="609">
        <v>120203</v>
      </c>
      <c r="F20" s="626">
        <v>4633339.4047619049</v>
      </c>
      <c r="G20" s="609">
        <v>722907.67402559891</v>
      </c>
      <c r="H20" s="610">
        <v>722907.67402559891</v>
      </c>
      <c r="I20" s="511">
        <f>H20-G20</f>
        <v>0</v>
      </c>
      <c r="J20" s="511"/>
      <c r="K20" s="518">
        <f t="shared" si="0"/>
        <v>722907.67402559891</v>
      </c>
      <c r="L20" s="519">
        <f t="shared" si="1"/>
        <v>0</v>
      </c>
      <c r="M20" s="518">
        <f t="shared" si="2"/>
        <v>722907.67402559891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4633339.4047619049</v>
      </c>
      <c r="E21" s="609">
        <v>117407.58139534884</v>
      </c>
      <c r="F21" s="626">
        <v>4515931.8233665563</v>
      </c>
      <c r="G21" s="609">
        <v>684170.77799365029</v>
      </c>
      <c r="H21" s="610">
        <v>684170.77799365029</v>
      </c>
      <c r="I21" s="511">
        <f t="shared" ref="I21:I72" si="6">H21-G21</f>
        <v>0</v>
      </c>
      <c r="J21" s="511"/>
      <c r="K21" s="518">
        <f t="shared" si="0"/>
        <v>684170.77799365029</v>
      </c>
      <c r="L21" s="519">
        <f t="shared" si="1"/>
        <v>0</v>
      </c>
      <c r="M21" s="518">
        <f t="shared" si="2"/>
        <v>684170.77799365029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4515931.8233665563</v>
      </c>
      <c r="E22" s="609">
        <v>123134.78048780488</v>
      </c>
      <c r="F22" s="626">
        <v>4392797.0428787516</v>
      </c>
      <c r="G22" s="609">
        <v>689258.21441361541</v>
      </c>
      <c r="H22" s="610">
        <v>689258.21441361541</v>
      </c>
      <c r="I22" s="511">
        <f t="shared" si="6"/>
        <v>0</v>
      </c>
      <c r="J22" s="511"/>
      <c r="K22" s="518">
        <f t="shared" si="0"/>
        <v>689258.21441361541</v>
      </c>
      <c r="L22" s="519">
        <f t="shared" si="1"/>
        <v>0</v>
      </c>
      <c r="M22" s="518">
        <f t="shared" si="2"/>
        <v>689258.21441361541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4392797.0428787516</v>
      </c>
      <c r="E23" s="609">
        <v>123134.78048780488</v>
      </c>
      <c r="F23" s="626">
        <v>4269662.262390947</v>
      </c>
      <c r="G23" s="609">
        <v>673608.51044078905</v>
      </c>
      <c r="H23" s="610">
        <v>673608.51044078905</v>
      </c>
      <c r="I23" s="511">
        <f t="shared" si="6"/>
        <v>0</v>
      </c>
      <c r="J23" s="511"/>
      <c r="K23" s="518">
        <f t="shared" ref="K23" si="7">G23</f>
        <v>673608.51044078905</v>
      </c>
      <c r="L23" s="519">
        <f t="shared" ref="L23" si="8">IF(K23&lt;&gt;0,+G23-K23,0)</f>
        <v>0</v>
      </c>
      <c r="M23" s="518">
        <f t="shared" ref="M23" si="9">H23</f>
        <v>673608.51044078905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4269662.262390947</v>
      </c>
      <c r="E24" s="609">
        <v>123134.78048780488</v>
      </c>
      <c r="F24" s="626">
        <v>4146527.4819031423</v>
      </c>
      <c r="G24" s="609">
        <v>553772.08511902799</v>
      </c>
      <c r="H24" s="610">
        <v>553772.08511902799</v>
      </c>
      <c r="I24" s="511">
        <f t="shared" si="6"/>
        <v>0</v>
      </c>
      <c r="J24" s="511"/>
      <c r="K24" s="518">
        <f t="shared" ref="K24" si="12">G24</f>
        <v>553772.08511902799</v>
      </c>
      <c r="L24" s="519">
        <f t="shared" ref="L24" si="13">IF(K24&lt;&gt;0,+G24-K24,0)</f>
        <v>0</v>
      </c>
      <c r="M24" s="518">
        <f t="shared" ref="M24" si="14">H24</f>
        <v>553772.08511902799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26">
        <v>4152254.680995597</v>
      </c>
      <c r="E25" s="609">
        <v>120203</v>
      </c>
      <c r="F25" s="626">
        <v>4032051.680995597</v>
      </c>
      <c r="G25" s="609">
        <v>553989.83619615703</v>
      </c>
      <c r="H25" s="610">
        <v>553989.83619615703</v>
      </c>
      <c r="I25" s="511">
        <f t="shared" si="6"/>
        <v>0</v>
      </c>
      <c r="J25" s="511"/>
      <c r="K25" s="518">
        <f t="shared" ref="K25" si="15">G25</f>
        <v>553989.83619615703</v>
      </c>
      <c r="L25" s="519">
        <f t="shared" ref="L25" si="16">IF(K25&lt;&gt;0,+G25-K25,0)</f>
        <v>0</v>
      </c>
      <c r="M25" s="518">
        <f t="shared" ref="M25" si="17">H25</f>
        <v>553989.83619615703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26">
        <v>4026324.4819031414</v>
      </c>
      <c r="E26" s="609">
        <v>120203</v>
      </c>
      <c r="F26" s="626">
        <v>3906121.4819031414</v>
      </c>
      <c r="G26" s="609">
        <v>566181.36123697727</v>
      </c>
      <c r="H26" s="610">
        <v>566181.36123697727</v>
      </c>
      <c r="I26" s="511">
        <f t="shared" si="6"/>
        <v>0</v>
      </c>
      <c r="J26" s="511"/>
      <c r="K26" s="518">
        <f t="shared" ref="K26" si="18">G26</f>
        <v>566181.36123697727</v>
      </c>
      <c r="L26" s="519">
        <f t="shared" ref="L26" si="19">IF(K26&lt;&gt;0,+G26-K26,0)</f>
        <v>0</v>
      </c>
      <c r="M26" s="518">
        <f t="shared" ref="M26" si="20">H26</f>
        <v>566181.36123697727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3906121.4819031414</v>
      </c>
      <c r="E27" s="522">
        <f t="shared" ref="E27:E72" si="21">IF(+$I$14&lt;F26,$I$14,D27)</f>
        <v>120203</v>
      </c>
      <c r="F27" s="523">
        <f t="shared" ref="F27:F72" si="22">+D27-E27</f>
        <v>3785918.4819031414</v>
      </c>
      <c r="G27" s="524">
        <f t="shared" ref="G27:G52" si="23">+I$12*((D27+F27)/2)+E27</f>
        <v>606058.35081928712</v>
      </c>
      <c r="H27" s="491">
        <f t="shared" ref="H27:H52" si="24">+I$13*((D27+F27)/2)+E27</f>
        <v>606058.35081928712</v>
      </c>
      <c r="I27" s="511">
        <f t="shared" si="6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3785918.4819031414</v>
      </c>
      <c r="E28" s="522">
        <f t="shared" si="21"/>
        <v>120203</v>
      </c>
      <c r="F28" s="523">
        <f t="shared" si="22"/>
        <v>3665715.4819031414</v>
      </c>
      <c r="G28" s="524">
        <f t="shared" si="23"/>
        <v>590873.49192377203</v>
      </c>
      <c r="H28" s="491">
        <f t="shared" si="24"/>
        <v>590873.49192377203</v>
      </c>
      <c r="I28" s="511">
        <f t="shared" si="6"/>
        <v>0</v>
      </c>
      <c r="J28" s="511"/>
      <c r="K28" s="525"/>
      <c r="L28" s="514">
        <f t="shared" si="25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3665715.4819031414</v>
      </c>
      <c r="E29" s="522">
        <f t="shared" si="21"/>
        <v>120203</v>
      </c>
      <c r="F29" s="523">
        <f t="shared" si="22"/>
        <v>3545512.4819031414</v>
      </c>
      <c r="G29" s="524">
        <f t="shared" si="23"/>
        <v>575688.63302825694</v>
      </c>
      <c r="H29" s="491">
        <f t="shared" si="24"/>
        <v>575688.63302825694</v>
      </c>
      <c r="I29" s="511">
        <f t="shared" si="6"/>
        <v>0</v>
      </c>
      <c r="J29" s="511"/>
      <c r="K29" s="525"/>
      <c r="L29" s="514">
        <f t="shared" si="25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3545512.4819031414</v>
      </c>
      <c r="E30" s="522">
        <f t="shared" si="21"/>
        <v>120203</v>
      </c>
      <c r="F30" s="523">
        <f t="shared" si="22"/>
        <v>3425309.4819031414</v>
      </c>
      <c r="G30" s="524">
        <f t="shared" si="23"/>
        <v>560503.77413274173</v>
      </c>
      <c r="H30" s="491">
        <f t="shared" si="24"/>
        <v>560503.77413274173</v>
      </c>
      <c r="I30" s="511">
        <f t="shared" si="6"/>
        <v>0</v>
      </c>
      <c r="J30" s="511"/>
      <c r="K30" s="525"/>
      <c r="L30" s="514">
        <f t="shared" si="2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3425309.4819031414</v>
      </c>
      <c r="E31" s="522">
        <f t="shared" si="21"/>
        <v>120203</v>
      </c>
      <c r="F31" s="523">
        <f t="shared" si="22"/>
        <v>3305106.4819031414</v>
      </c>
      <c r="G31" s="524">
        <f t="shared" si="23"/>
        <v>545318.91523722664</v>
      </c>
      <c r="H31" s="491">
        <f t="shared" si="24"/>
        <v>545318.91523722664</v>
      </c>
      <c r="I31" s="511">
        <f t="shared" si="6"/>
        <v>0</v>
      </c>
      <c r="J31" s="511"/>
      <c r="K31" s="525"/>
      <c r="L31" s="514">
        <f t="shared" si="2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3305106.4819031414</v>
      </c>
      <c r="E32" s="522">
        <f t="shared" si="21"/>
        <v>120203</v>
      </c>
      <c r="F32" s="523">
        <f t="shared" si="22"/>
        <v>3184903.4819031414</v>
      </c>
      <c r="G32" s="524">
        <f t="shared" si="23"/>
        <v>530134.05634171155</v>
      </c>
      <c r="H32" s="491">
        <f t="shared" si="24"/>
        <v>530134.05634171155</v>
      </c>
      <c r="I32" s="511">
        <f t="shared" si="6"/>
        <v>0</v>
      </c>
      <c r="J32" s="511"/>
      <c r="K32" s="525"/>
      <c r="L32" s="514">
        <f t="shared" si="2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3184903.4819031414</v>
      </c>
      <c r="E33" s="522">
        <f t="shared" si="21"/>
        <v>120203</v>
      </c>
      <c r="F33" s="523">
        <f t="shared" si="22"/>
        <v>3064700.4819031414</v>
      </c>
      <c r="G33" s="524">
        <f t="shared" si="23"/>
        <v>514949.19744619646</v>
      </c>
      <c r="H33" s="491">
        <f t="shared" si="24"/>
        <v>514949.19744619646</v>
      </c>
      <c r="I33" s="511">
        <f t="shared" si="6"/>
        <v>0</v>
      </c>
      <c r="J33" s="511"/>
      <c r="K33" s="525"/>
      <c r="L33" s="514">
        <f t="shared" si="2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3064700.4819031414</v>
      </c>
      <c r="E34" s="522">
        <f t="shared" si="21"/>
        <v>120203</v>
      </c>
      <c r="F34" s="523">
        <f t="shared" si="22"/>
        <v>2944497.4819031414</v>
      </c>
      <c r="G34" s="524">
        <f t="shared" si="23"/>
        <v>499764.33855068131</v>
      </c>
      <c r="H34" s="491">
        <f t="shared" si="24"/>
        <v>499764.33855068131</v>
      </c>
      <c r="I34" s="511">
        <f t="shared" si="6"/>
        <v>0</v>
      </c>
      <c r="J34" s="511"/>
      <c r="K34" s="525"/>
      <c r="L34" s="514">
        <f t="shared" si="2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2944497.4819031414</v>
      </c>
      <c r="E35" s="522">
        <f t="shared" si="21"/>
        <v>120203</v>
      </c>
      <c r="F35" s="523">
        <f t="shared" si="22"/>
        <v>2824294.4819031414</v>
      </c>
      <c r="G35" s="524">
        <f t="shared" si="23"/>
        <v>484579.47965516621</v>
      </c>
      <c r="H35" s="491">
        <f t="shared" si="24"/>
        <v>484579.47965516621</v>
      </c>
      <c r="I35" s="511">
        <f t="shared" si="6"/>
        <v>0</v>
      </c>
      <c r="J35" s="511"/>
      <c r="K35" s="525"/>
      <c r="L35" s="514">
        <f t="shared" si="2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2824294.4819031414</v>
      </c>
      <c r="E36" s="522">
        <f t="shared" si="21"/>
        <v>120203</v>
      </c>
      <c r="F36" s="523">
        <f t="shared" si="22"/>
        <v>2704091.4819031414</v>
      </c>
      <c r="G36" s="524">
        <f t="shared" si="23"/>
        <v>469394.62075965112</v>
      </c>
      <c r="H36" s="491">
        <f t="shared" si="24"/>
        <v>469394.62075965112</v>
      </c>
      <c r="I36" s="511">
        <f t="shared" si="6"/>
        <v>0</v>
      </c>
      <c r="J36" s="511"/>
      <c r="K36" s="525"/>
      <c r="L36" s="514">
        <f t="shared" si="2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2704091.4819031414</v>
      </c>
      <c r="E37" s="522">
        <f t="shared" si="21"/>
        <v>120203</v>
      </c>
      <c r="F37" s="523">
        <f t="shared" si="22"/>
        <v>2583888.4819031414</v>
      </c>
      <c r="G37" s="524">
        <f t="shared" si="23"/>
        <v>454209.76186413603</v>
      </c>
      <c r="H37" s="491">
        <f t="shared" si="24"/>
        <v>454209.76186413603</v>
      </c>
      <c r="I37" s="511">
        <f t="shared" si="6"/>
        <v>0</v>
      </c>
      <c r="J37" s="511"/>
      <c r="K37" s="525"/>
      <c r="L37" s="514">
        <f t="shared" si="2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2583888.4819031414</v>
      </c>
      <c r="E38" s="522">
        <f t="shared" si="21"/>
        <v>120203</v>
      </c>
      <c r="F38" s="523">
        <f t="shared" si="22"/>
        <v>2463685.4819031414</v>
      </c>
      <c r="G38" s="524">
        <f t="shared" si="23"/>
        <v>439024.90296862088</v>
      </c>
      <c r="H38" s="491">
        <f t="shared" si="24"/>
        <v>439024.90296862088</v>
      </c>
      <c r="I38" s="511">
        <f t="shared" si="6"/>
        <v>0</v>
      </c>
      <c r="J38" s="511"/>
      <c r="K38" s="525"/>
      <c r="L38" s="514">
        <f t="shared" si="2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2463685.4819031414</v>
      </c>
      <c r="E39" s="522">
        <f t="shared" si="21"/>
        <v>120203</v>
      </c>
      <c r="F39" s="523">
        <f t="shared" si="22"/>
        <v>2343482.4819031414</v>
      </c>
      <c r="G39" s="524">
        <f t="shared" si="23"/>
        <v>423840.04407310579</v>
      </c>
      <c r="H39" s="491">
        <f t="shared" si="24"/>
        <v>423840.04407310579</v>
      </c>
      <c r="I39" s="511">
        <f t="shared" si="6"/>
        <v>0</v>
      </c>
      <c r="J39" s="511"/>
      <c r="K39" s="525"/>
      <c r="L39" s="514">
        <f t="shared" si="2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2343482.4819031414</v>
      </c>
      <c r="E40" s="522">
        <f t="shared" si="21"/>
        <v>120203</v>
      </c>
      <c r="F40" s="523">
        <f t="shared" si="22"/>
        <v>2223279.4819031414</v>
      </c>
      <c r="G40" s="524">
        <f t="shared" si="23"/>
        <v>408655.1851775907</v>
      </c>
      <c r="H40" s="491">
        <f t="shared" si="24"/>
        <v>408655.1851775907</v>
      </c>
      <c r="I40" s="511">
        <f t="shared" si="6"/>
        <v>0</v>
      </c>
      <c r="J40" s="511"/>
      <c r="K40" s="525"/>
      <c r="L40" s="514">
        <f t="shared" si="2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2223279.4819031414</v>
      </c>
      <c r="E41" s="522">
        <f t="shared" si="21"/>
        <v>120203</v>
      </c>
      <c r="F41" s="523">
        <f t="shared" si="22"/>
        <v>2103076.4819031414</v>
      </c>
      <c r="G41" s="524">
        <f t="shared" si="23"/>
        <v>393470.32628207561</v>
      </c>
      <c r="H41" s="491">
        <f t="shared" si="24"/>
        <v>393470.32628207561</v>
      </c>
      <c r="I41" s="511">
        <f t="shared" si="6"/>
        <v>0</v>
      </c>
      <c r="J41" s="511"/>
      <c r="K41" s="525"/>
      <c r="L41" s="514">
        <f t="shared" si="2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2103076.4819031414</v>
      </c>
      <c r="E42" s="522">
        <f t="shared" si="21"/>
        <v>120203</v>
      </c>
      <c r="F42" s="523">
        <f t="shared" si="22"/>
        <v>1982873.4819031414</v>
      </c>
      <c r="G42" s="524">
        <f t="shared" si="23"/>
        <v>378285.46738656051</v>
      </c>
      <c r="H42" s="491">
        <f t="shared" si="24"/>
        <v>378285.46738656051</v>
      </c>
      <c r="I42" s="511">
        <f t="shared" si="6"/>
        <v>0</v>
      </c>
      <c r="J42" s="511"/>
      <c r="K42" s="525"/>
      <c r="L42" s="514">
        <f t="shared" si="2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1982873.4819031414</v>
      </c>
      <c r="E43" s="522">
        <f t="shared" si="21"/>
        <v>120203</v>
      </c>
      <c r="F43" s="523">
        <f t="shared" si="22"/>
        <v>1862670.4819031414</v>
      </c>
      <c r="G43" s="524">
        <f t="shared" si="23"/>
        <v>363100.60849104536</v>
      </c>
      <c r="H43" s="491">
        <f t="shared" si="24"/>
        <v>363100.60849104536</v>
      </c>
      <c r="I43" s="511">
        <f t="shared" si="6"/>
        <v>0</v>
      </c>
      <c r="J43" s="511"/>
      <c r="K43" s="525"/>
      <c r="L43" s="514">
        <f t="shared" si="2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1862670.4819031414</v>
      </c>
      <c r="E44" s="522">
        <f t="shared" si="21"/>
        <v>120203</v>
      </c>
      <c r="F44" s="523">
        <f t="shared" si="22"/>
        <v>1742467.4819031414</v>
      </c>
      <c r="G44" s="524">
        <f t="shared" si="23"/>
        <v>347915.74959553027</v>
      </c>
      <c r="H44" s="491">
        <f t="shared" si="24"/>
        <v>347915.74959553027</v>
      </c>
      <c r="I44" s="511">
        <f t="shared" si="6"/>
        <v>0</v>
      </c>
      <c r="J44" s="511"/>
      <c r="K44" s="525"/>
      <c r="L44" s="514">
        <f t="shared" si="2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1742467.4819031414</v>
      </c>
      <c r="E45" s="522">
        <f t="shared" si="21"/>
        <v>120203</v>
      </c>
      <c r="F45" s="523">
        <f t="shared" si="22"/>
        <v>1622264.4819031414</v>
      </c>
      <c r="G45" s="524">
        <f t="shared" si="23"/>
        <v>332730.89070001512</v>
      </c>
      <c r="H45" s="491">
        <f t="shared" si="24"/>
        <v>332730.89070001512</v>
      </c>
      <c r="I45" s="511">
        <f t="shared" si="6"/>
        <v>0</v>
      </c>
      <c r="J45" s="511"/>
      <c r="K45" s="525"/>
      <c r="L45" s="514">
        <f t="shared" si="2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1622264.4819031414</v>
      </c>
      <c r="E46" s="522">
        <f t="shared" si="21"/>
        <v>120203</v>
      </c>
      <c r="F46" s="523">
        <f t="shared" si="22"/>
        <v>1502061.4819031414</v>
      </c>
      <c r="G46" s="524">
        <f t="shared" si="23"/>
        <v>317546.03180450003</v>
      </c>
      <c r="H46" s="491">
        <f t="shared" si="24"/>
        <v>317546.03180450003</v>
      </c>
      <c r="I46" s="511">
        <f t="shared" si="6"/>
        <v>0</v>
      </c>
      <c r="J46" s="511"/>
      <c r="K46" s="525"/>
      <c r="L46" s="514">
        <f t="shared" si="2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1502061.4819031414</v>
      </c>
      <c r="E47" s="522">
        <f t="shared" si="21"/>
        <v>120203</v>
      </c>
      <c r="F47" s="523">
        <f t="shared" si="22"/>
        <v>1381858.4819031414</v>
      </c>
      <c r="G47" s="524">
        <f t="shared" si="23"/>
        <v>302361.17290898494</v>
      </c>
      <c r="H47" s="491">
        <f t="shared" si="24"/>
        <v>302361.17290898494</v>
      </c>
      <c r="I47" s="511">
        <f t="shared" si="6"/>
        <v>0</v>
      </c>
      <c r="J47" s="511"/>
      <c r="K47" s="525"/>
      <c r="L47" s="514">
        <f t="shared" si="2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1381858.4819031414</v>
      </c>
      <c r="E48" s="522">
        <f t="shared" si="21"/>
        <v>120203</v>
      </c>
      <c r="F48" s="523">
        <f t="shared" si="22"/>
        <v>1261655.4819031414</v>
      </c>
      <c r="G48" s="524">
        <f t="shared" si="23"/>
        <v>287176.31401346985</v>
      </c>
      <c r="H48" s="491">
        <f t="shared" si="24"/>
        <v>287176.31401346985</v>
      </c>
      <c r="I48" s="511">
        <f t="shared" si="6"/>
        <v>0</v>
      </c>
      <c r="J48" s="511"/>
      <c r="K48" s="525"/>
      <c r="L48" s="514">
        <f t="shared" si="2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1261655.4819031414</v>
      </c>
      <c r="E49" s="522">
        <f t="shared" si="21"/>
        <v>120203</v>
      </c>
      <c r="F49" s="523">
        <f t="shared" si="22"/>
        <v>1141452.4819031414</v>
      </c>
      <c r="G49" s="524">
        <f t="shared" si="23"/>
        <v>271991.45511795476</v>
      </c>
      <c r="H49" s="491">
        <f t="shared" si="24"/>
        <v>271991.45511795476</v>
      </c>
      <c r="I49" s="511">
        <f t="shared" si="6"/>
        <v>0</v>
      </c>
      <c r="J49" s="511"/>
      <c r="K49" s="525"/>
      <c r="L49" s="514">
        <f t="shared" si="2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1141452.4819031414</v>
      </c>
      <c r="E50" s="522">
        <f t="shared" si="21"/>
        <v>120203</v>
      </c>
      <c r="F50" s="523">
        <f t="shared" si="22"/>
        <v>1021249.4819031414</v>
      </c>
      <c r="G50" s="524">
        <f t="shared" si="23"/>
        <v>256806.59622243964</v>
      </c>
      <c r="H50" s="491">
        <f t="shared" si="24"/>
        <v>256806.59622243964</v>
      </c>
      <c r="I50" s="511">
        <f t="shared" si="6"/>
        <v>0</v>
      </c>
      <c r="J50" s="511"/>
      <c r="K50" s="525"/>
      <c r="L50" s="514">
        <f t="shared" si="2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1021249.4819031414</v>
      </c>
      <c r="E51" s="522">
        <f t="shared" si="21"/>
        <v>120203</v>
      </c>
      <c r="F51" s="523">
        <f t="shared" si="22"/>
        <v>901046.48190314136</v>
      </c>
      <c r="G51" s="524">
        <f t="shared" si="23"/>
        <v>241621.73732692451</v>
      </c>
      <c r="H51" s="491">
        <f t="shared" si="24"/>
        <v>241621.73732692451</v>
      </c>
      <c r="I51" s="511">
        <f t="shared" si="6"/>
        <v>0</v>
      </c>
      <c r="J51" s="511"/>
      <c r="K51" s="525"/>
      <c r="L51" s="514">
        <f t="shared" si="2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901046.48190314136</v>
      </c>
      <c r="E52" s="522">
        <f t="shared" si="21"/>
        <v>120203</v>
      </c>
      <c r="F52" s="523">
        <f t="shared" si="22"/>
        <v>780843.48190314136</v>
      </c>
      <c r="G52" s="524">
        <f t="shared" si="23"/>
        <v>226436.87843140942</v>
      </c>
      <c r="H52" s="491">
        <f t="shared" si="24"/>
        <v>226436.87843140942</v>
      </c>
      <c r="I52" s="511">
        <f t="shared" si="6"/>
        <v>0</v>
      </c>
      <c r="J52" s="511"/>
      <c r="K52" s="525"/>
      <c r="L52" s="514">
        <f t="shared" si="2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780843.48190314136</v>
      </c>
      <c r="E53" s="522">
        <f t="shared" si="21"/>
        <v>120203</v>
      </c>
      <c r="F53" s="523">
        <f t="shared" si="22"/>
        <v>660640.48190314136</v>
      </c>
      <c r="G53" s="524">
        <f t="shared" ref="G53:G72" si="26">+I$12*((D53+F53)/2)+E53</f>
        <v>211252.01953589433</v>
      </c>
      <c r="H53" s="491">
        <f t="shared" ref="H53:H72" si="27">+I$13*((D53+F53)/2)+E53</f>
        <v>211252.01953589433</v>
      </c>
      <c r="I53" s="511">
        <f t="shared" si="6"/>
        <v>0</v>
      </c>
      <c r="J53" s="511"/>
      <c r="K53" s="525"/>
      <c r="L53" s="514">
        <f t="shared" si="2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660640.48190314136</v>
      </c>
      <c r="E54" s="522">
        <f t="shared" si="21"/>
        <v>120203</v>
      </c>
      <c r="F54" s="523">
        <f t="shared" si="22"/>
        <v>540437.48190314136</v>
      </c>
      <c r="G54" s="524">
        <f t="shared" si="26"/>
        <v>196067.16064037921</v>
      </c>
      <c r="H54" s="491">
        <f t="shared" si="27"/>
        <v>196067.16064037921</v>
      </c>
      <c r="I54" s="511">
        <f t="shared" si="6"/>
        <v>0</v>
      </c>
      <c r="J54" s="511"/>
      <c r="K54" s="525"/>
      <c r="L54" s="514">
        <f t="shared" si="2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540437.48190314136</v>
      </c>
      <c r="E55" s="522">
        <f t="shared" si="21"/>
        <v>120203</v>
      </c>
      <c r="F55" s="523">
        <f t="shared" si="22"/>
        <v>420234.48190314136</v>
      </c>
      <c r="G55" s="524">
        <f t="shared" si="26"/>
        <v>180882.30174486409</v>
      </c>
      <c r="H55" s="491">
        <f t="shared" si="27"/>
        <v>180882.30174486409</v>
      </c>
      <c r="I55" s="511">
        <f t="shared" si="6"/>
        <v>0</v>
      </c>
      <c r="J55" s="511"/>
      <c r="K55" s="525"/>
      <c r="L55" s="514">
        <f t="shared" si="2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420234.48190314136</v>
      </c>
      <c r="E56" s="522">
        <f t="shared" si="21"/>
        <v>120203</v>
      </c>
      <c r="F56" s="523">
        <f t="shared" si="22"/>
        <v>300031.48190314136</v>
      </c>
      <c r="G56" s="524">
        <f t="shared" si="26"/>
        <v>165697.442849349</v>
      </c>
      <c r="H56" s="491">
        <f t="shared" si="27"/>
        <v>165697.442849349</v>
      </c>
      <c r="I56" s="511">
        <f t="shared" si="6"/>
        <v>0</v>
      </c>
      <c r="J56" s="511"/>
      <c r="K56" s="525"/>
      <c r="L56" s="514">
        <f t="shared" si="2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300031.48190314136</v>
      </c>
      <c r="E57" s="522">
        <f t="shared" si="21"/>
        <v>120203</v>
      </c>
      <c r="F57" s="523">
        <f t="shared" si="22"/>
        <v>179828.48190314136</v>
      </c>
      <c r="G57" s="524">
        <f t="shared" si="26"/>
        <v>150512.58395383388</v>
      </c>
      <c r="H57" s="491">
        <f t="shared" si="27"/>
        <v>150512.58395383388</v>
      </c>
      <c r="I57" s="511">
        <f t="shared" si="6"/>
        <v>0</v>
      </c>
      <c r="J57" s="511"/>
      <c r="K57" s="525"/>
      <c r="L57" s="514">
        <f t="shared" si="2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179828.48190314136</v>
      </c>
      <c r="E58" s="522">
        <f t="shared" si="21"/>
        <v>120203</v>
      </c>
      <c r="F58" s="523">
        <f t="shared" si="22"/>
        <v>59625.481903141364</v>
      </c>
      <c r="G58" s="524">
        <f t="shared" si="26"/>
        <v>135327.72505831879</v>
      </c>
      <c r="H58" s="491">
        <f t="shared" si="27"/>
        <v>135327.72505831879</v>
      </c>
      <c r="I58" s="511">
        <f t="shared" si="6"/>
        <v>0</v>
      </c>
      <c r="J58" s="511"/>
      <c r="K58" s="525"/>
      <c r="L58" s="514">
        <f t="shared" si="25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59625.481903141364</v>
      </c>
      <c r="E59" s="522">
        <f t="shared" si="21"/>
        <v>59625.481903141364</v>
      </c>
      <c r="F59" s="523">
        <f t="shared" si="22"/>
        <v>0</v>
      </c>
      <c r="G59" s="524">
        <f t="shared" si="26"/>
        <v>63391.629708421977</v>
      </c>
      <c r="H59" s="491">
        <f t="shared" si="27"/>
        <v>63391.629708421977</v>
      </c>
      <c r="I59" s="511">
        <f t="shared" si="6"/>
        <v>0</v>
      </c>
      <c r="J59" s="511"/>
      <c r="K59" s="525"/>
      <c r="L59" s="514">
        <f t="shared" si="2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21"/>
        <v>0</v>
      </c>
      <c r="F60" s="523">
        <f t="shared" si="22"/>
        <v>0</v>
      </c>
      <c r="G60" s="524">
        <f t="shared" si="26"/>
        <v>0</v>
      </c>
      <c r="H60" s="491">
        <f t="shared" si="27"/>
        <v>0</v>
      </c>
      <c r="I60" s="511">
        <f t="shared" si="6"/>
        <v>0</v>
      </c>
      <c r="J60" s="511"/>
      <c r="K60" s="525"/>
      <c r="L60" s="514">
        <f t="shared" si="2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1"/>
        <v>0</v>
      </c>
      <c r="F61" s="523">
        <f t="shared" si="22"/>
        <v>0</v>
      </c>
      <c r="G61" s="524">
        <f t="shared" si="26"/>
        <v>0</v>
      </c>
      <c r="H61" s="491">
        <f t="shared" si="27"/>
        <v>0</v>
      </c>
      <c r="I61" s="511">
        <f t="shared" si="6"/>
        <v>0</v>
      </c>
      <c r="J61" s="511"/>
      <c r="K61" s="525"/>
      <c r="L61" s="514">
        <f t="shared" si="2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6"/>
        <v>0</v>
      </c>
      <c r="J62" s="511"/>
      <c r="K62" s="525"/>
      <c r="L62" s="514">
        <f t="shared" si="2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6"/>
        <v>0</v>
      </c>
      <c r="J63" s="511"/>
      <c r="K63" s="525"/>
      <c r="L63" s="514">
        <f t="shared" si="2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6"/>
        <v>0</v>
      </c>
      <c r="J64" s="511"/>
      <c r="K64" s="525"/>
      <c r="L64" s="514">
        <f t="shared" si="2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6"/>
        <v>0</v>
      </c>
      <c r="J65" s="511"/>
      <c r="K65" s="525"/>
      <c r="L65" s="514">
        <f t="shared" si="2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6"/>
        <v>0</v>
      </c>
      <c r="J66" s="511"/>
      <c r="K66" s="525"/>
      <c r="L66" s="514">
        <f t="shared" si="2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6"/>
        <v>0</v>
      </c>
      <c r="J67" s="511"/>
      <c r="K67" s="525"/>
      <c r="L67" s="514">
        <f t="shared" si="2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6"/>
        <v>0</v>
      </c>
      <c r="J68" s="511"/>
      <c r="K68" s="525"/>
      <c r="L68" s="514">
        <f t="shared" si="2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6"/>
        <v>0</v>
      </c>
      <c r="J69" s="511"/>
      <c r="K69" s="525"/>
      <c r="L69" s="514">
        <f t="shared" si="2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6"/>
        <v>0</v>
      </c>
      <c r="J70" s="511"/>
      <c r="K70" s="525"/>
      <c r="L70" s="514">
        <f t="shared" si="2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6"/>
        <v>0</v>
      </c>
      <c r="J71" s="511"/>
      <c r="K71" s="525"/>
      <c r="L71" s="514">
        <f t="shared" si="2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21"/>
        <v>0</v>
      </c>
      <c r="F72" s="523">
        <f t="shared" si="22"/>
        <v>0</v>
      </c>
      <c r="G72" s="524">
        <f t="shared" si="26"/>
        <v>0</v>
      </c>
      <c r="H72" s="491">
        <f t="shared" si="27"/>
        <v>0</v>
      </c>
      <c r="I72" s="511">
        <f t="shared" si="6"/>
        <v>0</v>
      </c>
      <c r="J72" s="511"/>
      <c r="K72" s="532"/>
      <c r="L72" s="533">
        <f t="shared" si="2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5048526</v>
      </c>
      <c r="F73" s="375"/>
      <c r="G73" s="375">
        <f>SUM(G17:G72)</f>
        <v>18458722.393503502</v>
      </c>
      <c r="H73" s="375">
        <f>SUM(H17:H72)</f>
        <v>18458722.393503502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37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553989.83619615703</v>
      </c>
      <c r="N87" s="546">
        <f>IF(J92&lt;D11,0,VLOOKUP(J92,C17:O72,11))</f>
        <v>553989.83619615703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587525.00025247002</v>
      </c>
      <c r="N88" s="550">
        <f>IF(J92&lt;D11,0,VLOOKUP(J92,C99:P154,7))</f>
        <v>587525.00025247002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SW Shreveport to Spring Ridge REC 138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33535.164056312991</v>
      </c>
      <c r="N89" s="555">
        <f>+N88-N87</f>
        <v>33535.164056312991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TP2010066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628">
        <f>D10</f>
        <v>5048526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36" t="s">
        <v>369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123134.78048780488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 t="str">
        <f>IF(D93= "","-",D93)</f>
        <v>2013</v>
      </c>
      <c r="D99" s="629">
        <v>0</v>
      </c>
      <c r="E99" s="630">
        <v>60097.440476190473</v>
      </c>
      <c r="F99" s="631">
        <v>4988087.5595238097</v>
      </c>
      <c r="G99" s="632">
        <v>2494043.7797619049</v>
      </c>
      <c r="H99" s="633">
        <v>397520.86907446757</v>
      </c>
      <c r="I99" s="634">
        <v>397520.86907446757</v>
      </c>
      <c r="J99" s="613">
        <v>0</v>
      </c>
      <c r="K99" s="514"/>
      <c r="L99" s="518">
        <f t="shared" ref="L99:L104" si="28">H99</f>
        <v>397520.86907446757</v>
      </c>
      <c r="M99" s="519">
        <f t="shared" ref="M99:M104" si="29">IF(L99&lt;&gt;0,+H99-L99,0)</f>
        <v>0</v>
      </c>
      <c r="N99" s="518">
        <f t="shared" ref="N99:N104" si="30">I99</f>
        <v>397520.86907446757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4988087.5595238097</v>
      </c>
      <c r="E100" s="630">
        <v>120203</v>
      </c>
      <c r="F100" s="631">
        <v>4867884.5595238097</v>
      </c>
      <c r="G100" s="631">
        <v>4927986.0595238097</v>
      </c>
      <c r="H100" s="633">
        <v>790031.91488158714</v>
      </c>
      <c r="I100" s="634">
        <v>790031.91488158714</v>
      </c>
      <c r="J100" s="514">
        <v>0</v>
      </c>
      <c r="K100" s="514"/>
      <c r="L100" s="518">
        <f t="shared" si="28"/>
        <v>790031.91488158714</v>
      </c>
      <c r="M100" s="519">
        <f t="shared" si="29"/>
        <v>0</v>
      </c>
      <c r="N100" s="518">
        <f t="shared" si="30"/>
        <v>790031.91488158714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31">IF(D101=F100,"","IU")</f>
        <v>IU</v>
      </c>
      <c r="C101" s="507">
        <f>IF(D93="","-",+C100+1)</f>
        <v>2015</v>
      </c>
      <c r="D101" s="629">
        <v>4868225.5595238097</v>
      </c>
      <c r="E101" s="630">
        <v>120203</v>
      </c>
      <c r="F101" s="631">
        <v>4748022.5595238097</v>
      </c>
      <c r="G101" s="631">
        <v>4808124.0595238097</v>
      </c>
      <c r="H101" s="633">
        <v>753764.11200720049</v>
      </c>
      <c r="I101" s="634">
        <v>753764.11200720049</v>
      </c>
      <c r="J101" s="514">
        <f>+I101-H101</f>
        <v>0</v>
      </c>
      <c r="K101" s="514"/>
      <c r="L101" s="518">
        <f t="shared" si="28"/>
        <v>753764.11200720049</v>
      </c>
      <c r="M101" s="519">
        <f t="shared" si="29"/>
        <v>0</v>
      </c>
      <c r="N101" s="518">
        <f t="shared" si="30"/>
        <v>753764.11200720049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1"/>
        <v/>
      </c>
      <c r="C102" s="507">
        <f>IF(D93="","-",+C101+1)</f>
        <v>2016</v>
      </c>
      <c r="D102" s="629">
        <v>4748022.5595238097</v>
      </c>
      <c r="E102" s="630">
        <v>117407.58139534884</v>
      </c>
      <c r="F102" s="631">
        <v>4630614.9781284612</v>
      </c>
      <c r="G102" s="631">
        <v>4689318.7688261354</v>
      </c>
      <c r="H102" s="633">
        <v>712716.54417822254</v>
      </c>
      <c r="I102" s="634">
        <v>712716.54417822254</v>
      </c>
      <c r="J102" s="514">
        <f t="shared" ref="J102:J154" si="32">+I102-H102</f>
        <v>0</v>
      </c>
      <c r="K102" s="514"/>
      <c r="L102" s="518">
        <f t="shared" si="28"/>
        <v>712716.54417822254</v>
      </c>
      <c r="M102" s="519">
        <f t="shared" si="29"/>
        <v>0</v>
      </c>
      <c r="N102" s="518">
        <f t="shared" si="30"/>
        <v>712716.54417822254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1"/>
        <v/>
      </c>
      <c r="C103" s="507">
        <f>IF(D93="","-",+C102+1)</f>
        <v>2017</v>
      </c>
      <c r="D103" s="629">
        <v>4630614.9781284612</v>
      </c>
      <c r="E103" s="630">
        <v>120203</v>
      </c>
      <c r="F103" s="631">
        <v>4510411.9781284612</v>
      </c>
      <c r="G103" s="631">
        <v>4570513.4781284612</v>
      </c>
      <c r="H103" s="633">
        <v>675389.93455255101</v>
      </c>
      <c r="I103" s="634">
        <v>675389.93455255101</v>
      </c>
      <c r="J103" s="514">
        <f t="shared" si="32"/>
        <v>0</v>
      </c>
      <c r="K103" s="514"/>
      <c r="L103" s="518">
        <f t="shared" si="28"/>
        <v>675389.93455255101</v>
      </c>
      <c r="M103" s="519">
        <f t="shared" si="29"/>
        <v>0</v>
      </c>
      <c r="N103" s="518">
        <f t="shared" si="30"/>
        <v>675389.93455255101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1"/>
        <v/>
      </c>
      <c r="C104" s="507">
        <f>IF(D93="","-",+C103+1)</f>
        <v>2018</v>
      </c>
      <c r="D104" s="629">
        <v>4510411.9781284612</v>
      </c>
      <c r="E104" s="630">
        <v>120203</v>
      </c>
      <c r="F104" s="631">
        <v>4390208.9781284612</v>
      </c>
      <c r="G104" s="631">
        <v>4450310.4781284612</v>
      </c>
      <c r="H104" s="633">
        <v>590176.19481222471</v>
      </c>
      <c r="I104" s="634">
        <v>590176.19481222471</v>
      </c>
      <c r="J104" s="514">
        <f t="shared" si="32"/>
        <v>0</v>
      </c>
      <c r="K104" s="514"/>
      <c r="L104" s="518">
        <f t="shared" si="28"/>
        <v>590176.19481222471</v>
      </c>
      <c r="M104" s="519">
        <f t="shared" si="29"/>
        <v>0</v>
      </c>
      <c r="N104" s="518">
        <f t="shared" si="30"/>
        <v>590176.19481222471</v>
      </c>
      <c r="O104" s="514">
        <f t="shared" ref="O104:O130" si="33">IF(N104&lt;&gt;0,+I104-N104,0)</f>
        <v>0</v>
      </c>
      <c r="P104" s="514">
        <f t="shared" ref="P104:P130" si="34">+O104-M104</f>
        <v>0</v>
      </c>
      <c r="Q104" s="269"/>
    </row>
    <row r="105" spans="1:17" ht="12.5">
      <c r="B105" s="195" t="str">
        <f t="shared" si="31"/>
        <v/>
      </c>
      <c r="C105" s="507">
        <f>IF(D93="","-",+C104+1)</f>
        <v>2019</v>
      </c>
      <c r="D105" s="629">
        <v>4390208.9781284612</v>
      </c>
      <c r="E105" s="630">
        <v>117407.58139534884</v>
      </c>
      <c r="F105" s="631">
        <v>4272801.3967331126</v>
      </c>
      <c r="G105" s="631">
        <v>4331505.1874307869</v>
      </c>
      <c r="H105" s="633">
        <v>581054.26400771562</v>
      </c>
      <c r="I105" s="634">
        <v>581054.26400771562</v>
      </c>
      <c r="J105" s="514">
        <f t="shared" si="32"/>
        <v>0</v>
      </c>
      <c r="K105" s="514"/>
      <c r="L105" s="518">
        <f t="shared" ref="L105:L106" si="35">H105</f>
        <v>581054.26400771562</v>
      </c>
      <c r="M105" s="519">
        <f t="shared" ref="M105:M106" si="36">IF(L105&lt;&gt;0,+H105-L105,0)</f>
        <v>0</v>
      </c>
      <c r="N105" s="518">
        <f t="shared" ref="N105:N106" si="37">I105</f>
        <v>581054.26400771562</v>
      </c>
      <c r="O105" s="514">
        <f t="shared" si="33"/>
        <v>0</v>
      </c>
      <c r="P105" s="514">
        <f t="shared" si="34"/>
        <v>0</v>
      </c>
      <c r="Q105" s="269"/>
    </row>
    <row r="106" spans="1:17" ht="12.5">
      <c r="B106" s="195" t="str">
        <f t="shared" si="31"/>
        <v/>
      </c>
      <c r="C106" s="507">
        <f>IF(D93="","-",+C105+1)</f>
        <v>2020</v>
      </c>
      <c r="D106" s="629">
        <v>4272801.3967331126</v>
      </c>
      <c r="E106" s="630">
        <v>120203</v>
      </c>
      <c r="F106" s="631">
        <v>4152598.3967331126</v>
      </c>
      <c r="G106" s="631">
        <v>4212699.8967331126</v>
      </c>
      <c r="H106" s="633">
        <v>573379.27306704223</v>
      </c>
      <c r="I106" s="634">
        <v>573379.27306704223</v>
      </c>
      <c r="J106" s="514">
        <f t="shared" si="32"/>
        <v>0</v>
      </c>
      <c r="K106" s="514"/>
      <c r="L106" s="518">
        <f t="shared" si="35"/>
        <v>573379.27306704223</v>
      </c>
      <c r="M106" s="519">
        <f t="shared" si="36"/>
        <v>0</v>
      </c>
      <c r="N106" s="518">
        <f t="shared" si="37"/>
        <v>573379.27306704223</v>
      </c>
      <c r="O106" s="514">
        <f t="shared" si="33"/>
        <v>0</v>
      </c>
      <c r="P106" s="514">
        <f t="shared" si="34"/>
        <v>0</v>
      </c>
      <c r="Q106" s="269"/>
    </row>
    <row r="107" spans="1:17" ht="12.5">
      <c r="B107" s="195" t="str">
        <f t="shared" si="31"/>
        <v/>
      </c>
      <c r="C107" s="507">
        <f>IF(D93="","-",+C106+1)</f>
        <v>2021</v>
      </c>
      <c r="D107" s="374">
        <f>IF(F106+SUM(E$99:E106)=D$92,F106,D$92-SUM(E$99:E106))</f>
        <v>4152598.3967331126</v>
      </c>
      <c r="E107" s="522">
        <f t="shared" ref="E107:E154" si="38">IF(+$J$96&lt;F106,$J$96,D107)</f>
        <v>123134.78048780488</v>
      </c>
      <c r="F107" s="523">
        <f t="shared" ref="F107:F154" si="39">+D107-E107</f>
        <v>4029463.616245308</v>
      </c>
      <c r="G107" s="523">
        <f t="shared" ref="G107:G154" si="40">+(F107+D107)/2</f>
        <v>4091031.0064892103</v>
      </c>
      <c r="H107" s="526">
        <f t="shared" ref="H107:H154" si="41">+J$94*G107+E107</f>
        <v>587525.00025247002</v>
      </c>
      <c r="I107" s="577">
        <f t="shared" ref="I107:I154" si="42">+J$95*G107+E107</f>
        <v>587525.00025247002</v>
      </c>
      <c r="J107" s="514">
        <f t="shared" si="32"/>
        <v>0</v>
      </c>
      <c r="K107" s="514"/>
      <c r="L107" s="525"/>
      <c r="M107" s="514">
        <f t="shared" ref="M107:M130" si="43">IF(L107&lt;&gt;0,+H107-L107,0)</f>
        <v>0</v>
      </c>
      <c r="N107" s="525"/>
      <c r="O107" s="514">
        <f t="shared" si="33"/>
        <v>0</v>
      </c>
      <c r="P107" s="514">
        <f t="shared" si="34"/>
        <v>0</v>
      </c>
      <c r="Q107" s="269"/>
    </row>
    <row r="108" spans="1:17" ht="12.5">
      <c r="B108" s="195" t="str">
        <f t="shared" si="31"/>
        <v/>
      </c>
      <c r="C108" s="507">
        <f>IF(D93="","-",+C107+1)</f>
        <v>2022</v>
      </c>
      <c r="D108" s="374">
        <f>IF(F107+SUM(E$99:E107)=D$92,F107,D$92-SUM(E$99:E107))</f>
        <v>4029463.616245308</v>
      </c>
      <c r="E108" s="522">
        <f t="shared" si="38"/>
        <v>123134.78048780488</v>
      </c>
      <c r="F108" s="523">
        <f t="shared" si="39"/>
        <v>3906328.8357575033</v>
      </c>
      <c r="G108" s="523">
        <f t="shared" si="40"/>
        <v>3967896.2260014056</v>
      </c>
      <c r="H108" s="526">
        <f t="shared" si="41"/>
        <v>573547.45090593561</v>
      </c>
      <c r="I108" s="577">
        <f t="shared" si="42"/>
        <v>573547.45090593561</v>
      </c>
      <c r="J108" s="514">
        <f t="shared" si="32"/>
        <v>0</v>
      </c>
      <c r="K108" s="514"/>
      <c r="L108" s="525"/>
      <c r="M108" s="514">
        <f t="shared" si="43"/>
        <v>0</v>
      </c>
      <c r="N108" s="525"/>
      <c r="O108" s="514">
        <f t="shared" si="33"/>
        <v>0</v>
      </c>
      <c r="P108" s="514">
        <f t="shared" si="34"/>
        <v>0</v>
      </c>
      <c r="Q108" s="269"/>
    </row>
    <row r="109" spans="1:17" ht="12.5">
      <c r="B109" s="195" t="str">
        <f t="shared" si="31"/>
        <v/>
      </c>
      <c r="C109" s="507">
        <f>IF(D93="","-",+C108+1)</f>
        <v>2023</v>
      </c>
      <c r="D109" s="374">
        <f>IF(F108+SUM(E$99:E108)=D$92,F108,D$92-SUM(E$99:E108))</f>
        <v>3906328.8357575033</v>
      </c>
      <c r="E109" s="522">
        <f t="shared" si="38"/>
        <v>123134.78048780488</v>
      </c>
      <c r="F109" s="523">
        <f t="shared" si="39"/>
        <v>3783194.0552696986</v>
      </c>
      <c r="G109" s="523">
        <f t="shared" si="40"/>
        <v>3844761.4455136009</v>
      </c>
      <c r="H109" s="526">
        <f t="shared" si="41"/>
        <v>559569.90155940119</v>
      </c>
      <c r="I109" s="577">
        <f t="shared" si="42"/>
        <v>559569.90155940119</v>
      </c>
      <c r="J109" s="514">
        <f t="shared" si="32"/>
        <v>0</v>
      </c>
      <c r="K109" s="514"/>
      <c r="L109" s="525"/>
      <c r="M109" s="514">
        <f t="shared" si="43"/>
        <v>0</v>
      </c>
      <c r="N109" s="525"/>
      <c r="O109" s="514">
        <f t="shared" si="33"/>
        <v>0</v>
      </c>
      <c r="P109" s="514">
        <f t="shared" si="34"/>
        <v>0</v>
      </c>
      <c r="Q109" s="269"/>
    </row>
    <row r="110" spans="1:17" ht="12.5">
      <c r="B110" s="195" t="str">
        <f t="shared" si="31"/>
        <v/>
      </c>
      <c r="C110" s="507">
        <f>IF(D93="","-",+C109+1)</f>
        <v>2024</v>
      </c>
      <c r="D110" s="374">
        <f>IF(F109+SUM(E$99:E109)=D$92,F109,D$92-SUM(E$99:E109))</f>
        <v>3783194.0552696986</v>
      </c>
      <c r="E110" s="522">
        <f t="shared" si="38"/>
        <v>123134.78048780488</v>
      </c>
      <c r="F110" s="523">
        <f t="shared" si="39"/>
        <v>3660059.2747818939</v>
      </c>
      <c r="G110" s="523">
        <f t="shared" si="40"/>
        <v>3721626.6650257963</v>
      </c>
      <c r="H110" s="526">
        <f t="shared" si="41"/>
        <v>545592.35221286665</v>
      </c>
      <c r="I110" s="577">
        <f t="shared" si="42"/>
        <v>545592.35221286665</v>
      </c>
      <c r="J110" s="514">
        <f t="shared" si="32"/>
        <v>0</v>
      </c>
      <c r="K110" s="514"/>
      <c r="L110" s="525"/>
      <c r="M110" s="514">
        <f t="shared" si="43"/>
        <v>0</v>
      </c>
      <c r="N110" s="525"/>
      <c r="O110" s="514">
        <f t="shared" si="33"/>
        <v>0</v>
      </c>
      <c r="P110" s="514">
        <f t="shared" si="34"/>
        <v>0</v>
      </c>
      <c r="Q110" s="269"/>
    </row>
    <row r="111" spans="1:17" ht="12.5">
      <c r="B111" s="195" t="str">
        <f t="shared" si="31"/>
        <v/>
      </c>
      <c r="C111" s="507">
        <f>IF(D93="","-",+C110+1)</f>
        <v>2025</v>
      </c>
      <c r="D111" s="374">
        <f>IF(F110+SUM(E$99:E110)=D$92,F110,D$92-SUM(E$99:E110))</f>
        <v>3660059.2747818939</v>
      </c>
      <c r="E111" s="522">
        <f t="shared" si="38"/>
        <v>123134.78048780488</v>
      </c>
      <c r="F111" s="523">
        <f t="shared" si="39"/>
        <v>3536924.4942940893</v>
      </c>
      <c r="G111" s="523">
        <f t="shared" si="40"/>
        <v>3598491.8845379916</v>
      </c>
      <c r="H111" s="526">
        <f t="shared" si="41"/>
        <v>531614.80286633223</v>
      </c>
      <c r="I111" s="577">
        <f t="shared" si="42"/>
        <v>531614.80286633223</v>
      </c>
      <c r="J111" s="514">
        <f t="shared" si="32"/>
        <v>0</v>
      </c>
      <c r="K111" s="514"/>
      <c r="L111" s="525"/>
      <c r="M111" s="514">
        <f t="shared" si="43"/>
        <v>0</v>
      </c>
      <c r="N111" s="525"/>
      <c r="O111" s="514">
        <f t="shared" si="33"/>
        <v>0</v>
      </c>
      <c r="P111" s="514">
        <f t="shared" si="34"/>
        <v>0</v>
      </c>
      <c r="Q111" s="269"/>
    </row>
    <row r="112" spans="1:17" ht="12.5">
      <c r="B112" s="195" t="str">
        <f t="shared" si="31"/>
        <v/>
      </c>
      <c r="C112" s="507">
        <f>IF(D93="","-",+C111+1)</f>
        <v>2026</v>
      </c>
      <c r="D112" s="374">
        <f>IF(F111+SUM(E$99:E111)=D$92,F111,D$92-SUM(E$99:E111))</f>
        <v>3536924.4942940893</v>
      </c>
      <c r="E112" s="522">
        <f t="shared" si="38"/>
        <v>123134.78048780488</v>
      </c>
      <c r="F112" s="523">
        <f t="shared" si="39"/>
        <v>3413789.7138062846</v>
      </c>
      <c r="G112" s="523">
        <f t="shared" si="40"/>
        <v>3475357.1040501869</v>
      </c>
      <c r="H112" s="526">
        <f t="shared" si="41"/>
        <v>517637.25351979781</v>
      </c>
      <c r="I112" s="577">
        <f t="shared" si="42"/>
        <v>517637.25351979781</v>
      </c>
      <c r="J112" s="514">
        <f t="shared" si="32"/>
        <v>0</v>
      </c>
      <c r="K112" s="514"/>
      <c r="L112" s="525"/>
      <c r="M112" s="514">
        <f t="shared" si="43"/>
        <v>0</v>
      </c>
      <c r="N112" s="525"/>
      <c r="O112" s="514">
        <f t="shared" si="33"/>
        <v>0</v>
      </c>
      <c r="P112" s="514">
        <f t="shared" si="34"/>
        <v>0</v>
      </c>
      <c r="Q112" s="269"/>
    </row>
    <row r="113" spans="2:17" ht="12.5">
      <c r="B113" s="195" t="str">
        <f t="shared" si="31"/>
        <v/>
      </c>
      <c r="C113" s="507">
        <f>IF(D93="","-",+C112+1)</f>
        <v>2027</v>
      </c>
      <c r="D113" s="374">
        <f>IF(F112+SUM(E$99:E112)=D$92,F112,D$92-SUM(E$99:E112))</f>
        <v>3413789.7138062846</v>
      </c>
      <c r="E113" s="522">
        <f t="shared" si="38"/>
        <v>123134.78048780488</v>
      </c>
      <c r="F113" s="523">
        <f t="shared" si="39"/>
        <v>3290654.9333184799</v>
      </c>
      <c r="G113" s="523">
        <f t="shared" si="40"/>
        <v>3352222.3235623823</v>
      </c>
      <c r="H113" s="526">
        <f t="shared" si="41"/>
        <v>503659.7041732634</v>
      </c>
      <c r="I113" s="577">
        <f t="shared" si="42"/>
        <v>503659.7041732634</v>
      </c>
      <c r="J113" s="514">
        <f t="shared" si="32"/>
        <v>0</v>
      </c>
      <c r="K113" s="514"/>
      <c r="L113" s="525"/>
      <c r="M113" s="514">
        <f t="shared" si="43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 ht="12.5">
      <c r="B114" s="195" t="str">
        <f t="shared" si="31"/>
        <v/>
      </c>
      <c r="C114" s="507">
        <f>IF(D93="","-",+C113+1)</f>
        <v>2028</v>
      </c>
      <c r="D114" s="374">
        <f>IF(F113+SUM(E$99:E113)=D$92,F113,D$92-SUM(E$99:E113))</f>
        <v>3290654.9333184799</v>
      </c>
      <c r="E114" s="522">
        <f t="shared" si="38"/>
        <v>123134.78048780488</v>
      </c>
      <c r="F114" s="523">
        <f t="shared" si="39"/>
        <v>3167520.1528306752</v>
      </c>
      <c r="G114" s="523">
        <f t="shared" si="40"/>
        <v>3229087.5430745776</v>
      </c>
      <c r="H114" s="526">
        <f t="shared" si="41"/>
        <v>489682.15482672898</v>
      </c>
      <c r="I114" s="577">
        <f t="shared" si="42"/>
        <v>489682.15482672898</v>
      </c>
      <c r="J114" s="514">
        <f t="shared" si="32"/>
        <v>0</v>
      </c>
      <c r="K114" s="514"/>
      <c r="L114" s="525"/>
      <c r="M114" s="514">
        <f t="shared" si="43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 ht="12.5">
      <c r="B115" s="195" t="str">
        <f t="shared" si="31"/>
        <v/>
      </c>
      <c r="C115" s="507">
        <f>IF(D93="","-",+C114+1)</f>
        <v>2029</v>
      </c>
      <c r="D115" s="374">
        <f>IF(F114+SUM(E$99:E114)=D$92,F114,D$92-SUM(E$99:E114))</f>
        <v>3167520.1528306752</v>
      </c>
      <c r="E115" s="522">
        <f t="shared" si="38"/>
        <v>123134.78048780488</v>
      </c>
      <c r="F115" s="523">
        <f t="shared" si="39"/>
        <v>3044385.3723428706</v>
      </c>
      <c r="G115" s="523">
        <f t="shared" si="40"/>
        <v>3105952.7625867729</v>
      </c>
      <c r="H115" s="526">
        <f t="shared" si="41"/>
        <v>475704.60548019444</v>
      </c>
      <c r="I115" s="577">
        <f t="shared" si="42"/>
        <v>475704.60548019444</v>
      </c>
      <c r="J115" s="514">
        <f t="shared" si="32"/>
        <v>0</v>
      </c>
      <c r="K115" s="514"/>
      <c r="L115" s="525"/>
      <c r="M115" s="514">
        <f t="shared" si="43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 ht="12.5">
      <c r="B116" s="195" t="str">
        <f t="shared" si="31"/>
        <v/>
      </c>
      <c r="C116" s="507">
        <f>IF(D93="","-",+C115+1)</f>
        <v>2030</v>
      </c>
      <c r="D116" s="374">
        <f>IF(F115+SUM(E$99:E115)=D$92,F115,D$92-SUM(E$99:E115))</f>
        <v>3044385.3723428706</v>
      </c>
      <c r="E116" s="522">
        <f t="shared" si="38"/>
        <v>123134.78048780488</v>
      </c>
      <c r="F116" s="523">
        <f t="shared" si="39"/>
        <v>2921250.5918550659</v>
      </c>
      <c r="G116" s="523">
        <f t="shared" si="40"/>
        <v>2982817.9820989682</v>
      </c>
      <c r="H116" s="526">
        <f t="shared" si="41"/>
        <v>461727.05613366002</v>
      </c>
      <c r="I116" s="577">
        <f t="shared" si="42"/>
        <v>461727.05613366002</v>
      </c>
      <c r="J116" s="514">
        <f t="shared" si="32"/>
        <v>0</v>
      </c>
      <c r="K116" s="514"/>
      <c r="L116" s="525"/>
      <c r="M116" s="514">
        <f t="shared" si="43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 ht="12.5">
      <c r="B117" s="195" t="str">
        <f t="shared" si="31"/>
        <v/>
      </c>
      <c r="C117" s="507">
        <f>IF(D93="","-",+C116+1)</f>
        <v>2031</v>
      </c>
      <c r="D117" s="374">
        <f>IF(F116+SUM(E$99:E116)=D$92,F116,D$92-SUM(E$99:E116))</f>
        <v>2921250.5918550659</v>
      </c>
      <c r="E117" s="522">
        <f t="shared" si="38"/>
        <v>123134.78048780488</v>
      </c>
      <c r="F117" s="523">
        <f t="shared" si="39"/>
        <v>2798115.8113672612</v>
      </c>
      <c r="G117" s="523">
        <f t="shared" si="40"/>
        <v>2859683.2016111636</v>
      </c>
      <c r="H117" s="526">
        <f t="shared" si="41"/>
        <v>447749.5067871256</v>
      </c>
      <c r="I117" s="577">
        <f t="shared" si="42"/>
        <v>447749.5067871256</v>
      </c>
      <c r="J117" s="514">
        <f t="shared" si="32"/>
        <v>0</v>
      </c>
      <c r="K117" s="514"/>
      <c r="L117" s="525"/>
      <c r="M117" s="514">
        <f t="shared" si="43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 ht="12.5">
      <c r="B118" s="195" t="str">
        <f t="shared" si="31"/>
        <v/>
      </c>
      <c r="C118" s="507">
        <f>IF(D93="","-",+C117+1)</f>
        <v>2032</v>
      </c>
      <c r="D118" s="374">
        <f>IF(F117+SUM(E$99:E117)=D$92,F117,D$92-SUM(E$99:E117))</f>
        <v>2798115.8113672612</v>
      </c>
      <c r="E118" s="522">
        <f t="shared" si="38"/>
        <v>123134.78048780488</v>
      </c>
      <c r="F118" s="523">
        <f t="shared" si="39"/>
        <v>2674981.0308794565</v>
      </c>
      <c r="G118" s="523">
        <f t="shared" si="40"/>
        <v>2736548.4211233589</v>
      </c>
      <c r="H118" s="526">
        <f t="shared" si="41"/>
        <v>433771.95744059118</v>
      </c>
      <c r="I118" s="577">
        <f t="shared" si="42"/>
        <v>433771.95744059118</v>
      </c>
      <c r="J118" s="514">
        <f t="shared" si="32"/>
        <v>0</v>
      </c>
      <c r="K118" s="514"/>
      <c r="L118" s="525"/>
      <c r="M118" s="514">
        <f t="shared" si="43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 ht="12.5">
      <c r="B119" s="195" t="str">
        <f t="shared" si="31"/>
        <v/>
      </c>
      <c r="C119" s="507">
        <f>IF(D93="","-",+C118+1)</f>
        <v>2033</v>
      </c>
      <c r="D119" s="374">
        <f>IF(F118+SUM(E$99:E118)=D$92,F118,D$92-SUM(E$99:E118))</f>
        <v>2674981.0308794565</v>
      </c>
      <c r="E119" s="522">
        <f t="shared" si="38"/>
        <v>123134.78048780488</v>
      </c>
      <c r="F119" s="523">
        <f t="shared" si="39"/>
        <v>2551846.2503916519</v>
      </c>
      <c r="G119" s="523">
        <f t="shared" si="40"/>
        <v>2613413.6406355542</v>
      </c>
      <c r="H119" s="526">
        <f t="shared" si="41"/>
        <v>419794.40809405665</v>
      </c>
      <c r="I119" s="577">
        <f t="shared" si="42"/>
        <v>419794.40809405665</v>
      </c>
      <c r="J119" s="514">
        <f t="shared" si="32"/>
        <v>0</v>
      </c>
      <c r="K119" s="514"/>
      <c r="L119" s="525"/>
      <c r="M119" s="514">
        <f t="shared" si="43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 ht="12.5">
      <c r="B120" s="195" t="str">
        <f t="shared" si="31"/>
        <v/>
      </c>
      <c r="C120" s="507">
        <f>IF(D93="","-",+C119+1)</f>
        <v>2034</v>
      </c>
      <c r="D120" s="374">
        <f>IF(F119+SUM(E$99:E119)=D$92,F119,D$92-SUM(E$99:E119))</f>
        <v>2551846.2503916519</v>
      </c>
      <c r="E120" s="522">
        <f t="shared" si="38"/>
        <v>123134.78048780488</v>
      </c>
      <c r="F120" s="523">
        <f t="shared" si="39"/>
        <v>2428711.4699038472</v>
      </c>
      <c r="G120" s="523">
        <f t="shared" si="40"/>
        <v>2490278.8601477495</v>
      </c>
      <c r="H120" s="526">
        <f t="shared" si="41"/>
        <v>405816.85874752223</v>
      </c>
      <c r="I120" s="577">
        <f t="shared" si="42"/>
        <v>405816.85874752223</v>
      </c>
      <c r="J120" s="514">
        <f t="shared" si="32"/>
        <v>0</v>
      </c>
      <c r="K120" s="514"/>
      <c r="L120" s="525"/>
      <c r="M120" s="514">
        <f t="shared" si="43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 ht="12.5">
      <c r="B121" s="195" t="str">
        <f t="shared" si="31"/>
        <v/>
      </c>
      <c r="C121" s="507">
        <f>IF(D93="","-",+C120+1)</f>
        <v>2035</v>
      </c>
      <c r="D121" s="374">
        <f>IF(F120+SUM(E$99:E120)=D$92,F120,D$92-SUM(E$99:E120))</f>
        <v>2428711.4699038472</v>
      </c>
      <c r="E121" s="522">
        <f t="shared" si="38"/>
        <v>123134.78048780488</v>
      </c>
      <c r="F121" s="523">
        <f t="shared" si="39"/>
        <v>2305576.6894160425</v>
      </c>
      <c r="G121" s="523">
        <f t="shared" si="40"/>
        <v>2367144.0796599449</v>
      </c>
      <c r="H121" s="526">
        <f t="shared" si="41"/>
        <v>391839.30940098781</v>
      </c>
      <c r="I121" s="577">
        <f t="shared" si="42"/>
        <v>391839.30940098781</v>
      </c>
      <c r="J121" s="514">
        <f t="shared" si="32"/>
        <v>0</v>
      </c>
      <c r="K121" s="514"/>
      <c r="L121" s="525"/>
      <c r="M121" s="514">
        <f t="shared" si="43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 ht="12.5">
      <c r="B122" s="195" t="str">
        <f t="shared" si="31"/>
        <v/>
      </c>
      <c r="C122" s="507">
        <f>IF(D93="","-",+C121+1)</f>
        <v>2036</v>
      </c>
      <c r="D122" s="374">
        <f>IF(F121+SUM(E$99:E121)=D$92,F121,D$92-SUM(E$99:E121))</f>
        <v>2305576.6894160425</v>
      </c>
      <c r="E122" s="522">
        <f t="shared" si="38"/>
        <v>123134.78048780488</v>
      </c>
      <c r="F122" s="523">
        <f t="shared" si="39"/>
        <v>2182441.9089282379</v>
      </c>
      <c r="G122" s="523">
        <f t="shared" si="40"/>
        <v>2244009.2991721402</v>
      </c>
      <c r="H122" s="526">
        <f t="shared" si="41"/>
        <v>377861.76005445339</v>
      </c>
      <c r="I122" s="577">
        <f t="shared" si="42"/>
        <v>377861.76005445339</v>
      </c>
      <c r="J122" s="514">
        <f t="shared" si="32"/>
        <v>0</v>
      </c>
      <c r="K122" s="514"/>
      <c r="L122" s="525"/>
      <c r="M122" s="514">
        <f t="shared" si="43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 ht="12.5">
      <c r="B123" s="195" t="str">
        <f t="shared" si="31"/>
        <v/>
      </c>
      <c r="C123" s="507">
        <f>IF(D93="","-",+C122+1)</f>
        <v>2037</v>
      </c>
      <c r="D123" s="374">
        <f>IF(F122+SUM(E$99:E122)=D$92,F122,D$92-SUM(E$99:E122))</f>
        <v>2182441.9089282379</v>
      </c>
      <c r="E123" s="522">
        <f t="shared" si="38"/>
        <v>123134.78048780488</v>
      </c>
      <c r="F123" s="523">
        <f t="shared" si="39"/>
        <v>2059307.1284404329</v>
      </c>
      <c r="G123" s="523">
        <f t="shared" si="40"/>
        <v>2120874.5186843355</v>
      </c>
      <c r="H123" s="526">
        <f t="shared" si="41"/>
        <v>363884.21070791892</v>
      </c>
      <c r="I123" s="577">
        <f t="shared" si="42"/>
        <v>363884.21070791892</v>
      </c>
      <c r="J123" s="514">
        <f t="shared" si="32"/>
        <v>0</v>
      </c>
      <c r="K123" s="514"/>
      <c r="L123" s="525"/>
      <c r="M123" s="514">
        <f t="shared" si="43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 ht="12.5">
      <c r="B124" s="195" t="str">
        <f t="shared" si="31"/>
        <v/>
      </c>
      <c r="C124" s="507">
        <f>IF(D93="","-",+C123+1)</f>
        <v>2038</v>
      </c>
      <c r="D124" s="374">
        <f>IF(F123+SUM(E$99:E123)=D$92,F123,D$92-SUM(E$99:E123))</f>
        <v>2059307.1284404329</v>
      </c>
      <c r="E124" s="522">
        <f t="shared" si="38"/>
        <v>123134.78048780488</v>
      </c>
      <c r="F124" s="523">
        <f t="shared" si="39"/>
        <v>1936172.347952628</v>
      </c>
      <c r="G124" s="523">
        <f t="shared" si="40"/>
        <v>1997739.7381965304</v>
      </c>
      <c r="H124" s="526">
        <f t="shared" si="41"/>
        <v>349906.66136138444</v>
      </c>
      <c r="I124" s="577">
        <f t="shared" si="42"/>
        <v>349906.66136138444</v>
      </c>
      <c r="J124" s="514">
        <f t="shared" si="32"/>
        <v>0</v>
      </c>
      <c r="K124" s="514"/>
      <c r="L124" s="525"/>
      <c r="M124" s="514">
        <f t="shared" si="43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 ht="12.5">
      <c r="B125" s="195" t="str">
        <f t="shared" si="31"/>
        <v/>
      </c>
      <c r="C125" s="507">
        <f>IF(D93="","-",+C124+1)</f>
        <v>2039</v>
      </c>
      <c r="D125" s="374">
        <f>IF(F124+SUM(E$99:E124)=D$92,F124,D$92-SUM(E$99:E124))</f>
        <v>1936172.347952628</v>
      </c>
      <c r="E125" s="522">
        <f t="shared" si="38"/>
        <v>123134.78048780488</v>
      </c>
      <c r="F125" s="523">
        <f t="shared" si="39"/>
        <v>1813037.5674648231</v>
      </c>
      <c r="G125" s="523">
        <f t="shared" si="40"/>
        <v>1874604.9577087257</v>
      </c>
      <c r="H125" s="526">
        <f t="shared" si="41"/>
        <v>335929.11201484996</v>
      </c>
      <c r="I125" s="577">
        <f t="shared" si="42"/>
        <v>335929.11201484996</v>
      </c>
      <c r="J125" s="514">
        <f t="shared" si="32"/>
        <v>0</v>
      </c>
      <c r="K125" s="514"/>
      <c r="L125" s="525"/>
      <c r="M125" s="514">
        <f t="shared" si="43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 ht="12.5">
      <c r="B126" s="195" t="str">
        <f t="shared" si="31"/>
        <v/>
      </c>
      <c r="C126" s="507">
        <f>IF(D93="","-",+C125+1)</f>
        <v>2040</v>
      </c>
      <c r="D126" s="374">
        <f>IF(F125+SUM(E$99:E125)=D$92,F125,D$92-SUM(E$99:E125))</f>
        <v>1813037.5674648231</v>
      </c>
      <c r="E126" s="522">
        <f t="shared" si="38"/>
        <v>123134.78048780488</v>
      </c>
      <c r="F126" s="523">
        <f t="shared" si="39"/>
        <v>1689902.7869770182</v>
      </c>
      <c r="G126" s="523">
        <f t="shared" si="40"/>
        <v>1751470.1772209206</v>
      </c>
      <c r="H126" s="526">
        <f t="shared" si="41"/>
        <v>321951.56266831548</v>
      </c>
      <c r="I126" s="577">
        <f t="shared" si="42"/>
        <v>321951.56266831548</v>
      </c>
      <c r="J126" s="514">
        <f t="shared" si="32"/>
        <v>0</v>
      </c>
      <c r="K126" s="514"/>
      <c r="L126" s="525"/>
      <c r="M126" s="514">
        <f t="shared" si="43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 ht="12.5">
      <c r="B127" s="195" t="str">
        <f t="shared" si="31"/>
        <v/>
      </c>
      <c r="C127" s="507">
        <f>IF(D93="","-",+C126+1)</f>
        <v>2041</v>
      </c>
      <c r="D127" s="374">
        <f>IF(F126+SUM(E$99:E126)=D$92,F126,D$92-SUM(E$99:E126))</f>
        <v>1689902.7869770182</v>
      </c>
      <c r="E127" s="522">
        <f t="shared" si="38"/>
        <v>123134.78048780488</v>
      </c>
      <c r="F127" s="523">
        <f t="shared" si="39"/>
        <v>1566768.0064892133</v>
      </c>
      <c r="G127" s="523">
        <f t="shared" si="40"/>
        <v>1628335.3967331159</v>
      </c>
      <c r="H127" s="526">
        <f t="shared" si="41"/>
        <v>307974.01332178107</v>
      </c>
      <c r="I127" s="577">
        <f t="shared" si="42"/>
        <v>307974.01332178107</v>
      </c>
      <c r="J127" s="514">
        <f t="shared" si="32"/>
        <v>0</v>
      </c>
      <c r="K127" s="514"/>
      <c r="L127" s="525"/>
      <c r="M127" s="514">
        <f t="shared" si="43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 ht="12.5">
      <c r="B128" s="195" t="str">
        <f t="shared" si="31"/>
        <v/>
      </c>
      <c r="C128" s="507">
        <f>IF(D93="","-",+C127+1)</f>
        <v>2042</v>
      </c>
      <c r="D128" s="374">
        <f>IF(F127+SUM(E$99:E127)=D$92,F127,D$92-SUM(E$99:E127))</f>
        <v>1566768.0064892133</v>
      </c>
      <c r="E128" s="522">
        <f t="shared" si="38"/>
        <v>123134.78048780488</v>
      </c>
      <c r="F128" s="523">
        <f t="shared" si="39"/>
        <v>1443633.2260014084</v>
      </c>
      <c r="G128" s="523">
        <f t="shared" si="40"/>
        <v>1505200.6162453108</v>
      </c>
      <c r="H128" s="526">
        <f t="shared" si="41"/>
        <v>293996.46397524653</v>
      </c>
      <c r="I128" s="577">
        <f t="shared" si="42"/>
        <v>293996.46397524653</v>
      </c>
      <c r="J128" s="514">
        <f t="shared" si="32"/>
        <v>0</v>
      </c>
      <c r="K128" s="514"/>
      <c r="L128" s="525"/>
      <c r="M128" s="514">
        <f t="shared" si="43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 ht="12.5">
      <c r="B129" s="195" t="str">
        <f t="shared" si="31"/>
        <v/>
      </c>
      <c r="C129" s="507">
        <f>IF(D93="","-",+C128+1)</f>
        <v>2043</v>
      </c>
      <c r="D129" s="374">
        <f>IF(F128+SUM(E$99:E128)=D$92,F128,D$92-SUM(E$99:E128))</f>
        <v>1443633.2260014084</v>
      </c>
      <c r="E129" s="522">
        <f t="shared" si="38"/>
        <v>123134.78048780488</v>
      </c>
      <c r="F129" s="523">
        <f t="shared" si="39"/>
        <v>1320498.4455136035</v>
      </c>
      <c r="G129" s="523">
        <f t="shared" si="40"/>
        <v>1382065.8357575061</v>
      </c>
      <c r="H129" s="526">
        <f t="shared" si="41"/>
        <v>280018.91462871211</v>
      </c>
      <c r="I129" s="577">
        <f t="shared" si="42"/>
        <v>280018.91462871211</v>
      </c>
      <c r="J129" s="514">
        <f t="shared" si="32"/>
        <v>0</v>
      </c>
      <c r="K129" s="514"/>
      <c r="L129" s="525"/>
      <c r="M129" s="514">
        <f t="shared" si="43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 ht="12.5">
      <c r="B130" s="195" t="str">
        <f t="shared" si="31"/>
        <v/>
      </c>
      <c r="C130" s="507">
        <f>IF(D93="","-",+C129+1)</f>
        <v>2044</v>
      </c>
      <c r="D130" s="374">
        <f>IF(F129+SUM(E$99:E129)=D$92,F129,D$92-SUM(E$99:E129))</f>
        <v>1320498.4455136035</v>
      </c>
      <c r="E130" s="522">
        <f t="shared" si="38"/>
        <v>123134.78048780488</v>
      </c>
      <c r="F130" s="523">
        <f t="shared" si="39"/>
        <v>1197363.6650257986</v>
      </c>
      <c r="G130" s="523">
        <f t="shared" si="40"/>
        <v>1258931.0552697009</v>
      </c>
      <c r="H130" s="526">
        <f t="shared" si="41"/>
        <v>266041.36528217758</v>
      </c>
      <c r="I130" s="577">
        <f t="shared" si="42"/>
        <v>266041.36528217758</v>
      </c>
      <c r="J130" s="514">
        <f t="shared" si="32"/>
        <v>0</v>
      </c>
      <c r="K130" s="514"/>
      <c r="L130" s="525"/>
      <c r="M130" s="514">
        <f t="shared" si="43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 ht="12.5">
      <c r="B131" s="195" t="str">
        <f t="shared" si="31"/>
        <v/>
      </c>
      <c r="C131" s="507">
        <f>IF(D93="","-",+C130+1)</f>
        <v>2045</v>
      </c>
      <c r="D131" s="374">
        <f>IF(F130+SUM(E$99:E130)=D$92,F130,D$92-SUM(E$99:E130))</f>
        <v>1197363.6650257986</v>
      </c>
      <c r="E131" s="522">
        <f t="shared" si="38"/>
        <v>123134.78048780488</v>
      </c>
      <c r="F131" s="523">
        <f t="shared" si="39"/>
        <v>1074228.8845379937</v>
      </c>
      <c r="G131" s="523">
        <f t="shared" si="40"/>
        <v>1135796.2747818963</v>
      </c>
      <c r="H131" s="526">
        <f t="shared" si="41"/>
        <v>252063.81593564316</v>
      </c>
      <c r="I131" s="577">
        <f t="shared" si="42"/>
        <v>252063.81593564316</v>
      </c>
      <c r="J131" s="514">
        <f t="shared" si="32"/>
        <v>0</v>
      </c>
      <c r="K131" s="514"/>
      <c r="L131" s="525"/>
      <c r="M131" s="514">
        <f t="shared" ref="M131:M154" si="44">IF(L541&lt;&gt;0,+H541-L541,0)</f>
        <v>0</v>
      </c>
      <c r="N131" s="525"/>
      <c r="O131" s="514">
        <f t="shared" ref="O131:O154" si="45">IF(N541&lt;&gt;0,+I541-N541,0)</f>
        <v>0</v>
      </c>
      <c r="P131" s="514">
        <f t="shared" ref="P131:P154" si="46">+O541-M541</f>
        <v>0</v>
      </c>
      <c r="Q131" s="269"/>
    </row>
    <row r="132" spans="2:17" ht="12.5">
      <c r="B132" s="195" t="str">
        <f t="shared" si="31"/>
        <v/>
      </c>
      <c r="C132" s="507">
        <f>IF(D93="","-",+C131+1)</f>
        <v>2046</v>
      </c>
      <c r="D132" s="374">
        <f>IF(F131+SUM(E$99:E131)=D$92,F131,D$92-SUM(E$99:E131))</f>
        <v>1074228.8845379937</v>
      </c>
      <c r="E132" s="522">
        <f t="shared" si="38"/>
        <v>123134.78048780488</v>
      </c>
      <c r="F132" s="523">
        <f t="shared" si="39"/>
        <v>951094.10405018879</v>
      </c>
      <c r="G132" s="523">
        <f t="shared" si="40"/>
        <v>1012661.4942940912</v>
      </c>
      <c r="H132" s="526">
        <f t="shared" si="41"/>
        <v>238086.26658910865</v>
      </c>
      <c r="I132" s="577">
        <f t="shared" si="42"/>
        <v>238086.26658910865</v>
      </c>
      <c r="J132" s="514">
        <f t="shared" si="32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 ht="12.5">
      <c r="B133" s="195" t="str">
        <f t="shared" si="31"/>
        <v/>
      </c>
      <c r="C133" s="507">
        <f>IF(D93="","-",+C132+1)</f>
        <v>2047</v>
      </c>
      <c r="D133" s="374">
        <f>IF(F132+SUM(E$99:E132)=D$92,F132,D$92-SUM(E$99:E132))</f>
        <v>951094.10405018879</v>
      </c>
      <c r="E133" s="522">
        <f t="shared" si="38"/>
        <v>123134.78048780488</v>
      </c>
      <c r="F133" s="523">
        <f t="shared" si="39"/>
        <v>827959.32356238388</v>
      </c>
      <c r="G133" s="523">
        <f t="shared" si="40"/>
        <v>889526.71380628634</v>
      </c>
      <c r="H133" s="526">
        <f t="shared" si="41"/>
        <v>224108.71724257417</v>
      </c>
      <c r="I133" s="577">
        <f t="shared" si="42"/>
        <v>224108.71724257417</v>
      </c>
      <c r="J133" s="514">
        <f t="shared" si="32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 ht="12.5">
      <c r="B134" s="195" t="str">
        <f t="shared" si="31"/>
        <v/>
      </c>
      <c r="C134" s="507">
        <f>IF(D93="","-",+C133+1)</f>
        <v>2048</v>
      </c>
      <c r="D134" s="374">
        <f>IF(F133+SUM(E$99:E133)=D$92,F133,D$92-SUM(E$99:E133))</f>
        <v>827959.32356238388</v>
      </c>
      <c r="E134" s="522">
        <f t="shared" si="38"/>
        <v>123134.78048780488</v>
      </c>
      <c r="F134" s="523">
        <f t="shared" si="39"/>
        <v>704824.54307457898</v>
      </c>
      <c r="G134" s="523">
        <f t="shared" si="40"/>
        <v>766391.93331848143</v>
      </c>
      <c r="H134" s="526">
        <f t="shared" si="41"/>
        <v>210131.16789603973</v>
      </c>
      <c r="I134" s="577">
        <f t="shared" si="42"/>
        <v>210131.16789603973</v>
      </c>
      <c r="J134" s="514">
        <f t="shared" si="32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 ht="12.5">
      <c r="B135" s="195" t="str">
        <f t="shared" si="31"/>
        <v/>
      </c>
      <c r="C135" s="507">
        <f>IF(D93="","-",+C134+1)</f>
        <v>2049</v>
      </c>
      <c r="D135" s="374">
        <f>IF(F134+SUM(E$99:E134)=D$92,F134,D$92-SUM(E$99:E134))</f>
        <v>704824.54307457898</v>
      </c>
      <c r="E135" s="522">
        <f t="shared" si="38"/>
        <v>123134.78048780488</v>
      </c>
      <c r="F135" s="523">
        <f t="shared" si="39"/>
        <v>581689.76258677407</v>
      </c>
      <c r="G135" s="523">
        <f t="shared" si="40"/>
        <v>643257.15283067652</v>
      </c>
      <c r="H135" s="526">
        <f t="shared" si="41"/>
        <v>196153.61854950525</v>
      </c>
      <c r="I135" s="577">
        <f t="shared" si="42"/>
        <v>196153.61854950525</v>
      </c>
      <c r="J135" s="514">
        <f t="shared" si="32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 ht="12.5">
      <c r="B136" s="195" t="str">
        <f t="shared" si="31"/>
        <v/>
      </c>
      <c r="C136" s="507">
        <f>IF(D93="","-",+C135+1)</f>
        <v>2050</v>
      </c>
      <c r="D136" s="374">
        <f>IF(F135+SUM(E$99:E135)=D$92,F135,D$92-SUM(E$99:E135))</f>
        <v>581689.76258677407</v>
      </c>
      <c r="E136" s="522">
        <f t="shared" si="38"/>
        <v>123134.78048780488</v>
      </c>
      <c r="F136" s="523">
        <f t="shared" si="39"/>
        <v>458554.98209896917</v>
      </c>
      <c r="G136" s="523">
        <f t="shared" si="40"/>
        <v>520122.37234287162</v>
      </c>
      <c r="H136" s="526">
        <f t="shared" si="41"/>
        <v>182176.06920297077</v>
      </c>
      <c r="I136" s="577">
        <f t="shared" si="42"/>
        <v>182176.06920297077</v>
      </c>
      <c r="J136" s="514">
        <f t="shared" si="32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 ht="12.5">
      <c r="B137" s="195" t="str">
        <f t="shared" si="31"/>
        <v/>
      </c>
      <c r="C137" s="507">
        <f>IF(D93="","-",+C136+1)</f>
        <v>2051</v>
      </c>
      <c r="D137" s="374">
        <f>IF(F136+SUM(E$99:E136)=D$92,F136,D$92-SUM(E$99:E136))</f>
        <v>458554.98209896917</v>
      </c>
      <c r="E137" s="522">
        <f t="shared" si="38"/>
        <v>123134.78048780488</v>
      </c>
      <c r="F137" s="523">
        <f t="shared" si="39"/>
        <v>335420.20161116426</v>
      </c>
      <c r="G137" s="523">
        <f t="shared" si="40"/>
        <v>396987.59185506671</v>
      </c>
      <c r="H137" s="526">
        <f t="shared" si="41"/>
        <v>168198.51985643629</v>
      </c>
      <c r="I137" s="577">
        <f t="shared" si="42"/>
        <v>168198.51985643629</v>
      </c>
      <c r="J137" s="514">
        <f t="shared" si="32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 ht="12.5">
      <c r="B138" s="195" t="str">
        <f t="shared" si="31"/>
        <v/>
      </c>
      <c r="C138" s="507">
        <f>IF(D93="","-",+C137+1)</f>
        <v>2052</v>
      </c>
      <c r="D138" s="374">
        <f>IF(F137+SUM(E$99:E137)=D$92,F137,D$92-SUM(E$99:E137))</f>
        <v>335420.20161116426</v>
      </c>
      <c r="E138" s="522">
        <f t="shared" si="38"/>
        <v>123134.78048780488</v>
      </c>
      <c r="F138" s="523">
        <f t="shared" si="39"/>
        <v>212285.42112335938</v>
      </c>
      <c r="G138" s="523">
        <f t="shared" si="40"/>
        <v>273852.81136726181</v>
      </c>
      <c r="H138" s="526">
        <f t="shared" si="41"/>
        <v>154220.97050990182</v>
      </c>
      <c r="I138" s="577">
        <f t="shared" si="42"/>
        <v>154220.97050990182</v>
      </c>
      <c r="J138" s="514">
        <f t="shared" si="32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 ht="12.5">
      <c r="B139" s="195" t="str">
        <f t="shared" si="31"/>
        <v/>
      </c>
      <c r="C139" s="507">
        <f>IF(D93="","-",+C138+1)</f>
        <v>2053</v>
      </c>
      <c r="D139" s="374">
        <f>IF(F138+SUM(E$99:E138)=D$92,F138,D$92-SUM(E$99:E138))</f>
        <v>212285.42112335938</v>
      </c>
      <c r="E139" s="522">
        <f t="shared" si="38"/>
        <v>123134.78048780488</v>
      </c>
      <c r="F139" s="523">
        <f t="shared" si="39"/>
        <v>89150.640635554504</v>
      </c>
      <c r="G139" s="523">
        <f t="shared" si="40"/>
        <v>150718.03087945696</v>
      </c>
      <c r="H139" s="526">
        <f t="shared" si="41"/>
        <v>140243.42116336734</v>
      </c>
      <c r="I139" s="577">
        <f t="shared" si="42"/>
        <v>140243.42116336734</v>
      </c>
      <c r="J139" s="514">
        <f t="shared" si="32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 ht="12.5">
      <c r="B140" s="195" t="str">
        <f t="shared" si="31"/>
        <v/>
      </c>
      <c r="C140" s="507">
        <f>IF(D93="","-",+C139+1)</f>
        <v>2054</v>
      </c>
      <c r="D140" s="374">
        <f>IF(F139+SUM(E$99:E139)=D$92,F139,D$92-SUM(E$99:E139))</f>
        <v>89150.640635554504</v>
      </c>
      <c r="E140" s="522">
        <f t="shared" si="38"/>
        <v>89150.640635554504</v>
      </c>
      <c r="F140" s="523">
        <f t="shared" si="39"/>
        <v>0</v>
      </c>
      <c r="G140" s="523">
        <f t="shared" si="40"/>
        <v>44575.320317777252</v>
      </c>
      <c r="H140" s="526">
        <f t="shared" si="41"/>
        <v>94210.573636702131</v>
      </c>
      <c r="I140" s="577">
        <f t="shared" si="42"/>
        <v>94210.573636702131</v>
      </c>
      <c r="J140" s="514">
        <f t="shared" si="32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 ht="12.5">
      <c r="B141" s="195" t="str">
        <f t="shared" si="31"/>
        <v/>
      </c>
      <c r="C141" s="507">
        <f>IF(D93="","-",+C140+1)</f>
        <v>2055</v>
      </c>
      <c r="D141" s="374">
        <f>IF(F140+SUM(E$99:E140)=D$92,F140,D$92-SUM(E$99:E140))</f>
        <v>0</v>
      </c>
      <c r="E141" s="522">
        <f t="shared" si="38"/>
        <v>0</v>
      </c>
      <c r="F141" s="523">
        <f t="shared" si="39"/>
        <v>0</v>
      </c>
      <c r="G141" s="523">
        <f t="shared" si="40"/>
        <v>0</v>
      </c>
      <c r="H141" s="526">
        <f t="shared" si="41"/>
        <v>0</v>
      </c>
      <c r="I141" s="577">
        <f t="shared" si="42"/>
        <v>0</v>
      </c>
      <c r="J141" s="514">
        <f t="shared" si="32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 ht="12.5">
      <c r="B142" s="195" t="str">
        <f t="shared" si="31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8"/>
        <v>0</v>
      </c>
      <c r="F142" s="523">
        <f t="shared" si="39"/>
        <v>0</v>
      </c>
      <c r="G142" s="523">
        <f t="shared" si="40"/>
        <v>0</v>
      </c>
      <c r="H142" s="526">
        <f t="shared" si="41"/>
        <v>0</v>
      </c>
      <c r="I142" s="577">
        <f t="shared" si="42"/>
        <v>0</v>
      </c>
      <c r="J142" s="514">
        <f t="shared" si="32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 ht="12.5">
      <c r="B143" s="195" t="str">
        <f t="shared" si="31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8"/>
        <v>0</v>
      </c>
      <c r="F143" s="523">
        <f t="shared" si="39"/>
        <v>0</v>
      </c>
      <c r="G143" s="523">
        <f t="shared" si="40"/>
        <v>0</v>
      </c>
      <c r="H143" s="526">
        <f t="shared" si="41"/>
        <v>0</v>
      </c>
      <c r="I143" s="577">
        <f t="shared" si="42"/>
        <v>0</v>
      </c>
      <c r="J143" s="514">
        <f t="shared" si="32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 ht="12.5">
      <c r="B144" s="195" t="str">
        <f t="shared" si="31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8"/>
        <v>0</v>
      </c>
      <c r="F144" s="523">
        <f t="shared" si="39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32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 ht="12.5">
      <c r="B145" s="195" t="str">
        <f t="shared" si="31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8"/>
        <v>0</v>
      </c>
      <c r="F145" s="523">
        <f t="shared" si="39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32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 ht="12.5">
      <c r="B146" s="195" t="str">
        <f t="shared" si="31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8"/>
        <v>0</v>
      </c>
      <c r="F146" s="523">
        <f t="shared" si="39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32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 ht="12.5">
      <c r="B147" s="195" t="str">
        <f t="shared" si="31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8"/>
        <v>0</v>
      </c>
      <c r="F147" s="523">
        <f t="shared" si="39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32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 ht="12.5">
      <c r="B148" s="195" t="str">
        <f t="shared" si="31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8"/>
        <v>0</v>
      </c>
      <c r="F148" s="523">
        <f t="shared" si="39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32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 ht="12.5">
      <c r="B149" s="195" t="str">
        <f t="shared" si="31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8"/>
        <v>0</v>
      </c>
      <c r="F149" s="523">
        <f t="shared" si="39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32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 ht="12.5">
      <c r="B150" s="195" t="str">
        <f t="shared" si="31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8"/>
        <v>0</v>
      </c>
      <c r="F150" s="523">
        <f t="shared" si="39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32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 ht="12.5">
      <c r="B151" s="195" t="str">
        <f t="shared" si="31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8"/>
        <v>0</v>
      </c>
      <c r="F151" s="523">
        <f t="shared" si="39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32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 ht="12.5">
      <c r="B152" s="195" t="str">
        <f t="shared" si="31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8"/>
        <v>0</v>
      </c>
      <c r="F152" s="523">
        <f t="shared" si="39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32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 ht="12.5">
      <c r="B153" s="195" t="str">
        <f t="shared" si="31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8"/>
        <v>0</v>
      </c>
      <c r="F153" s="523">
        <f t="shared" si="39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32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" thickBot="1">
      <c r="B154" s="195" t="str">
        <f t="shared" si="31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8"/>
        <v>0</v>
      </c>
      <c r="F154" s="523">
        <f t="shared" si="39"/>
        <v>0</v>
      </c>
      <c r="G154" s="523">
        <f t="shared" si="40"/>
        <v>0</v>
      </c>
      <c r="H154" s="526">
        <f t="shared" si="41"/>
        <v>0</v>
      </c>
      <c r="I154" s="577">
        <f t="shared" si="42"/>
        <v>0</v>
      </c>
      <c r="J154" s="514">
        <f t="shared" si="32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 ht="12.5">
      <c r="C155" s="374" t="s">
        <v>78</v>
      </c>
      <c r="D155" s="375"/>
      <c r="E155" s="375">
        <f>SUM(E99:E154)</f>
        <v>5048525.9999999991</v>
      </c>
      <c r="F155" s="375"/>
      <c r="G155" s="375"/>
      <c r="H155" s="375">
        <f>SUM(H99:H154)</f>
        <v>17176422.633579038</v>
      </c>
      <c r="I155" s="375">
        <f>SUM(I99:I154)</f>
        <v>17176422.633579038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6" priority="1" stopIfTrue="1" operator="equal">
      <formula>$I$10</formula>
    </cfRule>
  </conditionalFormatting>
  <conditionalFormatting sqref="C99:C154">
    <cfRule type="cellIs" dxfId="8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71"/>
  <dimension ref="A1:Q162"/>
  <sheetViews>
    <sheetView view="pageBreakPreview" zoomScale="75" zoomScaleNormal="100" zoomScaleSheetLayoutView="75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38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315417.20046708721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315417.20046708721</v>
      </c>
      <c r="O6" s="269"/>
      <c r="P6" s="269"/>
    </row>
    <row r="7" spans="1:17" ht="13.5" thickBot="1">
      <c r="C7" s="467" t="s">
        <v>48</v>
      </c>
      <c r="D7" s="624" t="s">
        <v>303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C9" s="476" t="s">
        <v>50</v>
      </c>
      <c r="D9" s="477" t="s">
        <v>302</v>
      </c>
      <c r="E9" s="666" t="s">
        <v>499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2636239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62767.595238095237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6">
        <v>3095000</v>
      </c>
      <c r="E17" s="627">
        <v>36845.238095238092</v>
      </c>
      <c r="F17" s="626">
        <v>3058154.7619047621</v>
      </c>
      <c r="G17" s="627">
        <v>464947.39975050534</v>
      </c>
      <c r="H17" s="610">
        <v>464947.39975050534</v>
      </c>
      <c r="I17" s="616">
        <v>0</v>
      </c>
      <c r="J17" s="511"/>
      <c r="K17" s="512">
        <f t="shared" ref="K17:K22" si="0">G17</f>
        <v>464947.39975050534</v>
      </c>
      <c r="L17" s="597">
        <f t="shared" ref="L17:L22" si="1">IF(K17&lt;&gt;0,+G17-K17,0)</f>
        <v>0</v>
      </c>
      <c r="M17" s="512">
        <f t="shared" ref="M17:M22" si="2">H17</f>
        <v>464947.39975050534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26">
        <v>3058154.7619047621</v>
      </c>
      <c r="E18" s="609">
        <v>62767.595238095237</v>
      </c>
      <c r="F18" s="626">
        <v>2995387.166666667</v>
      </c>
      <c r="G18" s="609">
        <v>466876.80029860663</v>
      </c>
      <c r="H18" s="610">
        <v>466876.80029860663</v>
      </c>
      <c r="I18" s="616">
        <v>0</v>
      </c>
      <c r="J18" s="511"/>
      <c r="K18" s="518">
        <f t="shared" si="0"/>
        <v>466876.80029860663</v>
      </c>
      <c r="L18" s="519">
        <f t="shared" si="1"/>
        <v>0</v>
      </c>
      <c r="M18" s="518">
        <f t="shared" si="2"/>
        <v>466876.80029860663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26">
        <v>2995387.166666667</v>
      </c>
      <c r="E19" s="609">
        <v>62767.595238095237</v>
      </c>
      <c r="F19" s="626">
        <v>2932619.5714285718</v>
      </c>
      <c r="G19" s="609">
        <v>449007.67222881154</v>
      </c>
      <c r="H19" s="610">
        <v>449007.67222881154</v>
      </c>
      <c r="I19" s="511">
        <v>0</v>
      </c>
      <c r="J19" s="511"/>
      <c r="K19" s="518">
        <f t="shared" si="0"/>
        <v>449007.67222881154</v>
      </c>
      <c r="L19" s="519">
        <f t="shared" si="1"/>
        <v>0</v>
      </c>
      <c r="M19" s="518">
        <f t="shared" si="2"/>
        <v>449007.67222881154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26">
        <v>2473858.5714285714</v>
      </c>
      <c r="E20" s="609">
        <v>62767.595238095237</v>
      </c>
      <c r="F20" s="626">
        <v>2411090.9761904762</v>
      </c>
      <c r="G20" s="609">
        <v>376402.24918929196</v>
      </c>
      <c r="H20" s="610">
        <v>376402.24918929196</v>
      </c>
      <c r="I20" s="511">
        <f>H20-G20</f>
        <v>0</v>
      </c>
      <c r="J20" s="511"/>
      <c r="K20" s="518">
        <f t="shared" si="0"/>
        <v>376402.24918929196</v>
      </c>
      <c r="L20" s="519">
        <f t="shared" si="1"/>
        <v>0</v>
      </c>
      <c r="M20" s="518">
        <f t="shared" si="2"/>
        <v>376402.24918929196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26">
        <v>2411090.9761904762</v>
      </c>
      <c r="E21" s="609">
        <v>61307.883720930229</v>
      </c>
      <c r="F21" s="626">
        <v>2349783.092469546</v>
      </c>
      <c r="G21" s="609">
        <v>356226.25901842013</v>
      </c>
      <c r="H21" s="610">
        <v>356226.25901842013</v>
      </c>
      <c r="I21" s="511">
        <f t="shared" ref="I21:I72" si="6">H21-G21</f>
        <v>0</v>
      </c>
      <c r="J21" s="511"/>
      <c r="K21" s="518">
        <f t="shared" si="0"/>
        <v>356226.25901842013</v>
      </c>
      <c r="L21" s="519">
        <f t="shared" si="1"/>
        <v>0</v>
      </c>
      <c r="M21" s="518">
        <f t="shared" si="2"/>
        <v>356226.25901842013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26">
        <v>2349783.092469546</v>
      </c>
      <c r="E22" s="609">
        <v>64298.512195121948</v>
      </c>
      <c r="F22" s="626">
        <v>2285484.5802744241</v>
      </c>
      <c r="G22" s="609">
        <v>358856.09627446433</v>
      </c>
      <c r="H22" s="610">
        <v>358856.09627446433</v>
      </c>
      <c r="I22" s="511">
        <f t="shared" si="6"/>
        <v>0</v>
      </c>
      <c r="J22" s="511"/>
      <c r="K22" s="518">
        <f t="shared" si="0"/>
        <v>358856.09627446433</v>
      </c>
      <c r="L22" s="519">
        <f t="shared" si="1"/>
        <v>0</v>
      </c>
      <c r="M22" s="518">
        <f t="shared" si="2"/>
        <v>358856.09627446433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26">
        <v>2285484.5802744241</v>
      </c>
      <c r="E23" s="609">
        <v>64298.512195121948</v>
      </c>
      <c r="F23" s="626">
        <v>2221186.0680793021</v>
      </c>
      <c r="G23" s="609">
        <v>350684.13480459759</v>
      </c>
      <c r="H23" s="610">
        <v>350684.13480459759</v>
      </c>
      <c r="I23" s="511">
        <f t="shared" si="6"/>
        <v>0</v>
      </c>
      <c r="J23" s="511"/>
      <c r="K23" s="518">
        <f t="shared" ref="K23" si="7">G23</f>
        <v>350684.13480459759</v>
      </c>
      <c r="L23" s="519">
        <f t="shared" ref="L23" si="8">IF(K23&lt;&gt;0,+G23-K23,0)</f>
        <v>0</v>
      </c>
      <c r="M23" s="518">
        <f t="shared" ref="M23" si="9">H23</f>
        <v>350684.13480459759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26">
        <v>2221186.0680793021</v>
      </c>
      <c r="E24" s="609">
        <v>64298.512195121948</v>
      </c>
      <c r="F24" s="626">
        <v>2156887.5558841801</v>
      </c>
      <c r="G24" s="609">
        <v>288314.59098884225</v>
      </c>
      <c r="H24" s="610">
        <v>288314.59098884225</v>
      </c>
      <c r="I24" s="511">
        <f t="shared" si="6"/>
        <v>0</v>
      </c>
      <c r="J24" s="511"/>
      <c r="K24" s="518">
        <f t="shared" ref="K24" si="12">G24</f>
        <v>288314.59098884225</v>
      </c>
      <c r="L24" s="519">
        <f t="shared" ref="L24" si="13">IF(K24&lt;&gt;0,+G24-K24,0)</f>
        <v>0</v>
      </c>
      <c r="M24" s="518">
        <f t="shared" ref="M24" si="14">H24</f>
        <v>288314.59098884225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26">
        <v>2159878.1843583719</v>
      </c>
      <c r="E25" s="609">
        <v>62767.595238095237</v>
      </c>
      <c r="F25" s="626">
        <v>2097110.5891202767</v>
      </c>
      <c r="G25" s="609">
        <v>288397.67433017225</v>
      </c>
      <c r="H25" s="610">
        <v>288397.67433017225</v>
      </c>
      <c r="I25" s="511">
        <f t="shared" si="6"/>
        <v>0</v>
      </c>
      <c r="J25" s="511"/>
      <c r="K25" s="518">
        <f t="shared" ref="K25" si="15">G25</f>
        <v>288397.67433017225</v>
      </c>
      <c r="L25" s="519">
        <f t="shared" ref="L25" si="16">IF(K25&lt;&gt;0,+G25-K25,0)</f>
        <v>0</v>
      </c>
      <c r="M25" s="518">
        <f t="shared" ref="M25" si="17">H25</f>
        <v>288397.67433017225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26">
        <v>2094119.960646085</v>
      </c>
      <c r="E26" s="609">
        <v>62767.595238095237</v>
      </c>
      <c r="F26" s="626">
        <v>2031352.3654079898</v>
      </c>
      <c r="G26" s="609">
        <v>294710.10019772034</v>
      </c>
      <c r="H26" s="610">
        <v>294710.10019772034</v>
      </c>
      <c r="I26" s="511">
        <f t="shared" si="6"/>
        <v>0</v>
      </c>
      <c r="J26" s="511"/>
      <c r="K26" s="518">
        <f t="shared" ref="K26" si="18">G26</f>
        <v>294710.10019772034</v>
      </c>
      <c r="L26" s="519">
        <f t="shared" ref="L26" si="19">IF(K26&lt;&gt;0,+G26-K26,0)</f>
        <v>0</v>
      </c>
      <c r="M26" s="518">
        <f t="shared" ref="M26" si="20">H26</f>
        <v>294710.10019772034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2031352.3654079898</v>
      </c>
      <c r="E27" s="522">
        <f t="shared" ref="E27:E72" si="21">IF(+$I$14&lt;F26,$I$14,D27)</f>
        <v>62767.595238095237</v>
      </c>
      <c r="F27" s="523">
        <f t="shared" ref="F27:F72" si="22">+D27-E27</f>
        <v>1968584.7701698947</v>
      </c>
      <c r="G27" s="524">
        <f t="shared" ref="G27:G52" si="23">+I$12*((D27+F27)/2)+E27</f>
        <v>315417.20046708721</v>
      </c>
      <c r="H27" s="491">
        <f t="shared" ref="H27:H52" si="24">+I$13*((D27+F27)/2)+E27</f>
        <v>315417.20046708721</v>
      </c>
      <c r="I27" s="511">
        <f t="shared" si="6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1968584.7701698947</v>
      </c>
      <c r="E28" s="522">
        <f t="shared" si="21"/>
        <v>62767.595238095237</v>
      </c>
      <c r="F28" s="523">
        <f t="shared" si="22"/>
        <v>1905817.1749317995</v>
      </c>
      <c r="G28" s="524">
        <f t="shared" si="23"/>
        <v>307487.97177145339</v>
      </c>
      <c r="H28" s="491">
        <f t="shared" si="24"/>
        <v>307487.97177145339</v>
      </c>
      <c r="I28" s="511">
        <f t="shared" si="6"/>
        <v>0</v>
      </c>
      <c r="J28" s="511"/>
      <c r="K28" s="525"/>
      <c r="L28" s="514">
        <f t="shared" si="25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1905817.1749317995</v>
      </c>
      <c r="E29" s="522">
        <f t="shared" si="21"/>
        <v>62767.595238095237</v>
      </c>
      <c r="F29" s="523">
        <f t="shared" si="22"/>
        <v>1843049.5796937044</v>
      </c>
      <c r="G29" s="524">
        <f t="shared" si="23"/>
        <v>299558.74307581945</v>
      </c>
      <c r="H29" s="491">
        <f t="shared" si="24"/>
        <v>299558.74307581945</v>
      </c>
      <c r="I29" s="511">
        <f t="shared" si="6"/>
        <v>0</v>
      </c>
      <c r="J29" s="511"/>
      <c r="K29" s="525"/>
      <c r="L29" s="514">
        <f t="shared" si="25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1843049.5796937044</v>
      </c>
      <c r="E30" s="522">
        <f t="shared" si="21"/>
        <v>62767.595238095237</v>
      </c>
      <c r="F30" s="523">
        <f t="shared" si="22"/>
        <v>1780281.9844556092</v>
      </c>
      <c r="G30" s="524">
        <f t="shared" si="23"/>
        <v>291629.51438018557</v>
      </c>
      <c r="H30" s="491">
        <f t="shared" si="24"/>
        <v>291629.51438018557</v>
      </c>
      <c r="I30" s="511">
        <f t="shared" si="6"/>
        <v>0</v>
      </c>
      <c r="J30" s="511"/>
      <c r="K30" s="525"/>
      <c r="L30" s="514">
        <f t="shared" si="2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1780281.9844556092</v>
      </c>
      <c r="E31" s="522">
        <f t="shared" si="21"/>
        <v>62767.595238095237</v>
      </c>
      <c r="F31" s="523">
        <f t="shared" si="22"/>
        <v>1717514.3892175141</v>
      </c>
      <c r="G31" s="524">
        <f t="shared" si="23"/>
        <v>283700.28568455169</v>
      </c>
      <c r="H31" s="491">
        <f t="shared" si="24"/>
        <v>283700.28568455169</v>
      </c>
      <c r="I31" s="511">
        <f t="shared" si="6"/>
        <v>0</v>
      </c>
      <c r="J31" s="511"/>
      <c r="K31" s="525"/>
      <c r="L31" s="514">
        <f t="shared" si="2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1717514.3892175141</v>
      </c>
      <c r="E32" s="522">
        <f t="shared" si="21"/>
        <v>62767.595238095237</v>
      </c>
      <c r="F32" s="523">
        <f t="shared" si="22"/>
        <v>1654746.7939794189</v>
      </c>
      <c r="G32" s="524">
        <f t="shared" si="23"/>
        <v>275771.05698891776</v>
      </c>
      <c r="H32" s="491">
        <f t="shared" si="24"/>
        <v>275771.05698891776</v>
      </c>
      <c r="I32" s="511">
        <f t="shared" si="6"/>
        <v>0</v>
      </c>
      <c r="J32" s="511"/>
      <c r="K32" s="525"/>
      <c r="L32" s="514">
        <f t="shared" si="2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1654746.7939794189</v>
      </c>
      <c r="E33" s="522">
        <f t="shared" si="21"/>
        <v>62767.595238095237</v>
      </c>
      <c r="F33" s="523">
        <f t="shared" si="22"/>
        <v>1591979.1987413238</v>
      </c>
      <c r="G33" s="524">
        <f t="shared" si="23"/>
        <v>267841.82829328388</v>
      </c>
      <c r="H33" s="491">
        <f t="shared" si="24"/>
        <v>267841.82829328388</v>
      </c>
      <c r="I33" s="511">
        <f t="shared" si="6"/>
        <v>0</v>
      </c>
      <c r="J33" s="511"/>
      <c r="K33" s="525"/>
      <c r="L33" s="514">
        <f t="shared" si="2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1591979.1987413238</v>
      </c>
      <c r="E34" s="522">
        <f t="shared" si="21"/>
        <v>62767.595238095237</v>
      </c>
      <c r="F34" s="523">
        <f t="shared" si="22"/>
        <v>1529211.6035032286</v>
      </c>
      <c r="G34" s="524">
        <f t="shared" si="23"/>
        <v>259912.59959765</v>
      </c>
      <c r="H34" s="491">
        <f t="shared" si="24"/>
        <v>259912.59959765</v>
      </c>
      <c r="I34" s="511">
        <f t="shared" si="6"/>
        <v>0</v>
      </c>
      <c r="J34" s="511"/>
      <c r="K34" s="525"/>
      <c r="L34" s="514">
        <f t="shared" si="2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1529211.6035032286</v>
      </c>
      <c r="E35" s="522">
        <f t="shared" si="21"/>
        <v>62767.595238095237</v>
      </c>
      <c r="F35" s="523">
        <f t="shared" si="22"/>
        <v>1466444.0082651335</v>
      </c>
      <c r="G35" s="524">
        <f t="shared" si="23"/>
        <v>251983.37090201612</v>
      </c>
      <c r="H35" s="491">
        <f t="shared" si="24"/>
        <v>251983.37090201612</v>
      </c>
      <c r="I35" s="511">
        <f t="shared" si="6"/>
        <v>0</v>
      </c>
      <c r="J35" s="511"/>
      <c r="K35" s="525"/>
      <c r="L35" s="514">
        <f t="shared" si="2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1466444.0082651335</v>
      </c>
      <c r="E36" s="522">
        <f t="shared" si="21"/>
        <v>62767.595238095237</v>
      </c>
      <c r="F36" s="523">
        <f t="shared" si="22"/>
        <v>1403676.4130270383</v>
      </c>
      <c r="G36" s="524">
        <f t="shared" si="23"/>
        <v>244054.14220638221</v>
      </c>
      <c r="H36" s="491">
        <f t="shared" si="24"/>
        <v>244054.14220638221</v>
      </c>
      <c r="I36" s="511">
        <f t="shared" si="6"/>
        <v>0</v>
      </c>
      <c r="J36" s="511"/>
      <c r="K36" s="525"/>
      <c r="L36" s="514">
        <f t="shared" si="2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1403676.4130270383</v>
      </c>
      <c r="E37" s="522">
        <f t="shared" si="21"/>
        <v>62767.595238095237</v>
      </c>
      <c r="F37" s="523">
        <f t="shared" si="22"/>
        <v>1340908.8177889432</v>
      </c>
      <c r="G37" s="524">
        <f t="shared" si="23"/>
        <v>236124.91351074833</v>
      </c>
      <c r="H37" s="491">
        <f t="shared" si="24"/>
        <v>236124.91351074833</v>
      </c>
      <c r="I37" s="511">
        <f t="shared" si="6"/>
        <v>0</v>
      </c>
      <c r="J37" s="511"/>
      <c r="K37" s="525"/>
      <c r="L37" s="514">
        <f t="shared" si="2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1340908.8177889432</v>
      </c>
      <c r="E38" s="522">
        <f t="shared" si="21"/>
        <v>62767.595238095237</v>
      </c>
      <c r="F38" s="523">
        <f t="shared" si="22"/>
        <v>1278141.222550848</v>
      </c>
      <c r="G38" s="524">
        <f t="shared" si="23"/>
        <v>228195.68481511442</v>
      </c>
      <c r="H38" s="491">
        <f t="shared" si="24"/>
        <v>228195.68481511442</v>
      </c>
      <c r="I38" s="511">
        <f t="shared" si="6"/>
        <v>0</v>
      </c>
      <c r="J38" s="511"/>
      <c r="K38" s="525"/>
      <c r="L38" s="514">
        <f t="shared" si="2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1278141.222550848</v>
      </c>
      <c r="E39" s="522">
        <f t="shared" si="21"/>
        <v>62767.595238095237</v>
      </c>
      <c r="F39" s="523">
        <f t="shared" si="22"/>
        <v>1215373.6273127529</v>
      </c>
      <c r="G39" s="524">
        <f t="shared" si="23"/>
        <v>220266.45611948054</v>
      </c>
      <c r="H39" s="491">
        <f t="shared" si="24"/>
        <v>220266.45611948054</v>
      </c>
      <c r="I39" s="511">
        <f t="shared" si="6"/>
        <v>0</v>
      </c>
      <c r="J39" s="511"/>
      <c r="K39" s="525"/>
      <c r="L39" s="514">
        <f t="shared" si="2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1215373.6273127529</v>
      </c>
      <c r="E40" s="522">
        <f t="shared" si="21"/>
        <v>62767.595238095237</v>
      </c>
      <c r="F40" s="523">
        <f t="shared" si="22"/>
        <v>1152606.0320746577</v>
      </c>
      <c r="G40" s="524">
        <f t="shared" si="23"/>
        <v>212337.22742384663</v>
      </c>
      <c r="H40" s="491">
        <f t="shared" si="24"/>
        <v>212337.22742384663</v>
      </c>
      <c r="I40" s="511">
        <f t="shared" si="6"/>
        <v>0</v>
      </c>
      <c r="J40" s="511"/>
      <c r="K40" s="525"/>
      <c r="L40" s="514">
        <f t="shared" si="2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1152606.0320746577</v>
      </c>
      <c r="E41" s="522">
        <f t="shared" si="21"/>
        <v>62767.595238095237</v>
      </c>
      <c r="F41" s="523">
        <f t="shared" si="22"/>
        <v>1089838.4368365626</v>
      </c>
      <c r="G41" s="524">
        <f t="shared" si="23"/>
        <v>204407.99872821275</v>
      </c>
      <c r="H41" s="491">
        <f t="shared" si="24"/>
        <v>204407.99872821275</v>
      </c>
      <c r="I41" s="511">
        <f t="shared" si="6"/>
        <v>0</v>
      </c>
      <c r="J41" s="511"/>
      <c r="K41" s="525"/>
      <c r="L41" s="514">
        <f t="shared" si="2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1089838.4368365626</v>
      </c>
      <c r="E42" s="522">
        <f t="shared" si="21"/>
        <v>62767.595238095237</v>
      </c>
      <c r="F42" s="523">
        <f t="shared" si="22"/>
        <v>1027070.8415984673</v>
      </c>
      <c r="G42" s="524">
        <f t="shared" si="23"/>
        <v>196478.77003257885</v>
      </c>
      <c r="H42" s="491">
        <f t="shared" si="24"/>
        <v>196478.77003257885</v>
      </c>
      <c r="I42" s="511">
        <f t="shared" si="6"/>
        <v>0</v>
      </c>
      <c r="J42" s="511"/>
      <c r="K42" s="525"/>
      <c r="L42" s="514">
        <f t="shared" si="2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1027070.8415984673</v>
      </c>
      <c r="E43" s="522">
        <f t="shared" si="21"/>
        <v>62767.595238095237</v>
      </c>
      <c r="F43" s="523">
        <f t="shared" si="22"/>
        <v>964303.24636037205</v>
      </c>
      <c r="G43" s="524">
        <f t="shared" si="23"/>
        <v>188549.54133694494</v>
      </c>
      <c r="H43" s="491">
        <f t="shared" si="24"/>
        <v>188549.54133694494</v>
      </c>
      <c r="I43" s="511">
        <f t="shared" si="6"/>
        <v>0</v>
      </c>
      <c r="J43" s="511"/>
      <c r="K43" s="525"/>
      <c r="L43" s="514">
        <f t="shared" si="2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964303.24636037205</v>
      </c>
      <c r="E44" s="522">
        <f t="shared" si="21"/>
        <v>62767.595238095237</v>
      </c>
      <c r="F44" s="523">
        <f t="shared" si="22"/>
        <v>901535.65112227679</v>
      </c>
      <c r="G44" s="524">
        <f t="shared" si="23"/>
        <v>180620.31264131103</v>
      </c>
      <c r="H44" s="491">
        <f t="shared" si="24"/>
        <v>180620.31264131103</v>
      </c>
      <c r="I44" s="511">
        <f t="shared" si="6"/>
        <v>0</v>
      </c>
      <c r="J44" s="511"/>
      <c r="K44" s="525"/>
      <c r="L44" s="514">
        <f t="shared" si="2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901535.65112227679</v>
      </c>
      <c r="E45" s="522">
        <f t="shared" si="21"/>
        <v>62767.595238095237</v>
      </c>
      <c r="F45" s="523">
        <f t="shared" si="22"/>
        <v>838768.05588418152</v>
      </c>
      <c r="G45" s="524">
        <f t="shared" si="23"/>
        <v>172691.08394567712</v>
      </c>
      <c r="H45" s="491">
        <f t="shared" si="24"/>
        <v>172691.08394567712</v>
      </c>
      <c r="I45" s="511">
        <f t="shared" si="6"/>
        <v>0</v>
      </c>
      <c r="J45" s="511"/>
      <c r="K45" s="525"/>
      <c r="L45" s="514">
        <f t="shared" si="2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838768.05588418152</v>
      </c>
      <c r="E46" s="522">
        <f t="shared" si="21"/>
        <v>62767.595238095237</v>
      </c>
      <c r="F46" s="523">
        <f t="shared" si="22"/>
        <v>776000.46064608626</v>
      </c>
      <c r="G46" s="524">
        <f t="shared" si="23"/>
        <v>164761.85525004321</v>
      </c>
      <c r="H46" s="491">
        <f t="shared" si="24"/>
        <v>164761.85525004321</v>
      </c>
      <c r="I46" s="511">
        <f t="shared" si="6"/>
        <v>0</v>
      </c>
      <c r="J46" s="511"/>
      <c r="K46" s="525"/>
      <c r="L46" s="514">
        <f t="shared" si="2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776000.46064608626</v>
      </c>
      <c r="E47" s="522">
        <f t="shared" si="21"/>
        <v>62767.595238095237</v>
      </c>
      <c r="F47" s="523">
        <f t="shared" si="22"/>
        <v>713232.86540799099</v>
      </c>
      <c r="G47" s="524">
        <f t="shared" si="23"/>
        <v>156832.6265544093</v>
      </c>
      <c r="H47" s="491">
        <f t="shared" si="24"/>
        <v>156832.6265544093</v>
      </c>
      <c r="I47" s="511">
        <f t="shared" si="6"/>
        <v>0</v>
      </c>
      <c r="J47" s="511"/>
      <c r="K47" s="525"/>
      <c r="L47" s="514">
        <f t="shared" si="2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713232.86540799099</v>
      </c>
      <c r="E48" s="522">
        <f t="shared" si="21"/>
        <v>62767.595238095237</v>
      </c>
      <c r="F48" s="523">
        <f t="shared" si="22"/>
        <v>650465.27016989572</v>
      </c>
      <c r="G48" s="524">
        <f t="shared" si="23"/>
        <v>148903.39785877542</v>
      </c>
      <c r="H48" s="491">
        <f t="shared" si="24"/>
        <v>148903.39785877542</v>
      </c>
      <c r="I48" s="511">
        <f t="shared" si="6"/>
        <v>0</v>
      </c>
      <c r="J48" s="511"/>
      <c r="K48" s="525"/>
      <c r="L48" s="514">
        <f t="shared" si="2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7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650465.27016989572</v>
      </c>
      <c r="E49" s="522">
        <f t="shared" si="21"/>
        <v>62767.595238095237</v>
      </c>
      <c r="F49" s="523">
        <f t="shared" si="22"/>
        <v>587697.67493180046</v>
      </c>
      <c r="G49" s="524">
        <f t="shared" si="23"/>
        <v>140974.16916314152</v>
      </c>
      <c r="H49" s="491">
        <f t="shared" si="24"/>
        <v>140974.16916314152</v>
      </c>
      <c r="I49" s="511">
        <f t="shared" si="6"/>
        <v>0</v>
      </c>
      <c r="J49" s="511"/>
      <c r="K49" s="525"/>
      <c r="L49" s="514">
        <f t="shared" si="2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7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587697.67493180046</v>
      </c>
      <c r="E50" s="522">
        <f t="shared" si="21"/>
        <v>62767.595238095237</v>
      </c>
      <c r="F50" s="523">
        <f t="shared" si="22"/>
        <v>524930.07969370519</v>
      </c>
      <c r="G50" s="524">
        <f t="shared" si="23"/>
        <v>133044.94046750761</v>
      </c>
      <c r="H50" s="491">
        <f t="shared" si="24"/>
        <v>133044.94046750761</v>
      </c>
      <c r="I50" s="511">
        <f t="shared" si="6"/>
        <v>0</v>
      </c>
      <c r="J50" s="511"/>
      <c r="K50" s="525"/>
      <c r="L50" s="514">
        <f t="shared" si="2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7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524930.07969370519</v>
      </c>
      <c r="E51" s="522">
        <f t="shared" si="21"/>
        <v>62767.595238095237</v>
      </c>
      <c r="F51" s="523">
        <f t="shared" si="22"/>
        <v>462162.48445560993</v>
      </c>
      <c r="G51" s="524">
        <f t="shared" si="23"/>
        <v>125115.7117718737</v>
      </c>
      <c r="H51" s="491">
        <f t="shared" si="24"/>
        <v>125115.7117718737</v>
      </c>
      <c r="I51" s="511">
        <f t="shared" si="6"/>
        <v>0</v>
      </c>
      <c r="J51" s="511"/>
      <c r="K51" s="525"/>
      <c r="L51" s="514">
        <f t="shared" si="2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7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462162.48445560993</v>
      </c>
      <c r="E52" s="522">
        <f t="shared" si="21"/>
        <v>62767.595238095237</v>
      </c>
      <c r="F52" s="523">
        <f t="shared" si="22"/>
        <v>399394.88921751466</v>
      </c>
      <c r="G52" s="524">
        <f t="shared" si="23"/>
        <v>117186.48307623979</v>
      </c>
      <c r="H52" s="491">
        <f t="shared" si="24"/>
        <v>117186.48307623979</v>
      </c>
      <c r="I52" s="511">
        <f t="shared" si="6"/>
        <v>0</v>
      </c>
      <c r="J52" s="511"/>
      <c r="K52" s="525"/>
      <c r="L52" s="514">
        <f t="shared" si="2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7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399394.88921751466</v>
      </c>
      <c r="E53" s="522">
        <f t="shared" si="21"/>
        <v>62767.595238095237</v>
      </c>
      <c r="F53" s="523">
        <f t="shared" si="22"/>
        <v>336627.2939794194</v>
      </c>
      <c r="G53" s="524">
        <f t="shared" ref="G53:G72" si="26">+I$12*((D53+F53)/2)+E53</f>
        <v>109257.25438060588</v>
      </c>
      <c r="H53" s="491">
        <f t="shared" ref="H53:H72" si="27">+I$13*((D53+F53)/2)+E53</f>
        <v>109257.25438060588</v>
      </c>
      <c r="I53" s="511">
        <f t="shared" si="6"/>
        <v>0</v>
      </c>
      <c r="J53" s="511"/>
      <c r="K53" s="525"/>
      <c r="L53" s="514">
        <f t="shared" si="2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7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336627.2939794194</v>
      </c>
      <c r="E54" s="522">
        <f t="shared" si="21"/>
        <v>62767.595238095237</v>
      </c>
      <c r="F54" s="523">
        <f t="shared" si="22"/>
        <v>273859.69874132413</v>
      </c>
      <c r="G54" s="524">
        <f t="shared" si="26"/>
        <v>101328.02568497197</v>
      </c>
      <c r="H54" s="491">
        <f t="shared" si="27"/>
        <v>101328.02568497197</v>
      </c>
      <c r="I54" s="511">
        <f t="shared" si="6"/>
        <v>0</v>
      </c>
      <c r="J54" s="511"/>
      <c r="K54" s="525"/>
      <c r="L54" s="514">
        <f t="shared" si="2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7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273859.69874132413</v>
      </c>
      <c r="E55" s="522">
        <f t="shared" si="21"/>
        <v>62767.595238095237</v>
      </c>
      <c r="F55" s="523">
        <f t="shared" si="22"/>
        <v>211092.10350322889</v>
      </c>
      <c r="G55" s="524">
        <f t="shared" si="26"/>
        <v>93398.796989338065</v>
      </c>
      <c r="H55" s="491">
        <f t="shared" si="27"/>
        <v>93398.796989338065</v>
      </c>
      <c r="I55" s="511">
        <f t="shared" si="6"/>
        <v>0</v>
      </c>
      <c r="J55" s="511"/>
      <c r="K55" s="525"/>
      <c r="L55" s="514">
        <f t="shared" si="2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7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211092.10350322889</v>
      </c>
      <c r="E56" s="522">
        <f t="shared" si="21"/>
        <v>62767.595238095237</v>
      </c>
      <c r="F56" s="523">
        <f t="shared" si="22"/>
        <v>148324.50826513366</v>
      </c>
      <c r="G56" s="524">
        <f t="shared" si="26"/>
        <v>85469.568293704157</v>
      </c>
      <c r="H56" s="491">
        <f t="shared" si="27"/>
        <v>85469.568293704157</v>
      </c>
      <c r="I56" s="511">
        <f t="shared" si="6"/>
        <v>0</v>
      </c>
      <c r="J56" s="511"/>
      <c r="K56" s="525"/>
      <c r="L56" s="514">
        <f t="shared" si="2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7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148324.50826513366</v>
      </c>
      <c r="E57" s="522">
        <f t="shared" si="21"/>
        <v>62767.595238095237</v>
      </c>
      <c r="F57" s="523">
        <f t="shared" si="22"/>
        <v>85556.913027038419</v>
      </c>
      <c r="G57" s="524">
        <f t="shared" si="26"/>
        <v>77540.339598070263</v>
      </c>
      <c r="H57" s="491">
        <f t="shared" si="27"/>
        <v>77540.339598070263</v>
      </c>
      <c r="I57" s="511">
        <f t="shared" si="6"/>
        <v>0</v>
      </c>
      <c r="J57" s="511"/>
      <c r="K57" s="525"/>
      <c r="L57" s="514">
        <f t="shared" si="2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7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85556.913027038419</v>
      </c>
      <c r="E58" s="522">
        <f t="shared" si="21"/>
        <v>62767.595238095237</v>
      </c>
      <c r="F58" s="523">
        <f t="shared" si="22"/>
        <v>22789.317788943183</v>
      </c>
      <c r="G58" s="524">
        <f t="shared" si="26"/>
        <v>69611.110902436354</v>
      </c>
      <c r="H58" s="491">
        <f t="shared" si="27"/>
        <v>69611.110902436354</v>
      </c>
      <c r="I58" s="511">
        <f t="shared" si="6"/>
        <v>0</v>
      </c>
      <c r="J58" s="511"/>
      <c r="K58" s="525"/>
      <c r="L58" s="514">
        <f t="shared" si="25"/>
        <v>0</v>
      </c>
      <c r="M58" s="525"/>
      <c r="N58" s="514">
        <f t="shared" si="10"/>
        <v>0</v>
      </c>
      <c r="O58" s="514">
        <f t="shared" si="11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22789.317788943183</v>
      </c>
      <c r="E59" s="522">
        <f t="shared" si="21"/>
        <v>22789.317788943183</v>
      </c>
      <c r="F59" s="523">
        <f t="shared" si="22"/>
        <v>0</v>
      </c>
      <c r="G59" s="524">
        <f t="shared" si="26"/>
        <v>24228.768447205268</v>
      </c>
      <c r="H59" s="491">
        <f t="shared" si="27"/>
        <v>24228.768447205268</v>
      </c>
      <c r="I59" s="511">
        <f t="shared" si="6"/>
        <v>0</v>
      </c>
      <c r="J59" s="511"/>
      <c r="K59" s="525"/>
      <c r="L59" s="514">
        <f t="shared" si="2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7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21"/>
        <v>0</v>
      </c>
      <c r="F60" s="523">
        <f t="shared" si="22"/>
        <v>0</v>
      </c>
      <c r="G60" s="524">
        <f t="shared" si="26"/>
        <v>0</v>
      </c>
      <c r="H60" s="491">
        <f t="shared" si="27"/>
        <v>0</v>
      </c>
      <c r="I60" s="511">
        <f t="shared" si="6"/>
        <v>0</v>
      </c>
      <c r="J60" s="511"/>
      <c r="K60" s="525"/>
      <c r="L60" s="514">
        <f t="shared" si="2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7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1"/>
        <v>0</v>
      </c>
      <c r="F61" s="523">
        <f t="shared" si="22"/>
        <v>0</v>
      </c>
      <c r="G61" s="524">
        <f t="shared" si="26"/>
        <v>0</v>
      </c>
      <c r="H61" s="491">
        <f t="shared" si="27"/>
        <v>0</v>
      </c>
      <c r="I61" s="511">
        <f t="shared" si="6"/>
        <v>0</v>
      </c>
      <c r="J61" s="511"/>
      <c r="K61" s="525"/>
      <c r="L61" s="514">
        <f t="shared" si="2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7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6"/>
        <v>0</v>
      </c>
      <c r="J62" s="511"/>
      <c r="K62" s="525"/>
      <c r="L62" s="514">
        <f t="shared" si="2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7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6"/>
        <v>0</v>
      </c>
      <c r="J63" s="511"/>
      <c r="K63" s="525"/>
      <c r="L63" s="514">
        <f t="shared" si="2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7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6"/>
        <v>0</v>
      </c>
      <c r="J64" s="511"/>
      <c r="K64" s="525"/>
      <c r="L64" s="514">
        <f t="shared" si="2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6"/>
        <v>0</v>
      </c>
      <c r="J65" s="511"/>
      <c r="K65" s="525"/>
      <c r="L65" s="514">
        <f t="shared" si="2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6"/>
        <v>0</v>
      </c>
      <c r="J66" s="511"/>
      <c r="K66" s="525"/>
      <c r="L66" s="514">
        <f t="shared" si="2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6"/>
        <v>0</v>
      </c>
      <c r="J67" s="511"/>
      <c r="K67" s="525"/>
      <c r="L67" s="514">
        <f t="shared" si="2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6"/>
        <v>0</v>
      </c>
      <c r="J68" s="511"/>
      <c r="K68" s="525"/>
      <c r="L68" s="514">
        <f t="shared" si="2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6"/>
        <v>0</v>
      </c>
      <c r="J69" s="511"/>
      <c r="K69" s="525"/>
      <c r="L69" s="514">
        <f t="shared" si="2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6"/>
        <v>0</v>
      </c>
      <c r="J70" s="511"/>
      <c r="K70" s="525"/>
      <c r="L70" s="514">
        <f t="shared" si="2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6"/>
        <v>0</v>
      </c>
      <c r="J71" s="511"/>
      <c r="K71" s="525"/>
      <c r="L71" s="514">
        <f t="shared" si="2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21"/>
        <v>0</v>
      </c>
      <c r="F72" s="523">
        <f t="shared" si="22"/>
        <v>0</v>
      </c>
      <c r="G72" s="524">
        <f t="shared" si="26"/>
        <v>0</v>
      </c>
      <c r="H72" s="491">
        <f t="shared" si="27"/>
        <v>0</v>
      </c>
      <c r="I72" s="511">
        <f t="shared" si="6"/>
        <v>0</v>
      </c>
      <c r="J72" s="511"/>
      <c r="K72" s="532"/>
      <c r="L72" s="533">
        <f t="shared" si="2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2636238.9999999995</v>
      </c>
      <c r="F73" s="375"/>
      <c r="G73" s="375">
        <f>SUM(G17:G72)</f>
        <v>9879104.7274410184</v>
      </c>
      <c r="H73" s="375">
        <f>SUM(H17:H72)</f>
        <v>9879104.7274410184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38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288397.67433017225</v>
      </c>
      <c r="N87" s="546">
        <f>IF(J92&lt;D11,0,VLOOKUP(J92,C17:O72,11))</f>
        <v>288397.67433017225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306793.5283141082</v>
      </c>
      <c r="N88" s="550">
        <f>IF(J92&lt;D11,0,VLOOKUP(J92,C99:P154,7))</f>
        <v>306793.5283141082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Eastex Switching Station - Whitney 138 kV Station - Rebuild 2.5 miles of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18395.853983935958</v>
      </c>
      <c r="N89" s="555">
        <f>+N88-N87</f>
        <v>18395.853983935958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TP2010064</v>
      </c>
      <c r="E91" s="560"/>
      <c r="F91" s="560"/>
      <c r="G91" s="560"/>
      <c r="H91" s="560"/>
      <c r="I91" s="560"/>
      <c r="J91" s="560"/>
      <c r="K91" s="562"/>
      <c r="P91" s="481"/>
      <c r="Q91" s="269"/>
    </row>
    <row r="92" spans="1:17" ht="13">
      <c r="C92" s="486" t="s">
        <v>51</v>
      </c>
      <c r="D92" s="483">
        <f>D10</f>
        <v>2636239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636" t="s">
        <v>369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D12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64298.512195121948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 t="str">
        <f>IF(D93= "","-",D93)</f>
        <v>2013</v>
      </c>
      <c r="D99" s="629">
        <v>0</v>
      </c>
      <c r="E99" s="630">
        <v>31383.797619047618</v>
      </c>
      <c r="F99" s="631">
        <v>2604855.2023809524</v>
      </c>
      <c r="G99" s="632">
        <v>1302427.6011904762</v>
      </c>
      <c r="H99" s="633">
        <v>207591.44491891743</v>
      </c>
      <c r="I99" s="634">
        <v>207591.44491891743</v>
      </c>
      <c r="J99" s="613">
        <v>0</v>
      </c>
      <c r="K99" s="514"/>
      <c r="L99" s="518">
        <f t="shared" ref="L99:L104" si="28">H99</f>
        <v>207591.44491891743</v>
      </c>
      <c r="M99" s="519">
        <f t="shared" ref="M99:M104" si="29">IF(L99&lt;&gt;0,+H99-L99,0)</f>
        <v>0</v>
      </c>
      <c r="N99" s="518">
        <f t="shared" ref="N99:N104" si="30">I99</f>
        <v>207591.44491891743</v>
      </c>
      <c r="O99" s="514">
        <f>IF(N99&lt;&gt;0,+I99-N99,0)</f>
        <v>0</v>
      </c>
      <c r="P99" s="514">
        <f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2014</v>
      </c>
      <c r="D100" s="629">
        <v>2604855.2023809524</v>
      </c>
      <c r="E100" s="630">
        <v>62767.595238095237</v>
      </c>
      <c r="F100" s="631">
        <v>2542087.6071428573</v>
      </c>
      <c r="G100" s="631">
        <v>2573471.4047619049</v>
      </c>
      <c r="H100" s="633">
        <v>412562.73217828164</v>
      </c>
      <c r="I100" s="634">
        <v>412562.73217828164</v>
      </c>
      <c r="J100" s="514">
        <v>0</v>
      </c>
      <c r="K100" s="514"/>
      <c r="L100" s="518">
        <f t="shared" si="28"/>
        <v>412562.73217828164</v>
      </c>
      <c r="M100" s="519">
        <f t="shared" si="29"/>
        <v>0</v>
      </c>
      <c r="N100" s="518">
        <f t="shared" si="30"/>
        <v>412562.73217828164</v>
      </c>
      <c r="O100" s="514">
        <f>IF(N100&lt;&gt;0,+I100-N100,0)</f>
        <v>0</v>
      </c>
      <c r="P100" s="514">
        <f>+O100-M100</f>
        <v>0</v>
      </c>
      <c r="Q100" s="269"/>
    </row>
    <row r="101" spans="1:17" ht="12.5">
      <c r="B101" s="195" t="str">
        <f t="shared" ref="B101:B154" si="31">IF(D101=F100,"","IU")</f>
        <v/>
      </c>
      <c r="C101" s="507">
        <f>IF(D93="","-",+C100+1)</f>
        <v>2015</v>
      </c>
      <c r="D101" s="629">
        <v>2542087.6071428573</v>
      </c>
      <c r="E101" s="630">
        <v>62767.595238095237</v>
      </c>
      <c r="F101" s="631">
        <v>2479320.0119047621</v>
      </c>
      <c r="G101" s="631">
        <v>2510703.8095238097</v>
      </c>
      <c r="H101" s="633">
        <v>393600.21889551368</v>
      </c>
      <c r="I101" s="634">
        <v>393600.21889551368</v>
      </c>
      <c r="J101" s="514">
        <f>+I101-H101</f>
        <v>0</v>
      </c>
      <c r="K101" s="514"/>
      <c r="L101" s="518">
        <f t="shared" si="28"/>
        <v>393600.21889551368</v>
      </c>
      <c r="M101" s="519">
        <f t="shared" si="29"/>
        <v>0</v>
      </c>
      <c r="N101" s="518">
        <f t="shared" si="30"/>
        <v>393600.21889551368</v>
      </c>
      <c r="O101" s="514">
        <f>IF(N101&lt;&gt;0,+I101-N101,0)</f>
        <v>0</v>
      </c>
      <c r="P101" s="514">
        <f>+O101-M101</f>
        <v>0</v>
      </c>
      <c r="Q101" s="269"/>
    </row>
    <row r="102" spans="1:17" ht="12.5">
      <c r="B102" s="195" t="str">
        <f t="shared" si="31"/>
        <v/>
      </c>
      <c r="C102" s="507">
        <f>IF(D93="","-",+C101+1)</f>
        <v>2016</v>
      </c>
      <c r="D102" s="629">
        <v>2479320.0119047621</v>
      </c>
      <c r="E102" s="630">
        <v>61307.883720930229</v>
      </c>
      <c r="F102" s="631">
        <v>2418012.1281838319</v>
      </c>
      <c r="G102" s="631">
        <v>2448666.0700442968</v>
      </c>
      <c r="H102" s="633">
        <v>372166.01263516292</v>
      </c>
      <c r="I102" s="634">
        <v>372166.01263516292</v>
      </c>
      <c r="J102" s="514">
        <f t="shared" ref="J102:J154" si="32">+I102-H102</f>
        <v>0</v>
      </c>
      <c r="K102" s="514"/>
      <c r="L102" s="518">
        <f t="shared" si="28"/>
        <v>372166.01263516292</v>
      </c>
      <c r="M102" s="519">
        <f t="shared" si="29"/>
        <v>0</v>
      </c>
      <c r="N102" s="518">
        <f t="shared" si="30"/>
        <v>372166.01263516292</v>
      </c>
      <c r="O102" s="514">
        <f>IF(N102&lt;&gt;0,+I102-N102,0)</f>
        <v>0</v>
      </c>
      <c r="P102" s="514">
        <f>+O102-M102</f>
        <v>0</v>
      </c>
      <c r="Q102" s="269"/>
    </row>
    <row r="103" spans="1:17" ht="12.5">
      <c r="B103" s="195" t="str">
        <f t="shared" si="31"/>
        <v/>
      </c>
      <c r="C103" s="507">
        <f>IF(D93="","-",+C102+1)</f>
        <v>2017</v>
      </c>
      <c r="D103" s="629">
        <v>2418012.1281838319</v>
      </c>
      <c r="E103" s="630">
        <v>62767.595238095237</v>
      </c>
      <c r="F103" s="631">
        <v>2355244.5329457368</v>
      </c>
      <c r="G103" s="631">
        <v>2386628.3305647844</v>
      </c>
      <c r="H103" s="633">
        <v>352674.81750168814</v>
      </c>
      <c r="I103" s="634">
        <v>352674.81750168814</v>
      </c>
      <c r="J103" s="514">
        <f t="shared" si="32"/>
        <v>0</v>
      </c>
      <c r="K103" s="514"/>
      <c r="L103" s="518">
        <f t="shared" si="28"/>
        <v>352674.81750168814</v>
      </c>
      <c r="M103" s="519">
        <f t="shared" si="29"/>
        <v>0</v>
      </c>
      <c r="N103" s="518">
        <f t="shared" si="30"/>
        <v>352674.81750168814</v>
      </c>
      <c r="O103" s="514">
        <f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1"/>
        <v/>
      </c>
      <c r="C104" s="507">
        <f>IF(D93="","-",+C103+1)</f>
        <v>2018</v>
      </c>
      <c r="D104" s="629">
        <v>2355244.5329457368</v>
      </c>
      <c r="E104" s="630">
        <v>62767.595238095237</v>
      </c>
      <c r="F104" s="631">
        <v>2292476.9377076416</v>
      </c>
      <c r="G104" s="631">
        <v>2323860.7353266892</v>
      </c>
      <c r="H104" s="633">
        <v>308177.94569514133</v>
      </c>
      <c r="I104" s="634">
        <v>308177.94569514133</v>
      </c>
      <c r="J104" s="514">
        <f t="shared" si="32"/>
        <v>0</v>
      </c>
      <c r="K104" s="514"/>
      <c r="L104" s="518">
        <f t="shared" si="28"/>
        <v>308177.94569514133</v>
      </c>
      <c r="M104" s="519">
        <f t="shared" si="29"/>
        <v>0</v>
      </c>
      <c r="N104" s="518">
        <f t="shared" si="30"/>
        <v>308177.94569514133</v>
      </c>
      <c r="O104" s="514">
        <f t="shared" ref="O104:O130" si="33">IF(N104&lt;&gt;0,+I104-N104,0)</f>
        <v>0</v>
      </c>
      <c r="P104" s="514">
        <f t="shared" ref="P104:P130" si="34">+O104-M104</f>
        <v>0</v>
      </c>
      <c r="Q104" s="269"/>
    </row>
    <row r="105" spans="1:17" ht="12.5">
      <c r="B105" s="195" t="str">
        <f t="shared" si="31"/>
        <v/>
      </c>
      <c r="C105" s="507">
        <f>IF(D93="","-",+C104+1)</f>
        <v>2019</v>
      </c>
      <c r="D105" s="629">
        <v>2292476.9377076416</v>
      </c>
      <c r="E105" s="630">
        <v>61307.883720930229</v>
      </c>
      <c r="F105" s="631">
        <v>2231169.0539867114</v>
      </c>
      <c r="G105" s="631">
        <v>2261822.9958471768</v>
      </c>
      <c r="H105" s="633">
        <v>303414.65337781532</v>
      </c>
      <c r="I105" s="634">
        <v>303414.65337781532</v>
      </c>
      <c r="J105" s="514">
        <f t="shared" si="32"/>
        <v>0</v>
      </c>
      <c r="K105" s="514"/>
      <c r="L105" s="518">
        <f t="shared" ref="L105:L106" si="35">H105</f>
        <v>303414.65337781532</v>
      </c>
      <c r="M105" s="519">
        <f t="shared" ref="M105:M106" si="36">IF(L105&lt;&gt;0,+H105-L105,0)</f>
        <v>0</v>
      </c>
      <c r="N105" s="518">
        <f t="shared" ref="N105:N106" si="37">I105</f>
        <v>303414.65337781532</v>
      </c>
      <c r="O105" s="514">
        <f t="shared" si="33"/>
        <v>0</v>
      </c>
      <c r="P105" s="514">
        <f t="shared" si="34"/>
        <v>0</v>
      </c>
      <c r="Q105" s="269"/>
    </row>
    <row r="106" spans="1:17" ht="12.5">
      <c r="B106" s="195" t="str">
        <f t="shared" si="31"/>
        <v/>
      </c>
      <c r="C106" s="507">
        <f>IF(D93="","-",+C105+1)</f>
        <v>2020</v>
      </c>
      <c r="D106" s="629">
        <v>2231169.0539867114</v>
      </c>
      <c r="E106" s="630">
        <v>62767.595238095237</v>
      </c>
      <c r="F106" s="631">
        <v>2168401.4587486163</v>
      </c>
      <c r="G106" s="631">
        <v>2199785.2563676639</v>
      </c>
      <c r="H106" s="633">
        <v>299406.92594418232</v>
      </c>
      <c r="I106" s="634">
        <v>299406.92594418232</v>
      </c>
      <c r="J106" s="514">
        <f t="shared" si="32"/>
        <v>0</v>
      </c>
      <c r="K106" s="514"/>
      <c r="L106" s="518">
        <f t="shared" si="35"/>
        <v>299406.92594418232</v>
      </c>
      <c r="M106" s="519">
        <f t="shared" si="36"/>
        <v>0</v>
      </c>
      <c r="N106" s="518">
        <f t="shared" si="37"/>
        <v>299406.92594418232</v>
      </c>
      <c r="O106" s="514">
        <f t="shared" si="33"/>
        <v>0</v>
      </c>
      <c r="P106" s="514">
        <f t="shared" si="34"/>
        <v>0</v>
      </c>
      <c r="Q106" s="269"/>
    </row>
    <row r="107" spans="1:17" ht="12.5">
      <c r="B107" s="195" t="str">
        <f t="shared" si="31"/>
        <v/>
      </c>
      <c r="C107" s="507">
        <f>IF(D93="","-",+C106+1)</f>
        <v>2021</v>
      </c>
      <c r="D107" s="374">
        <f>IF(F106+SUM(E$99:E106)=D$92,F106,D$92-SUM(E$99:E106))</f>
        <v>2168401.4587486163</v>
      </c>
      <c r="E107" s="522">
        <f t="shared" ref="E107:E154" si="38">IF(+$J$96&lt;F106,$J$96,D107)</f>
        <v>64298.512195121948</v>
      </c>
      <c r="F107" s="523">
        <f t="shared" ref="F107:F154" si="39">+D107-E107</f>
        <v>2104102.9465534943</v>
      </c>
      <c r="G107" s="523">
        <f t="shared" ref="G107:G154" si="40">+(F107+D107)/2</f>
        <v>2136252.2026510555</v>
      </c>
      <c r="H107" s="526">
        <f t="shared" ref="H107:H154" si="41">+J$94*G107+E107</f>
        <v>306793.5283141082</v>
      </c>
      <c r="I107" s="577">
        <f t="shared" ref="I107:I154" si="42">+J$95*G107+E107</f>
        <v>306793.5283141082</v>
      </c>
      <c r="J107" s="514">
        <f t="shared" si="32"/>
        <v>0</v>
      </c>
      <c r="K107" s="514"/>
      <c r="L107" s="525"/>
      <c r="M107" s="514">
        <f t="shared" ref="M107:M130" si="43">IF(L107&lt;&gt;0,+H107-L107,0)</f>
        <v>0</v>
      </c>
      <c r="N107" s="525"/>
      <c r="O107" s="514">
        <f t="shared" si="33"/>
        <v>0</v>
      </c>
      <c r="P107" s="514">
        <f t="shared" si="34"/>
        <v>0</v>
      </c>
      <c r="Q107" s="269"/>
    </row>
    <row r="108" spans="1:17" ht="12.5">
      <c r="B108" s="195" t="str">
        <f t="shared" si="31"/>
        <v/>
      </c>
      <c r="C108" s="507">
        <f>IF(D93="","-",+C107+1)</f>
        <v>2022</v>
      </c>
      <c r="D108" s="374">
        <f>IF(F107+SUM(E$99:E107)=D$92,F107,D$92-SUM(E$99:E107))</f>
        <v>2104102.9465534943</v>
      </c>
      <c r="E108" s="522">
        <f t="shared" si="38"/>
        <v>64298.512195121948</v>
      </c>
      <c r="F108" s="523">
        <f t="shared" si="39"/>
        <v>2039804.4343583724</v>
      </c>
      <c r="G108" s="523">
        <f t="shared" si="40"/>
        <v>2071953.6904559333</v>
      </c>
      <c r="H108" s="526">
        <f t="shared" si="41"/>
        <v>299494.73244542122</v>
      </c>
      <c r="I108" s="577">
        <f t="shared" si="42"/>
        <v>299494.73244542122</v>
      </c>
      <c r="J108" s="514">
        <f t="shared" si="32"/>
        <v>0</v>
      </c>
      <c r="K108" s="514"/>
      <c r="L108" s="525"/>
      <c r="M108" s="514">
        <f t="shared" si="43"/>
        <v>0</v>
      </c>
      <c r="N108" s="525"/>
      <c r="O108" s="514">
        <f t="shared" si="33"/>
        <v>0</v>
      </c>
      <c r="P108" s="514">
        <f t="shared" si="34"/>
        <v>0</v>
      </c>
      <c r="Q108" s="269"/>
    </row>
    <row r="109" spans="1:17" ht="12.5">
      <c r="B109" s="195" t="str">
        <f t="shared" si="31"/>
        <v/>
      </c>
      <c r="C109" s="507">
        <f>IF(D93="","-",+C108+1)</f>
        <v>2023</v>
      </c>
      <c r="D109" s="374">
        <f>IF(F108+SUM(E$99:E108)=D$92,F108,D$92-SUM(E$99:E108))</f>
        <v>2039804.4343583724</v>
      </c>
      <c r="E109" s="522">
        <f t="shared" si="38"/>
        <v>64298.512195121948</v>
      </c>
      <c r="F109" s="523">
        <f t="shared" si="39"/>
        <v>1975505.9221632504</v>
      </c>
      <c r="G109" s="523">
        <f t="shared" si="40"/>
        <v>2007655.1782608114</v>
      </c>
      <c r="H109" s="526">
        <f t="shared" si="41"/>
        <v>292195.9365767343</v>
      </c>
      <c r="I109" s="577">
        <f t="shared" si="42"/>
        <v>292195.9365767343</v>
      </c>
      <c r="J109" s="514">
        <f t="shared" si="32"/>
        <v>0</v>
      </c>
      <c r="K109" s="514"/>
      <c r="L109" s="525"/>
      <c r="M109" s="514">
        <f t="shared" si="43"/>
        <v>0</v>
      </c>
      <c r="N109" s="525"/>
      <c r="O109" s="514">
        <f t="shared" si="33"/>
        <v>0</v>
      </c>
      <c r="P109" s="514">
        <f t="shared" si="34"/>
        <v>0</v>
      </c>
      <c r="Q109" s="269"/>
    </row>
    <row r="110" spans="1:17" ht="12.5">
      <c r="B110" s="195" t="str">
        <f t="shared" si="31"/>
        <v/>
      </c>
      <c r="C110" s="507">
        <f>IF(D93="","-",+C109+1)</f>
        <v>2024</v>
      </c>
      <c r="D110" s="374">
        <f>IF(F109+SUM(E$99:E109)=D$92,F109,D$92-SUM(E$99:E109))</f>
        <v>1975505.9221632504</v>
      </c>
      <c r="E110" s="522">
        <f t="shared" si="38"/>
        <v>64298.512195121948</v>
      </c>
      <c r="F110" s="523">
        <f t="shared" si="39"/>
        <v>1911207.4099681284</v>
      </c>
      <c r="G110" s="523">
        <f t="shared" si="40"/>
        <v>1943356.6660656894</v>
      </c>
      <c r="H110" s="526">
        <f t="shared" si="41"/>
        <v>284897.14070804731</v>
      </c>
      <c r="I110" s="577">
        <f t="shared" si="42"/>
        <v>284897.14070804731</v>
      </c>
      <c r="J110" s="514">
        <f t="shared" si="32"/>
        <v>0</v>
      </c>
      <c r="K110" s="514"/>
      <c r="L110" s="525"/>
      <c r="M110" s="514">
        <f t="shared" si="43"/>
        <v>0</v>
      </c>
      <c r="N110" s="525"/>
      <c r="O110" s="514">
        <f t="shared" si="33"/>
        <v>0</v>
      </c>
      <c r="P110" s="514">
        <f t="shared" si="34"/>
        <v>0</v>
      </c>
      <c r="Q110" s="269"/>
    </row>
    <row r="111" spans="1:17" ht="12.5">
      <c r="B111" s="195" t="str">
        <f t="shared" si="31"/>
        <v/>
      </c>
      <c r="C111" s="507">
        <f>IF(D93="","-",+C110+1)</f>
        <v>2025</v>
      </c>
      <c r="D111" s="374">
        <f>IF(F110+SUM(E$99:E110)=D$92,F110,D$92-SUM(E$99:E110))</f>
        <v>1911207.4099681284</v>
      </c>
      <c r="E111" s="522">
        <f t="shared" si="38"/>
        <v>64298.512195121948</v>
      </c>
      <c r="F111" s="523">
        <f t="shared" si="39"/>
        <v>1846908.8977730065</v>
      </c>
      <c r="G111" s="523">
        <f t="shared" si="40"/>
        <v>1879058.1538705674</v>
      </c>
      <c r="H111" s="526">
        <f t="shared" si="41"/>
        <v>277598.34483936039</v>
      </c>
      <c r="I111" s="577">
        <f t="shared" si="42"/>
        <v>277598.34483936039</v>
      </c>
      <c r="J111" s="514">
        <f t="shared" si="32"/>
        <v>0</v>
      </c>
      <c r="K111" s="514"/>
      <c r="L111" s="525"/>
      <c r="M111" s="514">
        <f t="shared" si="43"/>
        <v>0</v>
      </c>
      <c r="N111" s="525"/>
      <c r="O111" s="514">
        <f t="shared" si="33"/>
        <v>0</v>
      </c>
      <c r="P111" s="514">
        <f t="shared" si="34"/>
        <v>0</v>
      </c>
      <c r="Q111" s="269"/>
    </row>
    <row r="112" spans="1:17" ht="12.5">
      <c r="B112" s="195" t="str">
        <f t="shared" si="31"/>
        <v/>
      </c>
      <c r="C112" s="507">
        <f>IF(D93="","-",+C111+1)</f>
        <v>2026</v>
      </c>
      <c r="D112" s="374">
        <f>IF(F111+SUM(E$99:E111)=D$92,F111,D$92-SUM(E$99:E111))</f>
        <v>1846908.8977730065</v>
      </c>
      <c r="E112" s="522">
        <f t="shared" si="38"/>
        <v>64298.512195121948</v>
      </c>
      <c r="F112" s="523">
        <f t="shared" si="39"/>
        <v>1782610.3855778845</v>
      </c>
      <c r="G112" s="523">
        <f t="shared" si="40"/>
        <v>1814759.6416754455</v>
      </c>
      <c r="H112" s="526">
        <f t="shared" si="41"/>
        <v>270299.54897067341</v>
      </c>
      <c r="I112" s="577">
        <f t="shared" si="42"/>
        <v>270299.54897067341</v>
      </c>
      <c r="J112" s="514">
        <f t="shared" si="32"/>
        <v>0</v>
      </c>
      <c r="K112" s="514"/>
      <c r="L112" s="525"/>
      <c r="M112" s="514">
        <f t="shared" si="43"/>
        <v>0</v>
      </c>
      <c r="N112" s="525"/>
      <c r="O112" s="514">
        <f t="shared" si="33"/>
        <v>0</v>
      </c>
      <c r="P112" s="514">
        <f t="shared" si="34"/>
        <v>0</v>
      </c>
      <c r="Q112" s="269"/>
    </row>
    <row r="113" spans="2:17" ht="12.5">
      <c r="B113" s="195" t="str">
        <f t="shared" si="31"/>
        <v/>
      </c>
      <c r="C113" s="507">
        <f>IF(D93="","-",+C112+1)</f>
        <v>2027</v>
      </c>
      <c r="D113" s="374">
        <f>IF(F112+SUM(E$99:E112)=D$92,F112,D$92-SUM(E$99:E112))</f>
        <v>1782610.3855778845</v>
      </c>
      <c r="E113" s="522">
        <f t="shared" si="38"/>
        <v>64298.512195121948</v>
      </c>
      <c r="F113" s="523">
        <f t="shared" si="39"/>
        <v>1718311.8733827625</v>
      </c>
      <c r="G113" s="523">
        <f t="shared" si="40"/>
        <v>1750461.1294803235</v>
      </c>
      <c r="H113" s="526">
        <f t="shared" si="41"/>
        <v>263000.75310198648</v>
      </c>
      <c r="I113" s="577">
        <f t="shared" si="42"/>
        <v>263000.75310198648</v>
      </c>
      <c r="J113" s="514">
        <f t="shared" si="32"/>
        <v>0</v>
      </c>
      <c r="K113" s="514"/>
      <c r="L113" s="525"/>
      <c r="M113" s="514">
        <f t="shared" si="43"/>
        <v>0</v>
      </c>
      <c r="N113" s="525"/>
      <c r="O113" s="514">
        <f t="shared" si="33"/>
        <v>0</v>
      </c>
      <c r="P113" s="514">
        <f t="shared" si="34"/>
        <v>0</v>
      </c>
      <c r="Q113" s="269"/>
    </row>
    <row r="114" spans="2:17" ht="12.5">
      <c r="B114" s="195" t="str">
        <f t="shared" si="31"/>
        <v/>
      </c>
      <c r="C114" s="507">
        <f>IF(D93="","-",+C113+1)</f>
        <v>2028</v>
      </c>
      <c r="D114" s="374">
        <f>IF(F113+SUM(E$99:E113)=D$92,F113,D$92-SUM(E$99:E113))</f>
        <v>1718311.8733827625</v>
      </c>
      <c r="E114" s="522">
        <f t="shared" si="38"/>
        <v>64298.512195121948</v>
      </c>
      <c r="F114" s="523">
        <f t="shared" si="39"/>
        <v>1654013.3611876406</v>
      </c>
      <c r="G114" s="523">
        <f t="shared" si="40"/>
        <v>1686162.6172852016</v>
      </c>
      <c r="H114" s="526">
        <f t="shared" si="41"/>
        <v>255701.9572332995</v>
      </c>
      <c r="I114" s="577">
        <f t="shared" si="42"/>
        <v>255701.9572332995</v>
      </c>
      <c r="J114" s="514">
        <f t="shared" si="32"/>
        <v>0</v>
      </c>
      <c r="K114" s="514"/>
      <c r="L114" s="525"/>
      <c r="M114" s="514">
        <f t="shared" si="43"/>
        <v>0</v>
      </c>
      <c r="N114" s="525"/>
      <c r="O114" s="514">
        <f t="shared" si="33"/>
        <v>0</v>
      </c>
      <c r="P114" s="514">
        <f t="shared" si="34"/>
        <v>0</v>
      </c>
      <c r="Q114" s="269"/>
    </row>
    <row r="115" spans="2:17" ht="12.5">
      <c r="B115" s="195" t="str">
        <f t="shared" si="31"/>
        <v/>
      </c>
      <c r="C115" s="507">
        <f>IF(D93="","-",+C114+1)</f>
        <v>2029</v>
      </c>
      <c r="D115" s="374">
        <f>IF(F114+SUM(E$99:E114)=D$92,F114,D$92-SUM(E$99:E114))</f>
        <v>1654013.3611876406</v>
      </c>
      <c r="E115" s="522">
        <f t="shared" si="38"/>
        <v>64298.512195121948</v>
      </c>
      <c r="F115" s="523">
        <f t="shared" si="39"/>
        <v>1589714.8489925186</v>
      </c>
      <c r="G115" s="523">
        <f t="shared" si="40"/>
        <v>1621864.1050900796</v>
      </c>
      <c r="H115" s="526">
        <f t="shared" si="41"/>
        <v>248403.16136461252</v>
      </c>
      <c r="I115" s="577">
        <f t="shared" si="42"/>
        <v>248403.16136461252</v>
      </c>
      <c r="J115" s="514">
        <f t="shared" si="32"/>
        <v>0</v>
      </c>
      <c r="K115" s="514"/>
      <c r="L115" s="525"/>
      <c r="M115" s="514">
        <f t="shared" si="43"/>
        <v>0</v>
      </c>
      <c r="N115" s="525"/>
      <c r="O115" s="514">
        <f t="shared" si="33"/>
        <v>0</v>
      </c>
      <c r="P115" s="514">
        <f t="shared" si="34"/>
        <v>0</v>
      </c>
      <c r="Q115" s="269"/>
    </row>
    <row r="116" spans="2:17" ht="12.5">
      <c r="B116" s="195" t="str">
        <f t="shared" si="31"/>
        <v/>
      </c>
      <c r="C116" s="507">
        <f>IF(D93="","-",+C115+1)</f>
        <v>2030</v>
      </c>
      <c r="D116" s="374">
        <f>IF(F115+SUM(E$99:E115)=D$92,F115,D$92-SUM(E$99:E115))</f>
        <v>1589714.8489925186</v>
      </c>
      <c r="E116" s="522">
        <f t="shared" si="38"/>
        <v>64298.512195121948</v>
      </c>
      <c r="F116" s="523">
        <f t="shared" si="39"/>
        <v>1525416.3367973967</v>
      </c>
      <c r="G116" s="523">
        <f t="shared" si="40"/>
        <v>1557565.5928949576</v>
      </c>
      <c r="H116" s="526">
        <f t="shared" si="41"/>
        <v>241104.36549592559</v>
      </c>
      <c r="I116" s="577">
        <f t="shared" si="42"/>
        <v>241104.36549592559</v>
      </c>
      <c r="J116" s="514">
        <f t="shared" si="32"/>
        <v>0</v>
      </c>
      <c r="K116" s="514"/>
      <c r="L116" s="525"/>
      <c r="M116" s="514">
        <f t="shared" si="43"/>
        <v>0</v>
      </c>
      <c r="N116" s="525"/>
      <c r="O116" s="514">
        <f t="shared" si="33"/>
        <v>0</v>
      </c>
      <c r="P116" s="514">
        <f t="shared" si="34"/>
        <v>0</v>
      </c>
      <c r="Q116" s="269"/>
    </row>
    <row r="117" spans="2:17" ht="12.5">
      <c r="B117" s="195" t="str">
        <f t="shared" si="31"/>
        <v/>
      </c>
      <c r="C117" s="507">
        <f>IF(D93="","-",+C116+1)</f>
        <v>2031</v>
      </c>
      <c r="D117" s="374">
        <f>IF(F116+SUM(E$99:E116)=D$92,F116,D$92-SUM(E$99:E116))</f>
        <v>1525416.3367973967</v>
      </c>
      <c r="E117" s="522">
        <f t="shared" si="38"/>
        <v>64298.512195121948</v>
      </c>
      <c r="F117" s="523">
        <f t="shared" si="39"/>
        <v>1461117.8246022747</v>
      </c>
      <c r="G117" s="523">
        <f t="shared" si="40"/>
        <v>1493267.0806998357</v>
      </c>
      <c r="H117" s="526">
        <f t="shared" si="41"/>
        <v>233805.56962723861</v>
      </c>
      <c r="I117" s="577">
        <f t="shared" si="42"/>
        <v>233805.56962723861</v>
      </c>
      <c r="J117" s="514">
        <f t="shared" si="32"/>
        <v>0</v>
      </c>
      <c r="K117" s="514"/>
      <c r="L117" s="525"/>
      <c r="M117" s="514">
        <f t="shared" si="43"/>
        <v>0</v>
      </c>
      <c r="N117" s="525"/>
      <c r="O117" s="514">
        <f t="shared" si="33"/>
        <v>0</v>
      </c>
      <c r="P117" s="514">
        <f t="shared" si="34"/>
        <v>0</v>
      </c>
      <c r="Q117" s="269"/>
    </row>
    <row r="118" spans="2:17" ht="12.5">
      <c r="B118" s="195" t="str">
        <f t="shared" si="31"/>
        <v/>
      </c>
      <c r="C118" s="507">
        <f>IF(D93="","-",+C117+1)</f>
        <v>2032</v>
      </c>
      <c r="D118" s="374">
        <f>IF(F117+SUM(E$99:E117)=D$92,F117,D$92-SUM(E$99:E117))</f>
        <v>1461117.8246022747</v>
      </c>
      <c r="E118" s="522">
        <f t="shared" si="38"/>
        <v>64298.512195121948</v>
      </c>
      <c r="F118" s="523">
        <f t="shared" si="39"/>
        <v>1396819.3124071527</v>
      </c>
      <c r="G118" s="523">
        <f t="shared" si="40"/>
        <v>1428968.5685047137</v>
      </c>
      <c r="H118" s="526">
        <f t="shared" si="41"/>
        <v>226506.77375855169</v>
      </c>
      <c r="I118" s="577">
        <f t="shared" si="42"/>
        <v>226506.77375855169</v>
      </c>
      <c r="J118" s="514">
        <f t="shared" si="32"/>
        <v>0</v>
      </c>
      <c r="K118" s="514"/>
      <c r="L118" s="525"/>
      <c r="M118" s="514">
        <f t="shared" si="43"/>
        <v>0</v>
      </c>
      <c r="N118" s="525"/>
      <c r="O118" s="514">
        <f t="shared" si="33"/>
        <v>0</v>
      </c>
      <c r="P118" s="514">
        <f t="shared" si="34"/>
        <v>0</v>
      </c>
      <c r="Q118" s="269"/>
    </row>
    <row r="119" spans="2:17" ht="12.5">
      <c r="B119" s="195" t="str">
        <f t="shared" si="31"/>
        <v/>
      </c>
      <c r="C119" s="507">
        <f>IF(D93="","-",+C118+1)</f>
        <v>2033</v>
      </c>
      <c r="D119" s="374">
        <f>IF(F118+SUM(E$99:E118)=D$92,F118,D$92-SUM(E$99:E118))</f>
        <v>1396819.3124071527</v>
      </c>
      <c r="E119" s="522">
        <f t="shared" si="38"/>
        <v>64298.512195121948</v>
      </c>
      <c r="F119" s="523">
        <f t="shared" si="39"/>
        <v>1332520.8002120308</v>
      </c>
      <c r="G119" s="523">
        <f t="shared" si="40"/>
        <v>1364670.0563095917</v>
      </c>
      <c r="H119" s="526">
        <f t="shared" si="41"/>
        <v>219207.97788986471</v>
      </c>
      <c r="I119" s="577">
        <f t="shared" si="42"/>
        <v>219207.97788986471</v>
      </c>
      <c r="J119" s="514">
        <f t="shared" si="32"/>
        <v>0</v>
      </c>
      <c r="K119" s="514"/>
      <c r="L119" s="525"/>
      <c r="M119" s="514">
        <f t="shared" si="43"/>
        <v>0</v>
      </c>
      <c r="N119" s="525"/>
      <c r="O119" s="514">
        <f t="shared" si="33"/>
        <v>0</v>
      </c>
      <c r="P119" s="514">
        <f t="shared" si="34"/>
        <v>0</v>
      </c>
      <c r="Q119" s="269"/>
    </row>
    <row r="120" spans="2:17" ht="12.5">
      <c r="B120" s="195" t="str">
        <f t="shared" si="31"/>
        <v/>
      </c>
      <c r="C120" s="507">
        <f>IF(D93="","-",+C119+1)</f>
        <v>2034</v>
      </c>
      <c r="D120" s="374">
        <f>IF(F119+SUM(E$99:E119)=D$92,F119,D$92-SUM(E$99:E119))</f>
        <v>1332520.8002120308</v>
      </c>
      <c r="E120" s="522">
        <f t="shared" si="38"/>
        <v>64298.512195121948</v>
      </c>
      <c r="F120" s="523">
        <f t="shared" si="39"/>
        <v>1268222.2880169088</v>
      </c>
      <c r="G120" s="523">
        <f t="shared" si="40"/>
        <v>1300371.5441144698</v>
      </c>
      <c r="H120" s="526">
        <f t="shared" si="41"/>
        <v>211909.18202117778</v>
      </c>
      <c r="I120" s="577">
        <f t="shared" si="42"/>
        <v>211909.18202117778</v>
      </c>
      <c r="J120" s="514">
        <f t="shared" si="32"/>
        <v>0</v>
      </c>
      <c r="K120" s="514"/>
      <c r="L120" s="525"/>
      <c r="M120" s="514">
        <f t="shared" si="43"/>
        <v>0</v>
      </c>
      <c r="N120" s="525"/>
      <c r="O120" s="514">
        <f t="shared" si="33"/>
        <v>0</v>
      </c>
      <c r="P120" s="514">
        <f t="shared" si="34"/>
        <v>0</v>
      </c>
      <c r="Q120" s="269"/>
    </row>
    <row r="121" spans="2:17" ht="12.5">
      <c r="B121" s="195" t="str">
        <f t="shared" si="31"/>
        <v/>
      </c>
      <c r="C121" s="507">
        <f>IF(D93="","-",+C120+1)</f>
        <v>2035</v>
      </c>
      <c r="D121" s="374">
        <f>IF(F120+SUM(E$99:E120)=D$92,F120,D$92-SUM(E$99:E120))</f>
        <v>1268222.2880169088</v>
      </c>
      <c r="E121" s="522">
        <f t="shared" si="38"/>
        <v>64298.512195121948</v>
      </c>
      <c r="F121" s="523">
        <f t="shared" si="39"/>
        <v>1203923.7758217868</v>
      </c>
      <c r="G121" s="523">
        <f t="shared" si="40"/>
        <v>1236073.0319193478</v>
      </c>
      <c r="H121" s="526">
        <f t="shared" si="41"/>
        <v>204610.3861524908</v>
      </c>
      <c r="I121" s="577">
        <f t="shared" si="42"/>
        <v>204610.3861524908</v>
      </c>
      <c r="J121" s="514">
        <f t="shared" si="32"/>
        <v>0</v>
      </c>
      <c r="K121" s="514"/>
      <c r="L121" s="525"/>
      <c r="M121" s="514">
        <f t="shared" si="43"/>
        <v>0</v>
      </c>
      <c r="N121" s="525"/>
      <c r="O121" s="514">
        <f t="shared" si="33"/>
        <v>0</v>
      </c>
      <c r="P121" s="514">
        <f t="shared" si="34"/>
        <v>0</v>
      </c>
      <c r="Q121" s="269"/>
    </row>
    <row r="122" spans="2:17" ht="12.5">
      <c r="B122" s="195" t="str">
        <f t="shared" si="31"/>
        <v/>
      </c>
      <c r="C122" s="507">
        <f>IF(D93="","-",+C121+1)</f>
        <v>2036</v>
      </c>
      <c r="D122" s="374">
        <f>IF(F121+SUM(E$99:E121)=D$92,F121,D$92-SUM(E$99:E121))</f>
        <v>1203923.7758217868</v>
      </c>
      <c r="E122" s="522">
        <f t="shared" si="38"/>
        <v>64298.512195121948</v>
      </c>
      <c r="F122" s="523">
        <f t="shared" si="39"/>
        <v>1139625.2636266649</v>
      </c>
      <c r="G122" s="523">
        <f t="shared" si="40"/>
        <v>1171774.5197242259</v>
      </c>
      <c r="H122" s="526">
        <f t="shared" si="41"/>
        <v>197311.59028380382</v>
      </c>
      <c r="I122" s="577">
        <f t="shared" si="42"/>
        <v>197311.59028380382</v>
      </c>
      <c r="J122" s="514">
        <f t="shared" si="32"/>
        <v>0</v>
      </c>
      <c r="K122" s="514"/>
      <c r="L122" s="525"/>
      <c r="M122" s="514">
        <f t="shared" si="43"/>
        <v>0</v>
      </c>
      <c r="N122" s="525"/>
      <c r="O122" s="514">
        <f t="shared" si="33"/>
        <v>0</v>
      </c>
      <c r="P122" s="514">
        <f t="shared" si="34"/>
        <v>0</v>
      </c>
      <c r="Q122" s="269"/>
    </row>
    <row r="123" spans="2:17" ht="12.5">
      <c r="B123" s="195" t="str">
        <f t="shared" si="31"/>
        <v/>
      </c>
      <c r="C123" s="507">
        <f>IF(D93="","-",+C122+1)</f>
        <v>2037</v>
      </c>
      <c r="D123" s="374">
        <f>IF(F122+SUM(E$99:E122)=D$92,F122,D$92-SUM(E$99:E122))</f>
        <v>1139625.2636266649</v>
      </c>
      <c r="E123" s="522">
        <f t="shared" si="38"/>
        <v>64298.512195121948</v>
      </c>
      <c r="F123" s="523">
        <f t="shared" si="39"/>
        <v>1075326.7514315429</v>
      </c>
      <c r="G123" s="523">
        <f t="shared" si="40"/>
        <v>1107476.0075291039</v>
      </c>
      <c r="H123" s="526">
        <f t="shared" si="41"/>
        <v>190012.79441511689</v>
      </c>
      <c r="I123" s="577">
        <f t="shared" si="42"/>
        <v>190012.79441511689</v>
      </c>
      <c r="J123" s="514">
        <f t="shared" si="32"/>
        <v>0</v>
      </c>
      <c r="K123" s="514"/>
      <c r="L123" s="525"/>
      <c r="M123" s="514">
        <f t="shared" si="43"/>
        <v>0</v>
      </c>
      <c r="N123" s="525"/>
      <c r="O123" s="514">
        <f t="shared" si="33"/>
        <v>0</v>
      </c>
      <c r="P123" s="514">
        <f t="shared" si="34"/>
        <v>0</v>
      </c>
      <c r="Q123" s="269"/>
    </row>
    <row r="124" spans="2:17" ht="12.5">
      <c r="B124" s="195" t="str">
        <f t="shared" si="31"/>
        <v/>
      </c>
      <c r="C124" s="507">
        <f>IF(D93="","-",+C123+1)</f>
        <v>2038</v>
      </c>
      <c r="D124" s="374">
        <f>IF(F123+SUM(E$99:E123)=D$92,F123,D$92-SUM(E$99:E123))</f>
        <v>1075326.7514315429</v>
      </c>
      <c r="E124" s="522">
        <f t="shared" si="38"/>
        <v>64298.512195121948</v>
      </c>
      <c r="F124" s="523">
        <f t="shared" si="39"/>
        <v>1011028.239236421</v>
      </c>
      <c r="G124" s="523">
        <f t="shared" si="40"/>
        <v>1043177.4953339819</v>
      </c>
      <c r="H124" s="526">
        <f t="shared" si="41"/>
        <v>182713.99854642991</v>
      </c>
      <c r="I124" s="577">
        <f t="shared" si="42"/>
        <v>182713.99854642991</v>
      </c>
      <c r="J124" s="514">
        <f t="shared" si="32"/>
        <v>0</v>
      </c>
      <c r="K124" s="514"/>
      <c r="L124" s="525"/>
      <c r="M124" s="514">
        <f t="shared" si="43"/>
        <v>0</v>
      </c>
      <c r="N124" s="525"/>
      <c r="O124" s="514">
        <f t="shared" si="33"/>
        <v>0</v>
      </c>
      <c r="P124" s="514">
        <f t="shared" si="34"/>
        <v>0</v>
      </c>
      <c r="Q124" s="269"/>
    </row>
    <row r="125" spans="2:17" ht="12.5">
      <c r="B125" s="195" t="str">
        <f t="shared" si="31"/>
        <v/>
      </c>
      <c r="C125" s="507">
        <f>IF(D93="","-",+C124+1)</f>
        <v>2039</v>
      </c>
      <c r="D125" s="374">
        <f>IF(F124+SUM(E$99:E124)=D$92,F124,D$92-SUM(E$99:E124))</f>
        <v>1011028.239236421</v>
      </c>
      <c r="E125" s="522">
        <f t="shared" si="38"/>
        <v>64298.512195121948</v>
      </c>
      <c r="F125" s="523">
        <f t="shared" si="39"/>
        <v>946729.72704129899</v>
      </c>
      <c r="G125" s="523">
        <f t="shared" si="40"/>
        <v>978878.98313885997</v>
      </c>
      <c r="H125" s="526">
        <f t="shared" si="41"/>
        <v>175415.20267774299</v>
      </c>
      <c r="I125" s="577">
        <f t="shared" si="42"/>
        <v>175415.20267774299</v>
      </c>
      <c r="J125" s="514">
        <f t="shared" si="32"/>
        <v>0</v>
      </c>
      <c r="K125" s="514"/>
      <c r="L125" s="525"/>
      <c r="M125" s="514">
        <f t="shared" si="43"/>
        <v>0</v>
      </c>
      <c r="N125" s="525"/>
      <c r="O125" s="514">
        <f t="shared" si="33"/>
        <v>0</v>
      </c>
      <c r="P125" s="514">
        <f t="shared" si="34"/>
        <v>0</v>
      </c>
      <c r="Q125" s="269"/>
    </row>
    <row r="126" spans="2:17" ht="12.5">
      <c r="B126" s="195" t="str">
        <f t="shared" si="31"/>
        <v/>
      </c>
      <c r="C126" s="507">
        <f>IF(D93="","-",+C125+1)</f>
        <v>2040</v>
      </c>
      <c r="D126" s="374">
        <f>IF(F125+SUM(E$99:E125)=D$92,F125,D$92-SUM(E$99:E125))</f>
        <v>946729.72704129899</v>
      </c>
      <c r="E126" s="522">
        <f t="shared" si="38"/>
        <v>64298.512195121948</v>
      </c>
      <c r="F126" s="523">
        <f t="shared" si="39"/>
        <v>882431.21484617703</v>
      </c>
      <c r="G126" s="523">
        <f t="shared" si="40"/>
        <v>914580.47094373801</v>
      </c>
      <c r="H126" s="526">
        <f t="shared" si="41"/>
        <v>168116.406809056</v>
      </c>
      <c r="I126" s="577">
        <f t="shared" si="42"/>
        <v>168116.406809056</v>
      </c>
      <c r="J126" s="514">
        <f t="shared" si="32"/>
        <v>0</v>
      </c>
      <c r="K126" s="514"/>
      <c r="L126" s="525"/>
      <c r="M126" s="514">
        <f t="shared" si="43"/>
        <v>0</v>
      </c>
      <c r="N126" s="525"/>
      <c r="O126" s="514">
        <f t="shared" si="33"/>
        <v>0</v>
      </c>
      <c r="P126" s="514">
        <f t="shared" si="34"/>
        <v>0</v>
      </c>
      <c r="Q126" s="269"/>
    </row>
    <row r="127" spans="2:17" ht="12.5">
      <c r="B127" s="195" t="str">
        <f t="shared" si="31"/>
        <v/>
      </c>
      <c r="C127" s="507">
        <f>IF(D93="","-",+C126+1)</f>
        <v>2041</v>
      </c>
      <c r="D127" s="374">
        <f>IF(F126+SUM(E$99:E126)=D$92,F126,D$92-SUM(E$99:E126))</f>
        <v>882431.21484617703</v>
      </c>
      <c r="E127" s="522">
        <f t="shared" si="38"/>
        <v>64298.512195121948</v>
      </c>
      <c r="F127" s="523">
        <f t="shared" si="39"/>
        <v>818132.70265105506</v>
      </c>
      <c r="G127" s="523">
        <f t="shared" si="40"/>
        <v>850281.95874861605</v>
      </c>
      <c r="H127" s="526">
        <f t="shared" si="41"/>
        <v>160817.61094036908</v>
      </c>
      <c r="I127" s="577">
        <f t="shared" si="42"/>
        <v>160817.61094036908</v>
      </c>
      <c r="J127" s="514">
        <f t="shared" si="32"/>
        <v>0</v>
      </c>
      <c r="K127" s="514"/>
      <c r="L127" s="525"/>
      <c r="M127" s="514">
        <f t="shared" si="43"/>
        <v>0</v>
      </c>
      <c r="N127" s="525"/>
      <c r="O127" s="514">
        <f t="shared" si="33"/>
        <v>0</v>
      </c>
      <c r="P127" s="514">
        <f t="shared" si="34"/>
        <v>0</v>
      </c>
      <c r="Q127" s="269"/>
    </row>
    <row r="128" spans="2:17" ht="12.5">
      <c r="B128" s="195" t="str">
        <f t="shared" si="31"/>
        <v/>
      </c>
      <c r="C128" s="507">
        <f>IF(D93="","-",+C127+1)</f>
        <v>2042</v>
      </c>
      <c r="D128" s="374">
        <f>IF(F127+SUM(E$99:E127)=D$92,F127,D$92-SUM(E$99:E127))</f>
        <v>818132.70265105506</v>
      </c>
      <c r="E128" s="522">
        <f t="shared" si="38"/>
        <v>64298.512195121948</v>
      </c>
      <c r="F128" s="523">
        <f t="shared" si="39"/>
        <v>753834.1904559331</v>
      </c>
      <c r="G128" s="523">
        <f t="shared" si="40"/>
        <v>785983.44655349408</v>
      </c>
      <c r="H128" s="526">
        <f t="shared" si="41"/>
        <v>153518.8150716821</v>
      </c>
      <c r="I128" s="577">
        <f t="shared" si="42"/>
        <v>153518.8150716821</v>
      </c>
      <c r="J128" s="514">
        <f t="shared" si="32"/>
        <v>0</v>
      </c>
      <c r="K128" s="514"/>
      <c r="L128" s="525"/>
      <c r="M128" s="514">
        <f t="shared" si="43"/>
        <v>0</v>
      </c>
      <c r="N128" s="525"/>
      <c r="O128" s="514">
        <f t="shared" si="33"/>
        <v>0</v>
      </c>
      <c r="P128" s="514">
        <f t="shared" si="34"/>
        <v>0</v>
      </c>
      <c r="Q128" s="269"/>
    </row>
    <row r="129" spans="2:17" ht="12.5">
      <c r="B129" s="195" t="str">
        <f t="shared" si="31"/>
        <v/>
      </c>
      <c r="C129" s="507">
        <f>IF(D93="","-",+C128+1)</f>
        <v>2043</v>
      </c>
      <c r="D129" s="374">
        <f>IF(F128+SUM(E$99:E128)=D$92,F128,D$92-SUM(E$99:E128))</f>
        <v>753834.1904559331</v>
      </c>
      <c r="E129" s="522">
        <f t="shared" si="38"/>
        <v>64298.512195121948</v>
      </c>
      <c r="F129" s="523">
        <f t="shared" si="39"/>
        <v>689535.67826081114</v>
      </c>
      <c r="G129" s="523">
        <f t="shared" si="40"/>
        <v>721684.93435837212</v>
      </c>
      <c r="H129" s="526">
        <f t="shared" si="41"/>
        <v>146220.01920299514</v>
      </c>
      <c r="I129" s="577">
        <f t="shared" si="42"/>
        <v>146220.01920299514</v>
      </c>
      <c r="J129" s="514">
        <f t="shared" si="32"/>
        <v>0</v>
      </c>
      <c r="K129" s="514"/>
      <c r="L129" s="525"/>
      <c r="M129" s="514">
        <f t="shared" si="43"/>
        <v>0</v>
      </c>
      <c r="N129" s="525"/>
      <c r="O129" s="514">
        <f t="shared" si="33"/>
        <v>0</v>
      </c>
      <c r="P129" s="514">
        <f t="shared" si="34"/>
        <v>0</v>
      </c>
      <c r="Q129" s="269"/>
    </row>
    <row r="130" spans="2:17" ht="12.5">
      <c r="B130" s="195" t="str">
        <f t="shared" si="31"/>
        <v/>
      </c>
      <c r="C130" s="507">
        <f>IF(D93="","-",+C129+1)</f>
        <v>2044</v>
      </c>
      <c r="D130" s="374">
        <f>IF(F129+SUM(E$99:E129)=D$92,F129,D$92-SUM(E$99:E129))</f>
        <v>689535.67826081114</v>
      </c>
      <c r="E130" s="522">
        <f t="shared" si="38"/>
        <v>64298.512195121948</v>
      </c>
      <c r="F130" s="523">
        <f t="shared" si="39"/>
        <v>625237.16606568918</v>
      </c>
      <c r="G130" s="523">
        <f t="shared" si="40"/>
        <v>657386.42216325016</v>
      </c>
      <c r="H130" s="526">
        <f t="shared" si="41"/>
        <v>138921.22333430819</v>
      </c>
      <c r="I130" s="577">
        <f t="shared" si="42"/>
        <v>138921.22333430819</v>
      </c>
      <c r="J130" s="514">
        <f t="shared" si="32"/>
        <v>0</v>
      </c>
      <c r="K130" s="514"/>
      <c r="L130" s="525"/>
      <c r="M130" s="514">
        <f t="shared" si="43"/>
        <v>0</v>
      </c>
      <c r="N130" s="525"/>
      <c r="O130" s="514">
        <f t="shared" si="33"/>
        <v>0</v>
      </c>
      <c r="P130" s="514">
        <f t="shared" si="34"/>
        <v>0</v>
      </c>
      <c r="Q130" s="269"/>
    </row>
    <row r="131" spans="2:17" ht="12.5">
      <c r="B131" s="195" t="str">
        <f t="shared" si="31"/>
        <v/>
      </c>
      <c r="C131" s="507">
        <f>IF(D93="","-",+C130+1)</f>
        <v>2045</v>
      </c>
      <c r="D131" s="374">
        <f>IF(F130+SUM(E$99:E130)=D$92,F130,D$92-SUM(E$99:E130))</f>
        <v>625237.16606568918</v>
      </c>
      <c r="E131" s="522">
        <f t="shared" si="38"/>
        <v>64298.512195121948</v>
      </c>
      <c r="F131" s="523">
        <f t="shared" si="39"/>
        <v>560938.65387056721</v>
      </c>
      <c r="G131" s="523">
        <f t="shared" si="40"/>
        <v>593087.9099681282</v>
      </c>
      <c r="H131" s="526">
        <f t="shared" si="41"/>
        <v>131622.42746562124</v>
      </c>
      <c r="I131" s="577">
        <f t="shared" si="42"/>
        <v>131622.42746562124</v>
      </c>
      <c r="J131" s="514">
        <f t="shared" si="32"/>
        <v>0</v>
      </c>
      <c r="K131" s="514"/>
      <c r="L131" s="525"/>
      <c r="M131" s="514">
        <f t="shared" ref="M131:M154" si="44">IF(L541&lt;&gt;0,+H541-L541,0)</f>
        <v>0</v>
      </c>
      <c r="N131" s="525"/>
      <c r="O131" s="514">
        <f t="shared" ref="O131:O154" si="45">IF(N541&lt;&gt;0,+I541-N541,0)</f>
        <v>0</v>
      </c>
      <c r="P131" s="514">
        <f t="shared" ref="P131:P154" si="46">+O541-M541</f>
        <v>0</v>
      </c>
      <c r="Q131" s="269"/>
    </row>
    <row r="132" spans="2:17" ht="12.5">
      <c r="B132" s="195" t="str">
        <f t="shared" si="31"/>
        <v/>
      </c>
      <c r="C132" s="507">
        <f>IF(D93="","-",+C131+1)</f>
        <v>2046</v>
      </c>
      <c r="D132" s="374">
        <f>IF(F131+SUM(E$99:E131)=D$92,F131,D$92-SUM(E$99:E131))</f>
        <v>560938.65387056721</v>
      </c>
      <c r="E132" s="522">
        <f t="shared" si="38"/>
        <v>64298.512195121948</v>
      </c>
      <c r="F132" s="523">
        <f t="shared" si="39"/>
        <v>496640.14167544525</v>
      </c>
      <c r="G132" s="523">
        <f t="shared" si="40"/>
        <v>528789.39777300623</v>
      </c>
      <c r="H132" s="526">
        <f t="shared" si="41"/>
        <v>124323.63159693428</v>
      </c>
      <c r="I132" s="577">
        <f t="shared" si="42"/>
        <v>124323.63159693428</v>
      </c>
      <c r="J132" s="514">
        <f t="shared" si="32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 ht="12.5">
      <c r="B133" s="195" t="str">
        <f t="shared" si="31"/>
        <v/>
      </c>
      <c r="C133" s="507">
        <f>IF(D93="","-",+C132+1)</f>
        <v>2047</v>
      </c>
      <c r="D133" s="374">
        <f>IF(F132+SUM(E$99:E132)=D$92,F132,D$92-SUM(E$99:E132))</f>
        <v>496640.14167544525</v>
      </c>
      <c r="E133" s="522">
        <f t="shared" si="38"/>
        <v>64298.512195121948</v>
      </c>
      <c r="F133" s="523">
        <f t="shared" si="39"/>
        <v>432341.62948032329</v>
      </c>
      <c r="G133" s="523">
        <f t="shared" si="40"/>
        <v>464490.88557788427</v>
      </c>
      <c r="H133" s="526">
        <f t="shared" si="41"/>
        <v>117024.83572824732</v>
      </c>
      <c r="I133" s="577">
        <f t="shared" si="42"/>
        <v>117024.83572824732</v>
      </c>
      <c r="J133" s="514">
        <f t="shared" si="32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 ht="12.5">
      <c r="B134" s="195" t="str">
        <f t="shared" si="31"/>
        <v/>
      </c>
      <c r="C134" s="507">
        <f>IF(D93="","-",+C133+1)</f>
        <v>2048</v>
      </c>
      <c r="D134" s="374">
        <f>IF(F133+SUM(E$99:E133)=D$92,F133,D$92-SUM(E$99:E133))</f>
        <v>432341.62948032329</v>
      </c>
      <c r="E134" s="522">
        <f t="shared" si="38"/>
        <v>64298.512195121948</v>
      </c>
      <c r="F134" s="523">
        <f t="shared" si="39"/>
        <v>368043.11728520133</v>
      </c>
      <c r="G134" s="523">
        <f t="shared" si="40"/>
        <v>400192.37338276231</v>
      </c>
      <c r="H134" s="526">
        <f t="shared" si="41"/>
        <v>109726.03985956036</v>
      </c>
      <c r="I134" s="577">
        <f t="shared" si="42"/>
        <v>109726.03985956036</v>
      </c>
      <c r="J134" s="514">
        <f t="shared" si="32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 ht="12.5">
      <c r="B135" s="195" t="str">
        <f t="shared" si="31"/>
        <v/>
      </c>
      <c r="C135" s="507">
        <f>IF(D93="","-",+C134+1)</f>
        <v>2049</v>
      </c>
      <c r="D135" s="374">
        <f>IF(F134+SUM(E$99:E134)=D$92,F134,D$92-SUM(E$99:E134))</f>
        <v>368043.11728520133</v>
      </c>
      <c r="E135" s="522">
        <f t="shared" si="38"/>
        <v>64298.512195121948</v>
      </c>
      <c r="F135" s="523">
        <f t="shared" si="39"/>
        <v>303744.60509007936</v>
      </c>
      <c r="G135" s="523">
        <f t="shared" si="40"/>
        <v>335893.86118764034</v>
      </c>
      <c r="H135" s="526">
        <f t="shared" si="41"/>
        <v>102427.24399087339</v>
      </c>
      <c r="I135" s="577">
        <f t="shared" si="42"/>
        <v>102427.24399087339</v>
      </c>
      <c r="J135" s="514">
        <f t="shared" si="32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 ht="12.5">
      <c r="B136" s="195" t="str">
        <f t="shared" si="31"/>
        <v/>
      </c>
      <c r="C136" s="507">
        <f>IF(D93="","-",+C135+1)</f>
        <v>2050</v>
      </c>
      <c r="D136" s="374">
        <f>IF(F135+SUM(E$99:E135)=D$92,F135,D$92-SUM(E$99:E135))</f>
        <v>303744.60509007936</v>
      </c>
      <c r="E136" s="522">
        <f t="shared" si="38"/>
        <v>64298.512195121948</v>
      </c>
      <c r="F136" s="523">
        <f t="shared" si="39"/>
        <v>239446.0928949574</v>
      </c>
      <c r="G136" s="523">
        <f t="shared" si="40"/>
        <v>271595.34899251838</v>
      </c>
      <c r="H136" s="526">
        <f t="shared" si="41"/>
        <v>95128.448122186441</v>
      </c>
      <c r="I136" s="577">
        <f t="shared" si="42"/>
        <v>95128.448122186441</v>
      </c>
      <c r="J136" s="514">
        <f t="shared" si="32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 ht="12.5">
      <c r="B137" s="195" t="str">
        <f t="shared" si="31"/>
        <v/>
      </c>
      <c r="C137" s="507">
        <f>IF(D93="","-",+C136+1)</f>
        <v>2051</v>
      </c>
      <c r="D137" s="374">
        <f>IF(F136+SUM(E$99:E136)=D$92,F136,D$92-SUM(E$99:E136))</f>
        <v>239446.0928949574</v>
      </c>
      <c r="E137" s="522">
        <f t="shared" si="38"/>
        <v>64298.512195121948</v>
      </c>
      <c r="F137" s="523">
        <f t="shared" si="39"/>
        <v>175147.58069983544</v>
      </c>
      <c r="G137" s="523">
        <f t="shared" si="40"/>
        <v>207296.83679739642</v>
      </c>
      <c r="H137" s="526">
        <f t="shared" si="41"/>
        <v>87829.652253499487</v>
      </c>
      <c r="I137" s="577">
        <f t="shared" si="42"/>
        <v>87829.652253499487</v>
      </c>
      <c r="J137" s="514">
        <f t="shared" si="32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 ht="12.5">
      <c r="B138" s="195" t="str">
        <f t="shared" si="31"/>
        <v/>
      </c>
      <c r="C138" s="507">
        <f>IF(D93="","-",+C137+1)</f>
        <v>2052</v>
      </c>
      <c r="D138" s="374">
        <f>IF(F137+SUM(E$99:E137)=D$92,F137,D$92-SUM(E$99:E137))</f>
        <v>175147.58069983544</v>
      </c>
      <c r="E138" s="522">
        <f t="shared" si="38"/>
        <v>64298.512195121948</v>
      </c>
      <c r="F138" s="523">
        <f t="shared" si="39"/>
        <v>110849.06850471349</v>
      </c>
      <c r="G138" s="523">
        <f t="shared" si="40"/>
        <v>142998.32460227446</v>
      </c>
      <c r="H138" s="526">
        <f t="shared" si="41"/>
        <v>80530.856384812534</v>
      </c>
      <c r="I138" s="577">
        <f t="shared" si="42"/>
        <v>80530.856384812534</v>
      </c>
      <c r="J138" s="514">
        <f t="shared" si="32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 ht="12.5">
      <c r="B139" s="195" t="str">
        <f t="shared" si="31"/>
        <v/>
      </c>
      <c r="C139" s="507">
        <f>IF(D93="","-",+C138+1)</f>
        <v>2053</v>
      </c>
      <c r="D139" s="374">
        <f>IF(F138+SUM(E$99:E138)=D$92,F138,D$92-SUM(E$99:E138))</f>
        <v>110849.06850471349</v>
      </c>
      <c r="E139" s="522">
        <f t="shared" si="38"/>
        <v>64298.512195121948</v>
      </c>
      <c r="F139" s="523">
        <f t="shared" si="39"/>
        <v>46550.556309591542</v>
      </c>
      <c r="G139" s="523">
        <f t="shared" si="40"/>
        <v>78699.812407152524</v>
      </c>
      <c r="H139" s="526">
        <f t="shared" si="41"/>
        <v>73232.060516125581</v>
      </c>
      <c r="I139" s="577">
        <f t="shared" si="42"/>
        <v>73232.060516125581</v>
      </c>
      <c r="J139" s="514">
        <f t="shared" si="32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 ht="12.5">
      <c r="B140" s="195" t="str">
        <f t="shared" si="31"/>
        <v/>
      </c>
      <c r="C140" s="507">
        <f>IF(D93="","-",+C139+1)</f>
        <v>2054</v>
      </c>
      <c r="D140" s="374">
        <f>IF(F139+SUM(E$99:E139)=D$92,F139,D$92-SUM(E$99:E139))</f>
        <v>46550.556309591542</v>
      </c>
      <c r="E140" s="522">
        <f t="shared" si="38"/>
        <v>46550.556309591542</v>
      </c>
      <c r="F140" s="523">
        <f t="shared" si="39"/>
        <v>0</v>
      </c>
      <c r="G140" s="523">
        <f t="shared" si="40"/>
        <v>23275.278154795771</v>
      </c>
      <c r="H140" s="526">
        <f t="shared" si="41"/>
        <v>49192.63150292162</v>
      </c>
      <c r="I140" s="577">
        <f t="shared" si="42"/>
        <v>49192.63150292162</v>
      </c>
      <c r="J140" s="514">
        <f t="shared" si="32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 ht="12.5">
      <c r="B141" s="195" t="str">
        <f t="shared" si="31"/>
        <v/>
      </c>
      <c r="C141" s="507">
        <f>IF(D93="","-",+C140+1)</f>
        <v>2055</v>
      </c>
      <c r="D141" s="374">
        <f>IF(F140+SUM(E$99:E140)=D$92,F140,D$92-SUM(E$99:E140))</f>
        <v>0</v>
      </c>
      <c r="E141" s="522">
        <f t="shared" si="38"/>
        <v>0</v>
      </c>
      <c r="F141" s="523">
        <f t="shared" si="39"/>
        <v>0</v>
      </c>
      <c r="G141" s="523">
        <f t="shared" si="40"/>
        <v>0</v>
      </c>
      <c r="H141" s="526">
        <f t="shared" si="41"/>
        <v>0</v>
      </c>
      <c r="I141" s="577">
        <f t="shared" si="42"/>
        <v>0</v>
      </c>
      <c r="J141" s="514">
        <f t="shared" si="32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 ht="12.5">
      <c r="B142" s="195" t="str">
        <f t="shared" si="31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8"/>
        <v>0</v>
      </c>
      <c r="F142" s="523">
        <f t="shared" si="39"/>
        <v>0</v>
      </c>
      <c r="G142" s="523">
        <f t="shared" si="40"/>
        <v>0</v>
      </c>
      <c r="H142" s="526">
        <f t="shared" si="41"/>
        <v>0</v>
      </c>
      <c r="I142" s="577">
        <f t="shared" si="42"/>
        <v>0</v>
      </c>
      <c r="J142" s="514">
        <f t="shared" si="32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 ht="12.5">
      <c r="B143" s="195" t="str">
        <f t="shared" si="31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8"/>
        <v>0</v>
      </c>
      <c r="F143" s="523">
        <f t="shared" si="39"/>
        <v>0</v>
      </c>
      <c r="G143" s="523">
        <f t="shared" si="40"/>
        <v>0</v>
      </c>
      <c r="H143" s="526">
        <f t="shared" si="41"/>
        <v>0</v>
      </c>
      <c r="I143" s="577">
        <f t="shared" si="42"/>
        <v>0</v>
      </c>
      <c r="J143" s="514">
        <f t="shared" si="32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 ht="12.5">
      <c r="B144" s="195" t="str">
        <f t="shared" si="31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8"/>
        <v>0</v>
      </c>
      <c r="F144" s="523">
        <f t="shared" si="39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32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 ht="12.5">
      <c r="B145" s="195" t="str">
        <f t="shared" si="31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8"/>
        <v>0</v>
      </c>
      <c r="F145" s="523">
        <f t="shared" si="39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32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 ht="12.5">
      <c r="B146" s="195" t="str">
        <f t="shared" si="31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8"/>
        <v>0</v>
      </c>
      <c r="F146" s="523">
        <f t="shared" si="39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32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 ht="12.5">
      <c r="B147" s="195" t="str">
        <f t="shared" si="31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8"/>
        <v>0</v>
      </c>
      <c r="F147" s="523">
        <f t="shared" si="39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32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 ht="12.5">
      <c r="B148" s="195" t="str">
        <f t="shared" si="31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8"/>
        <v>0</v>
      </c>
      <c r="F148" s="523">
        <f t="shared" si="39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32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 ht="12.5">
      <c r="B149" s="195" t="str">
        <f t="shared" si="31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8"/>
        <v>0</v>
      </c>
      <c r="F149" s="523">
        <f t="shared" si="39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32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 ht="12.5">
      <c r="B150" s="195" t="str">
        <f t="shared" si="31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8"/>
        <v>0</v>
      </c>
      <c r="F150" s="523">
        <f t="shared" si="39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32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 ht="12.5">
      <c r="B151" s="195" t="str">
        <f t="shared" si="31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8"/>
        <v>0</v>
      </c>
      <c r="F151" s="523">
        <f t="shared" si="39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32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 ht="12.5">
      <c r="B152" s="195" t="str">
        <f t="shared" si="31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8"/>
        <v>0</v>
      </c>
      <c r="F152" s="523">
        <f t="shared" si="39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32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 ht="12.5">
      <c r="B153" s="195" t="str">
        <f t="shared" si="31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8"/>
        <v>0</v>
      </c>
      <c r="F153" s="523">
        <f t="shared" si="39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32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" thickBot="1">
      <c r="B154" s="195" t="str">
        <f t="shared" si="31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8"/>
        <v>0</v>
      </c>
      <c r="F154" s="523">
        <f t="shared" si="39"/>
        <v>0</v>
      </c>
      <c r="G154" s="523">
        <f t="shared" si="40"/>
        <v>0</v>
      </c>
      <c r="H154" s="526">
        <f t="shared" si="41"/>
        <v>0</v>
      </c>
      <c r="I154" s="577">
        <f t="shared" si="42"/>
        <v>0</v>
      </c>
      <c r="J154" s="514">
        <f t="shared" si="32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 ht="12.5">
      <c r="C155" s="374" t="s">
        <v>78</v>
      </c>
      <c r="D155" s="375"/>
      <c r="E155" s="375">
        <f>SUM(E99:E154)</f>
        <v>2636239.0000000005</v>
      </c>
      <c r="F155" s="375"/>
      <c r="G155" s="375"/>
      <c r="H155" s="375">
        <f>SUM(H99:H154)</f>
        <v>8969209.5983484816</v>
      </c>
      <c r="I155" s="375">
        <f>SUM(I99:I154)</f>
        <v>8969209.5983484816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  <c r="Q162" s="269"/>
    </row>
  </sheetData>
  <conditionalFormatting sqref="C17:C72">
    <cfRule type="cellIs" dxfId="84" priority="1" stopIfTrue="1" operator="equal">
      <formula>$I$10</formula>
    </cfRule>
  </conditionalFormatting>
  <conditionalFormatting sqref="C99:C154">
    <cfRule type="cellIs" dxfId="8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88"/>
  <dimension ref="A1:P162"/>
  <sheetViews>
    <sheetView view="pageBreakPreview" zoomScale="80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39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513279.7520559628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513279.7520559628</v>
      </c>
      <c r="O6" s="269"/>
      <c r="P6" s="269"/>
    </row>
    <row r="7" spans="1:16" ht="13.5" thickBot="1">
      <c r="C7" s="467" t="s">
        <v>48</v>
      </c>
      <c r="D7" s="624" t="s">
        <v>326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309</v>
      </c>
      <c r="E9" s="637" t="s">
        <v>325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4316668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2013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2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102777.80952380953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2013</v>
      </c>
      <c r="D17" s="629">
        <v>4316127</v>
      </c>
      <c r="E17" s="638">
        <v>85637.440476190473</v>
      </c>
      <c r="F17" s="629">
        <v>4230489.5595238097</v>
      </c>
      <c r="G17" s="638">
        <v>656374.9370978435</v>
      </c>
      <c r="H17" s="639">
        <v>656374.9370978435</v>
      </c>
      <c r="I17" s="616">
        <v>0</v>
      </c>
      <c r="J17" s="511"/>
      <c r="K17" s="512">
        <f t="shared" ref="K17:K22" si="0">G17</f>
        <v>656374.9370978435</v>
      </c>
      <c r="L17" s="597">
        <f t="shared" ref="L17:L22" si="1">IF(K17&lt;&gt;0,+G17-K17,0)</f>
        <v>0</v>
      </c>
      <c r="M17" s="512">
        <f t="shared" ref="M17:M22" si="2">H17</f>
        <v>656374.9370978435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2014</v>
      </c>
      <c r="D18" s="631">
        <v>4230489.5595238097</v>
      </c>
      <c r="E18" s="630">
        <v>102764.92857142857</v>
      </c>
      <c r="F18" s="631">
        <v>4127724.6309523811</v>
      </c>
      <c r="G18" s="630">
        <v>659638.3564492357</v>
      </c>
      <c r="H18" s="639">
        <v>659638.3564492357</v>
      </c>
      <c r="I18" s="616">
        <v>0</v>
      </c>
      <c r="J18" s="511"/>
      <c r="K18" s="518">
        <f t="shared" si="0"/>
        <v>659638.3564492357</v>
      </c>
      <c r="L18" s="519">
        <f t="shared" si="1"/>
        <v>0</v>
      </c>
      <c r="M18" s="518">
        <f t="shared" si="2"/>
        <v>659638.3564492357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2015</v>
      </c>
      <c r="D19" s="631">
        <v>4127724.6309523811</v>
      </c>
      <c r="E19" s="630">
        <v>102777.80952380953</v>
      </c>
      <c r="F19" s="631">
        <v>4024946.8214285714</v>
      </c>
      <c r="G19" s="630">
        <v>632882.6295754665</v>
      </c>
      <c r="H19" s="639">
        <v>632882.6295754665</v>
      </c>
      <c r="I19" s="511">
        <v>0</v>
      </c>
      <c r="J19" s="511"/>
      <c r="K19" s="518">
        <f t="shared" si="0"/>
        <v>632882.6295754665</v>
      </c>
      <c r="L19" s="519">
        <f t="shared" si="1"/>
        <v>0</v>
      </c>
      <c r="M19" s="518">
        <f t="shared" si="2"/>
        <v>632882.6295754665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2016</v>
      </c>
      <c r="D20" s="631">
        <v>4025487.8214285714</v>
      </c>
      <c r="E20" s="630">
        <v>102777.80952380953</v>
      </c>
      <c r="F20" s="631">
        <v>3922710.0119047617</v>
      </c>
      <c r="G20" s="630">
        <v>613043.82987884199</v>
      </c>
      <c r="H20" s="639">
        <v>613043.82987884199</v>
      </c>
      <c r="I20" s="511">
        <f>H20-G20</f>
        <v>0</v>
      </c>
      <c r="J20" s="511"/>
      <c r="K20" s="518">
        <f t="shared" si="0"/>
        <v>613043.82987884199</v>
      </c>
      <c r="L20" s="519">
        <f t="shared" si="1"/>
        <v>0</v>
      </c>
      <c r="M20" s="518">
        <f t="shared" si="2"/>
        <v>613043.82987884199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2017</v>
      </c>
      <c r="D21" s="631">
        <v>3922710.0119047617</v>
      </c>
      <c r="E21" s="630">
        <v>100387.62790697675</v>
      </c>
      <c r="F21" s="631">
        <v>3822322.3839977849</v>
      </c>
      <c r="G21" s="630">
        <v>580163.47114176606</v>
      </c>
      <c r="H21" s="639">
        <v>580163.47114176606</v>
      </c>
      <c r="I21" s="511">
        <f t="shared" ref="I21:I72" si="6">H21-G21</f>
        <v>0</v>
      </c>
      <c r="J21" s="511"/>
      <c r="K21" s="518">
        <f t="shared" si="0"/>
        <v>580163.47114176606</v>
      </c>
      <c r="L21" s="519">
        <f t="shared" si="1"/>
        <v>0</v>
      </c>
      <c r="M21" s="518">
        <f t="shared" si="2"/>
        <v>580163.47114176606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2018</v>
      </c>
      <c r="D22" s="631">
        <v>3822322.3839977849</v>
      </c>
      <c r="E22" s="630">
        <v>105284.58536585367</v>
      </c>
      <c r="F22" s="631">
        <v>3717037.7986319312</v>
      </c>
      <c r="G22" s="630">
        <v>584388.67981931404</v>
      </c>
      <c r="H22" s="639">
        <v>584388.67981931404</v>
      </c>
      <c r="I22" s="511">
        <f t="shared" si="6"/>
        <v>0</v>
      </c>
      <c r="J22" s="511"/>
      <c r="K22" s="518">
        <f t="shared" si="0"/>
        <v>584388.67981931404</v>
      </c>
      <c r="L22" s="519">
        <f t="shared" si="1"/>
        <v>0</v>
      </c>
      <c r="M22" s="518">
        <f t="shared" si="2"/>
        <v>584388.67981931404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2019</v>
      </c>
      <c r="D23" s="631">
        <v>3717037.7986319312</v>
      </c>
      <c r="E23" s="630">
        <v>105284.58536585367</v>
      </c>
      <c r="F23" s="631">
        <v>3611753.2132660775</v>
      </c>
      <c r="G23" s="630">
        <v>571007.63031120552</v>
      </c>
      <c r="H23" s="639">
        <v>571007.63031120552</v>
      </c>
      <c r="I23" s="511">
        <f t="shared" si="6"/>
        <v>0</v>
      </c>
      <c r="J23" s="511"/>
      <c r="K23" s="518">
        <f t="shared" ref="K23" si="7">G23</f>
        <v>571007.63031120552</v>
      </c>
      <c r="L23" s="519">
        <f t="shared" ref="L23" si="8">IF(K23&lt;&gt;0,+G23-K23,0)</f>
        <v>0</v>
      </c>
      <c r="M23" s="518">
        <f t="shared" ref="M23" si="9">H23</f>
        <v>571007.63031120552</v>
      </c>
      <c r="N23" s="514">
        <f t="shared" ref="N23:N72" si="10">IF(M23&lt;&gt;0,+H23-M23,0)</f>
        <v>0</v>
      </c>
      <c r="O23" s="514">
        <f t="shared" ref="O23:O72" si="11"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2020</v>
      </c>
      <c r="D24" s="631">
        <v>3611753.2132660775</v>
      </c>
      <c r="E24" s="630">
        <v>105284.58536585367</v>
      </c>
      <c r="F24" s="631">
        <v>3506468.6279002237</v>
      </c>
      <c r="G24" s="630">
        <v>469507.82183995802</v>
      </c>
      <c r="H24" s="639">
        <v>469507.82183995802</v>
      </c>
      <c r="I24" s="511">
        <f t="shared" si="6"/>
        <v>0</v>
      </c>
      <c r="J24" s="511"/>
      <c r="K24" s="518">
        <f t="shared" ref="K24" si="12">G24</f>
        <v>469507.82183995802</v>
      </c>
      <c r="L24" s="519">
        <f t="shared" ref="L24" si="13">IF(K24&lt;&gt;0,+G24-K24,0)</f>
        <v>0</v>
      </c>
      <c r="M24" s="518">
        <f t="shared" ref="M24" si="14">H24</f>
        <v>469507.82183995802</v>
      </c>
      <c r="N24" s="514">
        <f t="shared" si="10"/>
        <v>0</v>
      </c>
      <c r="O24" s="514">
        <f t="shared" si="11"/>
        <v>0</v>
      </c>
      <c r="P24" s="272"/>
    </row>
    <row r="25" spans="2:16" ht="12.5">
      <c r="B25" s="195" t="str">
        <f t="shared" si="5"/>
        <v>IU</v>
      </c>
      <c r="C25" s="507">
        <f>IF(D11="","-",+C24+1)</f>
        <v>2021</v>
      </c>
      <c r="D25" s="631">
        <v>3511365.5853591012</v>
      </c>
      <c r="E25" s="630">
        <v>102777.80952380953</v>
      </c>
      <c r="F25" s="631">
        <v>3408587.7758352915</v>
      </c>
      <c r="G25" s="630">
        <v>469551.06340859708</v>
      </c>
      <c r="H25" s="639">
        <v>469551.06340859708</v>
      </c>
      <c r="I25" s="511">
        <f t="shared" si="6"/>
        <v>0</v>
      </c>
      <c r="J25" s="511"/>
      <c r="K25" s="518">
        <f t="shared" ref="K25" si="15">G25</f>
        <v>469551.06340859708</v>
      </c>
      <c r="L25" s="519">
        <f t="shared" ref="L25" si="16">IF(K25&lt;&gt;0,+G25-K25,0)</f>
        <v>0</v>
      </c>
      <c r="M25" s="518">
        <f t="shared" ref="M25" si="17">H25</f>
        <v>469551.06340859708</v>
      </c>
      <c r="N25" s="514">
        <f t="shared" si="10"/>
        <v>0</v>
      </c>
      <c r="O25" s="514">
        <f t="shared" si="11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2022</v>
      </c>
      <c r="D26" s="631">
        <v>3403690.8183764145</v>
      </c>
      <c r="E26" s="630">
        <v>102777.80952380953</v>
      </c>
      <c r="F26" s="631">
        <v>3300913.0088526048</v>
      </c>
      <c r="G26" s="630">
        <v>479724.37067958177</v>
      </c>
      <c r="H26" s="639">
        <v>479724.37067958177</v>
      </c>
      <c r="I26" s="511">
        <f t="shared" si="6"/>
        <v>0</v>
      </c>
      <c r="J26" s="511"/>
      <c r="K26" s="518">
        <f t="shared" ref="K26" si="18">G26</f>
        <v>479724.37067958177</v>
      </c>
      <c r="L26" s="519">
        <f t="shared" ref="L26" si="19">IF(K26&lt;&gt;0,+G26-K26,0)</f>
        <v>0</v>
      </c>
      <c r="M26" s="518">
        <f t="shared" ref="M26" si="20">H26</f>
        <v>479724.37067958177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/>
      </c>
      <c r="C27" s="507">
        <f>IF(D11="","-",+C26+1)</f>
        <v>2023</v>
      </c>
      <c r="D27" s="523">
        <f>IF(F26+SUM(E$17:E26)=D$10,F26,D$10-SUM(E$17:E26))</f>
        <v>3300913.0088526048</v>
      </c>
      <c r="E27" s="522">
        <f t="shared" ref="E27:E72" si="21">IF(+$I$14&lt;F26,$I$14,D27)</f>
        <v>102777.80952380953</v>
      </c>
      <c r="F27" s="523">
        <f t="shared" ref="F27:F72" si="22">+D27-E27</f>
        <v>3198135.1993287951</v>
      </c>
      <c r="G27" s="524">
        <f t="shared" ref="G27:G52" si="23">+I$12*((D27+F27)/2)+E27</f>
        <v>513279.7520559628</v>
      </c>
      <c r="H27" s="491">
        <f t="shared" ref="H27:H52" si="24">+I$13*((D27+F27)/2)+E27</f>
        <v>513279.7520559628</v>
      </c>
      <c r="I27" s="511">
        <f t="shared" si="6"/>
        <v>0</v>
      </c>
      <c r="J27" s="511"/>
      <c r="K27" s="525"/>
      <c r="L27" s="514">
        <f t="shared" ref="L27:L72" si="25">IF(K27&lt;&gt;0,+G27-K27,0)</f>
        <v>0</v>
      </c>
      <c r="M27" s="525"/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/>
      </c>
      <c r="C28" s="507">
        <f>IF(D11="","-",+C27+1)</f>
        <v>2024</v>
      </c>
      <c r="D28" s="523">
        <f>IF(F27+SUM(E$17:E27)=D$10,F27,D$10-SUM(E$17:E27))</f>
        <v>3198135.1993287951</v>
      </c>
      <c r="E28" s="522">
        <f t="shared" si="21"/>
        <v>102777.80952380953</v>
      </c>
      <c r="F28" s="523">
        <f t="shared" si="22"/>
        <v>3095357.3898049854</v>
      </c>
      <c r="G28" s="524">
        <f t="shared" si="23"/>
        <v>500296.16150323802</v>
      </c>
      <c r="H28" s="491">
        <f t="shared" si="24"/>
        <v>500296.16150323802</v>
      </c>
      <c r="I28" s="511">
        <f t="shared" si="6"/>
        <v>0</v>
      </c>
      <c r="J28" s="511"/>
      <c r="K28" s="525"/>
      <c r="L28" s="514">
        <f t="shared" si="25"/>
        <v>0</v>
      </c>
      <c r="M28" s="525"/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/>
      </c>
      <c r="C29" s="507">
        <f>IF(D11="","-",+C28+1)</f>
        <v>2025</v>
      </c>
      <c r="D29" s="523">
        <f>IF(F28+SUM(E$17:E28)=D$10,F28,D$10-SUM(E$17:E28))</f>
        <v>3095357.3898049854</v>
      </c>
      <c r="E29" s="522">
        <f t="shared" si="21"/>
        <v>102777.80952380953</v>
      </c>
      <c r="F29" s="523">
        <f t="shared" si="22"/>
        <v>2992579.5802811757</v>
      </c>
      <c r="G29" s="524">
        <f t="shared" si="23"/>
        <v>487312.57095051318</v>
      </c>
      <c r="H29" s="491">
        <f t="shared" si="24"/>
        <v>487312.57095051318</v>
      </c>
      <c r="I29" s="511">
        <f t="shared" si="6"/>
        <v>0</v>
      </c>
      <c r="J29" s="511"/>
      <c r="K29" s="525"/>
      <c r="L29" s="514">
        <f t="shared" si="25"/>
        <v>0</v>
      </c>
      <c r="M29" s="525"/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2026</v>
      </c>
      <c r="D30" s="523">
        <f>IF(F29+SUM(E$17:E29)=D$10,F29,D$10-SUM(E$17:E29))</f>
        <v>2992579.5802811757</v>
      </c>
      <c r="E30" s="522">
        <f t="shared" si="21"/>
        <v>102777.80952380953</v>
      </c>
      <c r="F30" s="523">
        <f t="shared" si="22"/>
        <v>2889801.770757366</v>
      </c>
      <c r="G30" s="524">
        <f t="shared" si="23"/>
        <v>474328.9803977884</v>
      </c>
      <c r="H30" s="491">
        <f t="shared" si="24"/>
        <v>474328.9803977884</v>
      </c>
      <c r="I30" s="511">
        <f t="shared" si="6"/>
        <v>0</v>
      </c>
      <c r="J30" s="511"/>
      <c r="K30" s="525"/>
      <c r="L30" s="514">
        <f t="shared" si="25"/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2027</v>
      </c>
      <c r="D31" s="523">
        <f>IF(F30+SUM(E$17:E30)=D$10,F30,D$10-SUM(E$17:E30))</f>
        <v>2889801.770757366</v>
      </c>
      <c r="E31" s="522">
        <f t="shared" si="21"/>
        <v>102777.80952380953</v>
      </c>
      <c r="F31" s="523">
        <f t="shared" si="22"/>
        <v>2787023.9612335563</v>
      </c>
      <c r="G31" s="524">
        <f t="shared" si="23"/>
        <v>461345.38984506362</v>
      </c>
      <c r="H31" s="491">
        <f t="shared" si="24"/>
        <v>461345.38984506362</v>
      </c>
      <c r="I31" s="511">
        <f t="shared" si="6"/>
        <v>0</v>
      </c>
      <c r="J31" s="511"/>
      <c r="K31" s="525"/>
      <c r="L31" s="514">
        <f t="shared" si="25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2028</v>
      </c>
      <c r="D32" s="523">
        <f>IF(F31+SUM(E$17:E31)=D$10,F31,D$10-SUM(E$17:E31))</f>
        <v>2787023.9612335563</v>
      </c>
      <c r="E32" s="522">
        <f t="shared" si="21"/>
        <v>102777.80952380953</v>
      </c>
      <c r="F32" s="523">
        <f t="shared" si="22"/>
        <v>2684246.1517097466</v>
      </c>
      <c r="G32" s="524">
        <f t="shared" si="23"/>
        <v>448361.79929233884</v>
      </c>
      <c r="H32" s="491">
        <f t="shared" si="24"/>
        <v>448361.79929233884</v>
      </c>
      <c r="I32" s="511">
        <f t="shared" si="6"/>
        <v>0</v>
      </c>
      <c r="J32" s="511"/>
      <c r="K32" s="525"/>
      <c r="L32" s="514">
        <f t="shared" si="25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2029</v>
      </c>
      <c r="D33" s="523">
        <f>IF(F32+SUM(E$17:E32)=D$10,F32,D$10-SUM(E$17:E32))</f>
        <v>2684246.1517097466</v>
      </c>
      <c r="E33" s="522">
        <f t="shared" si="21"/>
        <v>102777.80952380953</v>
      </c>
      <c r="F33" s="523">
        <f t="shared" si="22"/>
        <v>2581468.3421859369</v>
      </c>
      <c r="G33" s="524">
        <f t="shared" si="23"/>
        <v>435378.208739614</v>
      </c>
      <c r="H33" s="491">
        <f t="shared" si="24"/>
        <v>435378.208739614</v>
      </c>
      <c r="I33" s="511">
        <f t="shared" si="6"/>
        <v>0</v>
      </c>
      <c r="J33" s="511"/>
      <c r="K33" s="525"/>
      <c r="L33" s="514">
        <f t="shared" si="25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2030</v>
      </c>
      <c r="D34" s="523">
        <f>IF(F33+SUM(E$17:E33)=D$10,F33,D$10-SUM(E$17:E33))</f>
        <v>2581468.3421859369</v>
      </c>
      <c r="E34" s="522">
        <f t="shared" si="21"/>
        <v>102777.80952380953</v>
      </c>
      <c r="F34" s="523">
        <f t="shared" si="22"/>
        <v>2478690.5326621272</v>
      </c>
      <c r="G34" s="524">
        <f t="shared" si="23"/>
        <v>422394.61818688922</v>
      </c>
      <c r="H34" s="491">
        <f t="shared" si="24"/>
        <v>422394.61818688922</v>
      </c>
      <c r="I34" s="511">
        <f t="shared" si="6"/>
        <v>0</v>
      </c>
      <c r="J34" s="511"/>
      <c r="K34" s="525"/>
      <c r="L34" s="514">
        <f t="shared" si="25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2031</v>
      </c>
      <c r="D35" s="523">
        <f>IF(F34+SUM(E$17:E34)=D$10,F34,D$10-SUM(E$17:E34))</f>
        <v>2478690.5326621272</v>
      </c>
      <c r="E35" s="522">
        <f t="shared" si="21"/>
        <v>102777.80952380953</v>
      </c>
      <c r="F35" s="523">
        <f t="shared" si="22"/>
        <v>2375912.7231383175</v>
      </c>
      <c r="G35" s="524">
        <f t="shared" si="23"/>
        <v>409411.02763416443</v>
      </c>
      <c r="H35" s="491">
        <f t="shared" si="24"/>
        <v>409411.02763416443</v>
      </c>
      <c r="I35" s="511">
        <f t="shared" si="6"/>
        <v>0</v>
      </c>
      <c r="J35" s="511"/>
      <c r="K35" s="525"/>
      <c r="L35" s="514">
        <f t="shared" si="25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2032</v>
      </c>
      <c r="D36" s="523">
        <f>IF(F35+SUM(E$17:E35)=D$10,F35,D$10-SUM(E$17:E35))</f>
        <v>2375912.7231383175</v>
      </c>
      <c r="E36" s="522">
        <f t="shared" si="21"/>
        <v>102777.80952380953</v>
      </c>
      <c r="F36" s="523">
        <f t="shared" si="22"/>
        <v>2273134.9136145078</v>
      </c>
      <c r="G36" s="524">
        <f t="shared" si="23"/>
        <v>396427.4370814396</v>
      </c>
      <c r="H36" s="491">
        <f t="shared" si="24"/>
        <v>396427.4370814396</v>
      </c>
      <c r="I36" s="511">
        <f t="shared" si="6"/>
        <v>0</v>
      </c>
      <c r="J36" s="511"/>
      <c r="K36" s="525"/>
      <c r="L36" s="514">
        <f t="shared" si="25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2033</v>
      </c>
      <c r="D37" s="523">
        <f>IF(F36+SUM(E$17:E36)=D$10,F36,D$10-SUM(E$17:E36))</f>
        <v>2273134.9136145078</v>
      </c>
      <c r="E37" s="522">
        <f t="shared" si="21"/>
        <v>102777.80952380953</v>
      </c>
      <c r="F37" s="523">
        <f t="shared" si="22"/>
        <v>2170357.1040906981</v>
      </c>
      <c r="G37" s="524">
        <f t="shared" si="23"/>
        <v>383443.84652871481</v>
      </c>
      <c r="H37" s="491">
        <f t="shared" si="24"/>
        <v>383443.84652871481</v>
      </c>
      <c r="I37" s="511">
        <f t="shared" si="6"/>
        <v>0</v>
      </c>
      <c r="J37" s="511"/>
      <c r="K37" s="525"/>
      <c r="L37" s="514">
        <f t="shared" si="25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2034</v>
      </c>
      <c r="D38" s="523">
        <f>IF(F37+SUM(E$17:E37)=D$10,F37,D$10-SUM(E$17:E37))</f>
        <v>2170357.1040906981</v>
      </c>
      <c r="E38" s="522">
        <f t="shared" si="21"/>
        <v>102777.80952380953</v>
      </c>
      <c r="F38" s="523">
        <f t="shared" si="22"/>
        <v>2067579.2945668886</v>
      </c>
      <c r="G38" s="524">
        <f t="shared" si="23"/>
        <v>370460.25597599003</v>
      </c>
      <c r="H38" s="491">
        <f t="shared" si="24"/>
        <v>370460.25597599003</v>
      </c>
      <c r="I38" s="511">
        <f t="shared" si="6"/>
        <v>0</v>
      </c>
      <c r="J38" s="511"/>
      <c r="K38" s="525"/>
      <c r="L38" s="514">
        <f t="shared" si="25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2035</v>
      </c>
      <c r="D39" s="523">
        <f>IF(F38+SUM(E$17:E38)=D$10,F38,D$10-SUM(E$17:E38))</f>
        <v>2067579.2945668886</v>
      </c>
      <c r="E39" s="522">
        <f t="shared" si="21"/>
        <v>102777.80952380953</v>
      </c>
      <c r="F39" s="523">
        <f t="shared" si="22"/>
        <v>1964801.4850430791</v>
      </c>
      <c r="G39" s="524">
        <f t="shared" si="23"/>
        <v>357476.66542326531</v>
      </c>
      <c r="H39" s="491">
        <f t="shared" si="24"/>
        <v>357476.66542326531</v>
      </c>
      <c r="I39" s="511">
        <f t="shared" si="6"/>
        <v>0</v>
      </c>
      <c r="J39" s="511"/>
      <c r="K39" s="525"/>
      <c r="L39" s="514">
        <f t="shared" si="25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2036</v>
      </c>
      <c r="D40" s="523">
        <f>IF(F39+SUM(E$17:E39)=D$10,F39,D$10-SUM(E$17:E39))</f>
        <v>1964801.4850430791</v>
      </c>
      <c r="E40" s="522">
        <f t="shared" si="21"/>
        <v>102777.80952380953</v>
      </c>
      <c r="F40" s="523">
        <f t="shared" si="22"/>
        <v>1862023.6755192697</v>
      </c>
      <c r="G40" s="524">
        <f t="shared" si="23"/>
        <v>344493.07487054047</v>
      </c>
      <c r="H40" s="491">
        <f t="shared" si="24"/>
        <v>344493.07487054047</v>
      </c>
      <c r="I40" s="511">
        <f t="shared" si="6"/>
        <v>0</v>
      </c>
      <c r="J40" s="511"/>
      <c r="K40" s="525"/>
      <c r="L40" s="514">
        <f t="shared" si="25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2037</v>
      </c>
      <c r="D41" s="523">
        <f>IF(F40+SUM(E$17:E40)=D$10,F40,D$10-SUM(E$17:E40))</f>
        <v>1862023.6755192697</v>
      </c>
      <c r="E41" s="522">
        <f t="shared" si="21"/>
        <v>102777.80952380953</v>
      </c>
      <c r="F41" s="523">
        <f t="shared" si="22"/>
        <v>1759245.8659954602</v>
      </c>
      <c r="G41" s="524">
        <f t="shared" si="23"/>
        <v>331509.48431781575</v>
      </c>
      <c r="H41" s="491">
        <f t="shared" si="24"/>
        <v>331509.48431781575</v>
      </c>
      <c r="I41" s="511">
        <f t="shared" si="6"/>
        <v>0</v>
      </c>
      <c r="J41" s="511"/>
      <c r="K41" s="525"/>
      <c r="L41" s="514">
        <f t="shared" si="25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2038</v>
      </c>
      <c r="D42" s="523">
        <f>IF(F41+SUM(E$17:E41)=D$10,F41,D$10-SUM(E$17:E41))</f>
        <v>1759245.8659954602</v>
      </c>
      <c r="E42" s="522">
        <f t="shared" si="21"/>
        <v>102777.80952380953</v>
      </c>
      <c r="F42" s="523">
        <f t="shared" si="22"/>
        <v>1656468.0564716507</v>
      </c>
      <c r="G42" s="524">
        <f t="shared" si="23"/>
        <v>318525.89376509096</v>
      </c>
      <c r="H42" s="491">
        <f t="shared" si="24"/>
        <v>318525.89376509096</v>
      </c>
      <c r="I42" s="511">
        <f t="shared" si="6"/>
        <v>0</v>
      </c>
      <c r="J42" s="511"/>
      <c r="K42" s="525"/>
      <c r="L42" s="514">
        <f t="shared" si="25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2039</v>
      </c>
      <c r="D43" s="523">
        <f>IF(F42+SUM(E$17:E42)=D$10,F42,D$10-SUM(E$17:E42))</f>
        <v>1656468.0564716507</v>
      </c>
      <c r="E43" s="522">
        <f t="shared" si="21"/>
        <v>102777.80952380953</v>
      </c>
      <c r="F43" s="523">
        <f t="shared" si="22"/>
        <v>1553690.2469478413</v>
      </c>
      <c r="G43" s="524">
        <f t="shared" si="23"/>
        <v>305542.30321236618</v>
      </c>
      <c r="H43" s="491">
        <f t="shared" si="24"/>
        <v>305542.30321236618</v>
      </c>
      <c r="I43" s="511">
        <f t="shared" si="6"/>
        <v>0</v>
      </c>
      <c r="J43" s="511"/>
      <c r="K43" s="525"/>
      <c r="L43" s="514">
        <f t="shared" si="25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2040</v>
      </c>
      <c r="D44" s="523">
        <f>IF(F43+SUM(E$17:E43)=D$10,F43,D$10-SUM(E$17:E43))</f>
        <v>1553690.2469478413</v>
      </c>
      <c r="E44" s="522">
        <f t="shared" si="21"/>
        <v>102777.80952380953</v>
      </c>
      <c r="F44" s="523">
        <f t="shared" si="22"/>
        <v>1450912.4374240318</v>
      </c>
      <c r="G44" s="524">
        <f t="shared" si="23"/>
        <v>292558.7126596414</v>
      </c>
      <c r="H44" s="491">
        <f t="shared" si="24"/>
        <v>292558.7126596414</v>
      </c>
      <c r="I44" s="511">
        <f t="shared" si="6"/>
        <v>0</v>
      </c>
      <c r="J44" s="511"/>
      <c r="K44" s="525"/>
      <c r="L44" s="514">
        <f t="shared" si="25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2041</v>
      </c>
      <c r="D45" s="523">
        <f>IF(F44+SUM(E$17:E44)=D$10,F44,D$10-SUM(E$17:E44))</f>
        <v>1450912.4374240318</v>
      </c>
      <c r="E45" s="522">
        <f t="shared" si="21"/>
        <v>102777.80952380953</v>
      </c>
      <c r="F45" s="523">
        <f t="shared" si="22"/>
        <v>1348134.6279002223</v>
      </c>
      <c r="G45" s="524">
        <f t="shared" si="23"/>
        <v>279575.12210691668</v>
      </c>
      <c r="H45" s="491">
        <f t="shared" si="24"/>
        <v>279575.12210691668</v>
      </c>
      <c r="I45" s="511">
        <f t="shared" si="6"/>
        <v>0</v>
      </c>
      <c r="J45" s="511"/>
      <c r="K45" s="525"/>
      <c r="L45" s="514">
        <f t="shared" si="25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2042</v>
      </c>
      <c r="D46" s="523">
        <f>IF(F45+SUM(E$17:E45)=D$10,F45,D$10-SUM(E$17:E45))</f>
        <v>1348134.6279002223</v>
      </c>
      <c r="E46" s="522">
        <f t="shared" si="21"/>
        <v>102777.80952380953</v>
      </c>
      <c r="F46" s="523">
        <f t="shared" si="22"/>
        <v>1245356.8183764128</v>
      </c>
      <c r="G46" s="524">
        <f t="shared" si="23"/>
        <v>266591.53155419184</v>
      </c>
      <c r="H46" s="491">
        <f t="shared" si="24"/>
        <v>266591.53155419184</v>
      </c>
      <c r="I46" s="511">
        <f t="shared" si="6"/>
        <v>0</v>
      </c>
      <c r="J46" s="511"/>
      <c r="K46" s="525"/>
      <c r="L46" s="514">
        <f t="shared" si="25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2043</v>
      </c>
      <c r="D47" s="523">
        <f>IF(F46+SUM(E$17:E46)=D$10,F46,D$10-SUM(E$17:E46))</f>
        <v>1245356.8183764128</v>
      </c>
      <c r="E47" s="522">
        <f t="shared" si="21"/>
        <v>102777.80952380953</v>
      </c>
      <c r="F47" s="523">
        <f t="shared" si="22"/>
        <v>1142579.0088526034</v>
      </c>
      <c r="G47" s="524">
        <f t="shared" si="23"/>
        <v>253607.94100146714</v>
      </c>
      <c r="H47" s="491">
        <f t="shared" si="24"/>
        <v>253607.94100146714</v>
      </c>
      <c r="I47" s="511">
        <f t="shared" si="6"/>
        <v>0</v>
      </c>
      <c r="J47" s="511"/>
      <c r="K47" s="525"/>
      <c r="L47" s="514">
        <f t="shared" si="25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2044</v>
      </c>
      <c r="D48" s="523">
        <f>IF(F47+SUM(E$17:E47)=D$10,F47,D$10-SUM(E$17:E47))</f>
        <v>1142579.0088526034</v>
      </c>
      <c r="E48" s="522">
        <f t="shared" si="21"/>
        <v>102777.80952380953</v>
      </c>
      <c r="F48" s="523">
        <f t="shared" si="22"/>
        <v>1039801.1993287939</v>
      </c>
      <c r="G48" s="524">
        <f t="shared" si="23"/>
        <v>240624.35044874233</v>
      </c>
      <c r="H48" s="491">
        <f t="shared" si="24"/>
        <v>240624.35044874233</v>
      </c>
      <c r="I48" s="511">
        <f t="shared" si="6"/>
        <v>0</v>
      </c>
      <c r="J48" s="511"/>
      <c r="K48" s="525"/>
      <c r="L48" s="514">
        <f t="shared" si="25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2045</v>
      </c>
      <c r="D49" s="523">
        <f>IF(F48+SUM(E$17:E48)=D$10,F48,D$10-SUM(E$17:E48))</f>
        <v>1039801.1993287939</v>
      </c>
      <c r="E49" s="522">
        <f t="shared" si="21"/>
        <v>102777.80952380953</v>
      </c>
      <c r="F49" s="523">
        <f t="shared" si="22"/>
        <v>937023.38980498444</v>
      </c>
      <c r="G49" s="524">
        <f t="shared" si="23"/>
        <v>227640.75989601758</v>
      </c>
      <c r="H49" s="491">
        <f t="shared" si="24"/>
        <v>227640.75989601758</v>
      </c>
      <c r="I49" s="511">
        <f t="shared" si="6"/>
        <v>0</v>
      </c>
      <c r="J49" s="511"/>
      <c r="K49" s="525"/>
      <c r="L49" s="514">
        <f t="shared" si="25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2046</v>
      </c>
      <c r="D50" s="523">
        <f>IF(F49+SUM(E$17:E49)=D$10,F49,D$10-SUM(E$17:E49))</f>
        <v>937023.38980498444</v>
      </c>
      <c r="E50" s="522">
        <f t="shared" si="21"/>
        <v>102777.80952380953</v>
      </c>
      <c r="F50" s="523">
        <f t="shared" si="22"/>
        <v>834245.58028117497</v>
      </c>
      <c r="G50" s="524">
        <f t="shared" si="23"/>
        <v>214657.16934329283</v>
      </c>
      <c r="H50" s="491">
        <f t="shared" si="24"/>
        <v>214657.16934329283</v>
      </c>
      <c r="I50" s="511">
        <f t="shared" si="6"/>
        <v>0</v>
      </c>
      <c r="J50" s="511"/>
      <c r="K50" s="525"/>
      <c r="L50" s="514">
        <f t="shared" si="25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2047</v>
      </c>
      <c r="D51" s="523">
        <f>IF(F50+SUM(E$17:E50)=D$10,F50,D$10-SUM(E$17:E50))</f>
        <v>834245.58028117497</v>
      </c>
      <c r="E51" s="522">
        <f t="shared" si="21"/>
        <v>102777.80952380953</v>
      </c>
      <c r="F51" s="523">
        <f t="shared" si="22"/>
        <v>731467.77075736551</v>
      </c>
      <c r="G51" s="524">
        <f t="shared" si="23"/>
        <v>201673.57879056805</v>
      </c>
      <c r="H51" s="491">
        <f t="shared" si="24"/>
        <v>201673.57879056805</v>
      </c>
      <c r="I51" s="511">
        <f t="shared" si="6"/>
        <v>0</v>
      </c>
      <c r="J51" s="511"/>
      <c r="K51" s="525"/>
      <c r="L51" s="514">
        <f t="shared" si="25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2048</v>
      </c>
      <c r="D52" s="523">
        <f>IF(F51+SUM(E$17:E51)=D$10,F51,D$10-SUM(E$17:E51))</f>
        <v>731467.77075736551</v>
      </c>
      <c r="E52" s="522">
        <f t="shared" si="21"/>
        <v>102777.80952380953</v>
      </c>
      <c r="F52" s="523">
        <f t="shared" si="22"/>
        <v>628689.96123355604</v>
      </c>
      <c r="G52" s="524">
        <f t="shared" si="23"/>
        <v>188689.98823784327</v>
      </c>
      <c r="H52" s="491">
        <f t="shared" si="24"/>
        <v>188689.98823784327</v>
      </c>
      <c r="I52" s="511">
        <f t="shared" si="6"/>
        <v>0</v>
      </c>
      <c r="J52" s="511"/>
      <c r="K52" s="525"/>
      <c r="L52" s="514">
        <f t="shared" si="25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2049</v>
      </c>
      <c r="D53" s="523">
        <f>IF(F52+SUM(E$17:E52)=D$10,F52,D$10-SUM(E$17:E52))</f>
        <v>628689.96123355604</v>
      </c>
      <c r="E53" s="522">
        <f t="shared" si="21"/>
        <v>102777.80952380953</v>
      </c>
      <c r="F53" s="523">
        <f t="shared" si="22"/>
        <v>525912.15170974657</v>
      </c>
      <c r="G53" s="524">
        <f t="shared" ref="G53:G72" si="26">+I$12*((D53+F53)/2)+E53</f>
        <v>175706.39768511849</v>
      </c>
      <c r="H53" s="491">
        <f t="shared" ref="H53:H72" si="27">+I$13*((D53+F53)/2)+E53</f>
        <v>175706.39768511849</v>
      </c>
      <c r="I53" s="511">
        <f t="shared" si="6"/>
        <v>0</v>
      </c>
      <c r="J53" s="511"/>
      <c r="K53" s="525"/>
      <c r="L53" s="514">
        <f t="shared" si="25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2050</v>
      </c>
      <c r="D54" s="523">
        <f>IF(F53+SUM(E$17:E53)=D$10,F53,D$10-SUM(E$17:E53))</f>
        <v>525912.15170974657</v>
      </c>
      <c r="E54" s="522">
        <f t="shared" si="21"/>
        <v>102777.80952380953</v>
      </c>
      <c r="F54" s="523">
        <f t="shared" si="22"/>
        <v>423134.34218593704</v>
      </c>
      <c r="G54" s="524">
        <f t="shared" si="26"/>
        <v>162722.80713239373</v>
      </c>
      <c r="H54" s="491">
        <f t="shared" si="27"/>
        <v>162722.80713239373</v>
      </c>
      <c r="I54" s="511">
        <f t="shared" si="6"/>
        <v>0</v>
      </c>
      <c r="J54" s="511"/>
      <c r="K54" s="525"/>
      <c r="L54" s="514">
        <f t="shared" si="25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2051</v>
      </c>
      <c r="D55" s="523">
        <f>IF(F54+SUM(E$17:E54)=D$10,F54,D$10-SUM(E$17:E54))</f>
        <v>423134.34218593704</v>
      </c>
      <c r="E55" s="522">
        <f t="shared" si="21"/>
        <v>102777.80952380953</v>
      </c>
      <c r="F55" s="523">
        <f t="shared" si="22"/>
        <v>320356.53266212752</v>
      </c>
      <c r="G55" s="524">
        <f t="shared" si="26"/>
        <v>149739.21657966895</v>
      </c>
      <c r="H55" s="491">
        <f t="shared" si="27"/>
        <v>149739.21657966895</v>
      </c>
      <c r="I55" s="511">
        <f t="shared" si="6"/>
        <v>0</v>
      </c>
      <c r="J55" s="511"/>
      <c r="K55" s="525"/>
      <c r="L55" s="514">
        <f t="shared" si="25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2052</v>
      </c>
      <c r="D56" s="523">
        <f>IF(F55+SUM(E$17:E55)=D$10,F55,D$10-SUM(E$17:E55))</f>
        <v>320356.53266212752</v>
      </c>
      <c r="E56" s="522">
        <f t="shared" si="21"/>
        <v>102777.80952380953</v>
      </c>
      <c r="F56" s="523">
        <f t="shared" si="22"/>
        <v>217578.72313831799</v>
      </c>
      <c r="G56" s="524">
        <f t="shared" si="26"/>
        <v>136755.6260269442</v>
      </c>
      <c r="H56" s="491">
        <f t="shared" si="27"/>
        <v>136755.6260269442</v>
      </c>
      <c r="I56" s="511">
        <f t="shared" si="6"/>
        <v>0</v>
      </c>
      <c r="J56" s="511"/>
      <c r="K56" s="525"/>
      <c r="L56" s="514">
        <f t="shared" si="25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2053</v>
      </c>
      <c r="D57" s="523">
        <f>IF(F56+SUM(E$17:E56)=D$10,F56,D$10-SUM(E$17:E56))</f>
        <v>217578.72313831799</v>
      </c>
      <c r="E57" s="522">
        <f t="shared" si="21"/>
        <v>102777.80952380953</v>
      </c>
      <c r="F57" s="523">
        <f t="shared" si="22"/>
        <v>114800.91361450846</v>
      </c>
      <c r="G57" s="524">
        <f t="shared" si="26"/>
        <v>123772.0354742194</v>
      </c>
      <c r="H57" s="491">
        <f t="shared" si="27"/>
        <v>123772.0354742194</v>
      </c>
      <c r="I57" s="511">
        <f t="shared" si="6"/>
        <v>0</v>
      </c>
      <c r="J57" s="511"/>
      <c r="K57" s="525"/>
      <c r="L57" s="514">
        <f t="shared" si="25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2054</v>
      </c>
      <c r="D58" s="523">
        <f>IF(F57+SUM(E$17:E57)=D$10,F57,D$10-SUM(E$17:E57))</f>
        <v>114800.91361450846</v>
      </c>
      <c r="E58" s="522">
        <f t="shared" si="21"/>
        <v>102777.80952380953</v>
      </c>
      <c r="F58" s="523">
        <f t="shared" si="22"/>
        <v>12023.104090698936</v>
      </c>
      <c r="G58" s="524">
        <f t="shared" si="26"/>
        <v>110788.44492149462</v>
      </c>
      <c r="H58" s="491">
        <f t="shared" si="27"/>
        <v>110788.44492149462</v>
      </c>
      <c r="I58" s="511">
        <f t="shared" si="6"/>
        <v>0</v>
      </c>
      <c r="J58" s="511"/>
      <c r="K58" s="525"/>
      <c r="L58" s="514">
        <f t="shared" si="25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2055</v>
      </c>
      <c r="D59" s="523">
        <f>IF(F58+SUM(E$17:E58)=D$10,F58,D$10-SUM(E$17:E58))</f>
        <v>12023.104090698936</v>
      </c>
      <c r="E59" s="522">
        <f t="shared" si="21"/>
        <v>12023.104090698936</v>
      </c>
      <c r="F59" s="523">
        <f t="shared" si="22"/>
        <v>0</v>
      </c>
      <c r="G59" s="524">
        <f t="shared" si="26"/>
        <v>12782.524151360292</v>
      </c>
      <c r="H59" s="491">
        <f t="shared" si="27"/>
        <v>12782.524151360292</v>
      </c>
      <c r="I59" s="511">
        <f t="shared" si="6"/>
        <v>0</v>
      </c>
      <c r="J59" s="511"/>
      <c r="K59" s="525"/>
      <c r="L59" s="514">
        <f t="shared" si="25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2056</v>
      </c>
      <c r="D60" s="523">
        <f>IF(F59+SUM(E$17:E59)=D$10,F59,D$10-SUM(E$17:E59))</f>
        <v>0</v>
      </c>
      <c r="E60" s="522">
        <f t="shared" si="21"/>
        <v>0</v>
      </c>
      <c r="F60" s="523">
        <f t="shared" si="22"/>
        <v>0</v>
      </c>
      <c r="G60" s="524">
        <f t="shared" si="26"/>
        <v>0</v>
      </c>
      <c r="H60" s="491">
        <f t="shared" si="27"/>
        <v>0</v>
      </c>
      <c r="I60" s="511">
        <f t="shared" si="6"/>
        <v>0</v>
      </c>
      <c r="J60" s="511"/>
      <c r="K60" s="525"/>
      <c r="L60" s="514">
        <f t="shared" si="25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2057</v>
      </c>
      <c r="D61" s="523">
        <f>IF(F60+SUM(E$17:E60)=D$10,F60,D$10-SUM(E$17:E60))</f>
        <v>0</v>
      </c>
      <c r="E61" s="522">
        <f t="shared" si="21"/>
        <v>0</v>
      </c>
      <c r="F61" s="523">
        <f t="shared" si="22"/>
        <v>0</v>
      </c>
      <c r="G61" s="524">
        <f t="shared" si="26"/>
        <v>0</v>
      </c>
      <c r="H61" s="491">
        <f t="shared" si="27"/>
        <v>0</v>
      </c>
      <c r="I61" s="511">
        <f t="shared" si="6"/>
        <v>0</v>
      </c>
      <c r="J61" s="511"/>
      <c r="K61" s="525"/>
      <c r="L61" s="514">
        <f t="shared" si="25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2058</v>
      </c>
      <c r="D62" s="523">
        <f>IF(F61+SUM(E$17:E61)=D$10,F61,D$10-SUM(E$17:E61))</f>
        <v>0</v>
      </c>
      <c r="E62" s="522">
        <f t="shared" si="21"/>
        <v>0</v>
      </c>
      <c r="F62" s="523">
        <f t="shared" si="22"/>
        <v>0</v>
      </c>
      <c r="G62" s="524">
        <f t="shared" si="26"/>
        <v>0</v>
      </c>
      <c r="H62" s="491">
        <f t="shared" si="27"/>
        <v>0</v>
      </c>
      <c r="I62" s="511">
        <f t="shared" si="6"/>
        <v>0</v>
      </c>
      <c r="J62" s="511"/>
      <c r="K62" s="525"/>
      <c r="L62" s="514">
        <f t="shared" si="25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2059</v>
      </c>
      <c r="D63" s="523">
        <f>IF(F62+SUM(E$17:E62)=D$10,F62,D$10-SUM(E$17:E62))</f>
        <v>0</v>
      </c>
      <c r="E63" s="522">
        <f t="shared" si="21"/>
        <v>0</v>
      </c>
      <c r="F63" s="523">
        <f t="shared" si="22"/>
        <v>0</v>
      </c>
      <c r="G63" s="524">
        <f t="shared" si="26"/>
        <v>0</v>
      </c>
      <c r="H63" s="491">
        <f t="shared" si="27"/>
        <v>0</v>
      </c>
      <c r="I63" s="511">
        <f t="shared" si="6"/>
        <v>0</v>
      </c>
      <c r="J63" s="511"/>
      <c r="K63" s="525"/>
      <c r="L63" s="514">
        <f t="shared" si="25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2060</v>
      </c>
      <c r="D64" s="523">
        <f>IF(F63+SUM(E$17:E63)=D$10,F63,D$10-SUM(E$17:E63))</f>
        <v>0</v>
      </c>
      <c r="E64" s="522">
        <f t="shared" si="21"/>
        <v>0</v>
      </c>
      <c r="F64" s="523">
        <f t="shared" si="22"/>
        <v>0</v>
      </c>
      <c r="G64" s="524">
        <f t="shared" si="26"/>
        <v>0</v>
      </c>
      <c r="H64" s="491">
        <f t="shared" si="27"/>
        <v>0</v>
      </c>
      <c r="I64" s="511">
        <f t="shared" si="6"/>
        <v>0</v>
      </c>
      <c r="J64" s="511"/>
      <c r="K64" s="525"/>
      <c r="L64" s="514">
        <f t="shared" si="25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2061</v>
      </c>
      <c r="D65" s="523">
        <f>IF(F64+SUM(E$17:E64)=D$10,F64,D$10-SUM(E$17:E64))</f>
        <v>0</v>
      </c>
      <c r="E65" s="522">
        <f t="shared" si="21"/>
        <v>0</v>
      </c>
      <c r="F65" s="523">
        <f t="shared" si="22"/>
        <v>0</v>
      </c>
      <c r="G65" s="524">
        <f t="shared" si="26"/>
        <v>0</v>
      </c>
      <c r="H65" s="491">
        <f t="shared" si="27"/>
        <v>0</v>
      </c>
      <c r="I65" s="511">
        <f t="shared" si="6"/>
        <v>0</v>
      </c>
      <c r="J65" s="511"/>
      <c r="K65" s="525"/>
      <c r="L65" s="514">
        <f t="shared" si="25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2062</v>
      </c>
      <c r="D66" s="523">
        <f>IF(F65+SUM(E$17:E65)=D$10,F65,D$10-SUM(E$17:E65))</f>
        <v>0</v>
      </c>
      <c r="E66" s="522">
        <f t="shared" si="21"/>
        <v>0</v>
      </c>
      <c r="F66" s="523">
        <f t="shared" si="22"/>
        <v>0</v>
      </c>
      <c r="G66" s="524">
        <f t="shared" si="26"/>
        <v>0</v>
      </c>
      <c r="H66" s="491">
        <f t="shared" si="27"/>
        <v>0</v>
      </c>
      <c r="I66" s="511">
        <f t="shared" si="6"/>
        <v>0</v>
      </c>
      <c r="J66" s="511"/>
      <c r="K66" s="525"/>
      <c r="L66" s="514">
        <f t="shared" si="25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2063</v>
      </c>
      <c r="D67" s="523">
        <f>IF(F66+SUM(E$17:E66)=D$10,F66,D$10-SUM(E$17:E66))</f>
        <v>0</v>
      </c>
      <c r="E67" s="522">
        <f t="shared" si="21"/>
        <v>0</v>
      </c>
      <c r="F67" s="523">
        <f t="shared" si="22"/>
        <v>0</v>
      </c>
      <c r="G67" s="524">
        <f t="shared" si="26"/>
        <v>0</v>
      </c>
      <c r="H67" s="491">
        <f t="shared" si="27"/>
        <v>0</v>
      </c>
      <c r="I67" s="511">
        <f t="shared" si="6"/>
        <v>0</v>
      </c>
      <c r="J67" s="511"/>
      <c r="K67" s="525"/>
      <c r="L67" s="514">
        <f t="shared" si="25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2064</v>
      </c>
      <c r="D68" s="523">
        <f>IF(F67+SUM(E$17:E67)=D$10,F67,D$10-SUM(E$17:E67))</f>
        <v>0</v>
      </c>
      <c r="E68" s="522">
        <f t="shared" si="21"/>
        <v>0</v>
      </c>
      <c r="F68" s="523">
        <f t="shared" si="22"/>
        <v>0</v>
      </c>
      <c r="G68" s="524">
        <f t="shared" si="26"/>
        <v>0</v>
      </c>
      <c r="H68" s="491">
        <f t="shared" si="27"/>
        <v>0</v>
      </c>
      <c r="I68" s="511">
        <f t="shared" si="6"/>
        <v>0</v>
      </c>
      <c r="J68" s="511"/>
      <c r="K68" s="525"/>
      <c r="L68" s="514">
        <f t="shared" si="25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2065</v>
      </c>
      <c r="D69" s="523">
        <f>IF(F68+SUM(E$17:E68)=D$10,F68,D$10-SUM(E$17:E68))</f>
        <v>0</v>
      </c>
      <c r="E69" s="522">
        <f t="shared" si="21"/>
        <v>0</v>
      </c>
      <c r="F69" s="523">
        <f t="shared" si="22"/>
        <v>0</v>
      </c>
      <c r="G69" s="524">
        <f t="shared" si="26"/>
        <v>0</v>
      </c>
      <c r="H69" s="491">
        <f t="shared" si="27"/>
        <v>0</v>
      </c>
      <c r="I69" s="511">
        <f t="shared" si="6"/>
        <v>0</v>
      </c>
      <c r="J69" s="511"/>
      <c r="K69" s="525"/>
      <c r="L69" s="514">
        <f t="shared" si="25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2066</v>
      </c>
      <c r="D70" s="523">
        <f>IF(F69+SUM(E$17:E69)=D$10,F69,D$10-SUM(E$17:E69))</f>
        <v>0</v>
      </c>
      <c r="E70" s="522">
        <f t="shared" si="21"/>
        <v>0</v>
      </c>
      <c r="F70" s="523">
        <f t="shared" si="22"/>
        <v>0</v>
      </c>
      <c r="G70" s="524">
        <f t="shared" si="26"/>
        <v>0</v>
      </c>
      <c r="H70" s="491">
        <f t="shared" si="27"/>
        <v>0</v>
      </c>
      <c r="I70" s="511">
        <f t="shared" si="6"/>
        <v>0</v>
      </c>
      <c r="J70" s="511"/>
      <c r="K70" s="525"/>
      <c r="L70" s="514">
        <f t="shared" si="25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2067</v>
      </c>
      <c r="D71" s="523">
        <f>IF(F70+SUM(E$17:E70)=D$10,F70,D$10-SUM(E$17:E70))</f>
        <v>0</v>
      </c>
      <c r="E71" s="522">
        <f t="shared" si="21"/>
        <v>0</v>
      </c>
      <c r="F71" s="523">
        <f t="shared" si="22"/>
        <v>0</v>
      </c>
      <c r="G71" s="524">
        <f t="shared" si="26"/>
        <v>0</v>
      </c>
      <c r="H71" s="491">
        <f t="shared" si="27"/>
        <v>0</v>
      </c>
      <c r="I71" s="511">
        <f t="shared" si="6"/>
        <v>0</v>
      </c>
      <c r="J71" s="511"/>
      <c r="K71" s="525"/>
      <c r="L71" s="514">
        <f t="shared" si="25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2068</v>
      </c>
      <c r="D72" s="523">
        <f>IF(F71+SUM(E$17:E71)=D$10,F71,D$10-SUM(E$17:E71))</f>
        <v>0</v>
      </c>
      <c r="E72" s="522">
        <f t="shared" si="21"/>
        <v>0</v>
      </c>
      <c r="F72" s="523">
        <f t="shared" si="22"/>
        <v>0</v>
      </c>
      <c r="G72" s="524">
        <f t="shared" si="26"/>
        <v>0</v>
      </c>
      <c r="H72" s="491">
        <f t="shared" si="27"/>
        <v>0</v>
      </c>
      <c r="I72" s="511">
        <f t="shared" si="6"/>
        <v>0</v>
      </c>
      <c r="J72" s="511"/>
      <c r="K72" s="532"/>
      <c r="L72" s="533">
        <f t="shared" si="25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4316668.0000000019</v>
      </c>
      <c r="F73" s="375"/>
      <c r="G73" s="375">
        <f>SUM(G17:G72)</f>
        <v>15714156.465992486</v>
      </c>
      <c r="H73" s="375">
        <f>SUM(H17:H72)</f>
        <v>15714156.465992486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39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469551.06340859708</v>
      </c>
      <c r="N87" s="546">
        <f>IF(J92&lt;D11,0,VLOOKUP(J92,C17:O72,11))</f>
        <v>469551.06340859708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498466.53143756086</v>
      </c>
      <c r="N88" s="550">
        <f>IF(J92&lt;D11,0,VLOOKUP(J92,C99:P154,7))</f>
        <v>498466.53143756086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Ashdown West - Craig Junction 138KV Rebuild (tie w/PSO)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28915.468028963776</v>
      </c>
      <c r="N89" s="555">
        <f>+N88-N87</f>
        <v>28915.468028963776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TP2009092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f>D10</f>
        <v>4316668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2013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105284.58536585367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2013</v>
      </c>
      <c r="D99" s="629">
        <v>0</v>
      </c>
      <c r="E99" s="630">
        <v>85637.440476190473</v>
      </c>
      <c r="F99" s="631">
        <v>4230489.5595238097</v>
      </c>
      <c r="G99" s="632">
        <v>2115244.7797619049</v>
      </c>
      <c r="H99" s="633">
        <v>371812.50753135112</v>
      </c>
      <c r="I99" s="634">
        <v>371812.50753135112</v>
      </c>
      <c r="J99" s="613">
        <v>0</v>
      </c>
      <c r="K99" s="514"/>
      <c r="L99" s="518">
        <f t="shared" ref="L99:L104" si="28">H99</f>
        <v>371812.50753135112</v>
      </c>
      <c r="M99" s="519">
        <f t="shared" ref="M99:M104" si="29">IF(L99&lt;&gt;0,+H99-L99,0)</f>
        <v>0</v>
      </c>
      <c r="N99" s="518">
        <f t="shared" ref="N99:N104" si="30">I99</f>
        <v>371812.50753135112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2014</v>
      </c>
      <c r="D100" s="629">
        <v>4230489.5595238097</v>
      </c>
      <c r="E100" s="630">
        <v>102777.80952380953</v>
      </c>
      <c r="F100" s="631">
        <v>4127711.75</v>
      </c>
      <c r="G100" s="631">
        <v>4179100.6547619049</v>
      </c>
      <c r="H100" s="633">
        <v>670815.62922303798</v>
      </c>
      <c r="I100" s="634">
        <v>670815.62922303798</v>
      </c>
      <c r="J100" s="514">
        <f>+I100-H100</f>
        <v>0</v>
      </c>
      <c r="K100" s="514"/>
      <c r="L100" s="518">
        <f t="shared" si="28"/>
        <v>670815.62922303798</v>
      </c>
      <c r="M100" s="519">
        <f t="shared" si="29"/>
        <v>0</v>
      </c>
      <c r="N100" s="518">
        <f t="shared" si="30"/>
        <v>670815.62922303798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31">IF(D101=F100,"","IU")</f>
        <v>IU</v>
      </c>
      <c r="C101" s="507">
        <f>IF(D93="","-",+C100+1)</f>
        <v>2015</v>
      </c>
      <c r="D101" s="629">
        <v>4128252.75</v>
      </c>
      <c r="E101" s="630">
        <v>102777.80952380953</v>
      </c>
      <c r="F101" s="631">
        <v>4025474.9404761903</v>
      </c>
      <c r="G101" s="631">
        <v>4076863.8452380951</v>
      </c>
      <c r="H101" s="633">
        <v>639981.58365995577</v>
      </c>
      <c r="I101" s="634">
        <v>639981.58365995577</v>
      </c>
      <c r="J101" s="514">
        <f>+I101-H101</f>
        <v>0</v>
      </c>
      <c r="K101" s="514"/>
      <c r="L101" s="518">
        <f t="shared" si="28"/>
        <v>639981.58365995577</v>
      </c>
      <c r="M101" s="519">
        <f t="shared" si="29"/>
        <v>0</v>
      </c>
      <c r="N101" s="518">
        <f t="shared" si="30"/>
        <v>639981.58365995577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31"/>
        <v/>
      </c>
      <c r="C102" s="507">
        <f>IF(D93="","-",+C101+1)</f>
        <v>2016</v>
      </c>
      <c r="D102" s="629">
        <v>4025474.9404761903</v>
      </c>
      <c r="E102" s="630">
        <v>100387.62790697675</v>
      </c>
      <c r="F102" s="631">
        <v>3925087.3125692136</v>
      </c>
      <c r="G102" s="631">
        <v>3975281.1265227022</v>
      </c>
      <c r="H102" s="633">
        <v>605049.52036198007</v>
      </c>
      <c r="I102" s="634">
        <v>605049.52036198007</v>
      </c>
      <c r="J102" s="514">
        <f t="shared" ref="J102:J154" si="32">+I102-H102</f>
        <v>0</v>
      </c>
      <c r="K102" s="514"/>
      <c r="L102" s="518">
        <f t="shared" si="28"/>
        <v>605049.52036198007</v>
      </c>
      <c r="M102" s="519">
        <f t="shared" si="29"/>
        <v>0</v>
      </c>
      <c r="N102" s="518">
        <f t="shared" si="30"/>
        <v>605049.52036198007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31"/>
        <v/>
      </c>
      <c r="C103" s="507">
        <f>IF(D93="","-",+C102+1)</f>
        <v>2017</v>
      </c>
      <c r="D103" s="629">
        <v>3925087.3125692136</v>
      </c>
      <c r="E103" s="630">
        <v>102777.80952380953</v>
      </c>
      <c r="F103" s="631">
        <v>3822309.5030454039</v>
      </c>
      <c r="G103" s="631">
        <v>3873698.4078073087</v>
      </c>
      <c r="H103" s="633">
        <v>573321.60174828372</v>
      </c>
      <c r="I103" s="634">
        <v>573321.60174828372</v>
      </c>
      <c r="J103" s="514">
        <f t="shared" si="32"/>
        <v>0</v>
      </c>
      <c r="K103" s="514"/>
      <c r="L103" s="518">
        <f t="shared" si="28"/>
        <v>573321.60174828372</v>
      </c>
      <c r="M103" s="519">
        <f t="shared" si="29"/>
        <v>0</v>
      </c>
      <c r="N103" s="518">
        <f t="shared" si="30"/>
        <v>573321.60174828372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31"/>
        <v/>
      </c>
      <c r="C104" s="507">
        <f>IF(D93="","-",+C103+1)</f>
        <v>2018</v>
      </c>
      <c r="D104" s="629">
        <v>3822309.5030454039</v>
      </c>
      <c r="E104" s="630">
        <v>102777.80952380953</v>
      </c>
      <c r="F104" s="631">
        <v>3719531.6935215942</v>
      </c>
      <c r="G104" s="631">
        <v>3770920.598283499</v>
      </c>
      <c r="H104" s="633">
        <v>501004.31746485061</v>
      </c>
      <c r="I104" s="634">
        <v>501004.31746485061</v>
      </c>
      <c r="J104" s="514">
        <f t="shared" si="32"/>
        <v>0</v>
      </c>
      <c r="K104" s="514"/>
      <c r="L104" s="518">
        <f t="shared" si="28"/>
        <v>501004.31746485061</v>
      </c>
      <c r="M104" s="519">
        <f t="shared" si="29"/>
        <v>0</v>
      </c>
      <c r="N104" s="518">
        <f t="shared" si="30"/>
        <v>501004.31746485061</v>
      </c>
      <c r="O104" s="514">
        <f t="shared" ref="O104:O130" si="33">IF(N104&lt;&gt;0,+I104-N104,0)</f>
        <v>0</v>
      </c>
      <c r="P104" s="514">
        <f t="shared" ref="P104:P130" si="34">+O104-M104</f>
        <v>0</v>
      </c>
    </row>
    <row r="105" spans="1:16" ht="12.5">
      <c r="B105" s="195" t="str">
        <f t="shared" si="31"/>
        <v/>
      </c>
      <c r="C105" s="507">
        <f>IF(D93="","-",+C104+1)</f>
        <v>2019</v>
      </c>
      <c r="D105" s="629">
        <v>3719531.6935215942</v>
      </c>
      <c r="E105" s="630">
        <v>100387.62790697675</v>
      </c>
      <c r="F105" s="631">
        <v>3619144.0656146174</v>
      </c>
      <c r="G105" s="631">
        <v>3669337.8795681056</v>
      </c>
      <c r="H105" s="633">
        <v>493155.55998343643</v>
      </c>
      <c r="I105" s="634">
        <v>493155.55998343643</v>
      </c>
      <c r="J105" s="514">
        <f t="shared" si="32"/>
        <v>0</v>
      </c>
      <c r="K105" s="514"/>
      <c r="L105" s="518">
        <f t="shared" ref="L105:L106" si="35">H105</f>
        <v>493155.55998343643</v>
      </c>
      <c r="M105" s="519">
        <f t="shared" ref="M105:M106" si="36">IF(L105&lt;&gt;0,+H105-L105,0)</f>
        <v>0</v>
      </c>
      <c r="N105" s="518">
        <f t="shared" ref="N105:N106" si="37">I105</f>
        <v>493155.55998343643</v>
      </c>
      <c r="O105" s="514">
        <f t="shared" si="33"/>
        <v>0</v>
      </c>
      <c r="P105" s="514">
        <f t="shared" si="34"/>
        <v>0</v>
      </c>
    </row>
    <row r="106" spans="1:16" ht="12.5">
      <c r="B106" s="195" t="str">
        <f t="shared" si="31"/>
        <v/>
      </c>
      <c r="C106" s="507">
        <f>IF(D93="","-",+C105+1)</f>
        <v>2020</v>
      </c>
      <c r="D106" s="629">
        <v>3619144.0656146174</v>
      </c>
      <c r="E106" s="630">
        <v>102777.80952380953</v>
      </c>
      <c r="F106" s="631">
        <v>3516366.2560908077</v>
      </c>
      <c r="G106" s="631">
        <v>3567755.1608527126</v>
      </c>
      <c r="H106" s="633">
        <v>486574.90560102114</v>
      </c>
      <c r="I106" s="634">
        <v>486574.90560102114</v>
      </c>
      <c r="J106" s="514">
        <f t="shared" si="32"/>
        <v>0</v>
      </c>
      <c r="K106" s="514"/>
      <c r="L106" s="518">
        <f t="shared" si="35"/>
        <v>486574.90560102114</v>
      </c>
      <c r="M106" s="519">
        <f t="shared" si="36"/>
        <v>0</v>
      </c>
      <c r="N106" s="518">
        <f t="shared" si="37"/>
        <v>486574.90560102114</v>
      </c>
      <c r="O106" s="514">
        <f t="shared" si="33"/>
        <v>0</v>
      </c>
      <c r="P106" s="514">
        <f t="shared" si="34"/>
        <v>0</v>
      </c>
    </row>
    <row r="107" spans="1:16" ht="12.5">
      <c r="B107" s="195" t="str">
        <f t="shared" si="31"/>
        <v/>
      </c>
      <c r="C107" s="507">
        <f>IF(D93="","-",+C106+1)</f>
        <v>2021</v>
      </c>
      <c r="D107" s="374">
        <f>IF(F106+SUM(E$99:E106)=D$92,F106,D$92-SUM(E$99:E106))</f>
        <v>3516366.2560908077</v>
      </c>
      <c r="E107" s="522">
        <f t="shared" ref="E107:E154" si="38">IF(+$J$96&lt;F106,$J$96,D107)</f>
        <v>105284.58536585367</v>
      </c>
      <c r="F107" s="523">
        <f t="shared" ref="F107:F154" si="39">+D107-E107</f>
        <v>3411081.670724954</v>
      </c>
      <c r="G107" s="523">
        <f t="shared" ref="G107:G154" si="40">+(F107+D107)/2</f>
        <v>3463723.9634078806</v>
      </c>
      <c r="H107" s="526">
        <f t="shared" ref="H107:H154" si="41">+J$94*G107+E107</f>
        <v>498466.53143756086</v>
      </c>
      <c r="I107" s="577">
        <f t="shared" ref="I107:I154" si="42">+J$95*G107+E107</f>
        <v>498466.53143756086</v>
      </c>
      <c r="J107" s="514">
        <f t="shared" si="32"/>
        <v>0</v>
      </c>
      <c r="K107" s="514"/>
      <c r="L107" s="525"/>
      <c r="M107" s="514">
        <f t="shared" ref="M107:M130" si="43">IF(L107&lt;&gt;0,+H107-L107,0)</f>
        <v>0</v>
      </c>
      <c r="N107" s="525"/>
      <c r="O107" s="514">
        <f t="shared" si="33"/>
        <v>0</v>
      </c>
      <c r="P107" s="514">
        <f t="shared" si="34"/>
        <v>0</v>
      </c>
    </row>
    <row r="108" spans="1:16" ht="12.5">
      <c r="B108" s="195" t="str">
        <f t="shared" si="31"/>
        <v/>
      </c>
      <c r="C108" s="507">
        <f>IF(D93="","-",+C107+1)</f>
        <v>2022</v>
      </c>
      <c r="D108" s="374">
        <f>IF(F107+SUM(E$99:E107)=D$92,F107,D$92-SUM(E$99:E107))</f>
        <v>3411081.670724954</v>
      </c>
      <c r="E108" s="522">
        <f t="shared" si="38"/>
        <v>105284.58536585367</v>
      </c>
      <c r="F108" s="523">
        <f t="shared" si="39"/>
        <v>3305797.0853591003</v>
      </c>
      <c r="G108" s="523">
        <f t="shared" si="40"/>
        <v>3358439.3780420274</v>
      </c>
      <c r="H108" s="526">
        <f t="shared" si="41"/>
        <v>486515.23318088043</v>
      </c>
      <c r="I108" s="577">
        <f t="shared" si="42"/>
        <v>486515.23318088043</v>
      </c>
      <c r="J108" s="514">
        <f t="shared" si="32"/>
        <v>0</v>
      </c>
      <c r="K108" s="514"/>
      <c r="L108" s="525"/>
      <c r="M108" s="514">
        <f t="shared" si="43"/>
        <v>0</v>
      </c>
      <c r="N108" s="525"/>
      <c r="O108" s="514">
        <f t="shared" si="33"/>
        <v>0</v>
      </c>
      <c r="P108" s="514">
        <f t="shared" si="34"/>
        <v>0</v>
      </c>
    </row>
    <row r="109" spans="1:16" ht="12.5">
      <c r="B109" s="195" t="str">
        <f t="shared" si="31"/>
        <v/>
      </c>
      <c r="C109" s="507">
        <f>IF(D93="","-",+C108+1)</f>
        <v>2023</v>
      </c>
      <c r="D109" s="374">
        <f>IF(F108+SUM(E$99:E108)=D$92,F108,D$92-SUM(E$99:E108))</f>
        <v>3305797.0853591003</v>
      </c>
      <c r="E109" s="522">
        <f t="shared" si="38"/>
        <v>105284.58536585367</v>
      </c>
      <c r="F109" s="523">
        <f t="shared" si="39"/>
        <v>3200512.4999932465</v>
      </c>
      <c r="G109" s="523">
        <f t="shared" si="40"/>
        <v>3253154.7926761732</v>
      </c>
      <c r="H109" s="526">
        <f t="shared" si="41"/>
        <v>474563.93492419983</v>
      </c>
      <c r="I109" s="577">
        <f t="shared" si="42"/>
        <v>474563.93492419983</v>
      </c>
      <c r="J109" s="514">
        <f t="shared" si="32"/>
        <v>0</v>
      </c>
      <c r="K109" s="514"/>
      <c r="L109" s="525"/>
      <c r="M109" s="514">
        <f t="shared" si="43"/>
        <v>0</v>
      </c>
      <c r="N109" s="525"/>
      <c r="O109" s="514">
        <f t="shared" si="33"/>
        <v>0</v>
      </c>
      <c r="P109" s="514">
        <f t="shared" si="34"/>
        <v>0</v>
      </c>
    </row>
    <row r="110" spans="1:16" ht="12.5">
      <c r="B110" s="195" t="str">
        <f t="shared" si="31"/>
        <v/>
      </c>
      <c r="C110" s="507">
        <f>IF(D93="","-",+C109+1)</f>
        <v>2024</v>
      </c>
      <c r="D110" s="374">
        <f>IF(F109+SUM(E$99:E109)=D$92,F109,D$92-SUM(E$99:E109))</f>
        <v>3200512.4999932465</v>
      </c>
      <c r="E110" s="522">
        <f t="shared" si="38"/>
        <v>105284.58536585367</v>
      </c>
      <c r="F110" s="523">
        <f t="shared" si="39"/>
        <v>3095227.9146273928</v>
      </c>
      <c r="G110" s="523">
        <f t="shared" si="40"/>
        <v>3147870.2073103199</v>
      </c>
      <c r="H110" s="526">
        <f t="shared" si="41"/>
        <v>462612.63666751934</v>
      </c>
      <c r="I110" s="577">
        <f t="shared" si="42"/>
        <v>462612.63666751934</v>
      </c>
      <c r="J110" s="514">
        <f t="shared" si="32"/>
        <v>0</v>
      </c>
      <c r="K110" s="514"/>
      <c r="L110" s="525"/>
      <c r="M110" s="514">
        <f t="shared" si="43"/>
        <v>0</v>
      </c>
      <c r="N110" s="525"/>
      <c r="O110" s="514">
        <f t="shared" si="33"/>
        <v>0</v>
      </c>
      <c r="P110" s="514">
        <f t="shared" si="34"/>
        <v>0</v>
      </c>
    </row>
    <row r="111" spans="1:16" ht="12.5">
      <c r="B111" s="195" t="str">
        <f t="shared" si="31"/>
        <v/>
      </c>
      <c r="C111" s="507">
        <f>IF(D93="","-",+C110+1)</f>
        <v>2025</v>
      </c>
      <c r="D111" s="374">
        <f>IF(F110+SUM(E$99:E110)=D$92,F110,D$92-SUM(E$99:E110))</f>
        <v>3095227.9146273928</v>
      </c>
      <c r="E111" s="522">
        <f t="shared" si="38"/>
        <v>105284.58536585367</v>
      </c>
      <c r="F111" s="523">
        <f t="shared" si="39"/>
        <v>2989943.329261539</v>
      </c>
      <c r="G111" s="523">
        <f t="shared" si="40"/>
        <v>3042585.6219444657</v>
      </c>
      <c r="H111" s="526">
        <f t="shared" si="41"/>
        <v>450661.3384108388</v>
      </c>
      <c r="I111" s="577">
        <f t="shared" si="42"/>
        <v>450661.3384108388</v>
      </c>
      <c r="J111" s="514">
        <f t="shared" si="32"/>
        <v>0</v>
      </c>
      <c r="K111" s="514"/>
      <c r="L111" s="525"/>
      <c r="M111" s="514">
        <f t="shared" si="43"/>
        <v>0</v>
      </c>
      <c r="N111" s="525"/>
      <c r="O111" s="514">
        <f t="shared" si="33"/>
        <v>0</v>
      </c>
      <c r="P111" s="514">
        <f t="shared" si="34"/>
        <v>0</v>
      </c>
    </row>
    <row r="112" spans="1:16" ht="12.5">
      <c r="B112" s="195" t="str">
        <f t="shared" si="31"/>
        <v/>
      </c>
      <c r="C112" s="507">
        <f>IF(D93="","-",+C111+1)</f>
        <v>2026</v>
      </c>
      <c r="D112" s="374">
        <f>IF(F111+SUM(E$99:E111)=D$92,F111,D$92-SUM(E$99:E111))</f>
        <v>2989943.329261539</v>
      </c>
      <c r="E112" s="522">
        <f t="shared" si="38"/>
        <v>105284.58536585367</v>
      </c>
      <c r="F112" s="523">
        <f t="shared" si="39"/>
        <v>2884658.7438956853</v>
      </c>
      <c r="G112" s="523">
        <f t="shared" si="40"/>
        <v>2937301.0365786124</v>
      </c>
      <c r="H112" s="526">
        <f t="shared" si="41"/>
        <v>438710.04015415831</v>
      </c>
      <c r="I112" s="577">
        <f t="shared" si="42"/>
        <v>438710.04015415831</v>
      </c>
      <c r="J112" s="514">
        <f t="shared" si="32"/>
        <v>0</v>
      </c>
      <c r="K112" s="514"/>
      <c r="L112" s="525"/>
      <c r="M112" s="514">
        <f t="shared" si="43"/>
        <v>0</v>
      </c>
      <c r="N112" s="525"/>
      <c r="O112" s="514">
        <f t="shared" si="33"/>
        <v>0</v>
      </c>
      <c r="P112" s="514">
        <f t="shared" si="34"/>
        <v>0</v>
      </c>
    </row>
    <row r="113" spans="2:16" ht="12.5">
      <c r="B113" s="195" t="str">
        <f t="shared" si="31"/>
        <v/>
      </c>
      <c r="C113" s="507">
        <f>IF(D93="","-",+C112+1)</f>
        <v>2027</v>
      </c>
      <c r="D113" s="374">
        <f>IF(F112+SUM(E$99:E112)=D$92,F112,D$92-SUM(E$99:E112))</f>
        <v>2884658.7438956853</v>
      </c>
      <c r="E113" s="522">
        <f t="shared" si="38"/>
        <v>105284.58536585367</v>
      </c>
      <c r="F113" s="523">
        <f t="shared" si="39"/>
        <v>2779374.1585298316</v>
      </c>
      <c r="G113" s="523">
        <f t="shared" si="40"/>
        <v>2832016.4512127582</v>
      </c>
      <c r="H113" s="526">
        <f t="shared" si="41"/>
        <v>426758.74189747777</v>
      </c>
      <c r="I113" s="577">
        <f t="shared" si="42"/>
        <v>426758.74189747777</v>
      </c>
      <c r="J113" s="514">
        <f t="shared" si="32"/>
        <v>0</v>
      </c>
      <c r="K113" s="514"/>
      <c r="L113" s="525"/>
      <c r="M113" s="514">
        <f t="shared" si="43"/>
        <v>0</v>
      </c>
      <c r="N113" s="525"/>
      <c r="O113" s="514">
        <f t="shared" si="33"/>
        <v>0</v>
      </c>
      <c r="P113" s="514">
        <f t="shared" si="34"/>
        <v>0</v>
      </c>
    </row>
    <row r="114" spans="2:16" ht="12.5">
      <c r="B114" s="195" t="str">
        <f t="shared" si="31"/>
        <v/>
      </c>
      <c r="C114" s="507">
        <f>IF(D93="","-",+C113+1)</f>
        <v>2028</v>
      </c>
      <c r="D114" s="374">
        <f>IF(F113+SUM(E$99:E113)=D$92,F113,D$92-SUM(E$99:E113))</f>
        <v>2779374.1585298316</v>
      </c>
      <c r="E114" s="522">
        <f t="shared" si="38"/>
        <v>105284.58536585367</v>
      </c>
      <c r="F114" s="523">
        <f t="shared" si="39"/>
        <v>2674089.5731639778</v>
      </c>
      <c r="G114" s="523">
        <f t="shared" si="40"/>
        <v>2726731.8658469049</v>
      </c>
      <c r="H114" s="526">
        <f t="shared" si="41"/>
        <v>414807.44364079728</v>
      </c>
      <c r="I114" s="577">
        <f t="shared" si="42"/>
        <v>414807.44364079728</v>
      </c>
      <c r="J114" s="514">
        <f t="shared" si="32"/>
        <v>0</v>
      </c>
      <c r="K114" s="514"/>
      <c r="L114" s="525"/>
      <c r="M114" s="514">
        <f t="shared" si="43"/>
        <v>0</v>
      </c>
      <c r="N114" s="525"/>
      <c r="O114" s="514">
        <f t="shared" si="33"/>
        <v>0</v>
      </c>
      <c r="P114" s="514">
        <f t="shared" si="34"/>
        <v>0</v>
      </c>
    </row>
    <row r="115" spans="2:16" ht="12.5">
      <c r="B115" s="195" t="str">
        <f t="shared" si="31"/>
        <v/>
      </c>
      <c r="C115" s="507">
        <f>IF(D93="","-",+C114+1)</f>
        <v>2029</v>
      </c>
      <c r="D115" s="374">
        <f>IF(F114+SUM(E$99:E114)=D$92,F114,D$92-SUM(E$99:E114))</f>
        <v>2674089.5731639778</v>
      </c>
      <c r="E115" s="522">
        <f t="shared" si="38"/>
        <v>105284.58536585367</v>
      </c>
      <c r="F115" s="523">
        <f t="shared" si="39"/>
        <v>2568804.9877981241</v>
      </c>
      <c r="G115" s="523">
        <f t="shared" si="40"/>
        <v>2621447.2804810507</v>
      </c>
      <c r="H115" s="526">
        <f t="shared" si="41"/>
        <v>402856.14538411668</v>
      </c>
      <c r="I115" s="577">
        <f t="shared" si="42"/>
        <v>402856.14538411668</v>
      </c>
      <c r="J115" s="514">
        <f t="shared" si="32"/>
        <v>0</v>
      </c>
      <c r="K115" s="514"/>
      <c r="L115" s="525"/>
      <c r="M115" s="514">
        <f t="shared" si="43"/>
        <v>0</v>
      </c>
      <c r="N115" s="525"/>
      <c r="O115" s="514">
        <f t="shared" si="33"/>
        <v>0</v>
      </c>
      <c r="P115" s="514">
        <f t="shared" si="34"/>
        <v>0</v>
      </c>
    </row>
    <row r="116" spans="2:16" ht="12.5">
      <c r="B116" s="195" t="str">
        <f t="shared" si="31"/>
        <v/>
      </c>
      <c r="C116" s="507">
        <f>IF(D93="","-",+C115+1)</f>
        <v>2030</v>
      </c>
      <c r="D116" s="374">
        <f>IF(F115+SUM(E$99:E115)=D$92,F115,D$92-SUM(E$99:E115))</f>
        <v>2568804.9877981241</v>
      </c>
      <c r="E116" s="522">
        <f t="shared" si="38"/>
        <v>105284.58536585367</v>
      </c>
      <c r="F116" s="523">
        <f t="shared" si="39"/>
        <v>2463520.4024322703</v>
      </c>
      <c r="G116" s="523">
        <f t="shared" si="40"/>
        <v>2516162.6951151974</v>
      </c>
      <c r="H116" s="526">
        <f t="shared" si="41"/>
        <v>390904.84712743619</v>
      </c>
      <c r="I116" s="577">
        <f t="shared" si="42"/>
        <v>390904.84712743619</v>
      </c>
      <c r="J116" s="514">
        <f t="shared" si="32"/>
        <v>0</v>
      </c>
      <c r="K116" s="514"/>
      <c r="L116" s="525"/>
      <c r="M116" s="514">
        <f t="shared" si="43"/>
        <v>0</v>
      </c>
      <c r="N116" s="525"/>
      <c r="O116" s="514">
        <f t="shared" si="33"/>
        <v>0</v>
      </c>
      <c r="P116" s="514">
        <f t="shared" si="34"/>
        <v>0</v>
      </c>
    </row>
    <row r="117" spans="2:16" ht="12.5">
      <c r="B117" s="195" t="str">
        <f t="shared" si="31"/>
        <v/>
      </c>
      <c r="C117" s="507">
        <f>IF(D93="","-",+C116+1)</f>
        <v>2031</v>
      </c>
      <c r="D117" s="374">
        <f>IF(F116+SUM(E$99:E116)=D$92,F116,D$92-SUM(E$99:E116))</f>
        <v>2463520.4024322703</v>
      </c>
      <c r="E117" s="522">
        <f t="shared" si="38"/>
        <v>105284.58536585367</v>
      </c>
      <c r="F117" s="523">
        <f t="shared" si="39"/>
        <v>2358235.8170664166</v>
      </c>
      <c r="G117" s="523">
        <f t="shared" si="40"/>
        <v>2410878.1097493432</v>
      </c>
      <c r="H117" s="526">
        <f t="shared" si="41"/>
        <v>378953.54887075565</v>
      </c>
      <c r="I117" s="577">
        <f t="shared" si="42"/>
        <v>378953.54887075565</v>
      </c>
      <c r="J117" s="514">
        <f t="shared" si="32"/>
        <v>0</v>
      </c>
      <c r="K117" s="514"/>
      <c r="L117" s="525"/>
      <c r="M117" s="514">
        <f t="shared" si="43"/>
        <v>0</v>
      </c>
      <c r="N117" s="525"/>
      <c r="O117" s="514">
        <f t="shared" si="33"/>
        <v>0</v>
      </c>
      <c r="P117" s="514">
        <f t="shared" si="34"/>
        <v>0</v>
      </c>
    </row>
    <row r="118" spans="2:16" ht="12.5">
      <c r="B118" s="195" t="str">
        <f t="shared" si="31"/>
        <v/>
      </c>
      <c r="C118" s="507">
        <f>IF(D93="","-",+C117+1)</f>
        <v>2032</v>
      </c>
      <c r="D118" s="374">
        <f>IF(F117+SUM(E$99:E117)=D$92,F117,D$92-SUM(E$99:E117))</f>
        <v>2358235.8170664166</v>
      </c>
      <c r="E118" s="522">
        <f t="shared" si="38"/>
        <v>105284.58536585367</v>
      </c>
      <c r="F118" s="523">
        <f t="shared" si="39"/>
        <v>2252951.2317005629</v>
      </c>
      <c r="G118" s="523">
        <f t="shared" si="40"/>
        <v>2305593.52438349</v>
      </c>
      <c r="H118" s="526">
        <f t="shared" si="41"/>
        <v>367002.25061407516</v>
      </c>
      <c r="I118" s="577">
        <f t="shared" si="42"/>
        <v>367002.25061407516</v>
      </c>
      <c r="J118" s="514">
        <f t="shared" si="32"/>
        <v>0</v>
      </c>
      <c r="K118" s="514"/>
      <c r="L118" s="525"/>
      <c r="M118" s="514">
        <f t="shared" si="43"/>
        <v>0</v>
      </c>
      <c r="N118" s="525"/>
      <c r="O118" s="514">
        <f t="shared" si="33"/>
        <v>0</v>
      </c>
      <c r="P118" s="514">
        <f t="shared" si="34"/>
        <v>0</v>
      </c>
    </row>
    <row r="119" spans="2:16" ht="12.5">
      <c r="B119" s="195" t="str">
        <f t="shared" si="31"/>
        <v/>
      </c>
      <c r="C119" s="507">
        <f>IF(D93="","-",+C118+1)</f>
        <v>2033</v>
      </c>
      <c r="D119" s="374">
        <f>IF(F118+SUM(E$99:E118)=D$92,F118,D$92-SUM(E$99:E118))</f>
        <v>2252951.2317005629</v>
      </c>
      <c r="E119" s="522">
        <f t="shared" si="38"/>
        <v>105284.58536585367</v>
      </c>
      <c r="F119" s="523">
        <f t="shared" si="39"/>
        <v>2147666.6463347091</v>
      </c>
      <c r="G119" s="523">
        <f t="shared" si="40"/>
        <v>2200308.9390176358</v>
      </c>
      <c r="H119" s="526">
        <f t="shared" si="41"/>
        <v>355050.95235739456</v>
      </c>
      <c r="I119" s="577">
        <f t="shared" si="42"/>
        <v>355050.95235739456</v>
      </c>
      <c r="J119" s="514">
        <f t="shared" si="32"/>
        <v>0</v>
      </c>
      <c r="K119" s="514"/>
      <c r="L119" s="525"/>
      <c r="M119" s="514">
        <f t="shared" si="43"/>
        <v>0</v>
      </c>
      <c r="N119" s="525"/>
      <c r="O119" s="514">
        <f t="shared" si="33"/>
        <v>0</v>
      </c>
      <c r="P119" s="514">
        <f t="shared" si="34"/>
        <v>0</v>
      </c>
    </row>
    <row r="120" spans="2:16" ht="12.5">
      <c r="B120" s="195" t="str">
        <f t="shared" si="31"/>
        <v/>
      </c>
      <c r="C120" s="507">
        <f>IF(D93="","-",+C119+1)</f>
        <v>2034</v>
      </c>
      <c r="D120" s="374">
        <f>IF(F119+SUM(E$99:E119)=D$92,F119,D$92-SUM(E$99:E119))</f>
        <v>2147666.6463347091</v>
      </c>
      <c r="E120" s="522">
        <f t="shared" si="38"/>
        <v>105284.58536585367</v>
      </c>
      <c r="F120" s="523">
        <f t="shared" si="39"/>
        <v>2042382.0609688554</v>
      </c>
      <c r="G120" s="523">
        <f t="shared" si="40"/>
        <v>2095024.3536517823</v>
      </c>
      <c r="H120" s="526">
        <f t="shared" si="41"/>
        <v>343099.65410071408</v>
      </c>
      <c r="I120" s="577">
        <f t="shared" si="42"/>
        <v>343099.65410071408</v>
      </c>
      <c r="J120" s="514">
        <f t="shared" si="32"/>
        <v>0</v>
      </c>
      <c r="K120" s="514"/>
      <c r="L120" s="525"/>
      <c r="M120" s="514">
        <f t="shared" si="43"/>
        <v>0</v>
      </c>
      <c r="N120" s="525"/>
      <c r="O120" s="514">
        <f t="shared" si="33"/>
        <v>0</v>
      </c>
      <c r="P120" s="514">
        <f t="shared" si="34"/>
        <v>0</v>
      </c>
    </row>
    <row r="121" spans="2:16" ht="12.5">
      <c r="B121" s="195" t="str">
        <f t="shared" si="31"/>
        <v/>
      </c>
      <c r="C121" s="507">
        <f>IF(D93="","-",+C120+1)</f>
        <v>2035</v>
      </c>
      <c r="D121" s="374">
        <f>IF(F120+SUM(E$99:E120)=D$92,F120,D$92-SUM(E$99:E120))</f>
        <v>2042382.0609688554</v>
      </c>
      <c r="E121" s="522">
        <f t="shared" si="38"/>
        <v>105284.58536585367</v>
      </c>
      <c r="F121" s="523">
        <f t="shared" si="39"/>
        <v>1937097.4756030017</v>
      </c>
      <c r="G121" s="523">
        <f t="shared" si="40"/>
        <v>1989739.7682859285</v>
      </c>
      <c r="H121" s="526">
        <f t="shared" si="41"/>
        <v>331148.35584403359</v>
      </c>
      <c r="I121" s="577">
        <f t="shared" si="42"/>
        <v>331148.35584403359</v>
      </c>
      <c r="J121" s="514">
        <f t="shared" si="32"/>
        <v>0</v>
      </c>
      <c r="K121" s="514"/>
      <c r="L121" s="525"/>
      <c r="M121" s="514">
        <f t="shared" si="43"/>
        <v>0</v>
      </c>
      <c r="N121" s="525"/>
      <c r="O121" s="514">
        <f t="shared" si="33"/>
        <v>0</v>
      </c>
      <c r="P121" s="514">
        <f t="shared" si="34"/>
        <v>0</v>
      </c>
    </row>
    <row r="122" spans="2:16" ht="12.5">
      <c r="B122" s="195" t="str">
        <f t="shared" si="31"/>
        <v/>
      </c>
      <c r="C122" s="507">
        <f>IF(D93="","-",+C121+1)</f>
        <v>2036</v>
      </c>
      <c r="D122" s="374">
        <f>IF(F121+SUM(E$99:E121)=D$92,F121,D$92-SUM(E$99:E121))</f>
        <v>1937097.4756030017</v>
      </c>
      <c r="E122" s="522">
        <f t="shared" si="38"/>
        <v>105284.58536585367</v>
      </c>
      <c r="F122" s="523">
        <f t="shared" si="39"/>
        <v>1831812.8902371479</v>
      </c>
      <c r="G122" s="523">
        <f t="shared" si="40"/>
        <v>1884455.1829200748</v>
      </c>
      <c r="H122" s="526">
        <f t="shared" si="41"/>
        <v>319197.05758735305</v>
      </c>
      <c r="I122" s="577">
        <f t="shared" si="42"/>
        <v>319197.05758735305</v>
      </c>
      <c r="J122" s="514">
        <f t="shared" si="32"/>
        <v>0</v>
      </c>
      <c r="K122" s="514"/>
      <c r="L122" s="525"/>
      <c r="M122" s="514">
        <f t="shared" si="43"/>
        <v>0</v>
      </c>
      <c r="N122" s="525"/>
      <c r="O122" s="514">
        <f t="shared" si="33"/>
        <v>0</v>
      </c>
      <c r="P122" s="514">
        <f t="shared" si="34"/>
        <v>0</v>
      </c>
    </row>
    <row r="123" spans="2:16" ht="12.5">
      <c r="B123" s="195" t="str">
        <f t="shared" si="31"/>
        <v/>
      </c>
      <c r="C123" s="507">
        <f>IF(D93="","-",+C122+1)</f>
        <v>2037</v>
      </c>
      <c r="D123" s="374">
        <f>IF(F122+SUM(E$99:E122)=D$92,F122,D$92-SUM(E$99:E122))</f>
        <v>1831812.8902371479</v>
      </c>
      <c r="E123" s="522">
        <f t="shared" si="38"/>
        <v>105284.58536585367</v>
      </c>
      <c r="F123" s="523">
        <f t="shared" si="39"/>
        <v>1726528.3048712942</v>
      </c>
      <c r="G123" s="523">
        <f t="shared" si="40"/>
        <v>1779170.5975542211</v>
      </c>
      <c r="H123" s="526">
        <f t="shared" si="41"/>
        <v>307245.7593306725</v>
      </c>
      <c r="I123" s="577">
        <f t="shared" si="42"/>
        <v>307245.7593306725</v>
      </c>
      <c r="J123" s="514">
        <f t="shared" si="32"/>
        <v>0</v>
      </c>
      <c r="K123" s="514"/>
      <c r="L123" s="525"/>
      <c r="M123" s="514">
        <f t="shared" si="43"/>
        <v>0</v>
      </c>
      <c r="N123" s="525"/>
      <c r="O123" s="514">
        <f t="shared" si="33"/>
        <v>0</v>
      </c>
      <c r="P123" s="514">
        <f t="shared" si="34"/>
        <v>0</v>
      </c>
    </row>
    <row r="124" spans="2:16" ht="12.5">
      <c r="B124" s="195" t="str">
        <f t="shared" si="31"/>
        <v/>
      </c>
      <c r="C124" s="507">
        <f>IF(D93="","-",+C123+1)</f>
        <v>2038</v>
      </c>
      <c r="D124" s="374">
        <f>IF(F123+SUM(E$99:E123)=D$92,F123,D$92-SUM(E$99:E123))</f>
        <v>1726528.3048712942</v>
      </c>
      <c r="E124" s="522">
        <f t="shared" si="38"/>
        <v>105284.58536585367</v>
      </c>
      <c r="F124" s="523">
        <f t="shared" si="39"/>
        <v>1621243.7195054404</v>
      </c>
      <c r="G124" s="523">
        <f t="shared" si="40"/>
        <v>1673886.0121883673</v>
      </c>
      <c r="H124" s="526">
        <f t="shared" si="41"/>
        <v>295294.46107399202</v>
      </c>
      <c r="I124" s="577">
        <f t="shared" si="42"/>
        <v>295294.46107399202</v>
      </c>
      <c r="J124" s="514">
        <f t="shared" si="32"/>
        <v>0</v>
      </c>
      <c r="K124" s="514"/>
      <c r="L124" s="525"/>
      <c r="M124" s="514">
        <f t="shared" si="43"/>
        <v>0</v>
      </c>
      <c r="N124" s="525"/>
      <c r="O124" s="514">
        <f t="shared" si="33"/>
        <v>0</v>
      </c>
      <c r="P124" s="514">
        <f t="shared" si="34"/>
        <v>0</v>
      </c>
    </row>
    <row r="125" spans="2:16" ht="12.5">
      <c r="B125" s="195" t="str">
        <f t="shared" si="31"/>
        <v/>
      </c>
      <c r="C125" s="507">
        <f>IF(D93="","-",+C124+1)</f>
        <v>2039</v>
      </c>
      <c r="D125" s="374">
        <f>IF(F124+SUM(E$99:E124)=D$92,F124,D$92-SUM(E$99:E124))</f>
        <v>1621243.7195054404</v>
      </c>
      <c r="E125" s="522">
        <f t="shared" si="38"/>
        <v>105284.58536585367</v>
      </c>
      <c r="F125" s="523">
        <f t="shared" si="39"/>
        <v>1515959.1341395867</v>
      </c>
      <c r="G125" s="523">
        <f t="shared" si="40"/>
        <v>1568601.4268225136</v>
      </c>
      <c r="H125" s="526">
        <f t="shared" si="41"/>
        <v>283343.16281731147</v>
      </c>
      <c r="I125" s="577">
        <f t="shared" si="42"/>
        <v>283343.16281731147</v>
      </c>
      <c r="J125" s="514">
        <f t="shared" si="32"/>
        <v>0</v>
      </c>
      <c r="K125" s="514"/>
      <c r="L125" s="525"/>
      <c r="M125" s="514">
        <f t="shared" si="43"/>
        <v>0</v>
      </c>
      <c r="N125" s="525"/>
      <c r="O125" s="514">
        <f t="shared" si="33"/>
        <v>0</v>
      </c>
      <c r="P125" s="514">
        <f t="shared" si="34"/>
        <v>0</v>
      </c>
    </row>
    <row r="126" spans="2:16" ht="12.5">
      <c r="B126" s="195" t="str">
        <f t="shared" si="31"/>
        <v/>
      </c>
      <c r="C126" s="507">
        <f>IF(D93="","-",+C125+1)</f>
        <v>2040</v>
      </c>
      <c r="D126" s="374">
        <f>IF(F125+SUM(E$99:E125)=D$92,F125,D$92-SUM(E$99:E125))</f>
        <v>1515959.1341395867</v>
      </c>
      <c r="E126" s="522">
        <f t="shared" si="38"/>
        <v>105284.58536585367</v>
      </c>
      <c r="F126" s="523">
        <f t="shared" si="39"/>
        <v>1410674.548773733</v>
      </c>
      <c r="G126" s="523">
        <f t="shared" si="40"/>
        <v>1463316.8414566598</v>
      </c>
      <c r="H126" s="526">
        <f t="shared" si="41"/>
        <v>271391.86456063093</v>
      </c>
      <c r="I126" s="577">
        <f t="shared" si="42"/>
        <v>271391.86456063093</v>
      </c>
      <c r="J126" s="514">
        <f t="shared" si="32"/>
        <v>0</v>
      </c>
      <c r="K126" s="514"/>
      <c r="L126" s="525"/>
      <c r="M126" s="514">
        <f t="shared" si="43"/>
        <v>0</v>
      </c>
      <c r="N126" s="525"/>
      <c r="O126" s="514">
        <f t="shared" si="33"/>
        <v>0</v>
      </c>
      <c r="P126" s="514">
        <f t="shared" si="34"/>
        <v>0</v>
      </c>
    </row>
    <row r="127" spans="2:16" ht="12.5">
      <c r="B127" s="195" t="str">
        <f t="shared" si="31"/>
        <v/>
      </c>
      <c r="C127" s="507">
        <f>IF(D93="","-",+C126+1)</f>
        <v>2041</v>
      </c>
      <c r="D127" s="374">
        <f>IF(F126+SUM(E$99:E126)=D$92,F126,D$92-SUM(E$99:E126))</f>
        <v>1410674.548773733</v>
      </c>
      <c r="E127" s="522">
        <f t="shared" si="38"/>
        <v>105284.58536585367</v>
      </c>
      <c r="F127" s="523">
        <f t="shared" si="39"/>
        <v>1305389.9634078792</v>
      </c>
      <c r="G127" s="523">
        <f t="shared" si="40"/>
        <v>1358032.2560908061</v>
      </c>
      <c r="H127" s="526">
        <f t="shared" si="41"/>
        <v>259440.56630395044</v>
      </c>
      <c r="I127" s="577">
        <f t="shared" si="42"/>
        <v>259440.56630395044</v>
      </c>
      <c r="J127" s="514">
        <f t="shared" si="32"/>
        <v>0</v>
      </c>
      <c r="K127" s="514"/>
      <c r="L127" s="525"/>
      <c r="M127" s="514">
        <f t="shared" si="43"/>
        <v>0</v>
      </c>
      <c r="N127" s="525"/>
      <c r="O127" s="514">
        <f t="shared" si="33"/>
        <v>0</v>
      </c>
      <c r="P127" s="514">
        <f t="shared" si="34"/>
        <v>0</v>
      </c>
    </row>
    <row r="128" spans="2:16" ht="12.5">
      <c r="B128" s="195" t="str">
        <f t="shared" si="31"/>
        <v/>
      </c>
      <c r="C128" s="507">
        <f>IF(D93="","-",+C127+1)</f>
        <v>2042</v>
      </c>
      <c r="D128" s="374">
        <f>IF(F127+SUM(E$99:E127)=D$92,F127,D$92-SUM(E$99:E127))</f>
        <v>1305389.9634078792</v>
      </c>
      <c r="E128" s="522">
        <f t="shared" si="38"/>
        <v>105284.58536585367</v>
      </c>
      <c r="F128" s="523">
        <f t="shared" si="39"/>
        <v>1200105.3780420255</v>
      </c>
      <c r="G128" s="523">
        <f t="shared" si="40"/>
        <v>1252747.6707249524</v>
      </c>
      <c r="H128" s="526">
        <f t="shared" si="41"/>
        <v>247489.2680472699</v>
      </c>
      <c r="I128" s="577">
        <f t="shared" si="42"/>
        <v>247489.2680472699</v>
      </c>
      <c r="J128" s="514">
        <f t="shared" si="32"/>
        <v>0</v>
      </c>
      <c r="K128" s="514"/>
      <c r="L128" s="525"/>
      <c r="M128" s="514">
        <f t="shared" si="43"/>
        <v>0</v>
      </c>
      <c r="N128" s="525"/>
      <c r="O128" s="514">
        <f t="shared" si="33"/>
        <v>0</v>
      </c>
      <c r="P128" s="514">
        <f t="shared" si="34"/>
        <v>0</v>
      </c>
    </row>
    <row r="129" spans="2:16" ht="12.5">
      <c r="B129" s="195" t="str">
        <f t="shared" si="31"/>
        <v/>
      </c>
      <c r="C129" s="507">
        <f>IF(D93="","-",+C128+1)</f>
        <v>2043</v>
      </c>
      <c r="D129" s="374">
        <f>IF(F128+SUM(E$99:E128)=D$92,F128,D$92-SUM(E$99:E128))</f>
        <v>1200105.3780420255</v>
      </c>
      <c r="E129" s="522">
        <f t="shared" si="38"/>
        <v>105284.58536585367</v>
      </c>
      <c r="F129" s="523">
        <f t="shared" si="39"/>
        <v>1094820.7926761718</v>
      </c>
      <c r="G129" s="523">
        <f t="shared" si="40"/>
        <v>1147463.0853590986</v>
      </c>
      <c r="H129" s="526">
        <f t="shared" si="41"/>
        <v>235537.96979058936</v>
      </c>
      <c r="I129" s="577">
        <f t="shared" si="42"/>
        <v>235537.96979058936</v>
      </c>
      <c r="J129" s="514">
        <f t="shared" si="32"/>
        <v>0</v>
      </c>
      <c r="K129" s="514"/>
      <c r="L129" s="525"/>
      <c r="M129" s="514">
        <f t="shared" si="43"/>
        <v>0</v>
      </c>
      <c r="N129" s="525"/>
      <c r="O129" s="514">
        <f t="shared" si="33"/>
        <v>0</v>
      </c>
      <c r="P129" s="514">
        <f t="shared" si="34"/>
        <v>0</v>
      </c>
    </row>
    <row r="130" spans="2:16" ht="12.5">
      <c r="B130" s="195" t="str">
        <f t="shared" si="31"/>
        <v/>
      </c>
      <c r="C130" s="507">
        <f>IF(D93="","-",+C129+1)</f>
        <v>2044</v>
      </c>
      <c r="D130" s="374">
        <f>IF(F129+SUM(E$99:E129)=D$92,F129,D$92-SUM(E$99:E129))</f>
        <v>1094820.7926761718</v>
      </c>
      <c r="E130" s="522">
        <f t="shared" si="38"/>
        <v>105284.58536585367</v>
      </c>
      <c r="F130" s="523">
        <f t="shared" si="39"/>
        <v>989536.20731031813</v>
      </c>
      <c r="G130" s="523">
        <f t="shared" si="40"/>
        <v>1042178.4999932449</v>
      </c>
      <c r="H130" s="526">
        <f t="shared" si="41"/>
        <v>223586.67153390887</v>
      </c>
      <c r="I130" s="577">
        <f t="shared" si="42"/>
        <v>223586.67153390887</v>
      </c>
      <c r="J130" s="514">
        <f t="shared" si="32"/>
        <v>0</v>
      </c>
      <c r="K130" s="514"/>
      <c r="L130" s="525"/>
      <c r="M130" s="514">
        <f t="shared" si="43"/>
        <v>0</v>
      </c>
      <c r="N130" s="525"/>
      <c r="O130" s="514">
        <f t="shared" si="33"/>
        <v>0</v>
      </c>
      <c r="P130" s="514">
        <f t="shared" si="34"/>
        <v>0</v>
      </c>
    </row>
    <row r="131" spans="2:16" ht="12.5">
      <c r="B131" s="195" t="str">
        <f t="shared" si="31"/>
        <v/>
      </c>
      <c r="C131" s="507">
        <f>IF(D93="","-",+C130+1)</f>
        <v>2045</v>
      </c>
      <c r="D131" s="374">
        <f>IF(F130+SUM(E$99:E130)=D$92,F130,D$92-SUM(E$99:E130))</f>
        <v>989536.20731031813</v>
      </c>
      <c r="E131" s="522">
        <f t="shared" si="38"/>
        <v>105284.58536585367</v>
      </c>
      <c r="F131" s="523">
        <f t="shared" si="39"/>
        <v>884251.62194446451</v>
      </c>
      <c r="G131" s="523">
        <f t="shared" si="40"/>
        <v>936893.91462739138</v>
      </c>
      <c r="H131" s="526">
        <f t="shared" si="41"/>
        <v>211635.37327722835</v>
      </c>
      <c r="I131" s="577">
        <f t="shared" si="42"/>
        <v>211635.37327722835</v>
      </c>
      <c r="J131" s="514">
        <f t="shared" si="32"/>
        <v>0</v>
      </c>
      <c r="K131" s="514"/>
      <c r="L131" s="525"/>
      <c r="M131" s="514">
        <f t="shared" ref="M131:M154" si="44">IF(L541&lt;&gt;0,+H541-L541,0)</f>
        <v>0</v>
      </c>
      <c r="N131" s="525"/>
      <c r="O131" s="514">
        <f t="shared" ref="O131:O154" si="45">IF(N541&lt;&gt;0,+I541-N541,0)</f>
        <v>0</v>
      </c>
      <c r="P131" s="514">
        <f t="shared" ref="P131:P154" si="46">+O541-M541</f>
        <v>0</v>
      </c>
    </row>
    <row r="132" spans="2:16" ht="12.5">
      <c r="B132" s="195" t="str">
        <f t="shared" si="31"/>
        <v/>
      </c>
      <c r="C132" s="507">
        <f>IF(D93="","-",+C131+1)</f>
        <v>2046</v>
      </c>
      <c r="D132" s="374">
        <f>IF(F131+SUM(E$99:E131)=D$92,F131,D$92-SUM(E$99:E131))</f>
        <v>884251.62194446451</v>
      </c>
      <c r="E132" s="522">
        <f t="shared" si="38"/>
        <v>105284.58536585367</v>
      </c>
      <c r="F132" s="523">
        <f t="shared" si="39"/>
        <v>778967.03657861089</v>
      </c>
      <c r="G132" s="523">
        <f t="shared" si="40"/>
        <v>831609.32926153764</v>
      </c>
      <c r="H132" s="526">
        <f t="shared" si="41"/>
        <v>199684.07502054784</v>
      </c>
      <c r="I132" s="577">
        <f t="shared" si="42"/>
        <v>199684.07502054784</v>
      </c>
      <c r="J132" s="514">
        <f t="shared" si="32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</row>
    <row r="133" spans="2:16" ht="12.5">
      <c r="B133" s="195" t="str">
        <f t="shared" si="31"/>
        <v/>
      </c>
      <c r="C133" s="507">
        <f>IF(D93="","-",+C132+1)</f>
        <v>2047</v>
      </c>
      <c r="D133" s="374">
        <f>IF(F132+SUM(E$99:E132)=D$92,F132,D$92-SUM(E$99:E132))</f>
        <v>778967.03657861089</v>
      </c>
      <c r="E133" s="522">
        <f t="shared" si="38"/>
        <v>105284.58536585367</v>
      </c>
      <c r="F133" s="523">
        <f t="shared" si="39"/>
        <v>673682.45121275727</v>
      </c>
      <c r="G133" s="523">
        <f t="shared" si="40"/>
        <v>726324.74389568414</v>
      </c>
      <c r="H133" s="526">
        <f t="shared" si="41"/>
        <v>187732.77676386732</v>
      </c>
      <c r="I133" s="577">
        <f t="shared" si="42"/>
        <v>187732.77676386732</v>
      </c>
      <c r="J133" s="514">
        <f t="shared" si="32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</row>
    <row r="134" spans="2:16" ht="12.5">
      <c r="B134" s="195" t="str">
        <f t="shared" si="31"/>
        <v/>
      </c>
      <c r="C134" s="507">
        <f>IF(D93="","-",+C133+1)</f>
        <v>2048</v>
      </c>
      <c r="D134" s="374">
        <f>IF(F133+SUM(E$99:E133)=D$92,F133,D$92-SUM(E$99:E133))</f>
        <v>673682.45121275727</v>
      </c>
      <c r="E134" s="522">
        <f t="shared" si="38"/>
        <v>105284.58536585367</v>
      </c>
      <c r="F134" s="523">
        <f t="shared" si="39"/>
        <v>568397.86584690365</v>
      </c>
      <c r="G134" s="523">
        <f t="shared" si="40"/>
        <v>621040.1585298304</v>
      </c>
      <c r="H134" s="526">
        <f t="shared" si="41"/>
        <v>175781.47850718681</v>
      </c>
      <c r="I134" s="577">
        <f t="shared" si="42"/>
        <v>175781.47850718681</v>
      </c>
      <c r="J134" s="514">
        <f t="shared" si="32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</row>
    <row r="135" spans="2:16" ht="12.5">
      <c r="B135" s="195" t="str">
        <f t="shared" si="31"/>
        <v/>
      </c>
      <c r="C135" s="507">
        <f>IF(D93="","-",+C134+1)</f>
        <v>2049</v>
      </c>
      <c r="D135" s="374">
        <f>IF(F134+SUM(E$99:E134)=D$92,F134,D$92-SUM(E$99:E134))</f>
        <v>568397.86584690365</v>
      </c>
      <c r="E135" s="522">
        <f t="shared" si="38"/>
        <v>105284.58536585367</v>
      </c>
      <c r="F135" s="523">
        <f t="shared" si="39"/>
        <v>463113.28048104997</v>
      </c>
      <c r="G135" s="523">
        <f t="shared" si="40"/>
        <v>515755.57316397678</v>
      </c>
      <c r="H135" s="526">
        <f t="shared" si="41"/>
        <v>163830.1802505063</v>
      </c>
      <c r="I135" s="577">
        <f t="shared" si="42"/>
        <v>163830.1802505063</v>
      </c>
      <c r="J135" s="514">
        <f t="shared" si="32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</row>
    <row r="136" spans="2:16" ht="12.5">
      <c r="B136" s="195" t="str">
        <f t="shared" si="31"/>
        <v/>
      </c>
      <c r="C136" s="507">
        <f>IF(D93="","-",+C135+1)</f>
        <v>2050</v>
      </c>
      <c r="D136" s="374">
        <f>IF(F135+SUM(E$99:E135)=D$92,F135,D$92-SUM(E$99:E135))</f>
        <v>463113.28048104997</v>
      </c>
      <c r="E136" s="522">
        <f t="shared" si="38"/>
        <v>105284.58536585367</v>
      </c>
      <c r="F136" s="523">
        <f t="shared" si="39"/>
        <v>357828.69511519629</v>
      </c>
      <c r="G136" s="523">
        <f t="shared" si="40"/>
        <v>410470.98779812315</v>
      </c>
      <c r="H136" s="526">
        <f t="shared" si="41"/>
        <v>151878.88199382578</v>
      </c>
      <c r="I136" s="577">
        <f t="shared" si="42"/>
        <v>151878.88199382578</v>
      </c>
      <c r="J136" s="514">
        <f t="shared" si="32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</row>
    <row r="137" spans="2:16" ht="12.5">
      <c r="B137" s="195" t="str">
        <f t="shared" si="31"/>
        <v/>
      </c>
      <c r="C137" s="507">
        <f>IF(D93="","-",+C136+1)</f>
        <v>2051</v>
      </c>
      <c r="D137" s="374">
        <f>IF(F136+SUM(E$99:E136)=D$92,F136,D$92-SUM(E$99:E136))</f>
        <v>357828.69511519629</v>
      </c>
      <c r="E137" s="522">
        <f t="shared" si="38"/>
        <v>105284.58536585367</v>
      </c>
      <c r="F137" s="523">
        <f t="shared" si="39"/>
        <v>252544.10974934261</v>
      </c>
      <c r="G137" s="523">
        <f t="shared" si="40"/>
        <v>305186.40243226942</v>
      </c>
      <c r="H137" s="526">
        <f t="shared" si="41"/>
        <v>139927.58373714527</v>
      </c>
      <c r="I137" s="577">
        <f t="shared" si="42"/>
        <v>139927.58373714527</v>
      </c>
      <c r="J137" s="514">
        <f t="shared" si="32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</row>
    <row r="138" spans="2:16" ht="12.5">
      <c r="B138" s="195" t="str">
        <f t="shared" si="31"/>
        <v/>
      </c>
      <c r="C138" s="507">
        <f>IF(D93="","-",+C137+1)</f>
        <v>2052</v>
      </c>
      <c r="D138" s="374">
        <f>IF(F137+SUM(E$99:E137)=D$92,F137,D$92-SUM(E$99:E137))</f>
        <v>252544.10974934261</v>
      </c>
      <c r="E138" s="522">
        <f t="shared" si="38"/>
        <v>105284.58536585367</v>
      </c>
      <c r="F138" s="523">
        <f t="shared" si="39"/>
        <v>147259.52438348893</v>
      </c>
      <c r="G138" s="523">
        <f t="shared" si="40"/>
        <v>199901.81706641577</v>
      </c>
      <c r="H138" s="526">
        <f t="shared" si="41"/>
        <v>127976.28548046475</v>
      </c>
      <c r="I138" s="577">
        <f t="shared" si="42"/>
        <v>127976.28548046475</v>
      </c>
      <c r="J138" s="514">
        <f t="shared" si="32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</row>
    <row r="139" spans="2:16" ht="12.5">
      <c r="B139" s="195" t="str">
        <f t="shared" si="31"/>
        <v/>
      </c>
      <c r="C139" s="507">
        <f>IF(D93="","-",+C138+1)</f>
        <v>2053</v>
      </c>
      <c r="D139" s="374">
        <f>IF(F138+SUM(E$99:E138)=D$92,F138,D$92-SUM(E$99:E138))</f>
        <v>147259.52438348893</v>
      </c>
      <c r="E139" s="522">
        <f t="shared" si="38"/>
        <v>105284.58536585367</v>
      </c>
      <c r="F139" s="523">
        <f t="shared" si="39"/>
        <v>41974.939017635261</v>
      </c>
      <c r="G139" s="523">
        <f t="shared" si="40"/>
        <v>94617.231700562086</v>
      </c>
      <c r="H139" s="526">
        <f t="shared" si="41"/>
        <v>116024.98722378424</v>
      </c>
      <c r="I139" s="577">
        <f t="shared" si="42"/>
        <v>116024.98722378424</v>
      </c>
      <c r="J139" s="514">
        <f t="shared" si="32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</row>
    <row r="140" spans="2:16" ht="12.5">
      <c r="B140" s="195" t="str">
        <f t="shared" si="31"/>
        <v/>
      </c>
      <c r="C140" s="507">
        <f>IF(D93="","-",+C139+1)</f>
        <v>2054</v>
      </c>
      <c r="D140" s="374">
        <f>IF(F139+SUM(E$99:E139)=D$92,F139,D$92-SUM(E$99:E139))</f>
        <v>41974.939017635261</v>
      </c>
      <c r="E140" s="522">
        <f t="shared" si="38"/>
        <v>41974.939017635261</v>
      </c>
      <c r="F140" s="523">
        <f t="shared" si="39"/>
        <v>0</v>
      </c>
      <c r="G140" s="523">
        <f t="shared" si="40"/>
        <v>20987.46950881763</v>
      </c>
      <c r="H140" s="526">
        <f t="shared" si="41"/>
        <v>44357.315382430417</v>
      </c>
      <c r="I140" s="577">
        <f t="shared" si="42"/>
        <v>44357.315382430417</v>
      </c>
      <c r="J140" s="514">
        <f t="shared" si="32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</row>
    <row r="141" spans="2:16" ht="12.5">
      <c r="B141" s="195" t="str">
        <f t="shared" si="31"/>
        <v/>
      </c>
      <c r="C141" s="507">
        <f>IF(D93="","-",+C140+1)</f>
        <v>2055</v>
      </c>
      <c r="D141" s="374">
        <f>IF(F140+SUM(E$99:E140)=D$92,F140,D$92-SUM(E$99:E140))</f>
        <v>0</v>
      </c>
      <c r="E141" s="522">
        <f t="shared" si="38"/>
        <v>0</v>
      </c>
      <c r="F141" s="523">
        <f t="shared" si="39"/>
        <v>0</v>
      </c>
      <c r="G141" s="523">
        <f t="shared" si="40"/>
        <v>0</v>
      </c>
      <c r="H141" s="526">
        <f t="shared" si="41"/>
        <v>0</v>
      </c>
      <c r="I141" s="577">
        <f t="shared" si="42"/>
        <v>0</v>
      </c>
      <c r="J141" s="514">
        <f t="shared" si="32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</row>
    <row r="142" spans="2:16" ht="12.5">
      <c r="B142" s="195" t="str">
        <f t="shared" si="31"/>
        <v/>
      </c>
      <c r="C142" s="507">
        <f>IF(D93="","-",+C141+1)</f>
        <v>2056</v>
      </c>
      <c r="D142" s="374">
        <f>IF(F141+SUM(E$99:E141)=D$92,F141,D$92-SUM(E$99:E141))</f>
        <v>0</v>
      </c>
      <c r="E142" s="522">
        <f t="shared" si="38"/>
        <v>0</v>
      </c>
      <c r="F142" s="523">
        <f t="shared" si="39"/>
        <v>0</v>
      </c>
      <c r="G142" s="523">
        <f t="shared" si="40"/>
        <v>0</v>
      </c>
      <c r="H142" s="526">
        <f t="shared" si="41"/>
        <v>0</v>
      </c>
      <c r="I142" s="577">
        <f t="shared" si="42"/>
        <v>0</v>
      </c>
      <c r="J142" s="514">
        <f t="shared" si="32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</row>
    <row r="143" spans="2:16" ht="12.5">
      <c r="B143" s="195" t="str">
        <f t="shared" si="31"/>
        <v/>
      </c>
      <c r="C143" s="507">
        <f>IF(D93="","-",+C142+1)</f>
        <v>2057</v>
      </c>
      <c r="D143" s="374">
        <f>IF(F142+SUM(E$99:E142)=D$92,F142,D$92-SUM(E$99:E142))</f>
        <v>0</v>
      </c>
      <c r="E143" s="522">
        <f t="shared" si="38"/>
        <v>0</v>
      </c>
      <c r="F143" s="523">
        <f t="shared" si="39"/>
        <v>0</v>
      </c>
      <c r="G143" s="523">
        <f t="shared" si="40"/>
        <v>0</v>
      </c>
      <c r="H143" s="526">
        <f t="shared" si="41"/>
        <v>0</v>
      </c>
      <c r="I143" s="577">
        <f t="shared" si="42"/>
        <v>0</v>
      </c>
      <c r="J143" s="514">
        <f t="shared" si="32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</row>
    <row r="144" spans="2:16" ht="12.5">
      <c r="B144" s="195" t="str">
        <f t="shared" si="31"/>
        <v/>
      </c>
      <c r="C144" s="507">
        <f>IF(D93="","-",+C143+1)</f>
        <v>2058</v>
      </c>
      <c r="D144" s="374">
        <f>IF(F143+SUM(E$99:E143)=D$92,F143,D$92-SUM(E$99:E143))</f>
        <v>0</v>
      </c>
      <c r="E144" s="522">
        <f t="shared" si="38"/>
        <v>0</v>
      </c>
      <c r="F144" s="523">
        <f t="shared" si="39"/>
        <v>0</v>
      </c>
      <c r="G144" s="523">
        <f t="shared" si="40"/>
        <v>0</v>
      </c>
      <c r="H144" s="526">
        <f t="shared" si="41"/>
        <v>0</v>
      </c>
      <c r="I144" s="577">
        <f t="shared" si="42"/>
        <v>0</v>
      </c>
      <c r="J144" s="514">
        <f t="shared" si="32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</row>
    <row r="145" spans="2:16" ht="12.5">
      <c r="B145" s="195" t="str">
        <f t="shared" si="31"/>
        <v/>
      </c>
      <c r="C145" s="507">
        <f>IF(D93="","-",+C144+1)</f>
        <v>2059</v>
      </c>
      <c r="D145" s="374">
        <f>IF(F144+SUM(E$99:E144)=D$92,F144,D$92-SUM(E$99:E144))</f>
        <v>0</v>
      </c>
      <c r="E145" s="522">
        <f t="shared" si="38"/>
        <v>0</v>
      </c>
      <c r="F145" s="523">
        <f t="shared" si="39"/>
        <v>0</v>
      </c>
      <c r="G145" s="523">
        <f t="shared" si="40"/>
        <v>0</v>
      </c>
      <c r="H145" s="526">
        <f t="shared" si="41"/>
        <v>0</v>
      </c>
      <c r="I145" s="577">
        <f t="shared" si="42"/>
        <v>0</v>
      </c>
      <c r="J145" s="514">
        <f t="shared" si="32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</row>
    <row r="146" spans="2:16" ht="12.5">
      <c r="B146" s="195" t="str">
        <f t="shared" si="31"/>
        <v/>
      </c>
      <c r="C146" s="507">
        <f>IF(D93="","-",+C145+1)</f>
        <v>2060</v>
      </c>
      <c r="D146" s="374">
        <f>IF(F145+SUM(E$99:E145)=D$92,F145,D$92-SUM(E$99:E145))</f>
        <v>0</v>
      </c>
      <c r="E146" s="522">
        <f t="shared" si="38"/>
        <v>0</v>
      </c>
      <c r="F146" s="523">
        <f t="shared" si="39"/>
        <v>0</v>
      </c>
      <c r="G146" s="523">
        <f t="shared" si="40"/>
        <v>0</v>
      </c>
      <c r="H146" s="526">
        <f t="shared" si="41"/>
        <v>0</v>
      </c>
      <c r="I146" s="577">
        <f t="shared" si="42"/>
        <v>0</v>
      </c>
      <c r="J146" s="514">
        <f t="shared" si="32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</row>
    <row r="147" spans="2:16" ht="12.5">
      <c r="B147" s="195" t="str">
        <f t="shared" si="31"/>
        <v/>
      </c>
      <c r="C147" s="507">
        <f>IF(D93="","-",+C146+1)</f>
        <v>2061</v>
      </c>
      <c r="D147" s="374">
        <f>IF(F146+SUM(E$99:E146)=D$92,F146,D$92-SUM(E$99:E146))</f>
        <v>0</v>
      </c>
      <c r="E147" s="522">
        <f t="shared" si="38"/>
        <v>0</v>
      </c>
      <c r="F147" s="523">
        <f t="shared" si="39"/>
        <v>0</v>
      </c>
      <c r="G147" s="523">
        <f t="shared" si="40"/>
        <v>0</v>
      </c>
      <c r="H147" s="526">
        <f t="shared" si="41"/>
        <v>0</v>
      </c>
      <c r="I147" s="577">
        <f t="shared" si="42"/>
        <v>0</v>
      </c>
      <c r="J147" s="514">
        <f t="shared" si="32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</row>
    <row r="148" spans="2:16" ht="12.5">
      <c r="B148" s="195" t="str">
        <f t="shared" si="31"/>
        <v/>
      </c>
      <c r="C148" s="507">
        <f>IF(D93="","-",+C147+1)</f>
        <v>2062</v>
      </c>
      <c r="D148" s="374">
        <f>IF(F147+SUM(E$99:E147)=D$92,F147,D$92-SUM(E$99:E147))</f>
        <v>0</v>
      </c>
      <c r="E148" s="522">
        <f t="shared" si="38"/>
        <v>0</v>
      </c>
      <c r="F148" s="523">
        <f t="shared" si="39"/>
        <v>0</v>
      </c>
      <c r="G148" s="523">
        <f t="shared" si="40"/>
        <v>0</v>
      </c>
      <c r="H148" s="526">
        <f t="shared" si="41"/>
        <v>0</v>
      </c>
      <c r="I148" s="577">
        <f t="shared" si="42"/>
        <v>0</v>
      </c>
      <c r="J148" s="514">
        <f t="shared" si="32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</row>
    <row r="149" spans="2:16" ht="12.5">
      <c r="B149" s="195" t="str">
        <f t="shared" si="31"/>
        <v/>
      </c>
      <c r="C149" s="507">
        <f>IF(D93="","-",+C148+1)</f>
        <v>2063</v>
      </c>
      <c r="D149" s="374">
        <f>IF(F148+SUM(E$99:E148)=D$92,F148,D$92-SUM(E$99:E148))</f>
        <v>0</v>
      </c>
      <c r="E149" s="522">
        <f t="shared" si="38"/>
        <v>0</v>
      </c>
      <c r="F149" s="523">
        <f t="shared" si="39"/>
        <v>0</v>
      </c>
      <c r="G149" s="523">
        <f t="shared" si="40"/>
        <v>0</v>
      </c>
      <c r="H149" s="526">
        <f t="shared" si="41"/>
        <v>0</v>
      </c>
      <c r="I149" s="577">
        <f t="shared" si="42"/>
        <v>0</v>
      </c>
      <c r="J149" s="514">
        <f t="shared" si="32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</row>
    <row r="150" spans="2:16" ht="12.5">
      <c r="B150" s="195" t="str">
        <f t="shared" si="31"/>
        <v/>
      </c>
      <c r="C150" s="507">
        <f>IF(D93="","-",+C149+1)</f>
        <v>2064</v>
      </c>
      <c r="D150" s="374">
        <f>IF(F149+SUM(E$99:E149)=D$92,F149,D$92-SUM(E$99:E149))</f>
        <v>0</v>
      </c>
      <c r="E150" s="522">
        <f t="shared" si="38"/>
        <v>0</v>
      </c>
      <c r="F150" s="523">
        <f t="shared" si="39"/>
        <v>0</v>
      </c>
      <c r="G150" s="523">
        <f t="shared" si="40"/>
        <v>0</v>
      </c>
      <c r="H150" s="526">
        <f t="shared" si="41"/>
        <v>0</v>
      </c>
      <c r="I150" s="577">
        <f t="shared" si="42"/>
        <v>0</v>
      </c>
      <c r="J150" s="514">
        <f t="shared" si="32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</row>
    <row r="151" spans="2:16" ht="12.5">
      <c r="B151" s="195" t="str">
        <f t="shared" si="31"/>
        <v/>
      </c>
      <c r="C151" s="507">
        <f>IF(D93="","-",+C150+1)</f>
        <v>2065</v>
      </c>
      <c r="D151" s="374">
        <f>IF(F150+SUM(E$99:E150)=D$92,F150,D$92-SUM(E$99:E150))</f>
        <v>0</v>
      </c>
      <c r="E151" s="522">
        <f t="shared" si="38"/>
        <v>0</v>
      </c>
      <c r="F151" s="523">
        <f t="shared" si="39"/>
        <v>0</v>
      </c>
      <c r="G151" s="523">
        <f t="shared" si="40"/>
        <v>0</v>
      </c>
      <c r="H151" s="526">
        <f t="shared" si="41"/>
        <v>0</v>
      </c>
      <c r="I151" s="577">
        <f t="shared" si="42"/>
        <v>0</v>
      </c>
      <c r="J151" s="514">
        <f t="shared" si="32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</row>
    <row r="152" spans="2:16" ht="12.5">
      <c r="B152" s="195" t="str">
        <f t="shared" si="31"/>
        <v/>
      </c>
      <c r="C152" s="507">
        <f>IF(D93="","-",+C151+1)</f>
        <v>2066</v>
      </c>
      <c r="D152" s="374">
        <f>IF(F151+SUM(E$99:E151)=D$92,F151,D$92-SUM(E$99:E151))</f>
        <v>0</v>
      </c>
      <c r="E152" s="522">
        <f t="shared" si="38"/>
        <v>0</v>
      </c>
      <c r="F152" s="523">
        <f t="shared" si="39"/>
        <v>0</v>
      </c>
      <c r="G152" s="523">
        <f t="shared" si="40"/>
        <v>0</v>
      </c>
      <c r="H152" s="526">
        <f t="shared" si="41"/>
        <v>0</v>
      </c>
      <c r="I152" s="577">
        <f t="shared" si="42"/>
        <v>0</v>
      </c>
      <c r="J152" s="514">
        <f t="shared" si="32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</row>
    <row r="153" spans="2:16" ht="12.5">
      <c r="B153" s="195" t="str">
        <f t="shared" si="31"/>
        <v/>
      </c>
      <c r="C153" s="507">
        <f>IF(D93="","-",+C152+1)</f>
        <v>2067</v>
      </c>
      <c r="D153" s="374">
        <f>IF(F152+SUM(E$99:E152)=D$92,F152,D$92-SUM(E$99:E152))</f>
        <v>0</v>
      </c>
      <c r="E153" s="522">
        <f t="shared" si="38"/>
        <v>0</v>
      </c>
      <c r="F153" s="523">
        <f t="shared" si="39"/>
        <v>0</v>
      </c>
      <c r="G153" s="523">
        <f t="shared" si="40"/>
        <v>0</v>
      </c>
      <c r="H153" s="526">
        <f t="shared" si="41"/>
        <v>0</v>
      </c>
      <c r="I153" s="577">
        <f t="shared" si="42"/>
        <v>0</v>
      </c>
      <c r="J153" s="514">
        <f t="shared" si="32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</row>
    <row r="154" spans="2:16" ht="13" thickBot="1">
      <c r="B154" s="195" t="str">
        <f t="shared" si="31"/>
        <v/>
      </c>
      <c r="C154" s="527">
        <f>IF(D93="","-",+C153+1)</f>
        <v>2068</v>
      </c>
      <c r="D154" s="374">
        <f>IF(F153+SUM(E$99:E153)=D$92,F153,D$92-SUM(E$99:E153))</f>
        <v>0</v>
      </c>
      <c r="E154" s="522">
        <f t="shared" si="38"/>
        <v>0</v>
      </c>
      <c r="F154" s="523">
        <f t="shared" si="39"/>
        <v>0</v>
      </c>
      <c r="G154" s="523">
        <f t="shared" si="40"/>
        <v>0</v>
      </c>
      <c r="H154" s="526">
        <f t="shared" si="41"/>
        <v>0</v>
      </c>
      <c r="I154" s="577">
        <f t="shared" si="42"/>
        <v>0</v>
      </c>
      <c r="J154" s="514">
        <f t="shared" si="32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</row>
    <row r="155" spans="2:16" ht="12.5">
      <c r="C155" s="374" t="s">
        <v>78</v>
      </c>
      <c r="D155" s="375"/>
      <c r="E155" s="375">
        <f>SUM(E99:E154)</f>
        <v>4316667.9999999991</v>
      </c>
      <c r="F155" s="375"/>
      <c r="G155" s="375"/>
      <c r="H155" s="375">
        <f>SUM(H99:H154)</f>
        <v>14525182.998868542</v>
      </c>
      <c r="I155" s="375">
        <f>SUM(I99:I154)</f>
        <v>14525182.998868542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2" priority="1" stopIfTrue="1" operator="equal">
      <formula>$I$10</formula>
    </cfRule>
  </conditionalFormatting>
  <conditionalFormatting sqref="C99:C154">
    <cfRule type="cellIs" dxfId="8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89"/>
  <dimension ref="A1:P162"/>
  <sheetViews>
    <sheetView view="pageBreakPreview" zoomScale="80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40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1179890.6200067406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1179890.6200067406</v>
      </c>
      <c r="O6" s="269"/>
      <c r="P6" s="269"/>
    </row>
    <row r="7" spans="1:16" ht="13.5" thickBot="1">
      <c r="C7" s="467" t="s">
        <v>48</v>
      </c>
      <c r="D7" s="624" t="s">
        <v>310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464</v>
      </c>
      <c r="E9" s="637" t="s">
        <v>324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9637037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229453.26190476189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9550200</v>
      </c>
      <c r="E17" s="638">
        <v>151590.47619047618</v>
      </c>
      <c r="F17" s="629">
        <v>9398609.5238095243</v>
      </c>
      <c r="G17" s="638">
        <v>1419561.6638908591</v>
      </c>
      <c r="H17" s="639">
        <v>1419561.6638908591</v>
      </c>
      <c r="I17" s="616">
        <v>0</v>
      </c>
      <c r="J17" s="511"/>
      <c r="K17" s="512">
        <f t="shared" ref="K17:K22" si="0">G17</f>
        <v>1419561.6638908591</v>
      </c>
      <c r="L17" s="597">
        <f t="shared" ref="L17:L22" si="1">IF(K17&lt;&gt;0,+G17-K17,0)</f>
        <v>0</v>
      </c>
      <c r="M17" s="512">
        <f t="shared" ref="M17:M22" si="2">H17</f>
        <v>1419561.6638908591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9398609.5238095243</v>
      </c>
      <c r="E18" s="630">
        <v>229453.26190476189</v>
      </c>
      <c r="F18" s="629">
        <v>9169156.2619047631</v>
      </c>
      <c r="G18" s="630">
        <v>1437075.1624886242</v>
      </c>
      <c r="H18" s="639">
        <v>1437075.1624886242</v>
      </c>
      <c r="I18" s="511">
        <v>0</v>
      </c>
      <c r="J18" s="511"/>
      <c r="K18" s="518">
        <f t="shared" si="0"/>
        <v>1437075.1624886242</v>
      </c>
      <c r="L18" s="519">
        <f t="shared" si="1"/>
        <v>0</v>
      </c>
      <c r="M18" s="518">
        <f t="shared" si="2"/>
        <v>1437075.1624886242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9255993.2619047612</v>
      </c>
      <c r="E19" s="630">
        <v>229453.26190476189</v>
      </c>
      <c r="F19" s="629">
        <v>9026540</v>
      </c>
      <c r="G19" s="630">
        <v>1403625.3596120297</v>
      </c>
      <c r="H19" s="639">
        <v>1403625.3596120297</v>
      </c>
      <c r="I19" s="511">
        <f>H19-G19</f>
        <v>0</v>
      </c>
      <c r="J19" s="511"/>
      <c r="K19" s="518">
        <f t="shared" si="0"/>
        <v>1403625.3596120297</v>
      </c>
      <c r="L19" s="519">
        <f t="shared" si="1"/>
        <v>0</v>
      </c>
      <c r="M19" s="518">
        <f t="shared" si="2"/>
        <v>1403625.3596120297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/>
      </c>
      <c r="C20" s="507">
        <f>IF(D11="","-",+C19+1)</f>
        <v>2017</v>
      </c>
      <c r="D20" s="629">
        <v>9026540</v>
      </c>
      <c r="E20" s="630">
        <v>224117.13953488372</v>
      </c>
      <c r="F20" s="629">
        <v>8802422.8604651168</v>
      </c>
      <c r="G20" s="630">
        <v>1328554.8298028773</v>
      </c>
      <c r="H20" s="639">
        <v>1328554.8298028773</v>
      </c>
      <c r="I20" s="511">
        <f t="shared" ref="I20:I72" si="4">H20-G20</f>
        <v>0</v>
      </c>
      <c r="J20" s="511"/>
      <c r="K20" s="518">
        <f t="shared" si="0"/>
        <v>1328554.8298028773</v>
      </c>
      <c r="L20" s="519">
        <f t="shared" si="1"/>
        <v>0</v>
      </c>
      <c r="M20" s="518">
        <f t="shared" si="2"/>
        <v>1328554.8298028773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8802422.8604651168</v>
      </c>
      <c r="E21" s="630">
        <v>235049.68292682926</v>
      </c>
      <c r="F21" s="629">
        <v>8567373.1775382869</v>
      </c>
      <c r="G21" s="630">
        <v>1338848.9709356753</v>
      </c>
      <c r="H21" s="639">
        <v>1338848.9709356753</v>
      </c>
      <c r="I21" s="511">
        <f t="shared" si="4"/>
        <v>0</v>
      </c>
      <c r="J21" s="511"/>
      <c r="K21" s="518">
        <f t="shared" si="0"/>
        <v>1338848.9709356753</v>
      </c>
      <c r="L21" s="519">
        <f t="shared" si="1"/>
        <v>0</v>
      </c>
      <c r="M21" s="518">
        <f t="shared" si="2"/>
        <v>1338848.9709356753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8567373.1775382869</v>
      </c>
      <c r="E22" s="630">
        <v>235049.68292682926</v>
      </c>
      <c r="F22" s="629">
        <v>8332323.4946114579</v>
      </c>
      <c r="G22" s="630">
        <v>1308975.5432807168</v>
      </c>
      <c r="H22" s="639">
        <v>1308975.5432807168</v>
      </c>
      <c r="I22" s="511">
        <f t="shared" si="4"/>
        <v>0</v>
      </c>
      <c r="J22" s="511"/>
      <c r="K22" s="518">
        <f t="shared" si="0"/>
        <v>1308975.5432807168</v>
      </c>
      <c r="L22" s="519">
        <f t="shared" si="1"/>
        <v>0</v>
      </c>
      <c r="M22" s="518">
        <f t="shared" si="2"/>
        <v>1308975.5432807168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/>
      </c>
      <c r="C23" s="507">
        <f>IF(D11="","-",+C22+1)</f>
        <v>2020</v>
      </c>
      <c r="D23" s="629">
        <v>8332323.4946114579</v>
      </c>
      <c r="E23" s="630">
        <v>235049.68292682926</v>
      </c>
      <c r="F23" s="629">
        <v>8097273.8116846289</v>
      </c>
      <c r="G23" s="630">
        <v>1075714.8431861391</v>
      </c>
      <c r="H23" s="639">
        <v>1075714.8431861391</v>
      </c>
      <c r="I23" s="511">
        <f t="shared" si="4"/>
        <v>0</v>
      </c>
      <c r="J23" s="511"/>
      <c r="K23" s="518">
        <f t="shared" ref="K23" si="7">G23</f>
        <v>1075714.8431861391</v>
      </c>
      <c r="L23" s="519">
        <f t="shared" ref="L23" si="8">IF(K23&lt;&gt;0,+G23-K23,0)</f>
        <v>0</v>
      </c>
      <c r="M23" s="518">
        <f t="shared" ref="M23" si="9">H23</f>
        <v>1075714.8431861391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>IU</v>
      </c>
      <c r="C24" s="507">
        <f>IF(D11="","-",+C23+1)</f>
        <v>2021</v>
      </c>
      <c r="D24" s="629">
        <v>8108206.3550765738</v>
      </c>
      <c r="E24" s="630">
        <v>229453.26190476189</v>
      </c>
      <c r="F24" s="629">
        <v>7878753.0931718117</v>
      </c>
      <c r="G24" s="630">
        <v>1076798.4433679713</v>
      </c>
      <c r="H24" s="639">
        <v>1076798.4433679713</v>
      </c>
      <c r="I24" s="511">
        <f t="shared" si="4"/>
        <v>0</v>
      </c>
      <c r="J24" s="511"/>
      <c r="K24" s="518">
        <f t="shared" ref="K24" si="10">G24</f>
        <v>1076798.4433679713</v>
      </c>
      <c r="L24" s="519">
        <f t="shared" ref="L24" si="11">IF(K24&lt;&gt;0,+G24-K24,0)</f>
        <v>0</v>
      </c>
      <c r="M24" s="518">
        <f t="shared" ref="M24" si="12">H24</f>
        <v>1076798.4433679713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>IU</v>
      </c>
      <c r="C25" s="507">
        <f>IF(D11="","-",+C24+1)</f>
        <v>2022</v>
      </c>
      <c r="D25" s="629">
        <v>7867820.5497798668</v>
      </c>
      <c r="E25" s="630">
        <v>229453.26190476189</v>
      </c>
      <c r="F25" s="629">
        <v>7638367.2878751047</v>
      </c>
      <c r="G25" s="630">
        <v>1101242.9056569436</v>
      </c>
      <c r="H25" s="639">
        <v>1101242.9056569436</v>
      </c>
      <c r="I25" s="511">
        <f t="shared" si="4"/>
        <v>0</v>
      </c>
      <c r="J25" s="511"/>
      <c r="K25" s="518">
        <f t="shared" ref="K25" si="13">G25</f>
        <v>1101242.9056569436</v>
      </c>
      <c r="L25" s="519">
        <f t="shared" ref="L25" si="14">IF(K25&lt;&gt;0,+G25-K25,0)</f>
        <v>0</v>
      </c>
      <c r="M25" s="518">
        <f t="shared" ref="M25" si="15">H25</f>
        <v>1101242.9056569436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7638367.2878751047</v>
      </c>
      <c r="E26" s="522">
        <f t="shared" ref="E26:E72" si="16">IF(+$I$14&lt;F25,$I$14,D26)</f>
        <v>229453.26190476189</v>
      </c>
      <c r="F26" s="523">
        <f t="shared" ref="F26:F72" si="17">+D26-E26</f>
        <v>7408914.0259703426</v>
      </c>
      <c r="G26" s="524">
        <f t="shared" ref="G26:G51" si="18">+I$12*((D26+F26)/2)+E26</f>
        <v>1179890.6200067406</v>
      </c>
      <c r="H26" s="491">
        <f t="shared" ref="H26:H51" si="19">+I$13*((D26+F26)/2)+E26</f>
        <v>1179890.6200067406</v>
      </c>
      <c r="I26" s="511">
        <f t="shared" si="4"/>
        <v>0</v>
      </c>
      <c r="J26" s="511"/>
      <c r="K26" s="525"/>
      <c r="L26" s="514">
        <f t="shared" ref="L26:L72" si="20">IF(K26&lt;&gt;0,+G26-K26,0)</f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7408914.0259703426</v>
      </c>
      <c r="E27" s="522">
        <f t="shared" si="16"/>
        <v>229453.26190476189</v>
      </c>
      <c r="F27" s="523">
        <f t="shared" si="17"/>
        <v>7179460.7640655804</v>
      </c>
      <c r="G27" s="524">
        <f t="shared" si="18"/>
        <v>1150904.5264388637</v>
      </c>
      <c r="H27" s="491">
        <f t="shared" si="19"/>
        <v>1150904.5264388637</v>
      </c>
      <c r="I27" s="511">
        <f t="shared" si="4"/>
        <v>0</v>
      </c>
      <c r="J27" s="511"/>
      <c r="K27" s="525"/>
      <c r="L27" s="514">
        <f t="shared" si="20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7179460.7640655804</v>
      </c>
      <c r="E28" s="522">
        <f t="shared" si="16"/>
        <v>229453.26190476189</v>
      </c>
      <c r="F28" s="523">
        <f t="shared" si="17"/>
        <v>6950007.5021608183</v>
      </c>
      <c r="G28" s="524">
        <f t="shared" si="18"/>
        <v>1121918.4328709871</v>
      </c>
      <c r="H28" s="491">
        <f t="shared" si="19"/>
        <v>1121918.4328709871</v>
      </c>
      <c r="I28" s="511">
        <f t="shared" si="4"/>
        <v>0</v>
      </c>
      <c r="J28" s="511"/>
      <c r="K28" s="525"/>
      <c r="L28" s="514">
        <f t="shared" si="20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6950007.5021608183</v>
      </c>
      <c r="E29" s="522">
        <f t="shared" si="16"/>
        <v>229453.26190476189</v>
      </c>
      <c r="F29" s="523">
        <f t="shared" si="17"/>
        <v>6720554.2402560562</v>
      </c>
      <c r="G29" s="524">
        <f t="shared" si="18"/>
        <v>1092932.3393031103</v>
      </c>
      <c r="H29" s="491">
        <f t="shared" si="19"/>
        <v>1092932.3393031103</v>
      </c>
      <c r="I29" s="511">
        <f t="shared" si="4"/>
        <v>0</v>
      </c>
      <c r="J29" s="511"/>
      <c r="K29" s="525"/>
      <c r="L29" s="514">
        <f t="shared" si="20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6720554.2402560562</v>
      </c>
      <c r="E30" s="522">
        <f t="shared" si="16"/>
        <v>229453.26190476189</v>
      </c>
      <c r="F30" s="523">
        <f t="shared" si="17"/>
        <v>6491100.9783512941</v>
      </c>
      <c r="G30" s="524">
        <f t="shared" si="18"/>
        <v>1063946.2457352336</v>
      </c>
      <c r="H30" s="491">
        <f t="shared" si="19"/>
        <v>1063946.2457352336</v>
      </c>
      <c r="I30" s="511">
        <f t="shared" si="4"/>
        <v>0</v>
      </c>
      <c r="J30" s="511"/>
      <c r="K30" s="525"/>
      <c r="L30" s="514">
        <f t="shared" si="20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6491100.9783512941</v>
      </c>
      <c r="E31" s="522">
        <f t="shared" si="16"/>
        <v>229453.26190476189</v>
      </c>
      <c r="F31" s="523">
        <f t="shared" si="17"/>
        <v>6261647.7164465319</v>
      </c>
      <c r="G31" s="524">
        <f t="shared" si="18"/>
        <v>1034960.1521673569</v>
      </c>
      <c r="H31" s="491">
        <f t="shared" si="19"/>
        <v>1034960.1521673569</v>
      </c>
      <c r="I31" s="511">
        <f t="shared" si="4"/>
        <v>0</v>
      </c>
      <c r="J31" s="511"/>
      <c r="K31" s="525"/>
      <c r="L31" s="514">
        <f t="shared" si="20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6261647.7164465319</v>
      </c>
      <c r="E32" s="522">
        <f t="shared" si="16"/>
        <v>229453.26190476189</v>
      </c>
      <c r="F32" s="523">
        <f t="shared" si="17"/>
        <v>6032194.4545417698</v>
      </c>
      <c r="G32" s="524">
        <f t="shared" si="18"/>
        <v>1005974.0585994803</v>
      </c>
      <c r="H32" s="491">
        <f t="shared" si="19"/>
        <v>1005974.0585994803</v>
      </c>
      <c r="I32" s="511">
        <f t="shared" si="4"/>
        <v>0</v>
      </c>
      <c r="J32" s="511"/>
      <c r="K32" s="525"/>
      <c r="L32" s="514">
        <f t="shared" si="20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6032194.4545417698</v>
      </c>
      <c r="E33" s="522">
        <f t="shared" si="16"/>
        <v>229453.26190476189</v>
      </c>
      <c r="F33" s="523">
        <f t="shared" si="17"/>
        <v>5802741.1926370077</v>
      </c>
      <c r="G33" s="524">
        <f t="shared" si="18"/>
        <v>976987.96503160347</v>
      </c>
      <c r="H33" s="491">
        <f t="shared" si="19"/>
        <v>976987.96503160347</v>
      </c>
      <c r="I33" s="511">
        <f t="shared" si="4"/>
        <v>0</v>
      </c>
      <c r="J33" s="511"/>
      <c r="K33" s="525"/>
      <c r="L33" s="514">
        <f t="shared" si="20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5802741.1926370077</v>
      </c>
      <c r="E34" s="522">
        <f t="shared" si="16"/>
        <v>229453.26190476189</v>
      </c>
      <c r="F34" s="523">
        <f t="shared" si="17"/>
        <v>5573287.9307322456</v>
      </c>
      <c r="G34" s="524">
        <f t="shared" si="18"/>
        <v>948001.87146372686</v>
      </c>
      <c r="H34" s="491">
        <f t="shared" si="19"/>
        <v>948001.87146372686</v>
      </c>
      <c r="I34" s="511">
        <f t="shared" si="4"/>
        <v>0</v>
      </c>
      <c r="J34" s="511"/>
      <c r="K34" s="525"/>
      <c r="L34" s="514">
        <f t="shared" si="20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5573287.9307322456</v>
      </c>
      <c r="E35" s="522">
        <f t="shared" si="16"/>
        <v>229453.26190476189</v>
      </c>
      <c r="F35" s="523">
        <f t="shared" si="17"/>
        <v>5343834.6688274834</v>
      </c>
      <c r="G35" s="524">
        <f t="shared" si="18"/>
        <v>919015.77789585001</v>
      </c>
      <c r="H35" s="491">
        <f t="shared" si="19"/>
        <v>919015.77789585001</v>
      </c>
      <c r="I35" s="511">
        <f t="shared" si="4"/>
        <v>0</v>
      </c>
      <c r="J35" s="511"/>
      <c r="K35" s="525"/>
      <c r="L35" s="514">
        <f t="shared" si="20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5343834.6688274834</v>
      </c>
      <c r="E36" s="522">
        <f t="shared" si="16"/>
        <v>229453.26190476189</v>
      </c>
      <c r="F36" s="523">
        <f t="shared" si="17"/>
        <v>5114381.4069227213</v>
      </c>
      <c r="G36" s="524">
        <f t="shared" si="18"/>
        <v>890029.6843279734</v>
      </c>
      <c r="H36" s="491">
        <f t="shared" si="19"/>
        <v>890029.6843279734</v>
      </c>
      <c r="I36" s="511">
        <f t="shared" si="4"/>
        <v>0</v>
      </c>
      <c r="J36" s="511"/>
      <c r="K36" s="525"/>
      <c r="L36" s="514">
        <f t="shared" si="20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5114381.4069227213</v>
      </c>
      <c r="E37" s="522">
        <f t="shared" si="16"/>
        <v>229453.26190476189</v>
      </c>
      <c r="F37" s="523">
        <f t="shared" si="17"/>
        <v>4884928.1450179592</v>
      </c>
      <c r="G37" s="524">
        <f t="shared" si="18"/>
        <v>861043.59076009656</v>
      </c>
      <c r="H37" s="491">
        <f t="shared" si="19"/>
        <v>861043.59076009656</v>
      </c>
      <c r="I37" s="511">
        <f t="shared" si="4"/>
        <v>0</v>
      </c>
      <c r="J37" s="511"/>
      <c r="K37" s="525"/>
      <c r="L37" s="514">
        <f t="shared" si="20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4884928.1450179592</v>
      </c>
      <c r="E38" s="522">
        <f t="shared" si="16"/>
        <v>229453.26190476189</v>
      </c>
      <c r="F38" s="523">
        <f t="shared" si="17"/>
        <v>4655474.8831131971</v>
      </c>
      <c r="G38" s="524">
        <f t="shared" si="18"/>
        <v>832057.49719222006</v>
      </c>
      <c r="H38" s="491">
        <f t="shared" si="19"/>
        <v>832057.49719222006</v>
      </c>
      <c r="I38" s="511">
        <f t="shared" si="4"/>
        <v>0</v>
      </c>
      <c r="J38" s="511"/>
      <c r="K38" s="525"/>
      <c r="L38" s="514">
        <f t="shared" si="20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4655474.8831131971</v>
      </c>
      <c r="E39" s="522">
        <f t="shared" si="16"/>
        <v>229453.26190476189</v>
      </c>
      <c r="F39" s="523">
        <f t="shared" si="17"/>
        <v>4426021.6212084349</v>
      </c>
      <c r="G39" s="524">
        <f t="shared" si="18"/>
        <v>803071.40362434322</v>
      </c>
      <c r="H39" s="491">
        <f t="shared" si="19"/>
        <v>803071.40362434322</v>
      </c>
      <c r="I39" s="511">
        <f t="shared" si="4"/>
        <v>0</v>
      </c>
      <c r="J39" s="511"/>
      <c r="K39" s="525"/>
      <c r="L39" s="514">
        <f t="shared" si="20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4426021.6212084349</v>
      </c>
      <c r="E40" s="522">
        <f t="shared" si="16"/>
        <v>229453.26190476189</v>
      </c>
      <c r="F40" s="523">
        <f t="shared" si="17"/>
        <v>4196568.3593036728</v>
      </c>
      <c r="G40" s="524">
        <f t="shared" si="18"/>
        <v>774085.31005646661</v>
      </c>
      <c r="H40" s="491">
        <f t="shared" si="19"/>
        <v>774085.31005646661</v>
      </c>
      <c r="I40" s="511">
        <f t="shared" si="4"/>
        <v>0</v>
      </c>
      <c r="J40" s="511"/>
      <c r="K40" s="525"/>
      <c r="L40" s="514">
        <f t="shared" si="20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4196568.3593036728</v>
      </c>
      <c r="E41" s="522">
        <f t="shared" si="16"/>
        <v>229453.26190476189</v>
      </c>
      <c r="F41" s="523">
        <f t="shared" si="17"/>
        <v>3967115.0973989107</v>
      </c>
      <c r="G41" s="524">
        <f t="shared" si="18"/>
        <v>745099.21648858977</v>
      </c>
      <c r="H41" s="491">
        <f t="shared" si="19"/>
        <v>745099.21648858977</v>
      </c>
      <c r="I41" s="511">
        <f t="shared" si="4"/>
        <v>0</v>
      </c>
      <c r="J41" s="511"/>
      <c r="K41" s="525"/>
      <c r="L41" s="514">
        <f t="shared" si="20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3967115.0973989107</v>
      </c>
      <c r="E42" s="522">
        <f t="shared" si="16"/>
        <v>229453.26190476189</v>
      </c>
      <c r="F42" s="523">
        <f t="shared" si="17"/>
        <v>3737661.8354941485</v>
      </c>
      <c r="G42" s="524">
        <f t="shared" si="18"/>
        <v>716113.12292071315</v>
      </c>
      <c r="H42" s="491">
        <f t="shared" si="19"/>
        <v>716113.12292071315</v>
      </c>
      <c r="I42" s="511">
        <f t="shared" si="4"/>
        <v>0</v>
      </c>
      <c r="J42" s="511"/>
      <c r="K42" s="525"/>
      <c r="L42" s="514">
        <f t="shared" si="20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3737661.8354941485</v>
      </c>
      <c r="E43" s="522">
        <f t="shared" si="16"/>
        <v>229453.26190476189</v>
      </c>
      <c r="F43" s="523">
        <f t="shared" si="17"/>
        <v>3508208.5735893864</v>
      </c>
      <c r="G43" s="524">
        <f t="shared" si="18"/>
        <v>687127.02935283631</v>
      </c>
      <c r="H43" s="491">
        <f t="shared" si="19"/>
        <v>687127.02935283631</v>
      </c>
      <c r="I43" s="511">
        <f t="shared" si="4"/>
        <v>0</v>
      </c>
      <c r="J43" s="511"/>
      <c r="K43" s="525"/>
      <c r="L43" s="514">
        <f t="shared" si="20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3508208.5735893864</v>
      </c>
      <c r="E44" s="522">
        <f t="shared" si="16"/>
        <v>229453.26190476189</v>
      </c>
      <c r="F44" s="523">
        <f t="shared" si="17"/>
        <v>3278755.3116846243</v>
      </c>
      <c r="G44" s="524">
        <f t="shared" si="18"/>
        <v>658140.9357849597</v>
      </c>
      <c r="H44" s="491">
        <f t="shared" si="19"/>
        <v>658140.9357849597</v>
      </c>
      <c r="I44" s="511">
        <f t="shared" si="4"/>
        <v>0</v>
      </c>
      <c r="J44" s="511"/>
      <c r="K44" s="525"/>
      <c r="L44" s="514">
        <f t="shared" si="20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3278755.3116846243</v>
      </c>
      <c r="E45" s="522">
        <f t="shared" si="16"/>
        <v>229453.26190476189</v>
      </c>
      <c r="F45" s="523">
        <f t="shared" si="17"/>
        <v>3049302.0497798622</v>
      </c>
      <c r="G45" s="524">
        <f t="shared" si="18"/>
        <v>629154.84221708297</v>
      </c>
      <c r="H45" s="491">
        <f t="shared" si="19"/>
        <v>629154.84221708297</v>
      </c>
      <c r="I45" s="511">
        <f t="shared" si="4"/>
        <v>0</v>
      </c>
      <c r="J45" s="511"/>
      <c r="K45" s="525"/>
      <c r="L45" s="514">
        <f t="shared" si="20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3049302.0497798622</v>
      </c>
      <c r="E46" s="522">
        <f t="shared" si="16"/>
        <v>229453.26190476189</v>
      </c>
      <c r="F46" s="523">
        <f t="shared" si="17"/>
        <v>2819848.7878751</v>
      </c>
      <c r="G46" s="524">
        <f t="shared" si="18"/>
        <v>600168.74864920625</v>
      </c>
      <c r="H46" s="491">
        <f t="shared" si="19"/>
        <v>600168.74864920625</v>
      </c>
      <c r="I46" s="511">
        <f t="shared" si="4"/>
        <v>0</v>
      </c>
      <c r="J46" s="511"/>
      <c r="K46" s="525"/>
      <c r="L46" s="514">
        <f t="shared" si="20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2819848.7878751</v>
      </c>
      <c r="E47" s="522">
        <f t="shared" si="16"/>
        <v>229453.26190476189</v>
      </c>
      <c r="F47" s="523">
        <f t="shared" si="17"/>
        <v>2590395.5259703379</v>
      </c>
      <c r="G47" s="524">
        <f t="shared" si="18"/>
        <v>571182.65508132952</v>
      </c>
      <c r="H47" s="491">
        <f t="shared" si="19"/>
        <v>571182.65508132952</v>
      </c>
      <c r="I47" s="511">
        <f t="shared" si="4"/>
        <v>0</v>
      </c>
      <c r="J47" s="511"/>
      <c r="K47" s="525"/>
      <c r="L47" s="514">
        <f t="shared" si="20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2590395.5259703379</v>
      </c>
      <c r="E48" s="522">
        <f t="shared" si="16"/>
        <v>229453.26190476189</v>
      </c>
      <c r="F48" s="523">
        <f t="shared" si="17"/>
        <v>2360942.2640655758</v>
      </c>
      <c r="G48" s="524">
        <f t="shared" si="18"/>
        <v>542196.56151345279</v>
      </c>
      <c r="H48" s="491">
        <f t="shared" si="19"/>
        <v>542196.56151345279</v>
      </c>
      <c r="I48" s="511">
        <f t="shared" si="4"/>
        <v>0</v>
      </c>
      <c r="J48" s="511"/>
      <c r="K48" s="525"/>
      <c r="L48" s="514">
        <f t="shared" si="20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2360942.2640655758</v>
      </c>
      <c r="E49" s="522">
        <f t="shared" si="16"/>
        <v>229453.26190476189</v>
      </c>
      <c r="F49" s="523">
        <f t="shared" si="17"/>
        <v>2131489.0021608137</v>
      </c>
      <c r="G49" s="524">
        <f t="shared" si="18"/>
        <v>513210.46794557612</v>
      </c>
      <c r="H49" s="491">
        <f t="shared" si="19"/>
        <v>513210.46794557612</v>
      </c>
      <c r="I49" s="511">
        <f t="shared" si="4"/>
        <v>0</v>
      </c>
      <c r="J49" s="511"/>
      <c r="K49" s="525"/>
      <c r="L49" s="514">
        <f t="shared" si="20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2131489.0021608137</v>
      </c>
      <c r="E50" s="522">
        <f t="shared" si="16"/>
        <v>229453.26190476189</v>
      </c>
      <c r="F50" s="523">
        <f t="shared" si="17"/>
        <v>1902035.7402560518</v>
      </c>
      <c r="G50" s="524">
        <f t="shared" si="18"/>
        <v>484224.37437769939</v>
      </c>
      <c r="H50" s="491">
        <f t="shared" si="19"/>
        <v>484224.37437769939</v>
      </c>
      <c r="I50" s="511">
        <f t="shared" si="4"/>
        <v>0</v>
      </c>
      <c r="J50" s="511"/>
      <c r="K50" s="525"/>
      <c r="L50" s="514">
        <f t="shared" si="20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1902035.7402560518</v>
      </c>
      <c r="E51" s="522">
        <f t="shared" si="16"/>
        <v>229453.26190476189</v>
      </c>
      <c r="F51" s="523">
        <f t="shared" si="17"/>
        <v>1672582.4783512899</v>
      </c>
      <c r="G51" s="524">
        <f t="shared" si="18"/>
        <v>455238.28080982273</v>
      </c>
      <c r="H51" s="491">
        <f t="shared" si="19"/>
        <v>455238.28080982273</v>
      </c>
      <c r="I51" s="511">
        <f t="shared" si="4"/>
        <v>0</v>
      </c>
      <c r="J51" s="511"/>
      <c r="K51" s="525"/>
      <c r="L51" s="514">
        <f t="shared" si="20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1672582.4783512899</v>
      </c>
      <c r="E52" s="522">
        <f t="shared" si="16"/>
        <v>229453.26190476189</v>
      </c>
      <c r="F52" s="523">
        <f t="shared" si="17"/>
        <v>1443129.216446528</v>
      </c>
      <c r="G52" s="524">
        <f t="shared" ref="G52:G72" si="21">+I$12*((D52+F52)/2)+E52</f>
        <v>426252.187241946</v>
      </c>
      <c r="H52" s="491">
        <f t="shared" ref="H52:H72" si="22">+I$13*((D52+F52)/2)+E52</f>
        <v>426252.187241946</v>
      </c>
      <c r="I52" s="511">
        <f t="shared" si="4"/>
        <v>0</v>
      </c>
      <c r="J52" s="511"/>
      <c r="K52" s="525"/>
      <c r="L52" s="514">
        <f t="shared" si="20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1443129.216446528</v>
      </c>
      <c r="E53" s="522">
        <f t="shared" si="16"/>
        <v>229453.26190476189</v>
      </c>
      <c r="F53" s="523">
        <f t="shared" si="17"/>
        <v>1213675.9545417661</v>
      </c>
      <c r="G53" s="524">
        <f t="shared" si="21"/>
        <v>397266.09367406939</v>
      </c>
      <c r="H53" s="491">
        <f t="shared" si="22"/>
        <v>397266.09367406939</v>
      </c>
      <c r="I53" s="511">
        <f t="shared" si="4"/>
        <v>0</v>
      </c>
      <c r="J53" s="511"/>
      <c r="K53" s="525"/>
      <c r="L53" s="514">
        <f t="shared" si="20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1213675.9545417661</v>
      </c>
      <c r="E54" s="522">
        <f t="shared" si="16"/>
        <v>229453.26190476189</v>
      </c>
      <c r="F54" s="523">
        <f t="shared" si="17"/>
        <v>984222.69263700419</v>
      </c>
      <c r="G54" s="524">
        <f t="shared" si="21"/>
        <v>368280.00010619266</v>
      </c>
      <c r="H54" s="491">
        <f t="shared" si="22"/>
        <v>368280.00010619266</v>
      </c>
      <c r="I54" s="511">
        <f t="shared" si="4"/>
        <v>0</v>
      </c>
      <c r="J54" s="511"/>
      <c r="K54" s="525"/>
      <c r="L54" s="514">
        <f t="shared" si="20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984222.69263700419</v>
      </c>
      <c r="E55" s="522">
        <f t="shared" si="16"/>
        <v>229453.26190476189</v>
      </c>
      <c r="F55" s="523">
        <f t="shared" si="17"/>
        <v>754769.4307322423</v>
      </c>
      <c r="G55" s="524">
        <f t="shared" si="21"/>
        <v>339293.90653831599</v>
      </c>
      <c r="H55" s="491">
        <f t="shared" si="22"/>
        <v>339293.90653831599</v>
      </c>
      <c r="I55" s="511">
        <f t="shared" si="4"/>
        <v>0</v>
      </c>
      <c r="J55" s="511"/>
      <c r="K55" s="525"/>
      <c r="L55" s="514">
        <f t="shared" si="20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754769.4307322423</v>
      </c>
      <c r="E56" s="522">
        <f t="shared" si="16"/>
        <v>229453.26190476189</v>
      </c>
      <c r="F56" s="523">
        <f t="shared" si="17"/>
        <v>525316.1688274804</v>
      </c>
      <c r="G56" s="524">
        <f t="shared" si="21"/>
        <v>310307.81297043932</v>
      </c>
      <c r="H56" s="491">
        <f t="shared" si="22"/>
        <v>310307.81297043932</v>
      </c>
      <c r="I56" s="511">
        <f t="shared" si="4"/>
        <v>0</v>
      </c>
      <c r="J56" s="511"/>
      <c r="K56" s="525"/>
      <c r="L56" s="514">
        <f t="shared" si="20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525316.1688274804</v>
      </c>
      <c r="E57" s="522">
        <f t="shared" si="16"/>
        <v>229453.26190476189</v>
      </c>
      <c r="F57" s="523">
        <f t="shared" si="17"/>
        <v>295862.90692271851</v>
      </c>
      <c r="G57" s="524">
        <f t="shared" si="21"/>
        <v>281321.71940256259</v>
      </c>
      <c r="H57" s="491">
        <f t="shared" si="22"/>
        <v>281321.71940256259</v>
      </c>
      <c r="I57" s="511">
        <f t="shared" si="4"/>
        <v>0</v>
      </c>
      <c r="J57" s="511"/>
      <c r="K57" s="525"/>
      <c r="L57" s="514">
        <f t="shared" si="20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295862.90692271851</v>
      </c>
      <c r="E58" s="522">
        <f t="shared" si="16"/>
        <v>229453.26190476189</v>
      </c>
      <c r="F58" s="523">
        <f t="shared" si="17"/>
        <v>66409.645017956616</v>
      </c>
      <c r="G58" s="524">
        <f t="shared" si="21"/>
        <v>252335.62583468592</v>
      </c>
      <c r="H58" s="491">
        <f t="shared" si="22"/>
        <v>252335.62583468592</v>
      </c>
      <c r="I58" s="511">
        <f t="shared" si="4"/>
        <v>0</v>
      </c>
      <c r="J58" s="511"/>
      <c r="K58" s="525"/>
      <c r="L58" s="514">
        <f t="shared" si="20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66409.645017956616</v>
      </c>
      <c r="E59" s="522">
        <f t="shared" si="16"/>
        <v>66409.645017956616</v>
      </c>
      <c r="F59" s="523">
        <f t="shared" si="17"/>
        <v>0</v>
      </c>
      <c r="G59" s="524">
        <f t="shared" si="21"/>
        <v>70604.303590949465</v>
      </c>
      <c r="H59" s="491">
        <f t="shared" si="22"/>
        <v>70604.303590949465</v>
      </c>
      <c r="I59" s="511">
        <f t="shared" si="4"/>
        <v>0</v>
      </c>
      <c r="J59" s="511"/>
      <c r="K59" s="525"/>
      <c r="L59" s="514">
        <f t="shared" si="20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6"/>
        <v>0</v>
      </c>
      <c r="F60" s="523">
        <f t="shared" si="17"/>
        <v>0</v>
      </c>
      <c r="G60" s="524">
        <f t="shared" si="21"/>
        <v>0</v>
      </c>
      <c r="H60" s="491">
        <f t="shared" si="22"/>
        <v>0</v>
      </c>
      <c r="I60" s="511">
        <f t="shared" si="4"/>
        <v>0</v>
      </c>
      <c r="J60" s="511"/>
      <c r="K60" s="525"/>
      <c r="L60" s="514">
        <f t="shared" si="20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6"/>
        <v>0</v>
      </c>
      <c r="F61" s="523">
        <f t="shared" si="17"/>
        <v>0</v>
      </c>
      <c r="G61" s="524">
        <f t="shared" si="21"/>
        <v>0</v>
      </c>
      <c r="H61" s="491">
        <f t="shared" si="22"/>
        <v>0</v>
      </c>
      <c r="I61" s="511">
        <f t="shared" si="4"/>
        <v>0</v>
      </c>
      <c r="J61" s="511"/>
      <c r="K61" s="525"/>
      <c r="L61" s="514">
        <f t="shared" si="20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6"/>
        <v>0</v>
      </c>
      <c r="F62" s="523">
        <f t="shared" si="17"/>
        <v>0</v>
      </c>
      <c r="G62" s="524">
        <f t="shared" si="21"/>
        <v>0</v>
      </c>
      <c r="H62" s="491">
        <f t="shared" si="22"/>
        <v>0</v>
      </c>
      <c r="I62" s="511">
        <f t="shared" si="4"/>
        <v>0</v>
      </c>
      <c r="J62" s="511"/>
      <c r="K62" s="525"/>
      <c r="L62" s="514">
        <f t="shared" si="20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6"/>
        <v>0</v>
      </c>
      <c r="F63" s="523">
        <f t="shared" si="17"/>
        <v>0</v>
      </c>
      <c r="G63" s="524">
        <f t="shared" si="21"/>
        <v>0</v>
      </c>
      <c r="H63" s="491">
        <f t="shared" si="22"/>
        <v>0</v>
      </c>
      <c r="I63" s="511">
        <f t="shared" si="4"/>
        <v>0</v>
      </c>
      <c r="J63" s="511"/>
      <c r="K63" s="525"/>
      <c r="L63" s="514">
        <f t="shared" si="20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6"/>
        <v>0</v>
      </c>
      <c r="F64" s="523">
        <f t="shared" si="17"/>
        <v>0</v>
      </c>
      <c r="G64" s="524">
        <f t="shared" si="21"/>
        <v>0</v>
      </c>
      <c r="H64" s="491">
        <f t="shared" si="22"/>
        <v>0</v>
      </c>
      <c r="I64" s="511">
        <f t="shared" si="4"/>
        <v>0</v>
      </c>
      <c r="J64" s="511"/>
      <c r="K64" s="525"/>
      <c r="L64" s="514">
        <f t="shared" si="20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6"/>
        <v>0</v>
      </c>
      <c r="F65" s="523">
        <f t="shared" si="17"/>
        <v>0</v>
      </c>
      <c r="G65" s="524">
        <f t="shared" si="21"/>
        <v>0</v>
      </c>
      <c r="H65" s="491">
        <f t="shared" si="22"/>
        <v>0</v>
      </c>
      <c r="I65" s="511">
        <f t="shared" si="4"/>
        <v>0</v>
      </c>
      <c r="J65" s="511"/>
      <c r="K65" s="525"/>
      <c r="L65" s="514">
        <f t="shared" si="20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6"/>
        <v>0</v>
      </c>
      <c r="F66" s="523">
        <f t="shared" si="17"/>
        <v>0</v>
      </c>
      <c r="G66" s="524">
        <f t="shared" si="21"/>
        <v>0</v>
      </c>
      <c r="H66" s="491">
        <f t="shared" si="22"/>
        <v>0</v>
      </c>
      <c r="I66" s="511">
        <f t="shared" si="4"/>
        <v>0</v>
      </c>
      <c r="J66" s="511"/>
      <c r="K66" s="525"/>
      <c r="L66" s="514">
        <f t="shared" si="20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6"/>
        <v>0</v>
      </c>
      <c r="F67" s="523">
        <f t="shared" si="17"/>
        <v>0</v>
      </c>
      <c r="G67" s="524">
        <f t="shared" si="21"/>
        <v>0</v>
      </c>
      <c r="H67" s="491">
        <f t="shared" si="22"/>
        <v>0</v>
      </c>
      <c r="I67" s="511">
        <f t="shared" si="4"/>
        <v>0</v>
      </c>
      <c r="J67" s="511"/>
      <c r="K67" s="525"/>
      <c r="L67" s="514">
        <f t="shared" si="20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6"/>
        <v>0</v>
      </c>
      <c r="F68" s="523">
        <f t="shared" si="17"/>
        <v>0</v>
      </c>
      <c r="G68" s="524">
        <f t="shared" si="21"/>
        <v>0</v>
      </c>
      <c r="H68" s="491">
        <f t="shared" si="22"/>
        <v>0</v>
      </c>
      <c r="I68" s="511">
        <f t="shared" si="4"/>
        <v>0</v>
      </c>
      <c r="J68" s="511"/>
      <c r="K68" s="525"/>
      <c r="L68" s="514">
        <f t="shared" si="20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6"/>
        <v>0</v>
      </c>
      <c r="F69" s="523">
        <f t="shared" si="17"/>
        <v>0</v>
      </c>
      <c r="G69" s="524">
        <f t="shared" si="21"/>
        <v>0</v>
      </c>
      <c r="H69" s="491">
        <f t="shared" si="22"/>
        <v>0</v>
      </c>
      <c r="I69" s="511">
        <f t="shared" si="4"/>
        <v>0</v>
      </c>
      <c r="J69" s="511"/>
      <c r="K69" s="525"/>
      <c r="L69" s="514">
        <f t="shared" si="20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6"/>
        <v>0</v>
      </c>
      <c r="F70" s="523">
        <f t="shared" si="17"/>
        <v>0</v>
      </c>
      <c r="G70" s="524">
        <f t="shared" si="21"/>
        <v>0</v>
      </c>
      <c r="H70" s="491">
        <f t="shared" si="22"/>
        <v>0</v>
      </c>
      <c r="I70" s="511">
        <f t="shared" si="4"/>
        <v>0</v>
      </c>
      <c r="J70" s="511"/>
      <c r="K70" s="525"/>
      <c r="L70" s="514">
        <f t="shared" si="20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6"/>
        <v>0</v>
      </c>
      <c r="F71" s="523">
        <f t="shared" si="17"/>
        <v>0</v>
      </c>
      <c r="G71" s="524">
        <f t="shared" si="21"/>
        <v>0</v>
      </c>
      <c r="H71" s="491">
        <f t="shared" si="22"/>
        <v>0</v>
      </c>
      <c r="I71" s="511">
        <f t="shared" si="4"/>
        <v>0</v>
      </c>
      <c r="J71" s="511"/>
      <c r="K71" s="525"/>
      <c r="L71" s="514">
        <f t="shared" si="20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6"/>
        <v>0</v>
      </c>
      <c r="F72" s="523">
        <f t="shared" si="17"/>
        <v>0</v>
      </c>
      <c r="G72" s="524">
        <f t="shared" si="21"/>
        <v>0</v>
      </c>
      <c r="H72" s="491">
        <f t="shared" si="22"/>
        <v>0</v>
      </c>
      <c r="I72" s="511">
        <f t="shared" si="4"/>
        <v>0</v>
      </c>
      <c r="J72" s="511"/>
      <c r="K72" s="532"/>
      <c r="L72" s="533">
        <f t="shared" si="20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9637036.9999999963</v>
      </c>
      <c r="F73" s="375"/>
      <c r="G73" s="375">
        <f>SUM(G17:G72)</f>
        <v>35192735.08219631</v>
      </c>
      <c r="H73" s="375">
        <f>SUM(H17:H72)</f>
        <v>35192735.08219631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40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1076798.4433679713</v>
      </c>
      <c r="N87" s="546">
        <f>IF(J92&lt;D11,0,VLOOKUP(J92,C17:O72,11))</f>
        <v>1076798.4433679713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1143219.7958879631</v>
      </c>
      <c r="N88" s="550">
        <f>IF(J92&lt;D11,0,VLOOKUP(J92,C99:P154,7))</f>
        <v>1143219.7958879631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 xml:space="preserve">Rock Hill to Carthage 69 kV Rebuild 11.4 Miles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66421.352519991808</v>
      </c>
      <c r="N89" s="555">
        <f>+N88-N87</f>
        <v>66421.352519991808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f>IF(D11=I10,0,D10)</f>
        <v>9637037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235049.68292682926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152968.84126984127</v>
      </c>
      <c r="F99" s="631">
        <v>9484068.1587301586</v>
      </c>
      <c r="G99" s="632">
        <v>4742034.0793650793</v>
      </c>
      <c r="H99" s="633">
        <v>797522.51965819846</v>
      </c>
      <c r="I99" s="634">
        <v>797522.51965819846</v>
      </c>
      <c r="J99" s="640">
        <v>0</v>
      </c>
      <c r="K99" s="514"/>
      <c r="L99" s="518">
        <f t="shared" ref="L99:L105" si="23">H99</f>
        <v>797522.51965819846</v>
      </c>
      <c r="M99" s="519">
        <f t="shared" ref="M99:M105" si="24">IF(L99&lt;&gt;0,+H99-L99,0)</f>
        <v>0</v>
      </c>
      <c r="N99" s="518">
        <f t="shared" ref="N99:N105" si="25">I99</f>
        <v>797522.51965819846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2015</v>
      </c>
      <c r="D100" s="629">
        <v>9484068.1587301586</v>
      </c>
      <c r="E100" s="630">
        <v>229453.26190476189</v>
      </c>
      <c r="F100" s="631">
        <v>9254614.8968253974</v>
      </c>
      <c r="G100" s="631">
        <v>9369341.527777778</v>
      </c>
      <c r="H100" s="633">
        <v>1464040.8814475967</v>
      </c>
      <c r="I100" s="634">
        <v>1464040.8814475967</v>
      </c>
      <c r="J100" s="514">
        <f>+I100-H100</f>
        <v>0</v>
      </c>
      <c r="K100" s="514"/>
      <c r="L100" s="518">
        <f t="shared" si="23"/>
        <v>1464040.8814475967</v>
      </c>
      <c r="M100" s="519">
        <f t="shared" si="24"/>
        <v>0</v>
      </c>
      <c r="N100" s="518">
        <f t="shared" si="25"/>
        <v>1464040.8814475967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6">IF(D101=F100,"","IU")</f>
        <v/>
      </c>
      <c r="C101" s="507">
        <f>IF(D93="","-",+C100+1)</f>
        <v>2016</v>
      </c>
      <c r="D101" s="629">
        <v>9254614.8968253974</v>
      </c>
      <c r="E101" s="630">
        <v>224117.13953488372</v>
      </c>
      <c r="F101" s="631">
        <v>9030497.7572905142</v>
      </c>
      <c r="G101" s="631">
        <v>9142556.3270579558</v>
      </c>
      <c r="H101" s="633">
        <v>1384764.5581805804</v>
      </c>
      <c r="I101" s="634">
        <v>1384764.5581805804</v>
      </c>
      <c r="J101" s="514">
        <f t="shared" ref="J101:J154" si="27">+I101-H101</f>
        <v>0</v>
      </c>
      <c r="K101" s="514"/>
      <c r="L101" s="518">
        <f t="shared" si="23"/>
        <v>1384764.5581805804</v>
      </c>
      <c r="M101" s="519">
        <f t="shared" si="24"/>
        <v>0</v>
      </c>
      <c r="N101" s="518">
        <f t="shared" si="25"/>
        <v>1384764.5581805804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6"/>
        <v/>
      </c>
      <c r="C102" s="507">
        <f>IF(D93="","-",+C101+1)</f>
        <v>2017</v>
      </c>
      <c r="D102" s="629">
        <v>9030497.7572905142</v>
      </c>
      <c r="E102" s="630">
        <v>229453.26190476189</v>
      </c>
      <c r="F102" s="631">
        <v>8801044.495385753</v>
      </c>
      <c r="G102" s="631">
        <v>8915771.1263381336</v>
      </c>
      <c r="H102" s="633">
        <v>1312464.9769978134</v>
      </c>
      <c r="I102" s="634">
        <v>1312464.9769978134</v>
      </c>
      <c r="J102" s="514">
        <f t="shared" si="27"/>
        <v>0</v>
      </c>
      <c r="K102" s="514"/>
      <c r="L102" s="518">
        <f t="shared" si="23"/>
        <v>1312464.9769978134</v>
      </c>
      <c r="M102" s="519">
        <f t="shared" si="24"/>
        <v>0</v>
      </c>
      <c r="N102" s="518">
        <f t="shared" si="25"/>
        <v>1312464.9769978134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26"/>
        <v/>
      </c>
      <c r="C103" s="507">
        <f>IF(D93="","-",+C102+1)</f>
        <v>2018</v>
      </c>
      <c r="D103" s="629">
        <v>8801044.495385753</v>
      </c>
      <c r="E103" s="630">
        <v>229453.26190476189</v>
      </c>
      <c r="F103" s="631">
        <v>8571591.2334809918</v>
      </c>
      <c r="G103" s="631">
        <v>8686317.8644333724</v>
      </c>
      <c r="H103" s="633">
        <v>1146768.2622772851</v>
      </c>
      <c r="I103" s="634">
        <v>1146768.2622772851</v>
      </c>
      <c r="J103" s="514">
        <f t="shared" si="27"/>
        <v>0</v>
      </c>
      <c r="K103" s="514"/>
      <c r="L103" s="518">
        <f t="shared" si="23"/>
        <v>1146768.2622772851</v>
      </c>
      <c r="M103" s="519">
        <f t="shared" si="24"/>
        <v>0</v>
      </c>
      <c r="N103" s="518">
        <f t="shared" si="25"/>
        <v>1146768.2622772851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26"/>
        <v/>
      </c>
      <c r="C104" s="507">
        <f>IF(D93="","-",+C103+1)</f>
        <v>2019</v>
      </c>
      <c r="D104" s="629">
        <v>8571591.2334809918</v>
      </c>
      <c r="E104" s="630">
        <v>224117.13953488372</v>
      </c>
      <c r="F104" s="631">
        <v>8347474.0939461077</v>
      </c>
      <c r="G104" s="631">
        <v>8459532.6637135502</v>
      </c>
      <c r="H104" s="633">
        <v>1129630.139349205</v>
      </c>
      <c r="I104" s="634">
        <v>1129630.139349205</v>
      </c>
      <c r="J104" s="514">
        <f t="shared" si="27"/>
        <v>0</v>
      </c>
      <c r="K104" s="514"/>
      <c r="L104" s="518">
        <f t="shared" si="23"/>
        <v>1129630.139349205</v>
      </c>
      <c r="M104" s="519">
        <f t="shared" si="24"/>
        <v>0</v>
      </c>
      <c r="N104" s="518">
        <f t="shared" si="25"/>
        <v>1129630.139349205</v>
      </c>
      <c r="O104" s="514">
        <f t="shared" ref="O104:O130" si="28">IF(N104&lt;&gt;0,+I104-N104,0)</f>
        <v>0</v>
      </c>
      <c r="P104" s="514">
        <f t="shared" ref="P104:P130" si="29">+O104-M104</f>
        <v>0</v>
      </c>
    </row>
    <row r="105" spans="1:16" ht="12.5">
      <c r="B105" s="195" t="str">
        <f t="shared" si="26"/>
        <v/>
      </c>
      <c r="C105" s="507">
        <f>IF(D93="","-",+C104+1)</f>
        <v>2020</v>
      </c>
      <c r="D105" s="629">
        <v>8347474.0939461077</v>
      </c>
      <c r="E105" s="630">
        <v>229453.26190476189</v>
      </c>
      <c r="F105" s="631">
        <v>8118020.8320413455</v>
      </c>
      <c r="G105" s="631">
        <v>8232747.4629937261</v>
      </c>
      <c r="H105" s="633">
        <v>1115081.4585097209</v>
      </c>
      <c r="I105" s="634">
        <v>1115081.4585097209</v>
      </c>
      <c r="J105" s="514">
        <f t="shared" si="27"/>
        <v>0</v>
      </c>
      <c r="K105" s="514"/>
      <c r="L105" s="518">
        <f t="shared" si="23"/>
        <v>1115081.4585097209</v>
      </c>
      <c r="M105" s="519">
        <f t="shared" si="24"/>
        <v>0</v>
      </c>
      <c r="N105" s="518">
        <f t="shared" si="25"/>
        <v>1115081.4585097209</v>
      </c>
      <c r="O105" s="514">
        <f t="shared" si="28"/>
        <v>0</v>
      </c>
      <c r="P105" s="514">
        <f t="shared" si="29"/>
        <v>0</v>
      </c>
    </row>
    <row r="106" spans="1:16" ht="12.5">
      <c r="B106" s="195" t="str">
        <f t="shared" si="26"/>
        <v/>
      </c>
      <c r="C106" s="507">
        <f>IF(D93="","-",+C105+1)</f>
        <v>2021</v>
      </c>
      <c r="D106" s="374">
        <f>IF(F105+SUM(E$99:E105)=D$92,F105,D$92-SUM(E$99:E105))</f>
        <v>8118020.8320413455</v>
      </c>
      <c r="E106" s="522">
        <f t="shared" ref="E106:E154" si="30">IF(+$J$96&lt;F105,$J$96,D106)</f>
        <v>235049.68292682926</v>
      </c>
      <c r="F106" s="523">
        <f t="shared" ref="F106:F154" si="31">+D106-E106</f>
        <v>7882971.1491145166</v>
      </c>
      <c r="G106" s="523">
        <f t="shared" ref="G106:G154" si="32">+(F106+D106)/2</f>
        <v>8000495.9905779306</v>
      </c>
      <c r="H106" s="526">
        <f t="shared" ref="H106:H154" si="33">+J$94*G106+E106</f>
        <v>1143219.7958879631</v>
      </c>
      <c r="I106" s="577">
        <f t="shared" ref="I106:I154" si="34">+J$95*G106+E106</f>
        <v>1143219.7958879631</v>
      </c>
      <c r="J106" s="514">
        <f t="shared" si="27"/>
        <v>0</v>
      </c>
      <c r="K106" s="514"/>
      <c r="L106" s="525"/>
      <c r="M106" s="514">
        <f t="shared" ref="M106:M130" si="35">IF(L106&lt;&gt;0,+H106-L106,0)</f>
        <v>0</v>
      </c>
      <c r="N106" s="525"/>
      <c r="O106" s="514">
        <f t="shared" si="28"/>
        <v>0</v>
      </c>
      <c r="P106" s="514">
        <f t="shared" si="29"/>
        <v>0</v>
      </c>
    </row>
    <row r="107" spans="1:16" ht="12.5">
      <c r="B107" s="195" t="str">
        <f t="shared" si="26"/>
        <v/>
      </c>
      <c r="C107" s="507">
        <f>IF(D93="","-",+C106+1)</f>
        <v>2022</v>
      </c>
      <c r="D107" s="374">
        <f>IF(F106+SUM(E$99:E106)=D$92,F106,D$92-SUM(E$99:E106))</f>
        <v>7882971.1491145166</v>
      </c>
      <c r="E107" s="522">
        <f t="shared" si="30"/>
        <v>235049.68292682926</v>
      </c>
      <c r="F107" s="523">
        <f t="shared" si="31"/>
        <v>7647921.4661876876</v>
      </c>
      <c r="G107" s="523">
        <f t="shared" si="32"/>
        <v>7765446.3076511025</v>
      </c>
      <c r="H107" s="526">
        <f t="shared" si="33"/>
        <v>1116538.3129715878</v>
      </c>
      <c r="I107" s="577">
        <f t="shared" si="34"/>
        <v>1116538.3129715878</v>
      </c>
      <c r="J107" s="514">
        <f t="shared" si="27"/>
        <v>0</v>
      </c>
      <c r="K107" s="514"/>
      <c r="L107" s="525"/>
      <c r="M107" s="514">
        <f t="shared" si="35"/>
        <v>0</v>
      </c>
      <c r="N107" s="525"/>
      <c r="O107" s="514">
        <f t="shared" si="28"/>
        <v>0</v>
      </c>
      <c r="P107" s="514">
        <f t="shared" si="29"/>
        <v>0</v>
      </c>
    </row>
    <row r="108" spans="1:16" ht="12.5">
      <c r="B108" s="195" t="str">
        <f t="shared" si="26"/>
        <v/>
      </c>
      <c r="C108" s="507">
        <f>IF(D93="","-",+C107+1)</f>
        <v>2023</v>
      </c>
      <c r="D108" s="374">
        <f>IF(F107+SUM(E$99:E107)=D$92,F107,D$92-SUM(E$99:E107))</f>
        <v>7647921.4661876876</v>
      </c>
      <c r="E108" s="522">
        <f t="shared" si="30"/>
        <v>235049.68292682926</v>
      </c>
      <c r="F108" s="523">
        <f t="shared" si="31"/>
        <v>7412871.7832608586</v>
      </c>
      <c r="G108" s="523">
        <f t="shared" si="32"/>
        <v>7530396.6247242726</v>
      </c>
      <c r="H108" s="526">
        <f t="shared" si="33"/>
        <v>1089856.8300552119</v>
      </c>
      <c r="I108" s="577">
        <f t="shared" si="34"/>
        <v>1089856.8300552119</v>
      </c>
      <c r="J108" s="514">
        <f t="shared" si="27"/>
        <v>0</v>
      </c>
      <c r="K108" s="514"/>
      <c r="L108" s="525"/>
      <c r="M108" s="514">
        <f t="shared" si="35"/>
        <v>0</v>
      </c>
      <c r="N108" s="525"/>
      <c r="O108" s="514">
        <f t="shared" si="28"/>
        <v>0</v>
      </c>
      <c r="P108" s="514">
        <f t="shared" si="29"/>
        <v>0</v>
      </c>
    </row>
    <row r="109" spans="1:16" ht="12.5">
      <c r="B109" s="195" t="str">
        <f t="shared" si="26"/>
        <v/>
      </c>
      <c r="C109" s="507">
        <f>IF(D93="","-",+C108+1)</f>
        <v>2024</v>
      </c>
      <c r="D109" s="374">
        <f>IF(F108+SUM(E$99:E108)=D$92,F108,D$92-SUM(E$99:E108))</f>
        <v>7412871.7832608586</v>
      </c>
      <c r="E109" s="522">
        <f t="shared" si="30"/>
        <v>235049.68292682926</v>
      </c>
      <c r="F109" s="523">
        <f t="shared" si="31"/>
        <v>7177822.1003340296</v>
      </c>
      <c r="G109" s="523">
        <f t="shared" si="32"/>
        <v>7295346.9417974446</v>
      </c>
      <c r="H109" s="526">
        <f t="shared" si="33"/>
        <v>1063175.3471388363</v>
      </c>
      <c r="I109" s="577">
        <f t="shared" si="34"/>
        <v>1063175.3471388363</v>
      </c>
      <c r="J109" s="514">
        <f t="shared" si="27"/>
        <v>0</v>
      </c>
      <c r="K109" s="514"/>
      <c r="L109" s="525"/>
      <c r="M109" s="514">
        <f t="shared" si="35"/>
        <v>0</v>
      </c>
      <c r="N109" s="525"/>
      <c r="O109" s="514">
        <f t="shared" si="28"/>
        <v>0</v>
      </c>
      <c r="P109" s="514">
        <f t="shared" si="29"/>
        <v>0</v>
      </c>
    </row>
    <row r="110" spans="1:16" ht="12.5">
      <c r="B110" s="195" t="str">
        <f t="shared" si="26"/>
        <v/>
      </c>
      <c r="C110" s="507">
        <f>IF(D93="","-",+C109+1)</f>
        <v>2025</v>
      </c>
      <c r="D110" s="374">
        <f>IF(F109+SUM(E$99:E109)=D$92,F109,D$92-SUM(E$99:E109))</f>
        <v>7177822.1003340296</v>
      </c>
      <c r="E110" s="522">
        <f t="shared" si="30"/>
        <v>235049.68292682926</v>
      </c>
      <c r="F110" s="523">
        <f t="shared" si="31"/>
        <v>6942772.4174072007</v>
      </c>
      <c r="G110" s="523">
        <f t="shared" si="32"/>
        <v>7060297.2588706147</v>
      </c>
      <c r="H110" s="526">
        <f t="shared" si="33"/>
        <v>1036493.8642224607</v>
      </c>
      <c r="I110" s="577">
        <f t="shared" si="34"/>
        <v>1036493.8642224607</v>
      </c>
      <c r="J110" s="514">
        <f t="shared" si="27"/>
        <v>0</v>
      </c>
      <c r="K110" s="514"/>
      <c r="L110" s="525"/>
      <c r="M110" s="514">
        <f t="shared" si="35"/>
        <v>0</v>
      </c>
      <c r="N110" s="525"/>
      <c r="O110" s="514">
        <f t="shared" si="28"/>
        <v>0</v>
      </c>
      <c r="P110" s="514">
        <f t="shared" si="29"/>
        <v>0</v>
      </c>
    </row>
    <row r="111" spans="1:16" ht="12.5">
      <c r="B111" s="195" t="str">
        <f t="shared" si="26"/>
        <v/>
      </c>
      <c r="C111" s="507">
        <f>IF(D93="","-",+C110+1)</f>
        <v>2026</v>
      </c>
      <c r="D111" s="374">
        <f>IF(F110+SUM(E$99:E110)=D$92,F110,D$92-SUM(E$99:E110))</f>
        <v>6942772.4174072007</v>
      </c>
      <c r="E111" s="522">
        <f t="shared" si="30"/>
        <v>235049.68292682926</v>
      </c>
      <c r="F111" s="523">
        <f t="shared" si="31"/>
        <v>6707722.7344803717</v>
      </c>
      <c r="G111" s="523">
        <f t="shared" si="32"/>
        <v>6825247.5759437867</v>
      </c>
      <c r="H111" s="526">
        <f t="shared" si="33"/>
        <v>1009812.381306085</v>
      </c>
      <c r="I111" s="577">
        <f t="shared" si="34"/>
        <v>1009812.381306085</v>
      </c>
      <c r="J111" s="514">
        <f t="shared" si="27"/>
        <v>0</v>
      </c>
      <c r="K111" s="514"/>
      <c r="L111" s="525"/>
      <c r="M111" s="514">
        <f t="shared" si="35"/>
        <v>0</v>
      </c>
      <c r="N111" s="525"/>
      <c r="O111" s="514">
        <f t="shared" si="28"/>
        <v>0</v>
      </c>
      <c r="P111" s="514">
        <f t="shared" si="29"/>
        <v>0</v>
      </c>
    </row>
    <row r="112" spans="1:16" ht="12.5">
      <c r="B112" s="195" t="str">
        <f t="shared" si="26"/>
        <v/>
      </c>
      <c r="C112" s="507">
        <f>IF(D93="","-",+C111+1)</f>
        <v>2027</v>
      </c>
      <c r="D112" s="374">
        <f>IF(F111+SUM(E$99:E111)=D$92,F111,D$92-SUM(E$99:E111))</f>
        <v>6707722.7344803717</v>
      </c>
      <c r="E112" s="522">
        <f t="shared" si="30"/>
        <v>235049.68292682926</v>
      </c>
      <c r="F112" s="523">
        <f t="shared" si="31"/>
        <v>6472673.0515535427</v>
      </c>
      <c r="G112" s="523">
        <f t="shared" si="32"/>
        <v>6590197.8930169567</v>
      </c>
      <c r="H112" s="526">
        <f t="shared" si="33"/>
        <v>983130.89838970918</v>
      </c>
      <c r="I112" s="577">
        <f t="shared" si="34"/>
        <v>983130.89838970918</v>
      </c>
      <c r="J112" s="514">
        <f t="shared" si="27"/>
        <v>0</v>
      </c>
      <c r="K112" s="514"/>
      <c r="L112" s="525"/>
      <c r="M112" s="514">
        <f t="shared" si="35"/>
        <v>0</v>
      </c>
      <c r="N112" s="525"/>
      <c r="O112" s="514">
        <f t="shared" si="28"/>
        <v>0</v>
      </c>
      <c r="P112" s="514">
        <f t="shared" si="29"/>
        <v>0</v>
      </c>
    </row>
    <row r="113" spans="2:16" ht="12.5">
      <c r="B113" s="195" t="str">
        <f t="shared" si="26"/>
        <v/>
      </c>
      <c r="C113" s="507">
        <f>IF(D93="","-",+C112+1)</f>
        <v>2028</v>
      </c>
      <c r="D113" s="374">
        <f>IF(F112+SUM(E$99:E112)=D$92,F112,D$92-SUM(E$99:E112))</f>
        <v>6472673.0515535427</v>
      </c>
      <c r="E113" s="522">
        <f t="shared" si="30"/>
        <v>235049.68292682926</v>
      </c>
      <c r="F113" s="523">
        <f t="shared" si="31"/>
        <v>6237623.3686267138</v>
      </c>
      <c r="G113" s="523">
        <f t="shared" si="32"/>
        <v>6355148.2100901287</v>
      </c>
      <c r="H113" s="526">
        <f t="shared" si="33"/>
        <v>956449.41547333379</v>
      </c>
      <c r="I113" s="577">
        <f t="shared" si="34"/>
        <v>956449.41547333379</v>
      </c>
      <c r="J113" s="514">
        <f t="shared" si="27"/>
        <v>0</v>
      </c>
      <c r="K113" s="514"/>
      <c r="L113" s="525"/>
      <c r="M113" s="514">
        <f t="shared" si="35"/>
        <v>0</v>
      </c>
      <c r="N113" s="525"/>
      <c r="O113" s="514">
        <f t="shared" si="28"/>
        <v>0</v>
      </c>
      <c r="P113" s="514">
        <f t="shared" si="29"/>
        <v>0</v>
      </c>
    </row>
    <row r="114" spans="2:16" ht="12.5">
      <c r="B114" s="195" t="str">
        <f t="shared" si="26"/>
        <v/>
      </c>
      <c r="C114" s="507">
        <f>IF(D93="","-",+C113+1)</f>
        <v>2029</v>
      </c>
      <c r="D114" s="374">
        <f>IF(F113+SUM(E$99:E113)=D$92,F113,D$92-SUM(E$99:E113))</f>
        <v>6237623.3686267082</v>
      </c>
      <c r="E114" s="522">
        <f t="shared" si="30"/>
        <v>235049.68292682926</v>
      </c>
      <c r="F114" s="523">
        <f t="shared" si="31"/>
        <v>6002573.6856998792</v>
      </c>
      <c r="G114" s="523">
        <f t="shared" si="32"/>
        <v>6120098.5271632932</v>
      </c>
      <c r="H114" s="526">
        <f t="shared" si="33"/>
        <v>929767.93255695724</v>
      </c>
      <c r="I114" s="577">
        <f t="shared" si="34"/>
        <v>929767.93255695724</v>
      </c>
      <c r="J114" s="514">
        <f t="shared" si="27"/>
        <v>0</v>
      </c>
      <c r="K114" s="514"/>
      <c r="L114" s="525"/>
      <c r="M114" s="514">
        <f t="shared" si="35"/>
        <v>0</v>
      </c>
      <c r="N114" s="525"/>
      <c r="O114" s="514">
        <f t="shared" si="28"/>
        <v>0</v>
      </c>
      <c r="P114" s="514">
        <f t="shared" si="29"/>
        <v>0</v>
      </c>
    </row>
    <row r="115" spans="2:16" ht="12.5">
      <c r="B115" s="195" t="str">
        <f t="shared" si="26"/>
        <v/>
      </c>
      <c r="C115" s="507">
        <f>IF(D93="","-",+C114+1)</f>
        <v>2030</v>
      </c>
      <c r="D115" s="374">
        <f>IF(F114+SUM(E$99:E114)=D$92,F114,D$92-SUM(E$99:E114))</f>
        <v>6002573.6856998792</v>
      </c>
      <c r="E115" s="522">
        <f t="shared" si="30"/>
        <v>235049.68292682926</v>
      </c>
      <c r="F115" s="523">
        <f t="shared" si="31"/>
        <v>5767524.0027730502</v>
      </c>
      <c r="G115" s="523">
        <f t="shared" si="32"/>
        <v>5885048.8442364652</v>
      </c>
      <c r="H115" s="526">
        <f t="shared" si="33"/>
        <v>903086.44964058185</v>
      </c>
      <c r="I115" s="577">
        <f t="shared" si="34"/>
        <v>903086.44964058185</v>
      </c>
      <c r="J115" s="514">
        <f t="shared" si="27"/>
        <v>0</v>
      </c>
      <c r="K115" s="514"/>
      <c r="L115" s="525"/>
      <c r="M115" s="514">
        <f t="shared" si="35"/>
        <v>0</v>
      </c>
      <c r="N115" s="525"/>
      <c r="O115" s="514">
        <f t="shared" si="28"/>
        <v>0</v>
      </c>
      <c r="P115" s="514">
        <f t="shared" si="29"/>
        <v>0</v>
      </c>
    </row>
    <row r="116" spans="2:16" ht="12.5">
      <c r="B116" s="195" t="str">
        <f t="shared" si="26"/>
        <v/>
      </c>
      <c r="C116" s="507">
        <f>IF(D93="","-",+C115+1)</f>
        <v>2031</v>
      </c>
      <c r="D116" s="374">
        <f>IF(F115+SUM(E$99:E115)=D$92,F115,D$92-SUM(E$99:E115))</f>
        <v>5767524.0027730502</v>
      </c>
      <c r="E116" s="522">
        <f t="shared" si="30"/>
        <v>235049.68292682926</v>
      </c>
      <c r="F116" s="523">
        <f t="shared" si="31"/>
        <v>5532474.3198462212</v>
      </c>
      <c r="G116" s="523">
        <f t="shared" si="32"/>
        <v>5649999.1613096353</v>
      </c>
      <c r="H116" s="526">
        <f t="shared" si="33"/>
        <v>876404.96672420599</v>
      </c>
      <c r="I116" s="577">
        <f t="shared" si="34"/>
        <v>876404.96672420599</v>
      </c>
      <c r="J116" s="514">
        <f t="shared" si="27"/>
        <v>0</v>
      </c>
      <c r="K116" s="514"/>
      <c r="L116" s="525"/>
      <c r="M116" s="514">
        <f t="shared" si="35"/>
        <v>0</v>
      </c>
      <c r="N116" s="525"/>
      <c r="O116" s="514">
        <f t="shared" si="28"/>
        <v>0</v>
      </c>
      <c r="P116" s="514">
        <f t="shared" si="29"/>
        <v>0</v>
      </c>
    </row>
    <row r="117" spans="2:16" ht="12.5">
      <c r="B117" s="195" t="str">
        <f t="shared" si="26"/>
        <v/>
      </c>
      <c r="C117" s="507">
        <f>IF(D93="","-",+C116+1)</f>
        <v>2032</v>
      </c>
      <c r="D117" s="374">
        <f>IF(F116+SUM(E$99:E116)=D$92,F116,D$92-SUM(E$99:E116))</f>
        <v>5532474.3198462212</v>
      </c>
      <c r="E117" s="522">
        <f t="shared" si="30"/>
        <v>235049.68292682926</v>
      </c>
      <c r="F117" s="523">
        <f t="shared" si="31"/>
        <v>5297424.6369193923</v>
      </c>
      <c r="G117" s="523">
        <f t="shared" si="32"/>
        <v>5414949.4783828072</v>
      </c>
      <c r="H117" s="526">
        <f t="shared" si="33"/>
        <v>849723.48380783037</v>
      </c>
      <c r="I117" s="577">
        <f t="shared" si="34"/>
        <v>849723.48380783037</v>
      </c>
      <c r="J117" s="514">
        <f t="shared" si="27"/>
        <v>0</v>
      </c>
      <c r="K117" s="514"/>
      <c r="L117" s="525"/>
      <c r="M117" s="514">
        <f t="shared" si="35"/>
        <v>0</v>
      </c>
      <c r="N117" s="525"/>
      <c r="O117" s="514">
        <f t="shared" si="28"/>
        <v>0</v>
      </c>
      <c r="P117" s="514">
        <f t="shared" si="29"/>
        <v>0</v>
      </c>
    </row>
    <row r="118" spans="2:16" ht="12.5">
      <c r="B118" s="195" t="str">
        <f t="shared" si="26"/>
        <v/>
      </c>
      <c r="C118" s="507">
        <f>IF(D93="","-",+C117+1)</f>
        <v>2033</v>
      </c>
      <c r="D118" s="374">
        <f>IF(F117+SUM(E$99:E117)=D$92,F117,D$92-SUM(E$99:E117))</f>
        <v>5297424.6369193923</v>
      </c>
      <c r="E118" s="522">
        <f t="shared" si="30"/>
        <v>235049.68292682926</v>
      </c>
      <c r="F118" s="523">
        <f t="shared" si="31"/>
        <v>5062374.9539925633</v>
      </c>
      <c r="G118" s="523">
        <f t="shared" si="32"/>
        <v>5179899.7954559773</v>
      </c>
      <c r="H118" s="526">
        <f t="shared" si="33"/>
        <v>823042.00089145475</v>
      </c>
      <c r="I118" s="577">
        <f t="shared" si="34"/>
        <v>823042.00089145475</v>
      </c>
      <c r="J118" s="514">
        <f t="shared" si="27"/>
        <v>0</v>
      </c>
      <c r="K118" s="514"/>
      <c r="L118" s="525"/>
      <c r="M118" s="514">
        <f t="shared" si="35"/>
        <v>0</v>
      </c>
      <c r="N118" s="525"/>
      <c r="O118" s="514">
        <f t="shared" si="28"/>
        <v>0</v>
      </c>
      <c r="P118" s="514">
        <f t="shared" si="29"/>
        <v>0</v>
      </c>
    </row>
    <row r="119" spans="2:16" ht="12.5">
      <c r="B119" s="195" t="str">
        <f t="shared" si="26"/>
        <v/>
      </c>
      <c r="C119" s="507">
        <f>IF(D93="","-",+C118+1)</f>
        <v>2034</v>
      </c>
      <c r="D119" s="374">
        <f>IF(F118+SUM(E$99:E118)=D$92,F118,D$92-SUM(E$99:E118))</f>
        <v>5062374.9539925633</v>
      </c>
      <c r="E119" s="522">
        <f t="shared" si="30"/>
        <v>235049.68292682926</v>
      </c>
      <c r="F119" s="523">
        <f t="shared" si="31"/>
        <v>4827325.2710657343</v>
      </c>
      <c r="G119" s="523">
        <f t="shared" si="32"/>
        <v>4944850.1125291493</v>
      </c>
      <c r="H119" s="526">
        <f t="shared" si="33"/>
        <v>796360.51797507913</v>
      </c>
      <c r="I119" s="577">
        <f t="shared" si="34"/>
        <v>796360.51797507913</v>
      </c>
      <c r="J119" s="514">
        <f t="shared" si="27"/>
        <v>0</v>
      </c>
      <c r="K119" s="514"/>
      <c r="L119" s="525"/>
      <c r="M119" s="514">
        <f t="shared" si="35"/>
        <v>0</v>
      </c>
      <c r="N119" s="525"/>
      <c r="O119" s="514">
        <f t="shared" si="28"/>
        <v>0</v>
      </c>
      <c r="P119" s="514">
        <f t="shared" si="29"/>
        <v>0</v>
      </c>
    </row>
    <row r="120" spans="2:16" ht="12.5">
      <c r="B120" s="195" t="str">
        <f t="shared" si="26"/>
        <v/>
      </c>
      <c r="C120" s="507">
        <f>IF(D93="","-",+C119+1)</f>
        <v>2035</v>
      </c>
      <c r="D120" s="374">
        <f>IF(F119+SUM(E$99:E119)=D$92,F119,D$92-SUM(E$99:E119))</f>
        <v>4827325.2710657343</v>
      </c>
      <c r="E120" s="522">
        <f t="shared" si="30"/>
        <v>235049.68292682926</v>
      </c>
      <c r="F120" s="523">
        <f t="shared" si="31"/>
        <v>4592275.5881389054</v>
      </c>
      <c r="G120" s="523">
        <f t="shared" si="32"/>
        <v>4709800.4296023194</v>
      </c>
      <c r="H120" s="526">
        <f t="shared" si="33"/>
        <v>769679.03505870351</v>
      </c>
      <c r="I120" s="577">
        <f t="shared" si="34"/>
        <v>769679.03505870351</v>
      </c>
      <c r="J120" s="514">
        <f t="shared" si="27"/>
        <v>0</v>
      </c>
      <c r="K120" s="514"/>
      <c r="L120" s="525"/>
      <c r="M120" s="514">
        <f t="shared" si="35"/>
        <v>0</v>
      </c>
      <c r="N120" s="525"/>
      <c r="O120" s="514">
        <f t="shared" si="28"/>
        <v>0</v>
      </c>
      <c r="P120" s="514">
        <f t="shared" si="29"/>
        <v>0</v>
      </c>
    </row>
    <row r="121" spans="2:16" ht="12.5">
      <c r="B121" s="195" t="str">
        <f t="shared" si="26"/>
        <v/>
      </c>
      <c r="C121" s="507">
        <f>IF(D93="","-",+C120+1)</f>
        <v>2036</v>
      </c>
      <c r="D121" s="374">
        <f>IF(F120+SUM(E$99:E120)=D$92,F120,D$92-SUM(E$99:E120))</f>
        <v>4592275.5881389054</v>
      </c>
      <c r="E121" s="522">
        <f t="shared" si="30"/>
        <v>235049.68292682926</v>
      </c>
      <c r="F121" s="523">
        <f t="shared" si="31"/>
        <v>4357225.9052120764</v>
      </c>
      <c r="G121" s="523">
        <f t="shared" si="32"/>
        <v>4474750.7466754913</v>
      </c>
      <c r="H121" s="526">
        <f t="shared" si="33"/>
        <v>742997.55214232788</v>
      </c>
      <c r="I121" s="577">
        <f t="shared" si="34"/>
        <v>742997.55214232788</v>
      </c>
      <c r="J121" s="514">
        <f t="shared" si="27"/>
        <v>0</v>
      </c>
      <c r="K121" s="514"/>
      <c r="L121" s="525"/>
      <c r="M121" s="514">
        <f t="shared" si="35"/>
        <v>0</v>
      </c>
      <c r="N121" s="525"/>
      <c r="O121" s="514">
        <f t="shared" si="28"/>
        <v>0</v>
      </c>
      <c r="P121" s="514">
        <f t="shared" si="29"/>
        <v>0</v>
      </c>
    </row>
    <row r="122" spans="2:16" ht="12.5">
      <c r="B122" s="195" t="str">
        <f t="shared" si="26"/>
        <v/>
      </c>
      <c r="C122" s="507">
        <f>IF(D93="","-",+C121+1)</f>
        <v>2037</v>
      </c>
      <c r="D122" s="374">
        <f>IF(F121+SUM(E$99:E121)=D$92,F121,D$92-SUM(E$99:E121))</f>
        <v>4357225.9052120764</v>
      </c>
      <c r="E122" s="522">
        <f t="shared" si="30"/>
        <v>235049.68292682926</v>
      </c>
      <c r="F122" s="523">
        <f t="shared" si="31"/>
        <v>4122176.2222852469</v>
      </c>
      <c r="G122" s="523">
        <f t="shared" si="32"/>
        <v>4239701.0637486614</v>
      </c>
      <c r="H122" s="526">
        <f t="shared" si="33"/>
        <v>716316.06922595203</v>
      </c>
      <c r="I122" s="577">
        <f t="shared" si="34"/>
        <v>716316.06922595203</v>
      </c>
      <c r="J122" s="514">
        <f t="shared" si="27"/>
        <v>0</v>
      </c>
      <c r="K122" s="514"/>
      <c r="L122" s="525"/>
      <c r="M122" s="514">
        <f t="shared" si="35"/>
        <v>0</v>
      </c>
      <c r="N122" s="525"/>
      <c r="O122" s="514">
        <f t="shared" si="28"/>
        <v>0</v>
      </c>
      <c r="P122" s="514">
        <f t="shared" si="29"/>
        <v>0</v>
      </c>
    </row>
    <row r="123" spans="2:16" ht="12.5">
      <c r="B123" s="195" t="str">
        <f t="shared" si="26"/>
        <v/>
      </c>
      <c r="C123" s="507">
        <f>IF(D93="","-",+C122+1)</f>
        <v>2038</v>
      </c>
      <c r="D123" s="374">
        <f>IF(F122+SUM(E$99:E122)=D$92,F122,D$92-SUM(E$99:E122))</f>
        <v>4122176.2222852469</v>
      </c>
      <c r="E123" s="522">
        <f t="shared" si="30"/>
        <v>235049.68292682926</v>
      </c>
      <c r="F123" s="523">
        <f t="shared" si="31"/>
        <v>3887126.5393584175</v>
      </c>
      <c r="G123" s="523">
        <f t="shared" si="32"/>
        <v>4004651.3808218325</v>
      </c>
      <c r="H123" s="526">
        <f t="shared" si="33"/>
        <v>689634.58630957641</v>
      </c>
      <c r="I123" s="577">
        <f t="shared" si="34"/>
        <v>689634.58630957641</v>
      </c>
      <c r="J123" s="514">
        <f t="shared" si="27"/>
        <v>0</v>
      </c>
      <c r="K123" s="514"/>
      <c r="L123" s="525"/>
      <c r="M123" s="514">
        <f t="shared" si="35"/>
        <v>0</v>
      </c>
      <c r="N123" s="525"/>
      <c r="O123" s="514">
        <f t="shared" si="28"/>
        <v>0</v>
      </c>
      <c r="P123" s="514">
        <f t="shared" si="29"/>
        <v>0</v>
      </c>
    </row>
    <row r="124" spans="2:16" ht="12.5">
      <c r="B124" s="195" t="str">
        <f t="shared" si="26"/>
        <v/>
      </c>
      <c r="C124" s="507">
        <f>IF(D93="","-",+C123+1)</f>
        <v>2039</v>
      </c>
      <c r="D124" s="374">
        <f>IF(F123+SUM(E$99:E123)=D$92,F123,D$92-SUM(E$99:E123))</f>
        <v>3887126.5393584175</v>
      </c>
      <c r="E124" s="522">
        <f t="shared" si="30"/>
        <v>235049.68292682926</v>
      </c>
      <c r="F124" s="523">
        <f t="shared" si="31"/>
        <v>3652076.8564315881</v>
      </c>
      <c r="G124" s="523">
        <f t="shared" si="32"/>
        <v>3769601.6978950026</v>
      </c>
      <c r="H124" s="526">
        <f t="shared" si="33"/>
        <v>662953.10339320067</v>
      </c>
      <c r="I124" s="577">
        <f t="shared" si="34"/>
        <v>662953.10339320067</v>
      </c>
      <c r="J124" s="514">
        <f t="shared" si="27"/>
        <v>0</v>
      </c>
      <c r="K124" s="514"/>
      <c r="L124" s="525"/>
      <c r="M124" s="514">
        <f t="shared" si="35"/>
        <v>0</v>
      </c>
      <c r="N124" s="525"/>
      <c r="O124" s="514">
        <f t="shared" si="28"/>
        <v>0</v>
      </c>
      <c r="P124" s="514">
        <f t="shared" si="29"/>
        <v>0</v>
      </c>
    </row>
    <row r="125" spans="2:16" ht="12.5">
      <c r="B125" s="195" t="str">
        <f t="shared" si="26"/>
        <v/>
      </c>
      <c r="C125" s="507">
        <f>IF(D93="","-",+C124+1)</f>
        <v>2040</v>
      </c>
      <c r="D125" s="374">
        <f>IF(F124+SUM(E$99:E124)=D$92,F124,D$92-SUM(E$99:E124))</f>
        <v>3652076.8564315881</v>
      </c>
      <c r="E125" s="522">
        <f t="shared" si="30"/>
        <v>235049.68292682926</v>
      </c>
      <c r="F125" s="523">
        <f t="shared" si="31"/>
        <v>3417027.1735047586</v>
      </c>
      <c r="G125" s="523">
        <f t="shared" si="32"/>
        <v>3534552.0149681736</v>
      </c>
      <c r="H125" s="526">
        <f t="shared" si="33"/>
        <v>636271.62047682505</v>
      </c>
      <c r="I125" s="577">
        <f t="shared" si="34"/>
        <v>636271.62047682505</v>
      </c>
      <c r="J125" s="514">
        <f t="shared" si="27"/>
        <v>0</v>
      </c>
      <c r="K125" s="514"/>
      <c r="L125" s="525"/>
      <c r="M125" s="514">
        <f t="shared" si="35"/>
        <v>0</v>
      </c>
      <c r="N125" s="525"/>
      <c r="O125" s="514">
        <f t="shared" si="28"/>
        <v>0</v>
      </c>
      <c r="P125" s="514">
        <f t="shared" si="29"/>
        <v>0</v>
      </c>
    </row>
    <row r="126" spans="2:16" ht="12.5">
      <c r="B126" s="195" t="str">
        <f t="shared" si="26"/>
        <v/>
      </c>
      <c r="C126" s="507">
        <f>IF(D93="","-",+C125+1)</f>
        <v>2041</v>
      </c>
      <c r="D126" s="374">
        <f>IF(F125+SUM(E$99:E125)=D$92,F125,D$92-SUM(E$99:E125))</f>
        <v>3417027.1735047586</v>
      </c>
      <c r="E126" s="522">
        <f t="shared" si="30"/>
        <v>235049.68292682926</v>
      </c>
      <c r="F126" s="523">
        <f t="shared" si="31"/>
        <v>3181977.4905779292</v>
      </c>
      <c r="G126" s="523">
        <f t="shared" si="32"/>
        <v>3299502.3320413437</v>
      </c>
      <c r="H126" s="526">
        <f t="shared" si="33"/>
        <v>609590.13756044931</v>
      </c>
      <c r="I126" s="577">
        <f t="shared" si="34"/>
        <v>609590.13756044931</v>
      </c>
      <c r="J126" s="514">
        <f t="shared" si="27"/>
        <v>0</v>
      </c>
      <c r="K126" s="514"/>
      <c r="L126" s="525"/>
      <c r="M126" s="514">
        <f t="shared" si="35"/>
        <v>0</v>
      </c>
      <c r="N126" s="525"/>
      <c r="O126" s="514">
        <f t="shared" si="28"/>
        <v>0</v>
      </c>
      <c r="P126" s="514">
        <f t="shared" si="29"/>
        <v>0</v>
      </c>
    </row>
    <row r="127" spans="2:16" ht="12.5">
      <c r="B127" s="195" t="str">
        <f t="shared" si="26"/>
        <v/>
      </c>
      <c r="C127" s="507">
        <f>IF(D93="","-",+C126+1)</f>
        <v>2042</v>
      </c>
      <c r="D127" s="374">
        <f>IF(F126+SUM(E$99:E126)=D$92,F126,D$92-SUM(E$99:E126))</f>
        <v>3181977.4905779292</v>
      </c>
      <c r="E127" s="522">
        <f t="shared" si="30"/>
        <v>235049.68292682926</v>
      </c>
      <c r="F127" s="523">
        <f t="shared" si="31"/>
        <v>2946927.8076510997</v>
      </c>
      <c r="G127" s="523">
        <f t="shared" si="32"/>
        <v>3064452.6491145147</v>
      </c>
      <c r="H127" s="526">
        <f t="shared" si="33"/>
        <v>582908.65464407369</v>
      </c>
      <c r="I127" s="577">
        <f t="shared" si="34"/>
        <v>582908.65464407369</v>
      </c>
      <c r="J127" s="514">
        <f t="shared" si="27"/>
        <v>0</v>
      </c>
      <c r="K127" s="514"/>
      <c r="L127" s="525"/>
      <c r="M127" s="514">
        <f t="shared" si="35"/>
        <v>0</v>
      </c>
      <c r="N127" s="525"/>
      <c r="O127" s="514">
        <f t="shared" si="28"/>
        <v>0</v>
      </c>
      <c r="P127" s="514">
        <f t="shared" si="29"/>
        <v>0</v>
      </c>
    </row>
    <row r="128" spans="2:16" ht="12.5">
      <c r="B128" s="195" t="str">
        <f t="shared" si="26"/>
        <v/>
      </c>
      <c r="C128" s="507">
        <f>IF(D93="","-",+C127+1)</f>
        <v>2043</v>
      </c>
      <c r="D128" s="374">
        <f>IF(F127+SUM(E$99:E127)=D$92,F127,D$92-SUM(E$99:E127))</f>
        <v>2946927.8076510997</v>
      </c>
      <c r="E128" s="522">
        <f t="shared" si="30"/>
        <v>235049.68292682926</v>
      </c>
      <c r="F128" s="523">
        <f t="shared" si="31"/>
        <v>2711878.1247242703</v>
      </c>
      <c r="G128" s="523">
        <f t="shared" si="32"/>
        <v>2829402.9661876848</v>
      </c>
      <c r="H128" s="526">
        <f t="shared" si="33"/>
        <v>556227.17172769783</v>
      </c>
      <c r="I128" s="577">
        <f t="shared" si="34"/>
        <v>556227.17172769783</v>
      </c>
      <c r="J128" s="514">
        <f t="shared" si="27"/>
        <v>0</v>
      </c>
      <c r="K128" s="514"/>
      <c r="L128" s="525"/>
      <c r="M128" s="514">
        <f t="shared" si="35"/>
        <v>0</v>
      </c>
      <c r="N128" s="525"/>
      <c r="O128" s="514">
        <f t="shared" si="28"/>
        <v>0</v>
      </c>
      <c r="P128" s="514">
        <f t="shared" si="29"/>
        <v>0</v>
      </c>
    </row>
    <row r="129" spans="2:16" ht="12.5">
      <c r="B129" s="195" t="str">
        <f t="shared" si="26"/>
        <v/>
      </c>
      <c r="C129" s="507">
        <f>IF(D93="","-",+C128+1)</f>
        <v>2044</v>
      </c>
      <c r="D129" s="374">
        <f>IF(F128+SUM(E$99:E128)=D$92,F128,D$92-SUM(E$99:E128))</f>
        <v>2711878.1247242703</v>
      </c>
      <c r="E129" s="522">
        <f t="shared" si="30"/>
        <v>235049.68292682926</v>
      </c>
      <c r="F129" s="523">
        <f t="shared" si="31"/>
        <v>2476828.4417974409</v>
      </c>
      <c r="G129" s="523">
        <f t="shared" si="32"/>
        <v>2594353.2832608558</v>
      </c>
      <c r="H129" s="526">
        <f t="shared" si="33"/>
        <v>529545.68881132221</v>
      </c>
      <c r="I129" s="577">
        <f t="shared" si="34"/>
        <v>529545.68881132221</v>
      </c>
      <c r="J129" s="514">
        <f t="shared" si="27"/>
        <v>0</v>
      </c>
      <c r="K129" s="514"/>
      <c r="L129" s="525"/>
      <c r="M129" s="514">
        <f t="shared" si="35"/>
        <v>0</v>
      </c>
      <c r="N129" s="525"/>
      <c r="O129" s="514">
        <f t="shared" si="28"/>
        <v>0</v>
      </c>
      <c r="P129" s="514">
        <f t="shared" si="29"/>
        <v>0</v>
      </c>
    </row>
    <row r="130" spans="2:16" ht="12.5">
      <c r="B130" s="195" t="str">
        <f t="shared" si="26"/>
        <v/>
      </c>
      <c r="C130" s="507">
        <f>IF(D93="","-",+C129+1)</f>
        <v>2045</v>
      </c>
      <c r="D130" s="374">
        <f>IF(F129+SUM(E$99:E129)=D$92,F129,D$92-SUM(E$99:E129))</f>
        <v>2476828.4417974409</v>
      </c>
      <c r="E130" s="522">
        <f t="shared" si="30"/>
        <v>235049.68292682926</v>
      </c>
      <c r="F130" s="523">
        <f t="shared" si="31"/>
        <v>2241778.7588706114</v>
      </c>
      <c r="G130" s="523">
        <f t="shared" si="32"/>
        <v>2359303.6003340259</v>
      </c>
      <c r="H130" s="526">
        <f t="shared" si="33"/>
        <v>502864.20589494641</v>
      </c>
      <c r="I130" s="577">
        <f t="shared" si="34"/>
        <v>502864.20589494641</v>
      </c>
      <c r="J130" s="514">
        <f t="shared" si="27"/>
        <v>0</v>
      </c>
      <c r="K130" s="514"/>
      <c r="L130" s="525"/>
      <c r="M130" s="514">
        <f t="shared" si="35"/>
        <v>0</v>
      </c>
      <c r="N130" s="525"/>
      <c r="O130" s="514">
        <f t="shared" si="28"/>
        <v>0</v>
      </c>
      <c r="P130" s="514">
        <f t="shared" si="29"/>
        <v>0</v>
      </c>
    </row>
    <row r="131" spans="2:16" ht="12.5">
      <c r="B131" s="195" t="str">
        <f t="shared" si="26"/>
        <v/>
      </c>
      <c r="C131" s="507">
        <f>IF(D93="","-",+C130+1)</f>
        <v>2046</v>
      </c>
      <c r="D131" s="374">
        <f>IF(F130+SUM(E$99:E130)=D$92,F130,D$92-SUM(E$99:E130))</f>
        <v>2241778.7588706114</v>
      </c>
      <c r="E131" s="522">
        <f t="shared" si="30"/>
        <v>235049.68292682926</v>
      </c>
      <c r="F131" s="523">
        <f t="shared" si="31"/>
        <v>2006729.0759437822</v>
      </c>
      <c r="G131" s="523">
        <f t="shared" si="32"/>
        <v>2124253.9174071969</v>
      </c>
      <c r="H131" s="526">
        <f t="shared" si="33"/>
        <v>476182.72297857073</v>
      </c>
      <c r="I131" s="577">
        <f t="shared" si="34"/>
        <v>476182.72297857073</v>
      </c>
      <c r="J131" s="514">
        <f t="shared" si="27"/>
        <v>0</v>
      </c>
      <c r="K131" s="514"/>
      <c r="L131" s="525"/>
      <c r="M131" s="514">
        <f t="shared" ref="M131:M154" si="36">IF(L541&lt;&gt;0,+H541-L541,0)</f>
        <v>0</v>
      </c>
      <c r="N131" s="525"/>
      <c r="O131" s="514">
        <f t="shared" ref="O131:O154" si="37">IF(N541&lt;&gt;0,+I541-N541,0)</f>
        <v>0</v>
      </c>
      <c r="P131" s="514">
        <f t="shared" ref="P131:P154" si="38">+O541-M541</f>
        <v>0</v>
      </c>
    </row>
    <row r="132" spans="2:16" ht="12.5">
      <c r="B132" s="195" t="str">
        <f t="shared" si="26"/>
        <v/>
      </c>
      <c r="C132" s="507">
        <f>IF(D93="","-",+C131+1)</f>
        <v>2047</v>
      </c>
      <c r="D132" s="374">
        <f>IF(F131+SUM(E$99:E131)=D$92,F131,D$92-SUM(E$99:E131))</f>
        <v>2006729.0759437822</v>
      </c>
      <c r="E132" s="522">
        <f t="shared" si="30"/>
        <v>235049.68292682926</v>
      </c>
      <c r="F132" s="523">
        <f t="shared" si="31"/>
        <v>1771679.393016953</v>
      </c>
      <c r="G132" s="523">
        <f t="shared" si="32"/>
        <v>1889204.2344803675</v>
      </c>
      <c r="H132" s="526">
        <f t="shared" si="33"/>
        <v>449501.24006219505</v>
      </c>
      <c r="I132" s="577">
        <f t="shared" si="34"/>
        <v>449501.24006219505</v>
      </c>
      <c r="J132" s="514">
        <f t="shared" si="27"/>
        <v>0</v>
      </c>
      <c r="K132" s="514"/>
      <c r="L132" s="525"/>
      <c r="M132" s="514">
        <f t="shared" si="36"/>
        <v>0</v>
      </c>
      <c r="N132" s="525"/>
      <c r="O132" s="514">
        <f t="shared" si="37"/>
        <v>0</v>
      </c>
      <c r="P132" s="514">
        <f t="shared" si="38"/>
        <v>0</v>
      </c>
    </row>
    <row r="133" spans="2:16" ht="12.5">
      <c r="B133" s="195" t="str">
        <f t="shared" si="26"/>
        <v/>
      </c>
      <c r="C133" s="507">
        <f>IF(D93="","-",+C132+1)</f>
        <v>2048</v>
      </c>
      <c r="D133" s="374">
        <f>IF(F132+SUM(E$99:E132)=D$92,F132,D$92-SUM(E$99:E132))</f>
        <v>1771679.393016953</v>
      </c>
      <c r="E133" s="522">
        <f t="shared" si="30"/>
        <v>235049.68292682926</v>
      </c>
      <c r="F133" s="523">
        <f t="shared" si="31"/>
        <v>1536629.7100901238</v>
      </c>
      <c r="G133" s="523">
        <f t="shared" si="32"/>
        <v>1654154.5515535385</v>
      </c>
      <c r="H133" s="526">
        <f t="shared" si="33"/>
        <v>422819.75714581937</v>
      </c>
      <c r="I133" s="577">
        <f t="shared" si="34"/>
        <v>422819.75714581937</v>
      </c>
      <c r="J133" s="514">
        <f t="shared" si="27"/>
        <v>0</v>
      </c>
      <c r="K133" s="514"/>
      <c r="L133" s="525"/>
      <c r="M133" s="514">
        <f t="shared" si="36"/>
        <v>0</v>
      </c>
      <c r="N133" s="525"/>
      <c r="O133" s="514">
        <f t="shared" si="37"/>
        <v>0</v>
      </c>
      <c r="P133" s="514">
        <f t="shared" si="38"/>
        <v>0</v>
      </c>
    </row>
    <row r="134" spans="2:16" ht="12.5">
      <c r="B134" s="195" t="str">
        <f t="shared" si="26"/>
        <v/>
      </c>
      <c r="C134" s="507">
        <f>IF(D93="","-",+C133+1)</f>
        <v>2049</v>
      </c>
      <c r="D134" s="374">
        <f>IF(F133+SUM(E$99:E133)=D$92,F133,D$92-SUM(E$99:E133))</f>
        <v>1536629.7100901238</v>
      </c>
      <c r="E134" s="522">
        <f t="shared" si="30"/>
        <v>235049.68292682926</v>
      </c>
      <c r="F134" s="523">
        <f t="shared" si="31"/>
        <v>1301580.0271632946</v>
      </c>
      <c r="G134" s="523">
        <f t="shared" si="32"/>
        <v>1419104.8686267091</v>
      </c>
      <c r="H134" s="526">
        <f t="shared" si="33"/>
        <v>396138.27422944369</v>
      </c>
      <c r="I134" s="577">
        <f t="shared" si="34"/>
        <v>396138.27422944369</v>
      </c>
      <c r="J134" s="514">
        <f t="shared" si="27"/>
        <v>0</v>
      </c>
      <c r="K134" s="514"/>
      <c r="L134" s="525"/>
      <c r="M134" s="514">
        <f t="shared" si="36"/>
        <v>0</v>
      </c>
      <c r="N134" s="525"/>
      <c r="O134" s="514">
        <f t="shared" si="37"/>
        <v>0</v>
      </c>
      <c r="P134" s="514">
        <f t="shared" si="38"/>
        <v>0</v>
      </c>
    </row>
    <row r="135" spans="2:16" ht="12.5">
      <c r="B135" s="195" t="str">
        <f t="shared" si="26"/>
        <v/>
      </c>
      <c r="C135" s="507">
        <f>IF(D93="","-",+C134+1)</f>
        <v>2050</v>
      </c>
      <c r="D135" s="374">
        <f>IF(F134+SUM(E$99:E134)=D$92,F134,D$92-SUM(E$99:E134))</f>
        <v>1301580.0271632946</v>
      </c>
      <c r="E135" s="522">
        <f t="shared" si="30"/>
        <v>235049.68292682926</v>
      </c>
      <c r="F135" s="523">
        <f t="shared" si="31"/>
        <v>1066530.3442364654</v>
      </c>
      <c r="G135" s="523">
        <f t="shared" si="32"/>
        <v>1184055.1856998801</v>
      </c>
      <c r="H135" s="526">
        <f t="shared" si="33"/>
        <v>369456.79131306801</v>
      </c>
      <c r="I135" s="577">
        <f t="shared" si="34"/>
        <v>369456.79131306801</v>
      </c>
      <c r="J135" s="514">
        <f t="shared" si="27"/>
        <v>0</v>
      </c>
      <c r="K135" s="514"/>
      <c r="L135" s="525"/>
      <c r="M135" s="514">
        <f t="shared" si="36"/>
        <v>0</v>
      </c>
      <c r="N135" s="525"/>
      <c r="O135" s="514">
        <f t="shared" si="37"/>
        <v>0</v>
      </c>
      <c r="P135" s="514">
        <f t="shared" si="38"/>
        <v>0</v>
      </c>
    </row>
    <row r="136" spans="2:16" ht="12.5">
      <c r="B136" s="195" t="str">
        <f t="shared" si="26"/>
        <v/>
      </c>
      <c r="C136" s="507">
        <f>IF(D93="","-",+C135+1)</f>
        <v>2051</v>
      </c>
      <c r="D136" s="374">
        <f>IF(F135+SUM(E$99:E135)=D$92,F135,D$92-SUM(E$99:E135))</f>
        <v>1066530.3442364654</v>
      </c>
      <c r="E136" s="522">
        <f t="shared" si="30"/>
        <v>235049.68292682926</v>
      </c>
      <c r="F136" s="523">
        <f t="shared" si="31"/>
        <v>831480.6613096362</v>
      </c>
      <c r="G136" s="523">
        <f t="shared" si="32"/>
        <v>949005.5027730508</v>
      </c>
      <c r="H136" s="526">
        <f t="shared" si="33"/>
        <v>342775.30839669233</v>
      </c>
      <c r="I136" s="577">
        <f t="shared" si="34"/>
        <v>342775.30839669233</v>
      </c>
      <c r="J136" s="514">
        <f t="shared" si="27"/>
        <v>0</v>
      </c>
      <c r="K136" s="514"/>
      <c r="L136" s="525"/>
      <c r="M136" s="514">
        <f t="shared" si="36"/>
        <v>0</v>
      </c>
      <c r="N136" s="525"/>
      <c r="O136" s="514">
        <f t="shared" si="37"/>
        <v>0</v>
      </c>
      <c r="P136" s="514">
        <f t="shared" si="38"/>
        <v>0</v>
      </c>
    </row>
    <row r="137" spans="2:16" ht="12.5">
      <c r="B137" s="195" t="str">
        <f t="shared" si="26"/>
        <v/>
      </c>
      <c r="C137" s="507">
        <f>IF(D93="","-",+C136+1)</f>
        <v>2052</v>
      </c>
      <c r="D137" s="374">
        <f>IF(F136+SUM(E$99:E136)=D$92,F136,D$92-SUM(E$99:E136))</f>
        <v>831480.6613096362</v>
      </c>
      <c r="E137" s="522">
        <f t="shared" si="30"/>
        <v>235049.68292682926</v>
      </c>
      <c r="F137" s="523">
        <f t="shared" si="31"/>
        <v>596430.97838280699</v>
      </c>
      <c r="G137" s="523">
        <f t="shared" si="32"/>
        <v>713955.8198462216</v>
      </c>
      <c r="H137" s="526">
        <f t="shared" si="33"/>
        <v>316093.82548031665</v>
      </c>
      <c r="I137" s="577">
        <f t="shared" si="34"/>
        <v>316093.82548031665</v>
      </c>
      <c r="J137" s="514">
        <f t="shared" si="27"/>
        <v>0</v>
      </c>
      <c r="K137" s="514"/>
      <c r="L137" s="525"/>
      <c r="M137" s="514">
        <f t="shared" si="36"/>
        <v>0</v>
      </c>
      <c r="N137" s="525"/>
      <c r="O137" s="514">
        <f t="shared" si="37"/>
        <v>0</v>
      </c>
      <c r="P137" s="514">
        <f t="shared" si="38"/>
        <v>0</v>
      </c>
    </row>
    <row r="138" spans="2:16" ht="12.5">
      <c r="B138" s="195" t="str">
        <f t="shared" si="26"/>
        <v/>
      </c>
      <c r="C138" s="507">
        <f>IF(D93="","-",+C137+1)</f>
        <v>2053</v>
      </c>
      <c r="D138" s="374">
        <f>IF(F137+SUM(E$99:E137)=D$92,F137,D$92-SUM(E$99:E137))</f>
        <v>596430.97838280699</v>
      </c>
      <c r="E138" s="522">
        <f t="shared" si="30"/>
        <v>235049.68292682926</v>
      </c>
      <c r="F138" s="523">
        <f t="shared" si="31"/>
        <v>361381.29545597773</v>
      </c>
      <c r="G138" s="523">
        <f t="shared" si="32"/>
        <v>478906.13691939239</v>
      </c>
      <c r="H138" s="526">
        <f t="shared" si="33"/>
        <v>289412.34256394097</v>
      </c>
      <c r="I138" s="577">
        <f t="shared" si="34"/>
        <v>289412.34256394097</v>
      </c>
      <c r="J138" s="514">
        <f t="shared" si="27"/>
        <v>0</v>
      </c>
      <c r="K138" s="514"/>
      <c r="L138" s="525"/>
      <c r="M138" s="514">
        <f t="shared" si="36"/>
        <v>0</v>
      </c>
      <c r="N138" s="525"/>
      <c r="O138" s="514">
        <f t="shared" si="37"/>
        <v>0</v>
      </c>
      <c r="P138" s="514">
        <f t="shared" si="38"/>
        <v>0</v>
      </c>
    </row>
    <row r="139" spans="2:16" ht="12.5">
      <c r="B139" s="195" t="str">
        <f t="shared" si="26"/>
        <v/>
      </c>
      <c r="C139" s="507">
        <f>IF(D93="","-",+C138+1)</f>
        <v>2054</v>
      </c>
      <c r="D139" s="374">
        <f>IF(F138+SUM(E$99:E138)=D$92,F138,D$92-SUM(E$99:E138))</f>
        <v>361381.29545597773</v>
      </c>
      <c r="E139" s="522">
        <f t="shared" si="30"/>
        <v>235049.68292682926</v>
      </c>
      <c r="F139" s="523">
        <f t="shared" si="31"/>
        <v>126331.61252914846</v>
      </c>
      <c r="G139" s="523">
        <f t="shared" si="32"/>
        <v>243856.4539925631</v>
      </c>
      <c r="H139" s="526">
        <f t="shared" si="33"/>
        <v>262730.85964756529</v>
      </c>
      <c r="I139" s="577">
        <f t="shared" si="34"/>
        <v>262730.85964756529</v>
      </c>
      <c r="J139" s="514">
        <f t="shared" si="27"/>
        <v>0</v>
      </c>
      <c r="K139" s="514"/>
      <c r="L139" s="525"/>
      <c r="M139" s="514">
        <f t="shared" si="36"/>
        <v>0</v>
      </c>
      <c r="N139" s="525"/>
      <c r="O139" s="514">
        <f t="shared" si="37"/>
        <v>0</v>
      </c>
      <c r="P139" s="514">
        <f t="shared" si="38"/>
        <v>0</v>
      </c>
    </row>
    <row r="140" spans="2:16" ht="12.5">
      <c r="B140" s="195" t="str">
        <f t="shared" si="26"/>
        <v/>
      </c>
      <c r="C140" s="507">
        <f>IF(D93="","-",+C139+1)</f>
        <v>2055</v>
      </c>
      <c r="D140" s="374">
        <f>IF(F139+SUM(E$99:E139)=D$92,F139,D$92-SUM(E$99:E139))</f>
        <v>126331.61252914846</v>
      </c>
      <c r="E140" s="522">
        <f t="shared" si="30"/>
        <v>126331.61252914846</v>
      </c>
      <c r="F140" s="523">
        <f t="shared" si="31"/>
        <v>0</v>
      </c>
      <c r="G140" s="523">
        <f t="shared" si="32"/>
        <v>63165.806264574232</v>
      </c>
      <c r="H140" s="526">
        <f t="shared" si="33"/>
        <v>133501.83016042254</v>
      </c>
      <c r="I140" s="577">
        <f t="shared" si="34"/>
        <v>133501.83016042254</v>
      </c>
      <c r="J140" s="514">
        <f t="shared" si="27"/>
        <v>0</v>
      </c>
      <c r="K140" s="514"/>
      <c r="L140" s="525"/>
      <c r="M140" s="514">
        <f t="shared" si="36"/>
        <v>0</v>
      </c>
      <c r="N140" s="525"/>
      <c r="O140" s="514">
        <f t="shared" si="37"/>
        <v>0</v>
      </c>
      <c r="P140" s="514">
        <f t="shared" si="38"/>
        <v>0</v>
      </c>
    </row>
    <row r="141" spans="2:16" ht="12.5">
      <c r="B141" s="195" t="str">
        <f t="shared" si="26"/>
        <v/>
      </c>
      <c r="C141" s="507">
        <f>IF(D93="","-",+C140+1)</f>
        <v>2056</v>
      </c>
      <c r="D141" s="374">
        <f>IF(F140+SUM(E$99:E140)=D$92,F140,D$92-SUM(E$99:E140))</f>
        <v>0</v>
      </c>
      <c r="E141" s="522">
        <f t="shared" si="30"/>
        <v>0</v>
      </c>
      <c r="F141" s="523">
        <f t="shared" si="31"/>
        <v>0</v>
      </c>
      <c r="G141" s="523">
        <f t="shared" si="32"/>
        <v>0</v>
      </c>
      <c r="H141" s="526">
        <f t="shared" si="33"/>
        <v>0</v>
      </c>
      <c r="I141" s="577">
        <f t="shared" si="34"/>
        <v>0</v>
      </c>
      <c r="J141" s="514">
        <f t="shared" si="27"/>
        <v>0</v>
      </c>
      <c r="K141" s="514"/>
      <c r="L141" s="525"/>
      <c r="M141" s="514">
        <f t="shared" si="36"/>
        <v>0</v>
      </c>
      <c r="N141" s="525"/>
      <c r="O141" s="514">
        <f t="shared" si="37"/>
        <v>0</v>
      </c>
      <c r="P141" s="514">
        <f t="shared" si="38"/>
        <v>0</v>
      </c>
    </row>
    <row r="142" spans="2:16" ht="12.5">
      <c r="B142" s="195" t="str">
        <f t="shared" si="26"/>
        <v/>
      </c>
      <c r="C142" s="507">
        <f>IF(D93="","-",+C141+1)</f>
        <v>2057</v>
      </c>
      <c r="D142" s="374">
        <f>IF(F141+SUM(E$99:E141)=D$92,F141,D$92-SUM(E$99:E141))</f>
        <v>0</v>
      </c>
      <c r="E142" s="522">
        <f t="shared" si="30"/>
        <v>0</v>
      </c>
      <c r="F142" s="523">
        <f t="shared" si="31"/>
        <v>0</v>
      </c>
      <c r="G142" s="523">
        <f t="shared" si="32"/>
        <v>0</v>
      </c>
      <c r="H142" s="526">
        <f t="shared" si="33"/>
        <v>0</v>
      </c>
      <c r="I142" s="577">
        <f t="shared" si="34"/>
        <v>0</v>
      </c>
      <c r="J142" s="514">
        <f t="shared" si="27"/>
        <v>0</v>
      </c>
      <c r="K142" s="514"/>
      <c r="L142" s="525"/>
      <c r="M142" s="514">
        <f t="shared" si="36"/>
        <v>0</v>
      </c>
      <c r="N142" s="525"/>
      <c r="O142" s="514">
        <f t="shared" si="37"/>
        <v>0</v>
      </c>
      <c r="P142" s="514">
        <f t="shared" si="38"/>
        <v>0</v>
      </c>
    </row>
    <row r="143" spans="2:16" ht="12.5">
      <c r="B143" s="195" t="str">
        <f t="shared" si="26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30"/>
        <v>0</v>
      </c>
      <c r="F143" s="523">
        <f t="shared" si="31"/>
        <v>0</v>
      </c>
      <c r="G143" s="523">
        <f t="shared" si="32"/>
        <v>0</v>
      </c>
      <c r="H143" s="526">
        <f t="shared" si="33"/>
        <v>0</v>
      </c>
      <c r="I143" s="577">
        <f t="shared" si="34"/>
        <v>0</v>
      </c>
      <c r="J143" s="514">
        <f t="shared" si="27"/>
        <v>0</v>
      </c>
      <c r="K143" s="514"/>
      <c r="L143" s="525"/>
      <c r="M143" s="514">
        <f t="shared" si="36"/>
        <v>0</v>
      </c>
      <c r="N143" s="525"/>
      <c r="O143" s="514">
        <f t="shared" si="37"/>
        <v>0</v>
      </c>
      <c r="P143" s="514">
        <f t="shared" si="38"/>
        <v>0</v>
      </c>
    </row>
    <row r="144" spans="2:16" ht="12.5">
      <c r="B144" s="195" t="str">
        <f t="shared" si="26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30"/>
        <v>0</v>
      </c>
      <c r="F144" s="523">
        <f t="shared" si="31"/>
        <v>0</v>
      </c>
      <c r="G144" s="523">
        <f t="shared" si="32"/>
        <v>0</v>
      </c>
      <c r="H144" s="526">
        <f t="shared" si="33"/>
        <v>0</v>
      </c>
      <c r="I144" s="577">
        <f t="shared" si="34"/>
        <v>0</v>
      </c>
      <c r="J144" s="514">
        <f t="shared" si="27"/>
        <v>0</v>
      </c>
      <c r="K144" s="514"/>
      <c r="L144" s="525"/>
      <c r="M144" s="514">
        <f t="shared" si="36"/>
        <v>0</v>
      </c>
      <c r="N144" s="525"/>
      <c r="O144" s="514">
        <f t="shared" si="37"/>
        <v>0</v>
      </c>
      <c r="P144" s="514">
        <f t="shared" si="38"/>
        <v>0</v>
      </c>
    </row>
    <row r="145" spans="2:16" ht="12.5">
      <c r="B145" s="195" t="str">
        <f t="shared" si="26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30"/>
        <v>0</v>
      </c>
      <c r="F145" s="523">
        <f t="shared" si="31"/>
        <v>0</v>
      </c>
      <c r="G145" s="523">
        <f t="shared" si="32"/>
        <v>0</v>
      </c>
      <c r="H145" s="526">
        <f t="shared" si="33"/>
        <v>0</v>
      </c>
      <c r="I145" s="577">
        <f t="shared" si="34"/>
        <v>0</v>
      </c>
      <c r="J145" s="514">
        <f t="shared" si="27"/>
        <v>0</v>
      </c>
      <c r="K145" s="514"/>
      <c r="L145" s="525"/>
      <c r="M145" s="514">
        <f t="shared" si="36"/>
        <v>0</v>
      </c>
      <c r="N145" s="525"/>
      <c r="O145" s="514">
        <f t="shared" si="37"/>
        <v>0</v>
      </c>
      <c r="P145" s="514">
        <f t="shared" si="38"/>
        <v>0</v>
      </c>
    </row>
    <row r="146" spans="2:16" ht="12.5">
      <c r="B146" s="195" t="str">
        <f t="shared" si="26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30"/>
        <v>0</v>
      </c>
      <c r="F146" s="523">
        <f t="shared" si="31"/>
        <v>0</v>
      </c>
      <c r="G146" s="523">
        <f t="shared" si="32"/>
        <v>0</v>
      </c>
      <c r="H146" s="526">
        <f t="shared" si="33"/>
        <v>0</v>
      </c>
      <c r="I146" s="577">
        <f t="shared" si="34"/>
        <v>0</v>
      </c>
      <c r="J146" s="514">
        <f t="shared" si="27"/>
        <v>0</v>
      </c>
      <c r="K146" s="514"/>
      <c r="L146" s="525"/>
      <c r="M146" s="514">
        <f t="shared" si="36"/>
        <v>0</v>
      </c>
      <c r="N146" s="525"/>
      <c r="O146" s="514">
        <f t="shared" si="37"/>
        <v>0</v>
      </c>
      <c r="P146" s="514">
        <f t="shared" si="38"/>
        <v>0</v>
      </c>
    </row>
    <row r="147" spans="2:16" ht="12.5">
      <c r="B147" s="195" t="str">
        <f t="shared" si="26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30"/>
        <v>0</v>
      </c>
      <c r="F147" s="523">
        <f t="shared" si="31"/>
        <v>0</v>
      </c>
      <c r="G147" s="523">
        <f t="shared" si="32"/>
        <v>0</v>
      </c>
      <c r="H147" s="526">
        <f t="shared" si="33"/>
        <v>0</v>
      </c>
      <c r="I147" s="577">
        <f t="shared" si="34"/>
        <v>0</v>
      </c>
      <c r="J147" s="514">
        <f t="shared" si="27"/>
        <v>0</v>
      </c>
      <c r="K147" s="514"/>
      <c r="L147" s="525"/>
      <c r="M147" s="514">
        <f t="shared" si="36"/>
        <v>0</v>
      </c>
      <c r="N147" s="525"/>
      <c r="O147" s="514">
        <f t="shared" si="37"/>
        <v>0</v>
      </c>
      <c r="P147" s="514">
        <f t="shared" si="38"/>
        <v>0</v>
      </c>
    </row>
    <row r="148" spans="2:16" ht="12.5">
      <c r="B148" s="195" t="str">
        <f t="shared" si="26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30"/>
        <v>0</v>
      </c>
      <c r="F148" s="523">
        <f t="shared" si="31"/>
        <v>0</v>
      </c>
      <c r="G148" s="523">
        <f t="shared" si="32"/>
        <v>0</v>
      </c>
      <c r="H148" s="526">
        <f t="shared" si="33"/>
        <v>0</v>
      </c>
      <c r="I148" s="577">
        <f t="shared" si="34"/>
        <v>0</v>
      </c>
      <c r="J148" s="514">
        <f t="shared" si="27"/>
        <v>0</v>
      </c>
      <c r="K148" s="514"/>
      <c r="L148" s="525"/>
      <c r="M148" s="514">
        <f t="shared" si="36"/>
        <v>0</v>
      </c>
      <c r="N148" s="525"/>
      <c r="O148" s="514">
        <f t="shared" si="37"/>
        <v>0</v>
      </c>
      <c r="P148" s="514">
        <f t="shared" si="38"/>
        <v>0</v>
      </c>
    </row>
    <row r="149" spans="2:16" ht="12.5">
      <c r="B149" s="195" t="str">
        <f t="shared" si="26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30"/>
        <v>0</v>
      </c>
      <c r="F149" s="523">
        <f t="shared" si="31"/>
        <v>0</v>
      </c>
      <c r="G149" s="523">
        <f t="shared" si="32"/>
        <v>0</v>
      </c>
      <c r="H149" s="526">
        <f t="shared" si="33"/>
        <v>0</v>
      </c>
      <c r="I149" s="577">
        <f t="shared" si="34"/>
        <v>0</v>
      </c>
      <c r="J149" s="514">
        <f t="shared" si="27"/>
        <v>0</v>
      </c>
      <c r="K149" s="514"/>
      <c r="L149" s="525"/>
      <c r="M149" s="514">
        <f t="shared" si="36"/>
        <v>0</v>
      </c>
      <c r="N149" s="525"/>
      <c r="O149" s="514">
        <f t="shared" si="37"/>
        <v>0</v>
      </c>
      <c r="P149" s="514">
        <f t="shared" si="38"/>
        <v>0</v>
      </c>
    </row>
    <row r="150" spans="2:16" ht="12.5">
      <c r="B150" s="195" t="str">
        <f t="shared" si="26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30"/>
        <v>0</v>
      </c>
      <c r="F150" s="523">
        <f t="shared" si="31"/>
        <v>0</v>
      </c>
      <c r="G150" s="523">
        <f t="shared" si="32"/>
        <v>0</v>
      </c>
      <c r="H150" s="526">
        <f t="shared" si="33"/>
        <v>0</v>
      </c>
      <c r="I150" s="577">
        <f t="shared" si="34"/>
        <v>0</v>
      </c>
      <c r="J150" s="514">
        <f t="shared" si="27"/>
        <v>0</v>
      </c>
      <c r="K150" s="514"/>
      <c r="L150" s="525"/>
      <c r="M150" s="514">
        <f t="shared" si="36"/>
        <v>0</v>
      </c>
      <c r="N150" s="525"/>
      <c r="O150" s="514">
        <f t="shared" si="37"/>
        <v>0</v>
      </c>
      <c r="P150" s="514">
        <f t="shared" si="38"/>
        <v>0</v>
      </c>
    </row>
    <row r="151" spans="2:16" ht="12.5">
      <c r="B151" s="195" t="str">
        <f t="shared" si="26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30"/>
        <v>0</v>
      </c>
      <c r="F151" s="523">
        <f t="shared" si="31"/>
        <v>0</v>
      </c>
      <c r="G151" s="523">
        <f t="shared" si="32"/>
        <v>0</v>
      </c>
      <c r="H151" s="526">
        <f t="shared" si="33"/>
        <v>0</v>
      </c>
      <c r="I151" s="577">
        <f t="shared" si="34"/>
        <v>0</v>
      </c>
      <c r="J151" s="514">
        <f t="shared" si="27"/>
        <v>0</v>
      </c>
      <c r="K151" s="514"/>
      <c r="L151" s="525"/>
      <c r="M151" s="514">
        <f t="shared" si="36"/>
        <v>0</v>
      </c>
      <c r="N151" s="525"/>
      <c r="O151" s="514">
        <f t="shared" si="37"/>
        <v>0</v>
      </c>
      <c r="P151" s="514">
        <f t="shared" si="38"/>
        <v>0</v>
      </c>
    </row>
    <row r="152" spans="2:16" ht="12.5">
      <c r="B152" s="195" t="str">
        <f t="shared" si="26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30"/>
        <v>0</v>
      </c>
      <c r="F152" s="523">
        <f t="shared" si="31"/>
        <v>0</v>
      </c>
      <c r="G152" s="523">
        <f t="shared" si="32"/>
        <v>0</v>
      </c>
      <c r="H152" s="526">
        <f t="shared" si="33"/>
        <v>0</v>
      </c>
      <c r="I152" s="577">
        <f t="shared" si="34"/>
        <v>0</v>
      </c>
      <c r="J152" s="514">
        <f t="shared" si="27"/>
        <v>0</v>
      </c>
      <c r="K152" s="514"/>
      <c r="L152" s="525"/>
      <c r="M152" s="514">
        <f t="shared" si="36"/>
        <v>0</v>
      </c>
      <c r="N152" s="525"/>
      <c r="O152" s="514">
        <f t="shared" si="37"/>
        <v>0</v>
      </c>
      <c r="P152" s="514">
        <f t="shared" si="38"/>
        <v>0</v>
      </c>
    </row>
    <row r="153" spans="2:16" ht="12.5">
      <c r="B153" s="195" t="str">
        <f t="shared" si="26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30"/>
        <v>0</v>
      </c>
      <c r="F153" s="523">
        <f t="shared" si="31"/>
        <v>0</v>
      </c>
      <c r="G153" s="523">
        <f t="shared" si="32"/>
        <v>0</v>
      </c>
      <c r="H153" s="526">
        <f t="shared" si="33"/>
        <v>0</v>
      </c>
      <c r="I153" s="577">
        <f t="shared" si="34"/>
        <v>0</v>
      </c>
      <c r="J153" s="514">
        <f t="shared" si="27"/>
        <v>0</v>
      </c>
      <c r="K153" s="514"/>
      <c r="L153" s="525"/>
      <c r="M153" s="514">
        <f t="shared" si="36"/>
        <v>0</v>
      </c>
      <c r="N153" s="525"/>
      <c r="O153" s="514">
        <f t="shared" si="37"/>
        <v>0</v>
      </c>
      <c r="P153" s="514">
        <f t="shared" si="38"/>
        <v>0</v>
      </c>
    </row>
    <row r="154" spans="2:16" ht="13" thickBot="1">
      <c r="B154" s="195" t="str">
        <f t="shared" si="26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30"/>
        <v>0</v>
      </c>
      <c r="F154" s="523">
        <f t="shared" si="31"/>
        <v>0</v>
      </c>
      <c r="G154" s="523">
        <f t="shared" si="32"/>
        <v>0</v>
      </c>
      <c r="H154" s="526">
        <f t="shared" si="33"/>
        <v>0</v>
      </c>
      <c r="I154" s="577">
        <f t="shared" si="34"/>
        <v>0</v>
      </c>
      <c r="J154" s="514">
        <f t="shared" si="27"/>
        <v>0</v>
      </c>
      <c r="K154" s="514"/>
      <c r="L154" s="532"/>
      <c r="M154" s="533">
        <f t="shared" si="36"/>
        <v>0</v>
      </c>
      <c r="N154" s="532"/>
      <c r="O154" s="533">
        <f t="shared" si="37"/>
        <v>0</v>
      </c>
      <c r="P154" s="533">
        <f t="shared" si="38"/>
        <v>0</v>
      </c>
    </row>
    <row r="155" spans="2:16" ht="12.5">
      <c r="C155" s="374" t="s">
        <v>78</v>
      </c>
      <c r="D155" s="375"/>
      <c r="E155" s="375">
        <f>SUM(E99:E154)</f>
        <v>9637037</v>
      </c>
      <c r="F155" s="375"/>
      <c r="G155" s="375"/>
      <c r="H155" s="375">
        <f>SUM(H99:H154)</f>
        <v>32384935.770684816</v>
      </c>
      <c r="I155" s="375">
        <f>SUM(I99:I154)</f>
        <v>32384935.770684816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80" priority="1" stopIfTrue="1" operator="equal">
      <formula>$I$10</formula>
    </cfRule>
  </conditionalFormatting>
  <conditionalFormatting sqref="C99:C154">
    <cfRule type="cellIs" dxfId="7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90"/>
  <dimension ref="A1:P162"/>
  <sheetViews>
    <sheetView view="pageBreakPreview" zoomScale="81" zoomScaleNormal="100" zoomScaleSheetLayoutView="81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41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605858.73237546359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605858.73237546359</v>
      </c>
      <c r="O6" s="269"/>
      <c r="P6" s="269"/>
    </row>
    <row r="7" spans="1:16" ht="13.5" thickBot="1">
      <c r="C7" s="467" t="s">
        <v>48</v>
      </c>
      <c r="D7" s="624" t="s">
        <v>312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311</v>
      </c>
      <c r="E9" s="637" t="s">
        <v>322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4866028.3099999996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115857.8169047619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3846600</v>
      </c>
      <c r="E17" s="638">
        <v>0</v>
      </c>
      <c r="F17" s="629">
        <v>3846600</v>
      </c>
      <c r="G17" s="638">
        <v>518946.76103442931</v>
      </c>
      <c r="H17" s="639">
        <v>518946.76103442931</v>
      </c>
      <c r="I17" s="616">
        <v>0</v>
      </c>
      <c r="J17" s="511"/>
      <c r="K17" s="512">
        <f t="shared" ref="K17:K22" si="0">G17</f>
        <v>518946.76103442931</v>
      </c>
      <c r="L17" s="597">
        <f t="shared" ref="L17:L22" si="1">IF(K17&lt;&gt;0,+G17-K17,0)</f>
        <v>0</v>
      </c>
      <c r="M17" s="512">
        <f t="shared" ref="M17:M22" si="2">H17</f>
        <v>518946.76103442931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3846600</v>
      </c>
      <c r="E18" s="630">
        <v>114166.66666666667</v>
      </c>
      <c r="F18" s="629">
        <v>3732433.3333333335</v>
      </c>
      <c r="G18" s="630">
        <v>605746.05598620465</v>
      </c>
      <c r="H18" s="639">
        <v>605746.05598620465</v>
      </c>
      <c r="I18" s="511">
        <v>0</v>
      </c>
      <c r="J18" s="511"/>
      <c r="K18" s="518">
        <f t="shared" si="0"/>
        <v>605746.05598620465</v>
      </c>
      <c r="L18" s="519">
        <f t="shared" si="1"/>
        <v>0</v>
      </c>
      <c r="M18" s="518">
        <f t="shared" si="2"/>
        <v>605746.05598620465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4680833.333333333</v>
      </c>
      <c r="E19" s="630">
        <v>114166.66666666667</v>
      </c>
      <c r="F19" s="629">
        <v>4566666.666666666</v>
      </c>
      <c r="G19" s="630">
        <v>708198.5525863939</v>
      </c>
      <c r="H19" s="639">
        <v>708198.5525863939</v>
      </c>
      <c r="I19" s="511">
        <f>H19-G19</f>
        <v>0</v>
      </c>
      <c r="J19" s="511"/>
      <c r="K19" s="518">
        <f t="shared" si="0"/>
        <v>708198.5525863939</v>
      </c>
      <c r="L19" s="519">
        <f t="shared" si="1"/>
        <v>0</v>
      </c>
      <c r="M19" s="518">
        <f t="shared" si="2"/>
        <v>708198.5525863939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>IU</v>
      </c>
      <c r="C20" s="507">
        <f>IF(D11="","-",+C19+1)</f>
        <v>2017</v>
      </c>
      <c r="D20" s="629">
        <v>4637694.666666667</v>
      </c>
      <c r="E20" s="630">
        <v>113163.44186046511</v>
      </c>
      <c r="F20" s="629">
        <v>4524531.2248062016</v>
      </c>
      <c r="G20" s="630">
        <v>680729.13149070973</v>
      </c>
      <c r="H20" s="639">
        <v>680729.13149070973</v>
      </c>
      <c r="I20" s="511">
        <f t="shared" ref="I20:I72" si="4">H20-G20</f>
        <v>0</v>
      </c>
      <c r="J20" s="511"/>
      <c r="K20" s="518">
        <f t="shared" si="0"/>
        <v>680729.13149070973</v>
      </c>
      <c r="L20" s="519">
        <f t="shared" si="1"/>
        <v>0</v>
      </c>
      <c r="M20" s="518">
        <f t="shared" si="2"/>
        <v>680729.13149070973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4524531.2248062016</v>
      </c>
      <c r="E21" s="630">
        <v>118683.60975609756</v>
      </c>
      <c r="F21" s="629">
        <v>4405847.6150501044</v>
      </c>
      <c r="G21" s="630">
        <v>686182.83562586328</v>
      </c>
      <c r="H21" s="639">
        <v>686182.83562586328</v>
      </c>
      <c r="I21" s="511">
        <f t="shared" si="4"/>
        <v>0</v>
      </c>
      <c r="J21" s="511"/>
      <c r="K21" s="518">
        <f t="shared" si="0"/>
        <v>686182.83562586328</v>
      </c>
      <c r="L21" s="519">
        <f t="shared" si="1"/>
        <v>0</v>
      </c>
      <c r="M21" s="518">
        <f t="shared" si="2"/>
        <v>686182.83562586328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4405847.6150501044</v>
      </c>
      <c r="E22" s="630">
        <v>118683.60975609756</v>
      </c>
      <c r="F22" s="629">
        <v>4287164.0052940072</v>
      </c>
      <c r="G22" s="630">
        <v>671098.84918635897</v>
      </c>
      <c r="H22" s="639">
        <v>671098.84918635897</v>
      </c>
      <c r="I22" s="511">
        <f t="shared" si="4"/>
        <v>0</v>
      </c>
      <c r="J22" s="511"/>
      <c r="K22" s="518">
        <f t="shared" si="0"/>
        <v>671098.84918635897</v>
      </c>
      <c r="L22" s="519">
        <f t="shared" si="1"/>
        <v>0</v>
      </c>
      <c r="M22" s="518">
        <f t="shared" si="2"/>
        <v>671098.84918635897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/>
      </c>
      <c r="C23" s="507">
        <f>IF(D11="","-",+C22+1)</f>
        <v>2020</v>
      </c>
      <c r="D23" s="629">
        <v>4287164.0052940072</v>
      </c>
      <c r="E23" s="630">
        <v>118683.60975609756</v>
      </c>
      <c r="F23" s="629">
        <v>4168480.3955379096</v>
      </c>
      <c r="G23" s="630">
        <v>551339.71950731217</v>
      </c>
      <c r="H23" s="639">
        <v>551339.71950731217</v>
      </c>
      <c r="I23" s="511">
        <f t="shared" si="4"/>
        <v>0</v>
      </c>
      <c r="J23" s="511"/>
      <c r="K23" s="518">
        <f t="shared" ref="K23" si="7">G23</f>
        <v>551339.71950731217</v>
      </c>
      <c r="L23" s="519">
        <f t="shared" ref="L23" si="8">IF(K23&lt;&gt;0,+G23-K23,0)</f>
        <v>0</v>
      </c>
      <c r="M23" s="518">
        <f t="shared" ref="M23" si="9">H23</f>
        <v>551339.71950731217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>IU</v>
      </c>
      <c r="C24" s="507">
        <f>IF(D11="","-",+C23+1)</f>
        <v>2021</v>
      </c>
      <c r="D24" s="629">
        <v>4174000.5634335415</v>
      </c>
      <c r="E24" s="630">
        <v>115857.80952380953</v>
      </c>
      <c r="F24" s="629">
        <v>4058142.7539097317</v>
      </c>
      <c r="G24" s="630">
        <v>552180.11306412728</v>
      </c>
      <c r="H24" s="639">
        <v>552180.11306412728</v>
      </c>
      <c r="I24" s="511">
        <f t="shared" si="4"/>
        <v>0</v>
      </c>
      <c r="J24" s="511"/>
      <c r="K24" s="518">
        <f t="shared" ref="K24" si="10">G24</f>
        <v>552180.11306412728</v>
      </c>
      <c r="L24" s="519">
        <f t="shared" ref="L24" si="11">IF(K24&lt;&gt;0,+G24-K24,0)</f>
        <v>0</v>
      </c>
      <c r="M24" s="518">
        <f t="shared" ref="M24" si="12">H24</f>
        <v>552180.11306412728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>IU</v>
      </c>
      <c r="C25" s="507">
        <f>IF(D11="","-",+C24+1)</f>
        <v>2022</v>
      </c>
      <c r="D25" s="629">
        <v>4052622.5860140994</v>
      </c>
      <c r="E25" s="630">
        <v>115857.80952380953</v>
      </c>
      <c r="F25" s="629">
        <v>3936764.7764902897</v>
      </c>
      <c r="G25" s="630">
        <v>565037.53283672058</v>
      </c>
      <c r="H25" s="639">
        <v>565037.53283672058</v>
      </c>
      <c r="I25" s="511">
        <f t="shared" si="4"/>
        <v>0</v>
      </c>
      <c r="J25" s="511"/>
      <c r="K25" s="518">
        <f t="shared" ref="K25" si="13">G25</f>
        <v>565037.53283672058</v>
      </c>
      <c r="L25" s="519">
        <f t="shared" ref="L25" si="14">IF(K25&lt;&gt;0,+G25-K25,0)</f>
        <v>0</v>
      </c>
      <c r="M25" s="518">
        <f t="shared" ref="M25" si="15">H25</f>
        <v>565037.53283672058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>IU</v>
      </c>
      <c r="C26" s="507">
        <f>IF(D11="","-",+C25+1)</f>
        <v>2023</v>
      </c>
      <c r="D26" s="523">
        <f>IF(F25+SUM(E$17:E25)=D$10,F25,D$10-SUM(E$17:E25))</f>
        <v>3936765.0864902893</v>
      </c>
      <c r="E26" s="522">
        <f t="shared" ref="E26:E72" si="16">IF(+$I$14&lt;F25,$I$14,D26)</f>
        <v>115857.8169047619</v>
      </c>
      <c r="F26" s="523">
        <f t="shared" ref="F26:F72" si="17">+D26-E26</f>
        <v>3820907.2695855275</v>
      </c>
      <c r="G26" s="524">
        <f t="shared" ref="G26:G51" si="18">+I$12*((D26+F26)/2)+E26</f>
        <v>605858.73237546359</v>
      </c>
      <c r="H26" s="491">
        <f t="shared" ref="H26:H51" si="19">+I$13*((D26+F26)/2)+E26</f>
        <v>605858.73237546359</v>
      </c>
      <c r="I26" s="511">
        <f t="shared" si="4"/>
        <v>0</v>
      </c>
      <c r="J26" s="511"/>
      <c r="K26" s="525"/>
      <c r="L26" s="514">
        <f t="shared" ref="L26:L72" si="20">IF(K26&lt;&gt;0,+G26-K26,0)</f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3820907.2695855275</v>
      </c>
      <c r="E27" s="522">
        <f t="shared" si="16"/>
        <v>115857.8169047619</v>
      </c>
      <c r="F27" s="523">
        <f t="shared" si="17"/>
        <v>3705049.4526807657</v>
      </c>
      <c r="G27" s="524">
        <f t="shared" si="18"/>
        <v>591222.78650355327</v>
      </c>
      <c r="H27" s="491">
        <f t="shared" si="19"/>
        <v>591222.78650355327</v>
      </c>
      <c r="I27" s="511">
        <f t="shared" si="4"/>
        <v>0</v>
      </c>
      <c r="J27" s="511"/>
      <c r="K27" s="525"/>
      <c r="L27" s="514">
        <f t="shared" si="20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3705049.4526807657</v>
      </c>
      <c r="E28" s="522">
        <f t="shared" si="16"/>
        <v>115857.8169047619</v>
      </c>
      <c r="F28" s="523">
        <f t="shared" si="17"/>
        <v>3589191.6357760038</v>
      </c>
      <c r="G28" s="524">
        <f t="shared" si="18"/>
        <v>576586.84063164296</v>
      </c>
      <c r="H28" s="491">
        <f t="shared" si="19"/>
        <v>576586.84063164296</v>
      </c>
      <c r="I28" s="511">
        <f t="shared" si="4"/>
        <v>0</v>
      </c>
      <c r="J28" s="511"/>
      <c r="K28" s="525"/>
      <c r="L28" s="514">
        <f t="shared" si="20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3589191.6357760038</v>
      </c>
      <c r="E29" s="522">
        <f t="shared" si="16"/>
        <v>115857.8169047619</v>
      </c>
      <c r="F29" s="523">
        <f t="shared" si="17"/>
        <v>3473333.818871242</v>
      </c>
      <c r="G29" s="524">
        <f t="shared" si="18"/>
        <v>561950.89475973265</v>
      </c>
      <c r="H29" s="491">
        <f t="shared" si="19"/>
        <v>561950.89475973265</v>
      </c>
      <c r="I29" s="511">
        <f t="shared" si="4"/>
        <v>0</v>
      </c>
      <c r="J29" s="511"/>
      <c r="K29" s="525"/>
      <c r="L29" s="514">
        <f t="shared" si="20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3473333.818871242</v>
      </c>
      <c r="E30" s="522">
        <f t="shared" si="16"/>
        <v>115857.8169047619</v>
      </c>
      <c r="F30" s="523">
        <f t="shared" si="17"/>
        <v>3357476.0019664802</v>
      </c>
      <c r="G30" s="524">
        <f t="shared" si="18"/>
        <v>547314.94888782233</v>
      </c>
      <c r="H30" s="491">
        <f t="shared" si="19"/>
        <v>547314.94888782233</v>
      </c>
      <c r="I30" s="511">
        <f t="shared" si="4"/>
        <v>0</v>
      </c>
      <c r="J30" s="511"/>
      <c r="K30" s="525"/>
      <c r="L30" s="514">
        <f t="shared" si="20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3357476.0019664802</v>
      </c>
      <c r="E31" s="522">
        <f t="shared" si="16"/>
        <v>115857.8169047619</v>
      </c>
      <c r="F31" s="523">
        <f t="shared" si="17"/>
        <v>3241618.1850617183</v>
      </c>
      <c r="G31" s="524">
        <f t="shared" si="18"/>
        <v>532679.00301591214</v>
      </c>
      <c r="H31" s="491">
        <f t="shared" si="19"/>
        <v>532679.00301591214</v>
      </c>
      <c r="I31" s="511">
        <f t="shared" si="4"/>
        <v>0</v>
      </c>
      <c r="J31" s="511"/>
      <c r="K31" s="525"/>
      <c r="L31" s="514">
        <f t="shared" si="20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3241618.1850617183</v>
      </c>
      <c r="E32" s="522">
        <f t="shared" si="16"/>
        <v>115857.8169047619</v>
      </c>
      <c r="F32" s="523">
        <f t="shared" si="17"/>
        <v>3125760.3681569565</v>
      </c>
      <c r="G32" s="524">
        <f t="shared" si="18"/>
        <v>518043.05714400177</v>
      </c>
      <c r="H32" s="491">
        <f t="shared" si="19"/>
        <v>518043.05714400177</v>
      </c>
      <c r="I32" s="511">
        <f t="shared" si="4"/>
        <v>0</v>
      </c>
      <c r="J32" s="511"/>
      <c r="K32" s="525"/>
      <c r="L32" s="514">
        <f t="shared" si="20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3125760.3681569565</v>
      </c>
      <c r="E33" s="522">
        <f t="shared" si="16"/>
        <v>115857.8169047619</v>
      </c>
      <c r="F33" s="523">
        <f t="shared" si="17"/>
        <v>3009902.5512521947</v>
      </c>
      <c r="G33" s="524">
        <f t="shared" si="18"/>
        <v>503407.11127209145</v>
      </c>
      <c r="H33" s="491">
        <f t="shared" si="19"/>
        <v>503407.11127209145</v>
      </c>
      <c r="I33" s="511">
        <f t="shared" si="4"/>
        <v>0</v>
      </c>
      <c r="J33" s="511"/>
      <c r="K33" s="525"/>
      <c r="L33" s="514">
        <f t="shared" si="20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3009902.5512521947</v>
      </c>
      <c r="E34" s="522">
        <f t="shared" si="16"/>
        <v>115857.8169047619</v>
      </c>
      <c r="F34" s="523">
        <f t="shared" si="17"/>
        <v>2894044.7343474329</v>
      </c>
      <c r="G34" s="524">
        <f t="shared" si="18"/>
        <v>488771.1654001812</v>
      </c>
      <c r="H34" s="491">
        <f t="shared" si="19"/>
        <v>488771.1654001812</v>
      </c>
      <c r="I34" s="511">
        <f t="shared" si="4"/>
        <v>0</v>
      </c>
      <c r="J34" s="511"/>
      <c r="K34" s="525"/>
      <c r="L34" s="514">
        <f t="shared" si="20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2894044.7343474329</v>
      </c>
      <c r="E35" s="522">
        <f t="shared" si="16"/>
        <v>115857.8169047619</v>
      </c>
      <c r="F35" s="523">
        <f t="shared" si="17"/>
        <v>2778186.917442671</v>
      </c>
      <c r="G35" s="524">
        <f t="shared" si="18"/>
        <v>474135.21952827089</v>
      </c>
      <c r="H35" s="491">
        <f t="shared" si="19"/>
        <v>474135.21952827089</v>
      </c>
      <c r="I35" s="511">
        <f t="shared" si="4"/>
        <v>0</v>
      </c>
      <c r="J35" s="511"/>
      <c r="K35" s="525"/>
      <c r="L35" s="514">
        <f t="shared" si="20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2778186.917442671</v>
      </c>
      <c r="E36" s="522">
        <f t="shared" si="16"/>
        <v>115857.8169047619</v>
      </c>
      <c r="F36" s="523">
        <f t="shared" si="17"/>
        <v>2662329.1005379092</v>
      </c>
      <c r="G36" s="524">
        <f t="shared" si="18"/>
        <v>459499.27365636057</v>
      </c>
      <c r="H36" s="491">
        <f t="shared" si="19"/>
        <v>459499.27365636057</v>
      </c>
      <c r="I36" s="511">
        <f t="shared" si="4"/>
        <v>0</v>
      </c>
      <c r="J36" s="511"/>
      <c r="K36" s="525"/>
      <c r="L36" s="514">
        <f t="shared" si="20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2662329.1005379092</v>
      </c>
      <c r="E37" s="522">
        <f t="shared" si="16"/>
        <v>115857.8169047619</v>
      </c>
      <c r="F37" s="523">
        <f t="shared" si="17"/>
        <v>2546471.2836331474</v>
      </c>
      <c r="G37" s="524">
        <f t="shared" si="18"/>
        <v>444863.32778445026</v>
      </c>
      <c r="H37" s="491">
        <f t="shared" si="19"/>
        <v>444863.32778445026</v>
      </c>
      <c r="I37" s="511">
        <f t="shared" si="4"/>
        <v>0</v>
      </c>
      <c r="J37" s="511"/>
      <c r="K37" s="525"/>
      <c r="L37" s="514">
        <f t="shared" si="20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2546471.2836331474</v>
      </c>
      <c r="E38" s="522">
        <f t="shared" si="16"/>
        <v>115857.8169047619</v>
      </c>
      <c r="F38" s="523">
        <f t="shared" si="17"/>
        <v>2430613.4667283855</v>
      </c>
      <c r="G38" s="524">
        <f t="shared" si="18"/>
        <v>430227.38191254</v>
      </c>
      <c r="H38" s="491">
        <f t="shared" si="19"/>
        <v>430227.38191254</v>
      </c>
      <c r="I38" s="511">
        <f t="shared" si="4"/>
        <v>0</v>
      </c>
      <c r="J38" s="511"/>
      <c r="K38" s="525"/>
      <c r="L38" s="514">
        <f t="shared" si="20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2430613.4667283855</v>
      </c>
      <c r="E39" s="522">
        <f t="shared" si="16"/>
        <v>115857.8169047619</v>
      </c>
      <c r="F39" s="523">
        <f t="shared" si="17"/>
        <v>2314755.6498236237</v>
      </c>
      <c r="G39" s="524">
        <f t="shared" si="18"/>
        <v>415591.43604062969</v>
      </c>
      <c r="H39" s="491">
        <f t="shared" si="19"/>
        <v>415591.43604062969</v>
      </c>
      <c r="I39" s="511">
        <f t="shared" si="4"/>
        <v>0</v>
      </c>
      <c r="J39" s="511"/>
      <c r="K39" s="525"/>
      <c r="L39" s="514">
        <f t="shared" si="20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2314755.6498236237</v>
      </c>
      <c r="E40" s="522">
        <f t="shared" si="16"/>
        <v>115857.8169047619</v>
      </c>
      <c r="F40" s="523">
        <f t="shared" si="17"/>
        <v>2198897.8329188619</v>
      </c>
      <c r="G40" s="524">
        <f t="shared" si="18"/>
        <v>400955.49016871938</v>
      </c>
      <c r="H40" s="491">
        <f t="shared" si="19"/>
        <v>400955.49016871938</v>
      </c>
      <c r="I40" s="511">
        <f t="shared" si="4"/>
        <v>0</v>
      </c>
      <c r="J40" s="511"/>
      <c r="K40" s="525"/>
      <c r="L40" s="514">
        <f t="shared" si="20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2198897.8329188619</v>
      </c>
      <c r="E41" s="522">
        <f t="shared" si="16"/>
        <v>115857.8169047619</v>
      </c>
      <c r="F41" s="523">
        <f t="shared" si="17"/>
        <v>2083040.0160141001</v>
      </c>
      <c r="G41" s="524">
        <f t="shared" si="18"/>
        <v>386319.54429680912</v>
      </c>
      <c r="H41" s="491">
        <f t="shared" si="19"/>
        <v>386319.54429680912</v>
      </c>
      <c r="I41" s="511">
        <f t="shared" si="4"/>
        <v>0</v>
      </c>
      <c r="J41" s="511"/>
      <c r="K41" s="525"/>
      <c r="L41" s="514">
        <f t="shared" si="20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2083040.0160141001</v>
      </c>
      <c r="E42" s="522">
        <f t="shared" si="16"/>
        <v>115857.8169047619</v>
      </c>
      <c r="F42" s="523">
        <f t="shared" si="17"/>
        <v>1967182.1991093382</v>
      </c>
      <c r="G42" s="524">
        <f t="shared" si="18"/>
        <v>371683.59842489881</v>
      </c>
      <c r="H42" s="491">
        <f t="shared" si="19"/>
        <v>371683.59842489881</v>
      </c>
      <c r="I42" s="511">
        <f t="shared" si="4"/>
        <v>0</v>
      </c>
      <c r="J42" s="511"/>
      <c r="K42" s="525"/>
      <c r="L42" s="514">
        <f t="shared" si="20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1967182.1991093382</v>
      </c>
      <c r="E43" s="522">
        <f t="shared" si="16"/>
        <v>115857.8169047619</v>
      </c>
      <c r="F43" s="523">
        <f t="shared" si="17"/>
        <v>1851324.3822045764</v>
      </c>
      <c r="G43" s="524">
        <f t="shared" si="18"/>
        <v>357047.65255298855</v>
      </c>
      <c r="H43" s="491">
        <f t="shared" si="19"/>
        <v>357047.65255298855</v>
      </c>
      <c r="I43" s="511">
        <f t="shared" si="4"/>
        <v>0</v>
      </c>
      <c r="J43" s="511"/>
      <c r="K43" s="525"/>
      <c r="L43" s="514">
        <f t="shared" si="20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1851324.3822045764</v>
      </c>
      <c r="E44" s="522">
        <f t="shared" si="16"/>
        <v>115857.8169047619</v>
      </c>
      <c r="F44" s="523">
        <f t="shared" si="17"/>
        <v>1735466.5652998146</v>
      </c>
      <c r="G44" s="524">
        <f t="shared" si="18"/>
        <v>342411.70668107824</v>
      </c>
      <c r="H44" s="491">
        <f t="shared" si="19"/>
        <v>342411.70668107824</v>
      </c>
      <c r="I44" s="511">
        <f t="shared" si="4"/>
        <v>0</v>
      </c>
      <c r="J44" s="511"/>
      <c r="K44" s="525"/>
      <c r="L44" s="514">
        <f t="shared" si="20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1735466.5652998146</v>
      </c>
      <c r="E45" s="522">
        <f t="shared" si="16"/>
        <v>115857.8169047619</v>
      </c>
      <c r="F45" s="523">
        <f t="shared" si="17"/>
        <v>1619608.7483950527</v>
      </c>
      <c r="G45" s="524">
        <f t="shared" si="18"/>
        <v>327775.76080916793</v>
      </c>
      <c r="H45" s="491">
        <f t="shared" si="19"/>
        <v>327775.76080916793</v>
      </c>
      <c r="I45" s="511">
        <f t="shared" si="4"/>
        <v>0</v>
      </c>
      <c r="J45" s="511"/>
      <c r="K45" s="525"/>
      <c r="L45" s="514">
        <f t="shared" si="20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1619608.7483950527</v>
      </c>
      <c r="E46" s="522">
        <f t="shared" si="16"/>
        <v>115857.8169047619</v>
      </c>
      <c r="F46" s="523">
        <f t="shared" si="17"/>
        <v>1503750.9314902909</v>
      </c>
      <c r="G46" s="524">
        <f t="shared" si="18"/>
        <v>313139.81493725767</v>
      </c>
      <c r="H46" s="491">
        <f t="shared" si="19"/>
        <v>313139.81493725767</v>
      </c>
      <c r="I46" s="511">
        <f t="shared" si="4"/>
        <v>0</v>
      </c>
      <c r="J46" s="511"/>
      <c r="K46" s="525"/>
      <c r="L46" s="514">
        <f t="shared" si="20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1503750.9314902909</v>
      </c>
      <c r="E47" s="522">
        <f t="shared" si="16"/>
        <v>115857.8169047619</v>
      </c>
      <c r="F47" s="523">
        <f t="shared" si="17"/>
        <v>1387893.1145855291</v>
      </c>
      <c r="G47" s="524">
        <f t="shared" si="18"/>
        <v>298503.86906534736</v>
      </c>
      <c r="H47" s="491">
        <f t="shared" si="19"/>
        <v>298503.86906534736</v>
      </c>
      <c r="I47" s="511">
        <f t="shared" si="4"/>
        <v>0</v>
      </c>
      <c r="J47" s="511"/>
      <c r="K47" s="525"/>
      <c r="L47" s="514">
        <f t="shared" si="20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1387893.1145855291</v>
      </c>
      <c r="E48" s="522">
        <f t="shared" si="16"/>
        <v>115857.8169047619</v>
      </c>
      <c r="F48" s="523">
        <f t="shared" si="17"/>
        <v>1272035.2976807673</v>
      </c>
      <c r="G48" s="524">
        <f t="shared" si="18"/>
        <v>283867.92319343705</v>
      </c>
      <c r="H48" s="491">
        <f t="shared" si="19"/>
        <v>283867.92319343705</v>
      </c>
      <c r="I48" s="511">
        <f t="shared" si="4"/>
        <v>0</v>
      </c>
      <c r="J48" s="511"/>
      <c r="K48" s="525"/>
      <c r="L48" s="514">
        <f t="shared" si="20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1272035.2976807673</v>
      </c>
      <c r="E49" s="522">
        <f t="shared" si="16"/>
        <v>115857.8169047619</v>
      </c>
      <c r="F49" s="523">
        <f t="shared" si="17"/>
        <v>1156177.4807760054</v>
      </c>
      <c r="G49" s="524">
        <f t="shared" si="18"/>
        <v>269231.97732152679</v>
      </c>
      <c r="H49" s="491">
        <f t="shared" si="19"/>
        <v>269231.97732152679</v>
      </c>
      <c r="I49" s="511">
        <f t="shared" si="4"/>
        <v>0</v>
      </c>
      <c r="J49" s="511"/>
      <c r="K49" s="525"/>
      <c r="L49" s="514">
        <f t="shared" si="20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1156177.4807760054</v>
      </c>
      <c r="E50" s="522">
        <f t="shared" si="16"/>
        <v>115857.8169047619</v>
      </c>
      <c r="F50" s="523">
        <f t="shared" si="17"/>
        <v>1040319.6638712435</v>
      </c>
      <c r="G50" s="524">
        <f t="shared" si="18"/>
        <v>254596.03144961648</v>
      </c>
      <c r="H50" s="491">
        <f t="shared" si="19"/>
        <v>254596.03144961648</v>
      </c>
      <c r="I50" s="511">
        <f t="shared" si="4"/>
        <v>0</v>
      </c>
      <c r="J50" s="511"/>
      <c r="K50" s="525"/>
      <c r="L50" s="514">
        <f t="shared" si="20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1040319.6638712435</v>
      </c>
      <c r="E51" s="522">
        <f t="shared" si="16"/>
        <v>115857.8169047619</v>
      </c>
      <c r="F51" s="523">
        <f t="shared" si="17"/>
        <v>924461.84696648153</v>
      </c>
      <c r="G51" s="524">
        <f t="shared" si="18"/>
        <v>239960.08557770617</v>
      </c>
      <c r="H51" s="491">
        <f t="shared" si="19"/>
        <v>239960.08557770617</v>
      </c>
      <c r="I51" s="511">
        <f t="shared" si="4"/>
        <v>0</v>
      </c>
      <c r="J51" s="511"/>
      <c r="K51" s="525"/>
      <c r="L51" s="514">
        <f t="shared" si="20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924461.84696648153</v>
      </c>
      <c r="E52" s="522">
        <f t="shared" si="16"/>
        <v>115857.8169047619</v>
      </c>
      <c r="F52" s="523">
        <f t="shared" si="17"/>
        <v>808604.03006171959</v>
      </c>
      <c r="G52" s="524">
        <f t="shared" ref="G52:G72" si="21">+I$12*((D52+F52)/2)+E52</f>
        <v>225324.13970579585</v>
      </c>
      <c r="H52" s="491">
        <f t="shared" ref="H52:H72" si="22">+I$13*((D52+F52)/2)+E52</f>
        <v>225324.13970579585</v>
      </c>
      <c r="I52" s="511">
        <f t="shared" si="4"/>
        <v>0</v>
      </c>
      <c r="J52" s="511"/>
      <c r="K52" s="525"/>
      <c r="L52" s="514">
        <f t="shared" si="20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808604.03006171959</v>
      </c>
      <c r="E53" s="522">
        <f t="shared" si="16"/>
        <v>115857.8169047619</v>
      </c>
      <c r="F53" s="523">
        <f t="shared" si="17"/>
        <v>692746.21315695764</v>
      </c>
      <c r="G53" s="524">
        <f t="shared" si="21"/>
        <v>210688.19383388554</v>
      </c>
      <c r="H53" s="491">
        <f t="shared" si="22"/>
        <v>210688.19383388554</v>
      </c>
      <c r="I53" s="511">
        <f t="shared" si="4"/>
        <v>0</v>
      </c>
      <c r="J53" s="511"/>
      <c r="K53" s="525"/>
      <c r="L53" s="514">
        <f t="shared" si="20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692746.21315695764</v>
      </c>
      <c r="E54" s="522">
        <f t="shared" si="16"/>
        <v>115857.8169047619</v>
      </c>
      <c r="F54" s="523">
        <f t="shared" si="17"/>
        <v>576888.3962521957</v>
      </c>
      <c r="G54" s="524">
        <f t="shared" si="21"/>
        <v>196052.24796197523</v>
      </c>
      <c r="H54" s="491">
        <f t="shared" si="22"/>
        <v>196052.24796197523</v>
      </c>
      <c r="I54" s="511">
        <f t="shared" si="4"/>
        <v>0</v>
      </c>
      <c r="J54" s="511"/>
      <c r="K54" s="525"/>
      <c r="L54" s="514">
        <f t="shared" si="20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576888.3962521957</v>
      </c>
      <c r="E55" s="522">
        <f t="shared" si="16"/>
        <v>115857.8169047619</v>
      </c>
      <c r="F55" s="523">
        <f t="shared" si="17"/>
        <v>461030.57934743381</v>
      </c>
      <c r="G55" s="524">
        <f t="shared" si="21"/>
        <v>181416.30209006494</v>
      </c>
      <c r="H55" s="491">
        <f t="shared" si="22"/>
        <v>181416.30209006494</v>
      </c>
      <c r="I55" s="511">
        <f t="shared" si="4"/>
        <v>0</v>
      </c>
      <c r="J55" s="511"/>
      <c r="K55" s="525"/>
      <c r="L55" s="514">
        <f t="shared" si="20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461030.57934743381</v>
      </c>
      <c r="E56" s="522">
        <f t="shared" si="16"/>
        <v>115857.8169047619</v>
      </c>
      <c r="F56" s="523">
        <f t="shared" si="17"/>
        <v>345172.76244267193</v>
      </c>
      <c r="G56" s="524">
        <f t="shared" si="21"/>
        <v>166780.35621815463</v>
      </c>
      <c r="H56" s="491">
        <f t="shared" si="22"/>
        <v>166780.35621815463</v>
      </c>
      <c r="I56" s="511">
        <f t="shared" si="4"/>
        <v>0</v>
      </c>
      <c r="J56" s="511"/>
      <c r="K56" s="525"/>
      <c r="L56" s="514">
        <f t="shared" si="20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345172.76244267193</v>
      </c>
      <c r="E57" s="522">
        <f t="shared" si="16"/>
        <v>115857.8169047619</v>
      </c>
      <c r="F57" s="523">
        <f t="shared" si="17"/>
        <v>229314.94553791004</v>
      </c>
      <c r="G57" s="524">
        <f t="shared" si="21"/>
        <v>152144.41034624435</v>
      </c>
      <c r="H57" s="491">
        <f t="shared" si="22"/>
        <v>152144.41034624435</v>
      </c>
      <c r="I57" s="511">
        <f t="shared" si="4"/>
        <v>0</v>
      </c>
      <c r="J57" s="511"/>
      <c r="K57" s="525"/>
      <c r="L57" s="514">
        <f t="shared" si="20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229314.94553791004</v>
      </c>
      <c r="E58" s="522">
        <f t="shared" si="16"/>
        <v>115857.8169047619</v>
      </c>
      <c r="F58" s="523">
        <f t="shared" si="17"/>
        <v>113457.12863314814</v>
      </c>
      <c r="G58" s="524">
        <f t="shared" si="21"/>
        <v>137508.46447433403</v>
      </c>
      <c r="H58" s="491">
        <f t="shared" si="22"/>
        <v>137508.46447433403</v>
      </c>
      <c r="I58" s="511">
        <f t="shared" si="4"/>
        <v>0</v>
      </c>
      <c r="J58" s="511"/>
      <c r="K58" s="525"/>
      <c r="L58" s="514">
        <f t="shared" si="20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113457.12863314814</v>
      </c>
      <c r="E59" s="522">
        <f t="shared" si="16"/>
        <v>113457.12863314814</v>
      </c>
      <c r="F59" s="523">
        <f t="shared" si="17"/>
        <v>0</v>
      </c>
      <c r="G59" s="524">
        <f t="shared" si="21"/>
        <v>120623.46594995662</v>
      </c>
      <c r="H59" s="491">
        <f t="shared" si="22"/>
        <v>120623.46594995662</v>
      </c>
      <c r="I59" s="511">
        <f t="shared" si="4"/>
        <v>0</v>
      </c>
      <c r="J59" s="511"/>
      <c r="K59" s="525"/>
      <c r="L59" s="514">
        <f t="shared" si="20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6"/>
        <v>0</v>
      </c>
      <c r="F60" s="523">
        <f t="shared" si="17"/>
        <v>0</v>
      </c>
      <c r="G60" s="524">
        <f t="shared" si="21"/>
        <v>0</v>
      </c>
      <c r="H60" s="491">
        <f t="shared" si="22"/>
        <v>0</v>
      </c>
      <c r="I60" s="511">
        <f t="shared" si="4"/>
        <v>0</v>
      </c>
      <c r="J60" s="511"/>
      <c r="K60" s="525"/>
      <c r="L60" s="514">
        <f t="shared" si="20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6"/>
        <v>0</v>
      </c>
      <c r="F61" s="523">
        <f t="shared" si="17"/>
        <v>0</v>
      </c>
      <c r="G61" s="524">
        <f t="shared" si="21"/>
        <v>0</v>
      </c>
      <c r="H61" s="491">
        <f t="shared" si="22"/>
        <v>0</v>
      </c>
      <c r="I61" s="511">
        <f t="shared" si="4"/>
        <v>0</v>
      </c>
      <c r="J61" s="511"/>
      <c r="K61" s="525"/>
      <c r="L61" s="514">
        <f t="shared" si="20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6"/>
        <v>0</v>
      </c>
      <c r="F62" s="523">
        <f t="shared" si="17"/>
        <v>0</v>
      </c>
      <c r="G62" s="524">
        <f t="shared" si="21"/>
        <v>0</v>
      </c>
      <c r="H62" s="491">
        <f t="shared" si="22"/>
        <v>0</v>
      </c>
      <c r="I62" s="511">
        <f t="shared" si="4"/>
        <v>0</v>
      </c>
      <c r="J62" s="511"/>
      <c r="K62" s="525"/>
      <c r="L62" s="514">
        <f t="shared" si="20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6"/>
        <v>0</v>
      </c>
      <c r="F63" s="523">
        <f t="shared" si="17"/>
        <v>0</v>
      </c>
      <c r="G63" s="524">
        <f t="shared" si="21"/>
        <v>0</v>
      </c>
      <c r="H63" s="491">
        <f t="shared" si="22"/>
        <v>0</v>
      </c>
      <c r="I63" s="511">
        <f t="shared" si="4"/>
        <v>0</v>
      </c>
      <c r="J63" s="511"/>
      <c r="K63" s="525"/>
      <c r="L63" s="514">
        <f t="shared" si="20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6"/>
        <v>0</v>
      </c>
      <c r="F64" s="523">
        <f t="shared" si="17"/>
        <v>0</v>
      </c>
      <c r="G64" s="524">
        <f t="shared" si="21"/>
        <v>0</v>
      </c>
      <c r="H64" s="491">
        <f t="shared" si="22"/>
        <v>0</v>
      </c>
      <c r="I64" s="511">
        <f t="shared" si="4"/>
        <v>0</v>
      </c>
      <c r="J64" s="511"/>
      <c r="K64" s="525"/>
      <c r="L64" s="514">
        <f t="shared" si="20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6"/>
        <v>0</v>
      </c>
      <c r="F65" s="523">
        <f t="shared" si="17"/>
        <v>0</v>
      </c>
      <c r="G65" s="524">
        <f t="shared" si="21"/>
        <v>0</v>
      </c>
      <c r="H65" s="491">
        <f t="shared" si="22"/>
        <v>0</v>
      </c>
      <c r="I65" s="511">
        <f t="shared" si="4"/>
        <v>0</v>
      </c>
      <c r="J65" s="511"/>
      <c r="K65" s="525"/>
      <c r="L65" s="514">
        <f t="shared" si="20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6"/>
        <v>0</v>
      </c>
      <c r="F66" s="523">
        <f t="shared" si="17"/>
        <v>0</v>
      </c>
      <c r="G66" s="524">
        <f t="shared" si="21"/>
        <v>0</v>
      </c>
      <c r="H66" s="491">
        <f t="shared" si="22"/>
        <v>0</v>
      </c>
      <c r="I66" s="511">
        <f t="shared" si="4"/>
        <v>0</v>
      </c>
      <c r="J66" s="511"/>
      <c r="K66" s="525"/>
      <c r="L66" s="514">
        <f t="shared" si="20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6"/>
        <v>0</v>
      </c>
      <c r="F67" s="523">
        <f t="shared" si="17"/>
        <v>0</v>
      </c>
      <c r="G67" s="524">
        <f t="shared" si="21"/>
        <v>0</v>
      </c>
      <c r="H67" s="491">
        <f t="shared" si="22"/>
        <v>0</v>
      </c>
      <c r="I67" s="511">
        <f t="shared" si="4"/>
        <v>0</v>
      </c>
      <c r="J67" s="511"/>
      <c r="K67" s="525"/>
      <c r="L67" s="514">
        <f t="shared" si="20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6"/>
        <v>0</v>
      </c>
      <c r="F68" s="523">
        <f t="shared" si="17"/>
        <v>0</v>
      </c>
      <c r="G68" s="524">
        <f t="shared" si="21"/>
        <v>0</v>
      </c>
      <c r="H68" s="491">
        <f t="shared" si="22"/>
        <v>0</v>
      </c>
      <c r="I68" s="511">
        <f t="shared" si="4"/>
        <v>0</v>
      </c>
      <c r="J68" s="511"/>
      <c r="K68" s="525"/>
      <c r="L68" s="514">
        <f t="shared" si="20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6"/>
        <v>0</v>
      </c>
      <c r="F69" s="523">
        <f t="shared" si="17"/>
        <v>0</v>
      </c>
      <c r="G69" s="524">
        <f t="shared" si="21"/>
        <v>0</v>
      </c>
      <c r="H69" s="491">
        <f t="shared" si="22"/>
        <v>0</v>
      </c>
      <c r="I69" s="511">
        <f t="shared" si="4"/>
        <v>0</v>
      </c>
      <c r="J69" s="511"/>
      <c r="K69" s="525"/>
      <c r="L69" s="514">
        <f t="shared" si="20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6"/>
        <v>0</v>
      </c>
      <c r="F70" s="523">
        <f t="shared" si="17"/>
        <v>0</v>
      </c>
      <c r="G70" s="524">
        <f t="shared" si="21"/>
        <v>0</v>
      </c>
      <c r="H70" s="491">
        <f t="shared" si="22"/>
        <v>0</v>
      </c>
      <c r="I70" s="511">
        <f t="shared" si="4"/>
        <v>0</v>
      </c>
      <c r="J70" s="511"/>
      <c r="K70" s="525"/>
      <c r="L70" s="514">
        <f t="shared" si="20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6"/>
        <v>0</v>
      </c>
      <c r="F71" s="523">
        <f t="shared" si="17"/>
        <v>0</v>
      </c>
      <c r="G71" s="524">
        <f t="shared" si="21"/>
        <v>0</v>
      </c>
      <c r="H71" s="491">
        <f t="shared" si="22"/>
        <v>0</v>
      </c>
      <c r="I71" s="511">
        <f t="shared" si="4"/>
        <v>0</v>
      </c>
      <c r="J71" s="511"/>
      <c r="K71" s="525"/>
      <c r="L71" s="514">
        <f t="shared" si="20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6"/>
        <v>0</v>
      </c>
      <c r="F72" s="523">
        <f t="shared" si="17"/>
        <v>0</v>
      </c>
      <c r="G72" s="524">
        <f t="shared" si="21"/>
        <v>0</v>
      </c>
      <c r="H72" s="491">
        <f t="shared" si="22"/>
        <v>0</v>
      </c>
      <c r="I72" s="511">
        <f t="shared" si="4"/>
        <v>0</v>
      </c>
      <c r="J72" s="511"/>
      <c r="K72" s="532"/>
      <c r="L72" s="533">
        <f t="shared" si="20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4866028.3099999987</v>
      </c>
      <c r="F73" s="375"/>
      <c r="G73" s="375">
        <f>SUM(G17:G72)</f>
        <v>17925641.765289735</v>
      </c>
      <c r="H73" s="375">
        <f>SUM(H17:H72)</f>
        <v>17925641.765289735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41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552180.11306412728</v>
      </c>
      <c r="N87" s="546">
        <f>IF(J92&lt;D11,0,VLOOKUP(J92,C17:O72,11))</f>
        <v>552180.11306412728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586527.89122895012</v>
      </c>
      <c r="N88" s="550">
        <f>IF(J92&lt;D11,0,VLOOKUP(J92,C99:P154,7))</f>
        <v>586527.89122895012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Broadmoor to Fern Street 69 kV Rebuild 1 mile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34347.778164822841</v>
      </c>
      <c r="N89" s="555">
        <f>+N88-N87</f>
        <v>34347.778164822841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TP2010103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4866028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118683.60975609756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0</v>
      </c>
      <c r="F99" s="631">
        <v>4675710</v>
      </c>
      <c r="G99" s="632">
        <v>2337855</v>
      </c>
      <c r="H99" s="633">
        <v>317769.34002768091</v>
      </c>
      <c r="I99" s="634">
        <v>317769.34002768091</v>
      </c>
      <c r="J99" s="640">
        <v>0</v>
      </c>
      <c r="K99" s="514"/>
      <c r="L99" s="518">
        <f t="shared" ref="L99:L105" si="23">H99</f>
        <v>317769.34002768091</v>
      </c>
      <c r="M99" s="519">
        <f t="shared" ref="M99:M105" si="24">IF(L99&lt;&gt;0,+H99-L99,0)</f>
        <v>0</v>
      </c>
      <c r="N99" s="518">
        <f t="shared" ref="N99:N105" si="25">I99</f>
        <v>317769.34002768091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2015</v>
      </c>
      <c r="D100" s="629">
        <v>4675710</v>
      </c>
      <c r="E100" s="630">
        <v>111326.42857142857</v>
      </c>
      <c r="F100" s="631">
        <v>4564383.5714285718</v>
      </c>
      <c r="G100" s="631">
        <v>4620046.7857142854</v>
      </c>
      <c r="H100" s="633">
        <v>720104.80925496051</v>
      </c>
      <c r="I100" s="634">
        <v>720104.80925496051</v>
      </c>
      <c r="J100" s="514">
        <f>+I100-H100</f>
        <v>0</v>
      </c>
      <c r="K100" s="514"/>
      <c r="L100" s="518">
        <f t="shared" si="23"/>
        <v>720104.80925496051</v>
      </c>
      <c r="M100" s="519">
        <f t="shared" si="24"/>
        <v>0</v>
      </c>
      <c r="N100" s="518">
        <f t="shared" si="25"/>
        <v>720104.80925496051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6">IF(D101=F100,"","IU")</f>
        <v>IU</v>
      </c>
      <c r="C101" s="507">
        <f>IF(D93="","-",+C100+1)</f>
        <v>2016</v>
      </c>
      <c r="D101" s="629">
        <v>4754701.5714285718</v>
      </c>
      <c r="E101" s="630">
        <v>113163.44186046511</v>
      </c>
      <c r="F101" s="631">
        <v>4641538.1295681065</v>
      </c>
      <c r="G101" s="631">
        <v>4698119.8504983392</v>
      </c>
      <c r="H101" s="633">
        <v>709589.70185854996</v>
      </c>
      <c r="I101" s="634">
        <v>709589.70185854996</v>
      </c>
      <c r="J101" s="514">
        <f t="shared" ref="J101:J154" si="27">+I101-H101</f>
        <v>0</v>
      </c>
      <c r="K101" s="514"/>
      <c r="L101" s="518">
        <f t="shared" si="23"/>
        <v>709589.70185854996</v>
      </c>
      <c r="M101" s="519">
        <f t="shared" si="24"/>
        <v>0</v>
      </c>
      <c r="N101" s="518">
        <f t="shared" si="25"/>
        <v>709589.70185854996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6"/>
        <v/>
      </c>
      <c r="C102" s="507">
        <f>IF(D93="","-",+C101+1)</f>
        <v>2017</v>
      </c>
      <c r="D102" s="629">
        <v>4641538.1295681065</v>
      </c>
      <c r="E102" s="630">
        <v>115857.80952380953</v>
      </c>
      <c r="F102" s="631">
        <v>4525680.3200442968</v>
      </c>
      <c r="G102" s="631">
        <v>4583609.2248062016</v>
      </c>
      <c r="H102" s="633">
        <v>672635.50351476576</v>
      </c>
      <c r="I102" s="634">
        <v>672635.50351476576</v>
      </c>
      <c r="J102" s="514">
        <f t="shared" si="27"/>
        <v>0</v>
      </c>
      <c r="K102" s="514"/>
      <c r="L102" s="518">
        <f t="shared" si="23"/>
        <v>672635.50351476576</v>
      </c>
      <c r="M102" s="519">
        <f t="shared" si="24"/>
        <v>0</v>
      </c>
      <c r="N102" s="518">
        <f t="shared" si="25"/>
        <v>672635.50351476576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26"/>
        <v/>
      </c>
      <c r="C103" s="507">
        <f>IF(D93="","-",+C102+1)</f>
        <v>2018</v>
      </c>
      <c r="D103" s="629">
        <v>4525680.3200442968</v>
      </c>
      <c r="E103" s="630">
        <v>115857.80952380953</v>
      </c>
      <c r="F103" s="631">
        <v>4409822.5105204871</v>
      </c>
      <c r="G103" s="631">
        <v>4467751.4152823919</v>
      </c>
      <c r="H103" s="633">
        <v>587672.84728048416</v>
      </c>
      <c r="I103" s="634">
        <v>587672.84728048416</v>
      </c>
      <c r="J103" s="514">
        <f t="shared" si="27"/>
        <v>0</v>
      </c>
      <c r="K103" s="514"/>
      <c r="L103" s="518">
        <f t="shared" si="23"/>
        <v>587672.84728048416</v>
      </c>
      <c r="M103" s="519">
        <f t="shared" si="24"/>
        <v>0</v>
      </c>
      <c r="N103" s="518">
        <f t="shared" si="25"/>
        <v>587672.84728048416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26"/>
        <v/>
      </c>
      <c r="C104" s="507">
        <f>IF(D93="","-",+C103+1)</f>
        <v>2019</v>
      </c>
      <c r="D104" s="629">
        <v>4409822.5105204871</v>
      </c>
      <c r="E104" s="630">
        <v>113163.44186046511</v>
      </c>
      <c r="F104" s="631">
        <v>4296659.0686600218</v>
      </c>
      <c r="G104" s="631">
        <v>4353240.7895902544</v>
      </c>
      <c r="H104" s="633">
        <v>579136.71520740201</v>
      </c>
      <c r="I104" s="634">
        <v>579136.71520740201</v>
      </c>
      <c r="J104" s="514">
        <f t="shared" si="27"/>
        <v>0</v>
      </c>
      <c r="K104" s="514"/>
      <c r="L104" s="518">
        <f t="shared" si="23"/>
        <v>579136.71520740201</v>
      </c>
      <c r="M104" s="519">
        <f t="shared" si="24"/>
        <v>0</v>
      </c>
      <c r="N104" s="518">
        <f t="shared" si="25"/>
        <v>579136.71520740201</v>
      </c>
      <c r="O104" s="514">
        <f t="shared" ref="O104:O130" si="28">IF(N104&lt;&gt;0,+I104-N104,0)</f>
        <v>0</v>
      </c>
      <c r="P104" s="514">
        <f t="shared" ref="P104:P130" si="29">+O104-M104</f>
        <v>0</v>
      </c>
    </row>
    <row r="105" spans="1:16" ht="12.5">
      <c r="B105" s="195" t="str">
        <f t="shared" si="26"/>
        <v/>
      </c>
      <c r="C105" s="507">
        <f>IF(D93="","-",+C104+1)</f>
        <v>2020</v>
      </c>
      <c r="D105" s="629">
        <v>4296659.0686600218</v>
      </c>
      <c r="E105" s="630">
        <v>115857.80952380953</v>
      </c>
      <c r="F105" s="631">
        <v>4180801.2591362121</v>
      </c>
      <c r="G105" s="631">
        <v>4238730.1638981169</v>
      </c>
      <c r="H105" s="633">
        <v>571834.25819080928</v>
      </c>
      <c r="I105" s="634">
        <v>571834.25819080928</v>
      </c>
      <c r="J105" s="514">
        <f t="shared" si="27"/>
        <v>0</v>
      </c>
      <c r="K105" s="514"/>
      <c r="L105" s="518">
        <f t="shared" si="23"/>
        <v>571834.25819080928</v>
      </c>
      <c r="M105" s="519">
        <f t="shared" si="24"/>
        <v>0</v>
      </c>
      <c r="N105" s="518">
        <f t="shared" si="25"/>
        <v>571834.25819080928</v>
      </c>
      <c r="O105" s="514">
        <f t="shared" si="28"/>
        <v>0</v>
      </c>
      <c r="P105" s="514">
        <f t="shared" si="29"/>
        <v>0</v>
      </c>
    </row>
    <row r="106" spans="1:16" ht="12.5">
      <c r="B106" s="195" t="str">
        <f t="shared" si="26"/>
        <v/>
      </c>
      <c r="C106" s="507">
        <f>IF(D93="","-",+C105+1)</f>
        <v>2021</v>
      </c>
      <c r="D106" s="374">
        <f>IF(F105+SUM(E$99:E105)=D$92,F105,D$92-SUM(E$99:E105))</f>
        <v>4180801.2591362121</v>
      </c>
      <c r="E106" s="522">
        <f t="shared" ref="E106:E154" si="30">IF(+$J$96&lt;F105,$J$96,D106)</f>
        <v>118683.60975609756</v>
      </c>
      <c r="F106" s="523">
        <f t="shared" ref="F106:F154" si="31">+D106-E106</f>
        <v>4062117.6493801144</v>
      </c>
      <c r="G106" s="523">
        <f t="shared" ref="G106:G154" si="32">+(F106+D106)/2</f>
        <v>4121459.4542581635</v>
      </c>
      <c r="H106" s="526">
        <f t="shared" ref="H106:H154" si="33">+J$94*G106+E106</f>
        <v>586527.89122895012</v>
      </c>
      <c r="I106" s="577">
        <f t="shared" ref="I106:I154" si="34">+J$95*G106+E106</f>
        <v>586527.89122895012</v>
      </c>
      <c r="J106" s="514">
        <f t="shared" si="27"/>
        <v>0</v>
      </c>
      <c r="K106" s="514"/>
      <c r="L106" s="525"/>
      <c r="M106" s="514">
        <f t="shared" ref="M106:M130" si="35">IF(L106&lt;&gt;0,+H106-L106,0)</f>
        <v>0</v>
      </c>
      <c r="N106" s="525"/>
      <c r="O106" s="514">
        <f t="shared" si="28"/>
        <v>0</v>
      </c>
      <c r="P106" s="514">
        <f t="shared" si="29"/>
        <v>0</v>
      </c>
    </row>
    <row r="107" spans="1:16" ht="12.5">
      <c r="B107" s="195" t="str">
        <f t="shared" si="26"/>
        <v/>
      </c>
      <c r="C107" s="507">
        <f>IF(D93="","-",+C106+1)</f>
        <v>2022</v>
      </c>
      <c r="D107" s="374">
        <f>IF(F106+SUM(E$99:E106)=D$92,F106,D$92-SUM(E$99:E106))</f>
        <v>4062117.6493801144</v>
      </c>
      <c r="E107" s="522">
        <f t="shared" si="30"/>
        <v>118683.60975609756</v>
      </c>
      <c r="F107" s="523">
        <f t="shared" si="31"/>
        <v>3943434.0396240167</v>
      </c>
      <c r="G107" s="523">
        <f t="shared" si="32"/>
        <v>4002775.8445020653</v>
      </c>
      <c r="H107" s="526">
        <f t="shared" si="33"/>
        <v>573055.61308447423</v>
      </c>
      <c r="I107" s="577">
        <f t="shared" si="34"/>
        <v>573055.61308447423</v>
      </c>
      <c r="J107" s="514">
        <f t="shared" si="27"/>
        <v>0</v>
      </c>
      <c r="K107" s="514"/>
      <c r="L107" s="525"/>
      <c r="M107" s="514">
        <f t="shared" si="35"/>
        <v>0</v>
      </c>
      <c r="N107" s="525"/>
      <c r="O107" s="514">
        <f t="shared" si="28"/>
        <v>0</v>
      </c>
      <c r="P107" s="514">
        <f t="shared" si="29"/>
        <v>0</v>
      </c>
    </row>
    <row r="108" spans="1:16" ht="12.5">
      <c r="B108" s="195" t="str">
        <f t="shared" si="26"/>
        <v/>
      </c>
      <c r="C108" s="507">
        <f>IF(D93="","-",+C107+1)</f>
        <v>2023</v>
      </c>
      <c r="D108" s="374">
        <f>IF(F107+SUM(E$99:E107)=D$92,F107,D$92-SUM(E$99:E107))</f>
        <v>3943434.0396240167</v>
      </c>
      <c r="E108" s="522">
        <f t="shared" si="30"/>
        <v>118683.60975609756</v>
      </c>
      <c r="F108" s="523">
        <f t="shared" si="31"/>
        <v>3824750.4298679191</v>
      </c>
      <c r="G108" s="523">
        <f t="shared" si="32"/>
        <v>3884092.2347459681</v>
      </c>
      <c r="H108" s="526">
        <f t="shared" si="33"/>
        <v>559583.33493999834</v>
      </c>
      <c r="I108" s="577">
        <f t="shared" si="34"/>
        <v>559583.33493999834</v>
      </c>
      <c r="J108" s="514">
        <f t="shared" si="27"/>
        <v>0</v>
      </c>
      <c r="K108" s="514"/>
      <c r="L108" s="525"/>
      <c r="M108" s="514">
        <f t="shared" si="35"/>
        <v>0</v>
      </c>
      <c r="N108" s="525"/>
      <c r="O108" s="514">
        <f t="shared" si="28"/>
        <v>0</v>
      </c>
      <c r="P108" s="514">
        <f t="shared" si="29"/>
        <v>0</v>
      </c>
    </row>
    <row r="109" spans="1:16" ht="12.5">
      <c r="B109" s="195" t="str">
        <f t="shared" si="26"/>
        <v/>
      </c>
      <c r="C109" s="507">
        <f>IF(D93="","-",+C108+1)</f>
        <v>2024</v>
      </c>
      <c r="D109" s="374">
        <f>IF(F108+SUM(E$99:E108)=D$92,F108,D$92-SUM(E$99:E108))</f>
        <v>3824750.4298679191</v>
      </c>
      <c r="E109" s="522">
        <f t="shared" si="30"/>
        <v>118683.60975609756</v>
      </c>
      <c r="F109" s="523">
        <f t="shared" si="31"/>
        <v>3706066.8201118214</v>
      </c>
      <c r="G109" s="523">
        <f t="shared" si="32"/>
        <v>3765408.62498987</v>
      </c>
      <c r="H109" s="526">
        <f t="shared" si="33"/>
        <v>546111.05679552234</v>
      </c>
      <c r="I109" s="577">
        <f t="shared" si="34"/>
        <v>546111.05679552234</v>
      </c>
      <c r="J109" s="514">
        <f t="shared" si="27"/>
        <v>0</v>
      </c>
      <c r="K109" s="514"/>
      <c r="L109" s="525"/>
      <c r="M109" s="514">
        <f t="shared" si="35"/>
        <v>0</v>
      </c>
      <c r="N109" s="525"/>
      <c r="O109" s="514">
        <f t="shared" si="28"/>
        <v>0</v>
      </c>
      <c r="P109" s="514">
        <f t="shared" si="29"/>
        <v>0</v>
      </c>
    </row>
    <row r="110" spans="1:16" ht="12.5">
      <c r="B110" s="195" t="str">
        <f t="shared" si="26"/>
        <v/>
      </c>
      <c r="C110" s="507">
        <f>IF(D93="","-",+C109+1)</f>
        <v>2025</v>
      </c>
      <c r="D110" s="374">
        <f>IF(F109+SUM(E$99:E109)=D$92,F109,D$92-SUM(E$99:E109))</f>
        <v>3706066.8201118214</v>
      </c>
      <c r="E110" s="522">
        <f t="shared" si="30"/>
        <v>118683.60975609756</v>
      </c>
      <c r="F110" s="523">
        <f t="shared" si="31"/>
        <v>3587383.2103557237</v>
      </c>
      <c r="G110" s="523">
        <f t="shared" si="32"/>
        <v>3646725.0152337728</v>
      </c>
      <c r="H110" s="526">
        <f t="shared" si="33"/>
        <v>532638.77865104645</v>
      </c>
      <c r="I110" s="577">
        <f t="shared" si="34"/>
        <v>532638.77865104645</v>
      </c>
      <c r="J110" s="514">
        <f t="shared" si="27"/>
        <v>0</v>
      </c>
      <c r="K110" s="514"/>
      <c r="L110" s="525"/>
      <c r="M110" s="514">
        <f t="shared" si="35"/>
        <v>0</v>
      </c>
      <c r="N110" s="525"/>
      <c r="O110" s="514">
        <f t="shared" si="28"/>
        <v>0</v>
      </c>
      <c r="P110" s="514">
        <f t="shared" si="29"/>
        <v>0</v>
      </c>
    </row>
    <row r="111" spans="1:16" ht="12.5">
      <c r="B111" s="195" t="str">
        <f t="shared" si="26"/>
        <v/>
      </c>
      <c r="C111" s="507">
        <f>IF(D93="","-",+C110+1)</f>
        <v>2026</v>
      </c>
      <c r="D111" s="374">
        <f>IF(F110+SUM(E$99:E110)=D$92,F110,D$92-SUM(E$99:E110))</f>
        <v>3587383.2103557237</v>
      </c>
      <c r="E111" s="522">
        <f t="shared" si="30"/>
        <v>118683.60975609756</v>
      </c>
      <c r="F111" s="523">
        <f t="shared" si="31"/>
        <v>3468699.6005996261</v>
      </c>
      <c r="G111" s="523">
        <f t="shared" si="32"/>
        <v>3528041.4054776747</v>
      </c>
      <c r="H111" s="526">
        <f t="shared" si="33"/>
        <v>519166.50050657045</v>
      </c>
      <c r="I111" s="577">
        <f t="shared" si="34"/>
        <v>519166.50050657045</v>
      </c>
      <c r="J111" s="514">
        <f t="shared" si="27"/>
        <v>0</v>
      </c>
      <c r="K111" s="514"/>
      <c r="L111" s="525"/>
      <c r="M111" s="514">
        <f t="shared" si="35"/>
        <v>0</v>
      </c>
      <c r="N111" s="525"/>
      <c r="O111" s="514">
        <f t="shared" si="28"/>
        <v>0</v>
      </c>
      <c r="P111" s="514">
        <f t="shared" si="29"/>
        <v>0</v>
      </c>
    </row>
    <row r="112" spans="1:16" ht="12.5">
      <c r="B112" s="195" t="str">
        <f t="shared" si="26"/>
        <v/>
      </c>
      <c r="C112" s="507">
        <f>IF(D93="","-",+C111+1)</f>
        <v>2027</v>
      </c>
      <c r="D112" s="374">
        <f>IF(F111+SUM(E$99:E111)=D$92,F111,D$92-SUM(E$99:E111))</f>
        <v>3468699.6005996261</v>
      </c>
      <c r="E112" s="522">
        <f t="shared" si="30"/>
        <v>118683.60975609756</v>
      </c>
      <c r="F112" s="523">
        <f t="shared" si="31"/>
        <v>3350015.9908435284</v>
      </c>
      <c r="G112" s="523">
        <f t="shared" si="32"/>
        <v>3409357.7957215775</v>
      </c>
      <c r="H112" s="526">
        <f t="shared" si="33"/>
        <v>505694.22236209456</v>
      </c>
      <c r="I112" s="577">
        <f t="shared" si="34"/>
        <v>505694.22236209456</v>
      </c>
      <c r="J112" s="514">
        <f t="shared" si="27"/>
        <v>0</v>
      </c>
      <c r="K112" s="514"/>
      <c r="L112" s="525"/>
      <c r="M112" s="514">
        <f t="shared" si="35"/>
        <v>0</v>
      </c>
      <c r="N112" s="525"/>
      <c r="O112" s="514">
        <f t="shared" si="28"/>
        <v>0</v>
      </c>
      <c r="P112" s="514">
        <f t="shared" si="29"/>
        <v>0</v>
      </c>
    </row>
    <row r="113" spans="2:16" ht="12.5">
      <c r="B113" s="195" t="str">
        <f t="shared" si="26"/>
        <v/>
      </c>
      <c r="C113" s="507">
        <f>IF(D93="","-",+C112+1)</f>
        <v>2028</v>
      </c>
      <c r="D113" s="374">
        <f>IF(F112+SUM(E$99:E112)=D$92,F112,D$92-SUM(E$99:E112))</f>
        <v>3350015.9908435284</v>
      </c>
      <c r="E113" s="522">
        <f t="shared" si="30"/>
        <v>118683.60975609756</v>
      </c>
      <c r="F113" s="523">
        <f t="shared" si="31"/>
        <v>3231332.3810874308</v>
      </c>
      <c r="G113" s="523">
        <f t="shared" si="32"/>
        <v>3290674.1859654794</v>
      </c>
      <c r="H113" s="526">
        <f t="shared" si="33"/>
        <v>492221.94421761855</v>
      </c>
      <c r="I113" s="577">
        <f t="shared" si="34"/>
        <v>492221.94421761855</v>
      </c>
      <c r="J113" s="514">
        <f t="shared" si="27"/>
        <v>0</v>
      </c>
      <c r="K113" s="514"/>
      <c r="L113" s="525"/>
      <c r="M113" s="514">
        <f t="shared" si="35"/>
        <v>0</v>
      </c>
      <c r="N113" s="525"/>
      <c r="O113" s="514">
        <f t="shared" si="28"/>
        <v>0</v>
      </c>
      <c r="P113" s="514">
        <f t="shared" si="29"/>
        <v>0</v>
      </c>
    </row>
    <row r="114" spans="2:16" ht="12.5">
      <c r="B114" s="195" t="str">
        <f t="shared" si="26"/>
        <v/>
      </c>
      <c r="C114" s="507">
        <f>IF(D93="","-",+C113+1)</f>
        <v>2029</v>
      </c>
      <c r="D114" s="374">
        <f>IF(F113+SUM(E$99:E113)=D$92,F113,D$92-SUM(E$99:E113))</f>
        <v>3231332.3810874308</v>
      </c>
      <c r="E114" s="522">
        <f t="shared" si="30"/>
        <v>118683.60975609756</v>
      </c>
      <c r="F114" s="523">
        <f t="shared" si="31"/>
        <v>3112648.7713313331</v>
      </c>
      <c r="G114" s="523">
        <f t="shared" si="32"/>
        <v>3171990.5762093822</v>
      </c>
      <c r="H114" s="526">
        <f t="shared" si="33"/>
        <v>478749.66607314267</v>
      </c>
      <c r="I114" s="577">
        <f t="shared" si="34"/>
        <v>478749.66607314267</v>
      </c>
      <c r="J114" s="514">
        <f t="shared" si="27"/>
        <v>0</v>
      </c>
      <c r="K114" s="514"/>
      <c r="L114" s="525"/>
      <c r="M114" s="514">
        <f t="shared" si="35"/>
        <v>0</v>
      </c>
      <c r="N114" s="525"/>
      <c r="O114" s="514">
        <f t="shared" si="28"/>
        <v>0</v>
      </c>
      <c r="P114" s="514">
        <f t="shared" si="29"/>
        <v>0</v>
      </c>
    </row>
    <row r="115" spans="2:16" ht="12.5">
      <c r="B115" s="195" t="str">
        <f t="shared" si="26"/>
        <v/>
      </c>
      <c r="C115" s="507">
        <f>IF(D93="","-",+C114+1)</f>
        <v>2030</v>
      </c>
      <c r="D115" s="374">
        <f>IF(F114+SUM(E$99:E114)=D$92,F114,D$92-SUM(E$99:E114))</f>
        <v>3112648.7713313331</v>
      </c>
      <c r="E115" s="522">
        <f t="shared" si="30"/>
        <v>118683.60975609756</v>
      </c>
      <c r="F115" s="523">
        <f t="shared" si="31"/>
        <v>2993965.1615752354</v>
      </c>
      <c r="G115" s="523">
        <f t="shared" si="32"/>
        <v>3053306.966453284</v>
      </c>
      <c r="H115" s="526">
        <f t="shared" si="33"/>
        <v>465277.38792866672</v>
      </c>
      <c r="I115" s="577">
        <f t="shared" si="34"/>
        <v>465277.38792866672</v>
      </c>
      <c r="J115" s="514">
        <f t="shared" si="27"/>
        <v>0</v>
      </c>
      <c r="K115" s="514"/>
      <c r="L115" s="525"/>
      <c r="M115" s="514">
        <f t="shared" si="35"/>
        <v>0</v>
      </c>
      <c r="N115" s="525"/>
      <c r="O115" s="514">
        <f t="shared" si="28"/>
        <v>0</v>
      </c>
      <c r="P115" s="514">
        <f t="shared" si="29"/>
        <v>0</v>
      </c>
    </row>
    <row r="116" spans="2:16" ht="12.5">
      <c r="B116" s="195" t="str">
        <f t="shared" si="26"/>
        <v/>
      </c>
      <c r="C116" s="507">
        <f>IF(D93="","-",+C115+1)</f>
        <v>2031</v>
      </c>
      <c r="D116" s="374">
        <f>IF(F115+SUM(E$99:E115)=D$92,F115,D$92-SUM(E$99:E115))</f>
        <v>2993965.1615752354</v>
      </c>
      <c r="E116" s="522">
        <f t="shared" si="30"/>
        <v>118683.60975609756</v>
      </c>
      <c r="F116" s="523">
        <f t="shared" si="31"/>
        <v>2875281.5518191378</v>
      </c>
      <c r="G116" s="523">
        <f t="shared" si="32"/>
        <v>2934623.3566971868</v>
      </c>
      <c r="H116" s="526">
        <f t="shared" si="33"/>
        <v>451805.10978419083</v>
      </c>
      <c r="I116" s="577">
        <f t="shared" si="34"/>
        <v>451805.10978419083</v>
      </c>
      <c r="J116" s="514">
        <f t="shared" si="27"/>
        <v>0</v>
      </c>
      <c r="K116" s="514"/>
      <c r="L116" s="525"/>
      <c r="M116" s="514">
        <f t="shared" si="35"/>
        <v>0</v>
      </c>
      <c r="N116" s="525"/>
      <c r="O116" s="514">
        <f t="shared" si="28"/>
        <v>0</v>
      </c>
      <c r="P116" s="514">
        <f t="shared" si="29"/>
        <v>0</v>
      </c>
    </row>
    <row r="117" spans="2:16" ht="12.5">
      <c r="B117" s="195" t="str">
        <f t="shared" si="26"/>
        <v/>
      </c>
      <c r="C117" s="507">
        <f>IF(D93="","-",+C116+1)</f>
        <v>2032</v>
      </c>
      <c r="D117" s="374">
        <f>IF(F116+SUM(E$99:E116)=D$92,F116,D$92-SUM(E$99:E116))</f>
        <v>2875281.5518191378</v>
      </c>
      <c r="E117" s="522">
        <f t="shared" si="30"/>
        <v>118683.60975609756</v>
      </c>
      <c r="F117" s="523">
        <f t="shared" si="31"/>
        <v>2756597.9420630401</v>
      </c>
      <c r="G117" s="523">
        <f t="shared" si="32"/>
        <v>2815939.7469410887</v>
      </c>
      <c r="H117" s="526">
        <f t="shared" si="33"/>
        <v>438332.83163971483</v>
      </c>
      <c r="I117" s="577">
        <f t="shared" si="34"/>
        <v>438332.83163971483</v>
      </c>
      <c r="J117" s="514">
        <f t="shared" si="27"/>
        <v>0</v>
      </c>
      <c r="K117" s="514"/>
      <c r="L117" s="525"/>
      <c r="M117" s="514">
        <f t="shared" si="35"/>
        <v>0</v>
      </c>
      <c r="N117" s="525"/>
      <c r="O117" s="514">
        <f t="shared" si="28"/>
        <v>0</v>
      </c>
      <c r="P117" s="514">
        <f t="shared" si="29"/>
        <v>0</v>
      </c>
    </row>
    <row r="118" spans="2:16" ht="12.5">
      <c r="B118" s="195" t="str">
        <f t="shared" si="26"/>
        <v/>
      </c>
      <c r="C118" s="507">
        <f>IF(D93="","-",+C117+1)</f>
        <v>2033</v>
      </c>
      <c r="D118" s="374">
        <f>IF(F117+SUM(E$99:E117)=D$92,F117,D$92-SUM(E$99:E117))</f>
        <v>2756597.9420630401</v>
      </c>
      <c r="E118" s="522">
        <f t="shared" si="30"/>
        <v>118683.60975609756</v>
      </c>
      <c r="F118" s="523">
        <f t="shared" si="31"/>
        <v>2637914.3323069424</v>
      </c>
      <c r="G118" s="523">
        <f t="shared" si="32"/>
        <v>2697256.1371849915</v>
      </c>
      <c r="H118" s="526">
        <f t="shared" si="33"/>
        <v>424860.55349523894</v>
      </c>
      <c r="I118" s="577">
        <f t="shared" si="34"/>
        <v>424860.55349523894</v>
      </c>
      <c r="J118" s="514">
        <f t="shared" si="27"/>
        <v>0</v>
      </c>
      <c r="K118" s="514"/>
      <c r="L118" s="525"/>
      <c r="M118" s="514">
        <f t="shared" si="35"/>
        <v>0</v>
      </c>
      <c r="N118" s="525"/>
      <c r="O118" s="514">
        <f t="shared" si="28"/>
        <v>0</v>
      </c>
      <c r="P118" s="514">
        <f t="shared" si="29"/>
        <v>0</v>
      </c>
    </row>
    <row r="119" spans="2:16" ht="12.5">
      <c r="B119" s="195" t="str">
        <f t="shared" si="26"/>
        <v/>
      </c>
      <c r="C119" s="507">
        <f>IF(D93="","-",+C118+1)</f>
        <v>2034</v>
      </c>
      <c r="D119" s="374">
        <f>IF(F118+SUM(E$99:E118)=D$92,F118,D$92-SUM(E$99:E118))</f>
        <v>2637914.3323069424</v>
      </c>
      <c r="E119" s="522">
        <f t="shared" si="30"/>
        <v>118683.60975609756</v>
      </c>
      <c r="F119" s="523">
        <f t="shared" si="31"/>
        <v>2519230.7225508448</v>
      </c>
      <c r="G119" s="523">
        <f t="shared" si="32"/>
        <v>2578572.5274288934</v>
      </c>
      <c r="H119" s="526">
        <f t="shared" si="33"/>
        <v>411388.275350763</v>
      </c>
      <c r="I119" s="577">
        <f t="shared" si="34"/>
        <v>411388.275350763</v>
      </c>
      <c r="J119" s="514">
        <f t="shared" si="27"/>
        <v>0</v>
      </c>
      <c r="K119" s="514"/>
      <c r="L119" s="525"/>
      <c r="M119" s="514">
        <f t="shared" si="35"/>
        <v>0</v>
      </c>
      <c r="N119" s="525"/>
      <c r="O119" s="514">
        <f t="shared" si="28"/>
        <v>0</v>
      </c>
      <c r="P119" s="514">
        <f t="shared" si="29"/>
        <v>0</v>
      </c>
    </row>
    <row r="120" spans="2:16" ht="12.5">
      <c r="B120" s="195" t="str">
        <f t="shared" si="26"/>
        <v/>
      </c>
      <c r="C120" s="507">
        <f>IF(D93="","-",+C119+1)</f>
        <v>2035</v>
      </c>
      <c r="D120" s="374">
        <f>IF(F119+SUM(E$99:E119)=D$92,F119,D$92-SUM(E$99:E119))</f>
        <v>2519230.7225508448</v>
      </c>
      <c r="E120" s="522">
        <f t="shared" si="30"/>
        <v>118683.60975609756</v>
      </c>
      <c r="F120" s="523">
        <f t="shared" si="31"/>
        <v>2400547.1127947471</v>
      </c>
      <c r="G120" s="523">
        <f t="shared" si="32"/>
        <v>2459888.9176727962</v>
      </c>
      <c r="H120" s="526">
        <f t="shared" si="33"/>
        <v>397915.99720628711</v>
      </c>
      <c r="I120" s="577">
        <f t="shared" si="34"/>
        <v>397915.99720628711</v>
      </c>
      <c r="J120" s="514">
        <f t="shared" si="27"/>
        <v>0</v>
      </c>
      <c r="K120" s="514"/>
      <c r="L120" s="525"/>
      <c r="M120" s="514">
        <f t="shared" si="35"/>
        <v>0</v>
      </c>
      <c r="N120" s="525"/>
      <c r="O120" s="514">
        <f t="shared" si="28"/>
        <v>0</v>
      </c>
      <c r="P120" s="514">
        <f t="shared" si="29"/>
        <v>0</v>
      </c>
    </row>
    <row r="121" spans="2:16" ht="12.5">
      <c r="B121" s="195" t="str">
        <f t="shared" si="26"/>
        <v/>
      </c>
      <c r="C121" s="507">
        <f>IF(D93="","-",+C120+1)</f>
        <v>2036</v>
      </c>
      <c r="D121" s="374">
        <f>IF(F120+SUM(E$99:E120)=D$92,F120,D$92-SUM(E$99:E120))</f>
        <v>2400547.1127947471</v>
      </c>
      <c r="E121" s="522">
        <f t="shared" si="30"/>
        <v>118683.60975609756</v>
      </c>
      <c r="F121" s="523">
        <f t="shared" si="31"/>
        <v>2281863.5030386494</v>
      </c>
      <c r="G121" s="523">
        <f t="shared" si="32"/>
        <v>2341205.307916698</v>
      </c>
      <c r="H121" s="526">
        <f t="shared" si="33"/>
        <v>384443.71906181111</v>
      </c>
      <c r="I121" s="577">
        <f t="shared" si="34"/>
        <v>384443.71906181111</v>
      </c>
      <c r="J121" s="514">
        <f t="shared" si="27"/>
        <v>0</v>
      </c>
      <c r="K121" s="514"/>
      <c r="L121" s="525"/>
      <c r="M121" s="514">
        <f t="shared" si="35"/>
        <v>0</v>
      </c>
      <c r="N121" s="525"/>
      <c r="O121" s="514">
        <f t="shared" si="28"/>
        <v>0</v>
      </c>
      <c r="P121" s="514">
        <f t="shared" si="29"/>
        <v>0</v>
      </c>
    </row>
    <row r="122" spans="2:16" ht="12.5">
      <c r="B122" s="195" t="str">
        <f t="shared" si="26"/>
        <v/>
      </c>
      <c r="C122" s="507">
        <f>IF(D93="","-",+C121+1)</f>
        <v>2037</v>
      </c>
      <c r="D122" s="374">
        <f>IF(F121+SUM(E$99:E121)=D$92,F121,D$92-SUM(E$99:E121))</f>
        <v>2281863.5030386494</v>
      </c>
      <c r="E122" s="522">
        <f t="shared" si="30"/>
        <v>118683.60975609756</v>
      </c>
      <c r="F122" s="523">
        <f t="shared" si="31"/>
        <v>2163179.8932825518</v>
      </c>
      <c r="G122" s="523">
        <f t="shared" si="32"/>
        <v>2222521.6981606008</v>
      </c>
      <c r="H122" s="526">
        <f t="shared" si="33"/>
        <v>370971.44091733528</v>
      </c>
      <c r="I122" s="577">
        <f t="shared" si="34"/>
        <v>370971.44091733528</v>
      </c>
      <c r="J122" s="514">
        <f t="shared" si="27"/>
        <v>0</v>
      </c>
      <c r="K122" s="514"/>
      <c r="L122" s="525"/>
      <c r="M122" s="514">
        <f t="shared" si="35"/>
        <v>0</v>
      </c>
      <c r="N122" s="525"/>
      <c r="O122" s="514">
        <f t="shared" si="28"/>
        <v>0</v>
      </c>
      <c r="P122" s="514">
        <f t="shared" si="29"/>
        <v>0</v>
      </c>
    </row>
    <row r="123" spans="2:16" ht="12.5">
      <c r="B123" s="195" t="str">
        <f t="shared" si="26"/>
        <v/>
      </c>
      <c r="C123" s="507">
        <f>IF(D93="","-",+C122+1)</f>
        <v>2038</v>
      </c>
      <c r="D123" s="374">
        <f>IF(F122+SUM(E$99:E122)=D$92,F122,D$92-SUM(E$99:E122))</f>
        <v>2163179.8932825518</v>
      </c>
      <c r="E123" s="522">
        <f t="shared" si="30"/>
        <v>118683.60975609756</v>
      </c>
      <c r="F123" s="523">
        <f t="shared" si="31"/>
        <v>2044496.2835264541</v>
      </c>
      <c r="G123" s="523">
        <f t="shared" si="32"/>
        <v>2103838.0884045027</v>
      </c>
      <c r="H123" s="526">
        <f t="shared" si="33"/>
        <v>357499.16277285927</v>
      </c>
      <c r="I123" s="577">
        <f t="shared" si="34"/>
        <v>357499.16277285927</v>
      </c>
      <c r="J123" s="514">
        <f t="shared" si="27"/>
        <v>0</v>
      </c>
      <c r="K123" s="514"/>
      <c r="L123" s="525"/>
      <c r="M123" s="514">
        <f t="shared" si="35"/>
        <v>0</v>
      </c>
      <c r="N123" s="525"/>
      <c r="O123" s="514">
        <f t="shared" si="28"/>
        <v>0</v>
      </c>
      <c r="P123" s="514">
        <f t="shared" si="29"/>
        <v>0</v>
      </c>
    </row>
    <row r="124" spans="2:16" ht="12.5">
      <c r="B124" s="195" t="str">
        <f t="shared" si="26"/>
        <v/>
      </c>
      <c r="C124" s="507">
        <f>IF(D93="","-",+C123+1)</f>
        <v>2039</v>
      </c>
      <c r="D124" s="374">
        <f>IF(F123+SUM(E$99:E123)=D$92,F123,D$92-SUM(E$99:E123))</f>
        <v>2044496.2835264541</v>
      </c>
      <c r="E124" s="522">
        <f t="shared" si="30"/>
        <v>118683.60975609756</v>
      </c>
      <c r="F124" s="523">
        <f t="shared" si="31"/>
        <v>1925812.6737703565</v>
      </c>
      <c r="G124" s="523">
        <f t="shared" si="32"/>
        <v>1985154.4786484053</v>
      </c>
      <c r="H124" s="526">
        <f t="shared" si="33"/>
        <v>344026.88462838338</v>
      </c>
      <c r="I124" s="577">
        <f t="shared" si="34"/>
        <v>344026.88462838338</v>
      </c>
      <c r="J124" s="514">
        <f t="shared" si="27"/>
        <v>0</v>
      </c>
      <c r="K124" s="514"/>
      <c r="L124" s="525"/>
      <c r="M124" s="514">
        <f t="shared" si="35"/>
        <v>0</v>
      </c>
      <c r="N124" s="525"/>
      <c r="O124" s="514">
        <f t="shared" si="28"/>
        <v>0</v>
      </c>
      <c r="P124" s="514">
        <f t="shared" si="29"/>
        <v>0</v>
      </c>
    </row>
    <row r="125" spans="2:16" ht="12.5">
      <c r="B125" s="195" t="str">
        <f t="shared" si="26"/>
        <v/>
      </c>
      <c r="C125" s="507">
        <f>IF(D93="","-",+C124+1)</f>
        <v>2040</v>
      </c>
      <c r="D125" s="374">
        <f>IF(F124+SUM(E$99:E124)=D$92,F124,D$92-SUM(E$99:E124))</f>
        <v>1925812.6737703565</v>
      </c>
      <c r="E125" s="522">
        <f t="shared" si="30"/>
        <v>118683.60975609756</v>
      </c>
      <c r="F125" s="523">
        <f t="shared" si="31"/>
        <v>1807129.0640142588</v>
      </c>
      <c r="G125" s="523">
        <f t="shared" si="32"/>
        <v>1866470.8688923076</v>
      </c>
      <c r="H125" s="526">
        <f t="shared" si="33"/>
        <v>330554.60648390744</v>
      </c>
      <c r="I125" s="577">
        <f t="shared" si="34"/>
        <v>330554.60648390744</v>
      </c>
      <c r="J125" s="514">
        <f t="shared" si="27"/>
        <v>0</v>
      </c>
      <c r="K125" s="514"/>
      <c r="L125" s="525"/>
      <c r="M125" s="514">
        <f t="shared" si="35"/>
        <v>0</v>
      </c>
      <c r="N125" s="525"/>
      <c r="O125" s="514">
        <f t="shared" si="28"/>
        <v>0</v>
      </c>
      <c r="P125" s="514">
        <f t="shared" si="29"/>
        <v>0</v>
      </c>
    </row>
    <row r="126" spans="2:16" ht="12.5">
      <c r="B126" s="195" t="str">
        <f t="shared" si="26"/>
        <v/>
      </c>
      <c r="C126" s="507">
        <f>IF(D93="","-",+C125+1)</f>
        <v>2041</v>
      </c>
      <c r="D126" s="374">
        <f>IF(F125+SUM(E$99:E125)=D$92,F125,D$92-SUM(E$99:E125))</f>
        <v>1807129.0640142588</v>
      </c>
      <c r="E126" s="522">
        <f t="shared" si="30"/>
        <v>118683.60975609756</v>
      </c>
      <c r="F126" s="523">
        <f t="shared" si="31"/>
        <v>1688445.4542581611</v>
      </c>
      <c r="G126" s="523">
        <f t="shared" si="32"/>
        <v>1747787.25913621</v>
      </c>
      <c r="H126" s="526">
        <f t="shared" si="33"/>
        <v>317082.32833943155</v>
      </c>
      <c r="I126" s="577">
        <f t="shared" si="34"/>
        <v>317082.32833943155</v>
      </c>
      <c r="J126" s="514">
        <f t="shared" si="27"/>
        <v>0</v>
      </c>
      <c r="K126" s="514"/>
      <c r="L126" s="525"/>
      <c r="M126" s="514">
        <f t="shared" si="35"/>
        <v>0</v>
      </c>
      <c r="N126" s="525"/>
      <c r="O126" s="514">
        <f t="shared" si="28"/>
        <v>0</v>
      </c>
      <c r="P126" s="514">
        <f t="shared" si="29"/>
        <v>0</v>
      </c>
    </row>
    <row r="127" spans="2:16" ht="12.5">
      <c r="B127" s="195" t="str">
        <f t="shared" si="26"/>
        <v/>
      </c>
      <c r="C127" s="507">
        <f>IF(D93="","-",+C126+1)</f>
        <v>2042</v>
      </c>
      <c r="D127" s="374">
        <f>IF(F126+SUM(E$99:E126)=D$92,F126,D$92-SUM(E$99:E126))</f>
        <v>1688445.4542581611</v>
      </c>
      <c r="E127" s="522">
        <f t="shared" si="30"/>
        <v>118683.60975609756</v>
      </c>
      <c r="F127" s="523">
        <f t="shared" si="31"/>
        <v>1569761.8445020635</v>
      </c>
      <c r="G127" s="523">
        <f t="shared" si="32"/>
        <v>1629103.6493801123</v>
      </c>
      <c r="H127" s="526">
        <f t="shared" si="33"/>
        <v>303610.05019495561</v>
      </c>
      <c r="I127" s="577">
        <f t="shared" si="34"/>
        <v>303610.05019495561</v>
      </c>
      <c r="J127" s="514">
        <f t="shared" si="27"/>
        <v>0</v>
      </c>
      <c r="K127" s="514"/>
      <c r="L127" s="525"/>
      <c r="M127" s="514">
        <f t="shared" si="35"/>
        <v>0</v>
      </c>
      <c r="N127" s="525"/>
      <c r="O127" s="514">
        <f t="shared" si="28"/>
        <v>0</v>
      </c>
      <c r="P127" s="514">
        <f t="shared" si="29"/>
        <v>0</v>
      </c>
    </row>
    <row r="128" spans="2:16" ht="12.5">
      <c r="B128" s="195" t="str">
        <f t="shared" si="26"/>
        <v/>
      </c>
      <c r="C128" s="507">
        <f>IF(D93="","-",+C127+1)</f>
        <v>2043</v>
      </c>
      <c r="D128" s="374">
        <f>IF(F127+SUM(E$99:E127)=D$92,F127,D$92-SUM(E$99:E127))</f>
        <v>1569761.8445020635</v>
      </c>
      <c r="E128" s="522">
        <f t="shared" si="30"/>
        <v>118683.60975609756</v>
      </c>
      <c r="F128" s="523">
        <f t="shared" si="31"/>
        <v>1451078.2347459658</v>
      </c>
      <c r="G128" s="523">
        <f t="shared" si="32"/>
        <v>1510420.0396240146</v>
      </c>
      <c r="H128" s="526">
        <f t="shared" si="33"/>
        <v>290137.77205047966</v>
      </c>
      <c r="I128" s="577">
        <f t="shared" si="34"/>
        <v>290137.77205047966</v>
      </c>
      <c r="J128" s="514">
        <f t="shared" si="27"/>
        <v>0</v>
      </c>
      <c r="K128" s="514"/>
      <c r="L128" s="525"/>
      <c r="M128" s="514">
        <f t="shared" si="35"/>
        <v>0</v>
      </c>
      <c r="N128" s="525"/>
      <c r="O128" s="514">
        <f t="shared" si="28"/>
        <v>0</v>
      </c>
      <c r="P128" s="514">
        <f t="shared" si="29"/>
        <v>0</v>
      </c>
    </row>
    <row r="129" spans="2:16" ht="12.5">
      <c r="B129" s="195" t="str">
        <f t="shared" si="26"/>
        <v/>
      </c>
      <c r="C129" s="507">
        <f>IF(D93="","-",+C128+1)</f>
        <v>2044</v>
      </c>
      <c r="D129" s="374">
        <f>IF(F128+SUM(E$99:E128)=D$92,F128,D$92-SUM(E$99:E128))</f>
        <v>1451078.2347459658</v>
      </c>
      <c r="E129" s="522">
        <f t="shared" si="30"/>
        <v>118683.60975609756</v>
      </c>
      <c r="F129" s="523">
        <f t="shared" si="31"/>
        <v>1332394.6249898681</v>
      </c>
      <c r="G129" s="523">
        <f t="shared" si="32"/>
        <v>1391736.429867917</v>
      </c>
      <c r="H129" s="526">
        <f t="shared" si="33"/>
        <v>276665.49390600371</v>
      </c>
      <c r="I129" s="577">
        <f t="shared" si="34"/>
        <v>276665.49390600371</v>
      </c>
      <c r="J129" s="514">
        <f t="shared" si="27"/>
        <v>0</v>
      </c>
      <c r="K129" s="514"/>
      <c r="L129" s="525"/>
      <c r="M129" s="514">
        <f t="shared" si="35"/>
        <v>0</v>
      </c>
      <c r="N129" s="525"/>
      <c r="O129" s="514">
        <f t="shared" si="28"/>
        <v>0</v>
      </c>
      <c r="P129" s="514">
        <f t="shared" si="29"/>
        <v>0</v>
      </c>
    </row>
    <row r="130" spans="2:16" ht="12.5">
      <c r="B130" s="195" t="str">
        <f t="shared" si="26"/>
        <v/>
      </c>
      <c r="C130" s="507">
        <f>IF(D93="","-",+C129+1)</f>
        <v>2045</v>
      </c>
      <c r="D130" s="374">
        <f>IF(F129+SUM(E$99:E129)=D$92,F129,D$92-SUM(E$99:E129))</f>
        <v>1332394.6249898681</v>
      </c>
      <c r="E130" s="522">
        <f t="shared" si="30"/>
        <v>118683.60975609756</v>
      </c>
      <c r="F130" s="523">
        <f t="shared" si="31"/>
        <v>1213711.0152337705</v>
      </c>
      <c r="G130" s="523">
        <f t="shared" si="32"/>
        <v>1273052.8201118193</v>
      </c>
      <c r="H130" s="526">
        <f t="shared" si="33"/>
        <v>263193.21576152783</v>
      </c>
      <c r="I130" s="577">
        <f t="shared" si="34"/>
        <v>263193.21576152783</v>
      </c>
      <c r="J130" s="514">
        <f t="shared" si="27"/>
        <v>0</v>
      </c>
      <c r="K130" s="514"/>
      <c r="L130" s="525"/>
      <c r="M130" s="514">
        <f t="shared" si="35"/>
        <v>0</v>
      </c>
      <c r="N130" s="525"/>
      <c r="O130" s="514">
        <f t="shared" si="28"/>
        <v>0</v>
      </c>
      <c r="P130" s="514">
        <f t="shared" si="29"/>
        <v>0</v>
      </c>
    </row>
    <row r="131" spans="2:16" ht="12.5">
      <c r="B131" s="195" t="str">
        <f t="shared" si="26"/>
        <v/>
      </c>
      <c r="C131" s="507">
        <f>IF(D93="","-",+C130+1)</f>
        <v>2046</v>
      </c>
      <c r="D131" s="374">
        <f>IF(F130+SUM(E$99:E130)=D$92,F130,D$92-SUM(E$99:E130))</f>
        <v>1213711.0152337705</v>
      </c>
      <c r="E131" s="522">
        <f t="shared" si="30"/>
        <v>118683.60975609756</v>
      </c>
      <c r="F131" s="523">
        <f t="shared" si="31"/>
        <v>1095027.4054776728</v>
      </c>
      <c r="G131" s="523">
        <f t="shared" si="32"/>
        <v>1154369.2103557216</v>
      </c>
      <c r="H131" s="526">
        <f t="shared" si="33"/>
        <v>249720.93761705188</v>
      </c>
      <c r="I131" s="577">
        <f t="shared" si="34"/>
        <v>249720.93761705188</v>
      </c>
      <c r="J131" s="514">
        <f t="shared" si="27"/>
        <v>0</v>
      </c>
      <c r="K131" s="514"/>
      <c r="L131" s="525"/>
      <c r="M131" s="514">
        <f t="shared" ref="M131:M154" si="36">IF(L541&lt;&gt;0,+H541-L541,0)</f>
        <v>0</v>
      </c>
      <c r="N131" s="525"/>
      <c r="O131" s="514">
        <f t="shared" ref="O131:O154" si="37">IF(N541&lt;&gt;0,+I541-N541,0)</f>
        <v>0</v>
      </c>
      <c r="P131" s="514">
        <f t="shared" ref="P131:P154" si="38">+O541-M541</f>
        <v>0</v>
      </c>
    </row>
    <row r="132" spans="2:16" ht="12.5">
      <c r="B132" s="195" t="str">
        <f t="shared" si="26"/>
        <v/>
      </c>
      <c r="C132" s="507">
        <f>IF(D93="","-",+C131+1)</f>
        <v>2047</v>
      </c>
      <c r="D132" s="374">
        <f>IF(F131+SUM(E$99:E131)=D$92,F131,D$92-SUM(E$99:E131))</f>
        <v>1095027.4054776728</v>
      </c>
      <c r="E132" s="522">
        <f t="shared" si="30"/>
        <v>118683.60975609756</v>
      </c>
      <c r="F132" s="523">
        <f t="shared" si="31"/>
        <v>976343.79572157527</v>
      </c>
      <c r="G132" s="523">
        <f t="shared" si="32"/>
        <v>1035685.600599624</v>
      </c>
      <c r="H132" s="526">
        <f t="shared" si="33"/>
        <v>236248.65947257594</v>
      </c>
      <c r="I132" s="577">
        <f t="shared" si="34"/>
        <v>236248.65947257594</v>
      </c>
      <c r="J132" s="514">
        <f t="shared" si="27"/>
        <v>0</v>
      </c>
      <c r="K132" s="514"/>
      <c r="L132" s="525"/>
      <c r="M132" s="514">
        <f t="shared" si="36"/>
        <v>0</v>
      </c>
      <c r="N132" s="525"/>
      <c r="O132" s="514">
        <f t="shared" si="37"/>
        <v>0</v>
      </c>
      <c r="P132" s="514">
        <f t="shared" si="38"/>
        <v>0</v>
      </c>
    </row>
    <row r="133" spans="2:16" ht="12.5">
      <c r="B133" s="195" t="str">
        <f t="shared" si="26"/>
        <v/>
      </c>
      <c r="C133" s="507">
        <f>IF(D93="","-",+C132+1)</f>
        <v>2048</v>
      </c>
      <c r="D133" s="374">
        <f>IF(F132+SUM(E$99:E132)=D$92,F132,D$92-SUM(E$99:E132))</f>
        <v>976343.79572157527</v>
      </c>
      <c r="E133" s="522">
        <f t="shared" si="30"/>
        <v>118683.60975609756</v>
      </c>
      <c r="F133" s="523">
        <f t="shared" si="31"/>
        <v>857660.18596547772</v>
      </c>
      <c r="G133" s="523">
        <f t="shared" si="32"/>
        <v>917001.99084352655</v>
      </c>
      <c r="H133" s="526">
        <f t="shared" si="33"/>
        <v>222776.38132810005</v>
      </c>
      <c r="I133" s="577">
        <f t="shared" si="34"/>
        <v>222776.38132810005</v>
      </c>
      <c r="J133" s="514">
        <f t="shared" si="27"/>
        <v>0</v>
      </c>
      <c r="K133" s="514"/>
      <c r="L133" s="525"/>
      <c r="M133" s="514">
        <f t="shared" si="36"/>
        <v>0</v>
      </c>
      <c r="N133" s="525"/>
      <c r="O133" s="514">
        <f t="shared" si="37"/>
        <v>0</v>
      </c>
      <c r="P133" s="514">
        <f t="shared" si="38"/>
        <v>0</v>
      </c>
    </row>
    <row r="134" spans="2:16" ht="12.5">
      <c r="B134" s="195" t="str">
        <f t="shared" si="26"/>
        <v/>
      </c>
      <c r="C134" s="507">
        <f>IF(D93="","-",+C133+1)</f>
        <v>2049</v>
      </c>
      <c r="D134" s="374">
        <f>IF(F133+SUM(E$99:E133)=D$92,F133,D$92-SUM(E$99:E133))</f>
        <v>857660.18596547772</v>
      </c>
      <c r="E134" s="522">
        <f t="shared" si="30"/>
        <v>118683.60975609756</v>
      </c>
      <c r="F134" s="523">
        <f t="shared" si="31"/>
        <v>738976.57620938017</v>
      </c>
      <c r="G134" s="523">
        <f t="shared" si="32"/>
        <v>798318.38108742889</v>
      </c>
      <c r="H134" s="526">
        <f t="shared" si="33"/>
        <v>209304.1031836241</v>
      </c>
      <c r="I134" s="577">
        <f t="shared" si="34"/>
        <v>209304.1031836241</v>
      </c>
      <c r="J134" s="514">
        <f t="shared" si="27"/>
        <v>0</v>
      </c>
      <c r="K134" s="514"/>
      <c r="L134" s="525"/>
      <c r="M134" s="514">
        <f t="shared" si="36"/>
        <v>0</v>
      </c>
      <c r="N134" s="525"/>
      <c r="O134" s="514">
        <f t="shared" si="37"/>
        <v>0</v>
      </c>
      <c r="P134" s="514">
        <f t="shared" si="38"/>
        <v>0</v>
      </c>
    </row>
    <row r="135" spans="2:16" ht="12.5">
      <c r="B135" s="195" t="str">
        <f t="shared" si="26"/>
        <v/>
      </c>
      <c r="C135" s="507">
        <f>IF(D93="","-",+C134+1)</f>
        <v>2050</v>
      </c>
      <c r="D135" s="374">
        <f>IF(F134+SUM(E$99:E134)=D$92,F134,D$92-SUM(E$99:E134))</f>
        <v>738976.57620938017</v>
      </c>
      <c r="E135" s="522">
        <f t="shared" si="30"/>
        <v>118683.60975609756</v>
      </c>
      <c r="F135" s="523">
        <f t="shared" si="31"/>
        <v>620292.96645328263</v>
      </c>
      <c r="G135" s="523">
        <f t="shared" si="32"/>
        <v>679634.77133133146</v>
      </c>
      <c r="H135" s="526">
        <f t="shared" si="33"/>
        <v>195831.82503914821</v>
      </c>
      <c r="I135" s="577">
        <f t="shared" si="34"/>
        <v>195831.82503914821</v>
      </c>
      <c r="J135" s="514">
        <f t="shared" si="27"/>
        <v>0</v>
      </c>
      <c r="K135" s="514"/>
      <c r="L135" s="525"/>
      <c r="M135" s="514">
        <f t="shared" si="36"/>
        <v>0</v>
      </c>
      <c r="N135" s="525"/>
      <c r="O135" s="514">
        <f t="shared" si="37"/>
        <v>0</v>
      </c>
      <c r="P135" s="514">
        <f t="shared" si="38"/>
        <v>0</v>
      </c>
    </row>
    <row r="136" spans="2:16" ht="12.5">
      <c r="B136" s="195" t="str">
        <f t="shared" si="26"/>
        <v/>
      </c>
      <c r="C136" s="507">
        <f>IF(D93="","-",+C135+1)</f>
        <v>2051</v>
      </c>
      <c r="D136" s="374">
        <f>IF(F135+SUM(E$99:E135)=D$92,F135,D$92-SUM(E$99:E135))</f>
        <v>620292.96645328263</v>
      </c>
      <c r="E136" s="522">
        <f t="shared" si="30"/>
        <v>118683.60975609756</v>
      </c>
      <c r="F136" s="523">
        <f t="shared" si="31"/>
        <v>501609.35669718508</v>
      </c>
      <c r="G136" s="523">
        <f t="shared" si="32"/>
        <v>560951.1615752338</v>
      </c>
      <c r="H136" s="526">
        <f t="shared" si="33"/>
        <v>182359.54689467227</v>
      </c>
      <c r="I136" s="577">
        <f t="shared" si="34"/>
        <v>182359.54689467227</v>
      </c>
      <c r="J136" s="514">
        <f t="shared" si="27"/>
        <v>0</v>
      </c>
      <c r="K136" s="514"/>
      <c r="L136" s="525"/>
      <c r="M136" s="514">
        <f t="shared" si="36"/>
        <v>0</v>
      </c>
      <c r="N136" s="525"/>
      <c r="O136" s="514">
        <f t="shared" si="37"/>
        <v>0</v>
      </c>
      <c r="P136" s="514">
        <f t="shared" si="38"/>
        <v>0</v>
      </c>
    </row>
    <row r="137" spans="2:16" ht="12.5">
      <c r="B137" s="195" t="str">
        <f t="shared" si="26"/>
        <v/>
      </c>
      <c r="C137" s="507">
        <f>IF(D93="","-",+C136+1)</f>
        <v>2052</v>
      </c>
      <c r="D137" s="374">
        <f>IF(F136+SUM(E$99:E136)=D$92,F136,D$92-SUM(E$99:E136))</f>
        <v>501609.35669718508</v>
      </c>
      <c r="E137" s="522">
        <f t="shared" si="30"/>
        <v>118683.60975609756</v>
      </c>
      <c r="F137" s="523">
        <f t="shared" si="31"/>
        <v>382925.74694108753</v>
      </c>
      <c r="G137" s="523">
        <f t="shared" si="32"/>
        <v>442267.55181913631</v>
      </c>
      <c r="H137" s="526">
        <f t="shared" si="33"/>
        <v>168887.26875019638</v>
      </c>
      <c r="I137" s="577">
        <f t="shared" si="34"/>
        <v>168887.26875019638</v>
      </c>
      <c r="J137" s="514">
        <f t="shared" si="27"/>
        <v>0</v>
      </c>
      <c r="K137" s="514"/>
      <c r="L137" s="525"/>
      <c r="M137" s="514">
        <f t="shared" si="36"/>
        <v>0</v>
      </c>
      <c r="N137" s="525"/>
      <c r="O137" s="514">
        <f t="shared" si="37"/>
        <v>0</v>
      </c>
      <c r="P137" s="514">
        <f t="shared" si="38"/>
        <v>0</v>
      </c>
    </row>
    <row r="138" spans="2:16" ht="12.5">
      <c r="B138" s="195" t="str">
        <f t="shared" si="26"/>
        <v/>
      </c>
      <c r="C138" s="507">
        <f>IF(D93="","-",+C137+1)</f>
        <v>2053</v>
      </c>
      <c r="D138" s="374">
        <f>IF(F137+SUM(E$99:E137)=D$92,F137,D$92-SUM(E$99:E137))</f>
        <v>382925.74694108753</v>
      </c>
      <c r="E138" s="522">
        <f t="shared" si="30"/>
        <v>118683.60975609756</v>
      </c>
      <c r="F138" s="523">
        <f t="shared" si="31"/>
        <v>264242.13718498999</v>
      </c>
      <c r="G138" s="523">
        <f t="shared" si="32"/>
        <v>323583.94206303876</v>
      </c>
      <c r="H138" s="526">
        <f t="shared" si="33"/>
        <v>155414.99060572046</v>
      </c>
      <c r="I138" s="577">
        <f t="shared" si="34"/>
        <v>155414.99060572046</v>
      </c>
      <c r="J138" s="514">
        <f t="shared" si="27"/>
        <v>0</v>
      </c>
      <c r="K138" s="514"/>
      <c r="L138" s="525"/>
      <c r="M138" s="514">
        <f t="shared" si="36"/>
        <v>0</v>
      </c>
      <c r="N138" s="525"/>
      <c r="O138" s="514">
        <f t="shared" si="37"/>
        <v>0</v>
      </c>
      <c r="P138" s="514">
        <f t="shared" si="38"/>
        <v>0</v>
      </c>
    </row>
    <row r="139" spans="2:16" ht="12.5">
      <c r="B139" s="195" t="str">
        <f t="shared" si="26"/>
        <v/>
      </c>
      <c r="C139" s="507">
        <f>IF(D93="","-",+C138+1)</f>
        <v>2054</v>
      </c>
      <c r="D139" s="374">
        <f>IF(F138+SUM(E$99:E138)=D$92,F138,D$92-SUM(E$99:E138))</f>
        <v>264242.13718498999</v>
      </c>
      <c r="E139" s="522">
        <f t="shared" si="30"/>
        <v>118683.60975609756</v>
      </c>
      <c r="F139" s="523">
        <f t="shared" si="31"/>
        <v>145558.52742889244</v>
      </c>
      <c r="G139" s="523">
        <f t="shared" si="32"/>
        <v>204900.33230694121</v>
      </c>
      <c r="H139" s="526">
        <f t="shared" si="33"/>
        <v>141942.71246124455</v>
      </c>
      <c r="I139" s="577">
        <f t="shared" si="34"/>
        <v>141942.71246124455</v>
      </c>
      <c r="J139" s="514">
        <f t="shared" si="27"/>
        <v>0</v>
      </c>
      <c r="K139" s="514"/>
      <c r="L139" s="525"/>
      <c r="M139" s="514">
        <f t="shared" si="36"/>
        <v>0</v>
      </c>
      <c r="N139" s="525"/>
      <c r="O139" s="514">
        <f t="shared" si="37"/>
        <v>0</v>
      </c>
      <c r="P139" s="514">
        <f t="shared" si="38"/>
        <v>0</v>
      </c>
    </row>
    <row r="140" spans="2:16" ht="12.5">
      <c r="B140" s="195" t="str">
        <f t="shared" si="26"/>
        <v/>
      </c>
      <c r="C140" s="507">
        <f>IF(D93="","-",+C139+1)</f>
        <v>2055</v>
      </c>
      <c r="D140" s="374">
        <f>IF(F139+SUM(E$99:E139)=D$92,F139,D$92-SUM(E$99:E139))</f>
        <v>145558.52742889244</v>
      </c>
      <c r="E140" s="522">
        <f t="shared" si="30"/>
        <v>118683.60975609756</v>
      </c>
      <c r="F140" s="523">
        <f t="shared" si="31"/>
        <v>26874.91767279488</v>
      </c>
      <c r="G140" s="523">
        <f t="shared" si="32"/>
        <v>86216.722550843668</v>
      </c>
      <c r="H140" s="526">
        <f t="shared" si="33"/>
        <v>128470.43431676862</v>
      </c>
      <c r="I140" s="577">
        <f t="shared" si="34"/>
        <v>128470.43431676862</v>
      </c>
      <c r="J140" s="514">
        <f t="shared" si="27"/>
        <v>0</v>
      </c>
      <c r="K140" s="514"/>
      <c r="L140" s="525"/>
      <c r="M140" s="514">
        <f t="shared" si="36"/>
        <v>0</v>
      </c>
      <c r="N140" s="525"/>
      <c r="O140" s="514">
        <f t="shared" si="37"/>
        <v>0</v>
      </c>
      <c r="P140" s="514">
        <f t="shared" si="38"/>
        <v>0</v>
      </c>
    </row>
    <row r="141" spans="2:16" ht="12.5">
      <c r="B141" s="195" t="str">
        <f t="shared" si="26"/>
        <v/>
      </c>
      <c r="C141" s="507">
        <f>IF(D93="","-",+C140+1)</f>
        <v>2056</v>
      </c>
      <c r="D141" s="374">
        <f>IF(F140+SUM(E$99:E140)=D$92,F140,D$92-SUM(E$99:E140))</f>
        <v>26874.91767279488</v>
      </c>
      <c r="E141" s="522">
        <f t="shared" si="30"/>
        <v>26874.91767279488</v>
      </c>
      <c r="F141" s="523">
        <f t="shared" si="31"/>
        <v>0</v>
      </c>
      <c r="G141" s="523">
        <f t="shared" si="32"/>
        <v>13437.45883639744</v>
      </c>
      <c r="H141" s="526">
        <f t="shared" si="33"/>
        <v>28400.260417011432</v>
      </c>
      <c r="I141" s="577">
        <f t="shared" si="34"/>
        <v>28400.260417011432</v>
      </c>
      <c r="J141" s="514">
        <f t="shared" si="27"/>
        <v>0</v>
      </c>
      <c r="K141" s="514"/>
      <c r="L141" s="525"/>
      <c r="M141" s="514">
        <f t="shared" si="36"/>
        <v>0</v>
      </c>
      <c r="N141" s="525"/>
      <c r="O141" s="514">
        <f t="shared" si="37"/>
        <v>0</v>
      </c>
      <c r="P141" s="514">
        <f t="shared" si="38"/>
        <v>0</v>
      </c>
    </row>
    <row r="142" spans="2:16" ht="12.5">
      <c r="B142" s="195" t="str">
        <f t="shared" si="26"/>
        <v/>
      </c>
      <c r="C142" s="507">
        <f>IF(D93="","-",+C141+1)</f>
        <v>2057</v>
      </c>
      <c r="D142" s="374">
        <f>IF(F141+SUM(E$99:E141)=D$92,F141,D$92-SUM(E$99:E141))</f>
        <v>0</v>
      </c>
      <c r="E142" s="522">
        <f t="shared" si="30"/>
        <v>0</v>
      </c>
      <c r="F142" s="523">
        <f t="shared" si="31"/>
        <v>0</v>
      </c>
      <c r="G142" s="523">
        <f t="shared" si="32"/>
        <v>0</v>
      </c>
      <c r="H142" s="526">
        <f t="shared" si="33"/>
        <v>0</v>
      </c>
      <c r="I142" s="577">
        <f t="shared" si="34"/>
        <v>0</v>
      </c>
      <c r="J142" s="514">
        <f t="shared" si="27"/>
        <v>0</v>
      </c>
      <c r="K142" s="514"/>
      <c r="L142" s="525"/>
      <c r="M142" s="514">
        <f t="shared" si="36"/>
        <v>0</v>
      </c>
      <c r="N142" s="525"/>
      <c r="O142" s="514">
        <f t="shared" si="37"/>
        <v>0</v>
      </c>
      <c r="P142" s="514">
        <f t="shared" si="38"/>
        <v>0</v>
      </c>
    </row>
    <row r="143" spans="2:16" ht="12.5">
      <c r="B143" s="195" t="str">
        <f t="shared" si="26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30"/>
        <v>0</v>
      </c>
      <c r="F143" s="523">
        <f t="shared" si="31"/>
        <v>0</v>
      </c>
      <c r="G143" s="523">
        <f t="shared" si="32"/>
        <v>0</v>
      </c>
      <c r="H143" s="526">
        <f t="shared" si="33"/>
        <v>0</v>
      </c>
      <c r="I143" s="577">
        <f t="shared" si="34"/>
        <v>0</v>
      </c>
      <c r="J143" s="514">
        <f t="shared" si="27"/>
        <v>0</v>
      </c>
      <c r="K143" s="514"/>
      <c r="L143" s="525"/>
      <c r="M143" s="514">
        <f t="shared" si="36"/>
        <v>0</v>
      </c>
      <c r="N143" s="525"/>
      <c r="O143" s="514">
        <f t="shared" si="37"/>
        <v>0</v>
      </c>
      <c r="P143" s="514">
        <f t="shared" si="38"/>
        <v>0</v>
      </c>
    </row>
    <row r="144" spans="2:16" ht="12.5">
      <c r="B144" s="195" t="str">
        <f t="shared" si="26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30"/>
        <v>0</v>
      </c>
      <c r="F144" s="523">
        <f t="shared" si="31"/>
        <v>0</v>
      </c>
      <c r="G144" s="523">
        <f t="shared" si="32"/>
        <v>0</v>
      </c>
      <c r="H144" s="526">
        <f t="shared" si="33"/>
        <v>0</v>
      </c>
      <c r="I144" s="577">
        <f t="shared" si="34"/>
        <v>0</v>
      </c>
      <c r="J144" s="514">
        <f t="shared" si="27"/>
        <v>0</v>
      </c>
      <c r="K144" s="514"/>
      <c r="L144" s="525"/>
      <c r="M144" s="514">
        <f t="shared" si="36"/>
        <v>0</v>
      </c>
      <c r="N144" s="525"/>
      <c r="O144" s="514">
        <f t="shared" si="37"/>
        <v>0</v>
      </c>
      <c r="P144" s="514">
        <f t="shared" si="38"/>
        <v>0</v>
      </c>
    </row>
    <row r="145" spans="2:16" ht="12.5">
      <c r="B145" s="195" t="str">
        <f t="shared" si="26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30"/>
        <v>0</v>
      </c>
      <c r="F145" s="523">
        <f t="shared" si="31"/>
        <v>0</v>
      </c>
      <c r="G145" s="523">
        <f t="shared" si="32"/>
        <v>0</v>
      </c>
      <c r="H145" s="526">
        <f t="shared" si="33"/>
        <v>0</v>
      </c>
      <c r="I145" s="577">
        <f t="shared" si="34"/>
        <v>0</v>
      </c>
      <c r="J145" s="514">
        <f t="shared" si="27"/>
        <v>0</v>
      </c>
      <c r="K145" s="514"/>
      <c r="L145" s="525"/>
      <c r="M145" s="514">
        <f t="shared" si="36"/>
        <v>0</v>
      </c>
      <c r="N145" s="525"/>
      <c r="O145" s="514">
        <f t="shared" si="37"/>
        <v>0</v>
      </c>
      <c r="P145" s="514">
        <f t="shared" si="38"/>
        <v>0</v>
      </c>
    </row>
    <row r="146" spans="2:16" ht="12.5">
      <c r="B146" s="195" t="str">
        <f t="shared" si="26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30"/>
        <v>0</v>
      </c>
      <c r="F146" s="523">
        <f t="shared" si="31"/>
        <v>0</v>
      </c>
      <c r="G146" s="523">
        <f t="shared" si="32"/>
        <v>0</v>
      </c>
      <c r="H146" s="526">
        <f t="shared" si="33"/>
        <v>0</v>
      </c>
      <c r="I146" s="577">
        <f t="shared" si="34"/>
        <v>0</v>
      </c>
      <c r="J146" s="514">
        <f t="shared" si="27"/>
        <v>0</v>
      </c>
      <c r="K146" s="514"/>
      <c r="L146" s="525"/>
      <c r="M146" s="514">
        <f t="shared" si="36"/>
        <v>0</v>
      </c>
      <c r="N146" s="525"/>
      <c r="O146" s="514">
        <f t="shared" si="37"/>
        <v>0</v>
      </c>
      <c r="P146" s="514">
        <f t="shared" si="38"/>
        <v>0</v>
      </c>
    </row>
    <row r="147" spans="2:16" ht="12.5">
      <c r="B147" s="195" t="str">
        <f t="shared" si="26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30"/>
        <v>0</v>
      </c>
      <c r="F147" s="523">
        <f t="shared" si="31"/>
        <v>0</v>
      </c>
      <c r="G147" s="523">
        <f t="shared" si="32"/>
        <v>0</v>
      </c>
      <c r="H147" s="526">
        <f t="shared" si="33"/>
        <v>0</v>
      </c>
      <c r="I147" s="577">
        <f t="shared" si="34"/>
        <v>0</v>
      </c>
      <c r="J147" s="514">
        <f t="shared" si="27"/>
        <v>0</v>
      </c>
      <c r="K147" s="514"/>
      <c r="L147" s="525"/>
      <c r="M147" s="514">
        <f t="shared" si="36"/>
        <v>0</v>
      </c>
      <c r="N147" s="525"/>
      <c r="O147" s="514">
        <f t="shared" si="37"/>
        <v>0</v>
      </c>
      <c r="P147" s="514">
        <f t="shared" si="38"/>
        <v>0</v>
      </c>
    </row>
    <row r="148" spans="2:16" ht="12.5">
      <c r="B148" s="195" t="str">
        <f t="shared" si="26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30"/>
        <v>0</v>
      </c>
      <c r="F148" s="523">
        <f t="shared" si="31"/>
        <v>0</v>
      </c>
      <c r="G148" s="523">
        <f t="shared" si="32"/>
        <v>0</v>
      </c>
      <c r="H148" s="526">
        <f t="shared" si="33"/>
        <v>0</v>
      </c>
      <c r="I148" s="577">
        <f t="shared" si="34"/>
        <v>0</v>
      </c>
      <c r="J148" s="514">
        <f t="shared" si="27"/>
        <v>0</v>
      </c>
      <c r="K148" s="514"/>
      <c r="L148" s="525"/>
      <c r="M148" s="514">
        <f t="shared" si="36"/>
        <v>0</v>
      </c>
      <c r="N148" s="525"/>
      <c r="O148" s="514">
        <f t="shared" si="37"/>
        <v>0</v>
      </c>
      <c r="P148" s="514">
        <f t="shared" si="38"/>
        <v>0</v>
      </c>
    </row>
    <row r="149" spans="2:16" ht="12.5">
      <c r="B149" s="195" t="str">
        <f t="shared" si="26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30"/>
        <v>0</v>
      </c>
      <c r="F149" s="523">
        <f t="shared" si="31"/>
        <v>0</v>
      </c>
      <c r="G149" s="523">
        <f t="shared" si="32"/>
        <v>0</v>
      </c>
      <c r="H149" s="526">
        <f t="shared" si="33"/>
        <v>0</v>
      </c>
      <c r="I149" s="577">
        <f t="shared" si="34"/>
        <v>0</v>
      </c>
      <c r="J149" s="514">
        <f t="shared" si="27"/>
        <v>0</v>
      </c>
      <c r="K149" s="514"/>
      <c r="L149" s="525"/>
      <c r="M149" s="514">
        <f t="shared" si="36"/>
        <v>0</v>
      </c>
      <c r="N149" s="525"/>
      <c r="O149" s="514">
        <f t="shared" si="37"/>
        <v>0</v>
      </c>
      <c r="P149" s="514">
        <f t="shared" si="38"/>
        <v>0</v>
      </c>
    </row>
    <row r="150" spans="2:16" ht="12.5">
      <c r="B150" s="195" t="str">
        <f t="shared" si="26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30"/>
        <v>0</v>
      </c>
      <c r="F150" s="523">
        <f t="shared" si="31"/>
        <v>0</v>
      </c>
      <c r="G150" s="523">
        <f t="shared" si="32"/>
        <v>0</v>
      </c>
      <c r="H150" s="526">
        <f t="shared" si="33"/>
        <v>0</v>
      </c>
      <c r="I150" s="577">
        <f t="shared" si="34"/>
        <v>0</v>
      </c>
      <c r="J150" s="514">
        <f t="shared" si="27"/>
        <v>0</v>
      </c>
      <c r="K150" s="514"/>
      <c r="L150" s="525"/>
      <c r="M150" s="514">
        <f t="shared" si="36"/>
        <v>0</v>
      </c>
      <c r="N150" s="525"/>
      <c r="O150" s="514">
        <f t="shared" si="37"/>
        <v>0</v>
      </c>
      <c r="P150" s="514">
        <f t="shared" si="38"/>
        <v>0</v>
      </c>
    </row>
    <row r="151" spans="2:16" ht="12.5">
      <c r="B151" s="195" t="str">
        <f t="shared" si="26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30"/>
        <v>0</v>
      </c>
      <c r="F151" s="523">
        <f t="shared" si="31"/>
        <v>0</v>
      </c>
      <c r="G151" s="523">
        <f t="shared" si="32"/>
        <v>0</v>
      </c>
      <c r="H151" s="526">
        <f t="shared" si="33"/>
        <v>0</v>
      </c>
      <c r="I151" s="577">
        <f t="shared" si="34"/>
        <v>0</v>
      </c>
      <c r="J151" s="514">
        <f t="shared" si="27"/>
        <v>0</v>
      </c>
      <c r="K151" s="514"/>
      <c r="L151" s="525"/>
      <c r="M151" s="514">
        <f t="shared" si="36"/>
        <v>0</v>
      </c>
      <c r="N151" s="525"/>
      <c r="O151" s="514">
        <f t="shared" si="37"/>
        <v>0</v>
      </c>
      <c r="P151" s="514">
        <f t="shared" si="38"/>
        <v>0</v>
      </c>
    </row>
    <row r="152" spans="2:16" ht="12.5">
      <c r="B152" s="195" t="str">
        <f t="shared" si="26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30"/>
        <v>0</v>
      </c>
      <c r="F152" s="523">
        <f t="shared" si="31"/>
        <v>0</v>
      </c>
      <c r="G152" s="523">
        <f t="shared" si="32"/>
        <v>0</v>
      </c>
      <c r="H152" s="526">
        <f t="shared" si="33"/>
        <v>0</v>
      </c>
      <c r="I152" s="577">
        <f t="shared" si="34"/>
        <v>0</v>
      </c>
      <c r="J152" s="514">
        <f t="shared" si="27"/>
        <v>0</v>
      </c>
      <c r="K152" s="514"/>
      <c r="L152" s="525"/>
      <c r="M152" s="514">
        <f t="shared" si="36"/>
        <v>0</v>
      </c>
      <c r="N152" s="525"/>
      <c r="O152" s="514">
        <f t="shared" si="37"/>
        <v>0</v>
      </c>
      <c r="P152" s="514">
        <f t="shared" si="38"/>
        <v>0</v>
      </c>
    </row>
    <row r="153" spans="2:16" ht="12.5">
      <c r="B153" s="195" t="str">
        <f t="shared" si="26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30"/>
        <v>0</v>
      </c>
      <c r="F153" s="523">
        <f t="shared" si="31"/>
        <v>0</v>
      </c>
      <c r="G153" s="523">
        <f t="shared" si="32"/>
        <v>0</v>
      </c>
      <c r="H153" s="526">
        <f t="shared" si="33"/>
        <v>0</v>
      </c>
      <c r="I153" s="577">
        <f t="shared" si="34"/>
        <v>0</v>
      </c>
      <c r="J153" s="514">
        <f t="shared" si="27"/>
        <v>0</v>
      </c>
      <c r="K153" s="514"/>
      <c r="L153" s="525"/>
      <c r="M153" s="514">
        <f t="shared" si="36"/>
        <v>0</v>
      </c>
      <c r="N153" s="525"/>
      <c r="O153" s="514">
        <f t="shared" si="37"/>
        <v>0</v>
      </c>
      <c r="P153" s="514">
        <f t="shared" si="38"/>
        <v>0</v>
      </c>
    </row>
    <row r="154" spans="2:16" ht="13" thickBot="1">
      <c r="B154" s="195" t="str">
        <f t="shared" si="26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30"/>
        <v>0</v>
      </c>
      <c r="F154" s="523">
        <f t="shared" si="31"/>
        <v>0</v>
      </c>
      <c r="G154" s="523">
        <f t="shared" si="32"/>
        <v>0</v>
      </c>
      <c r="H154" s="526">
        <f t="shared" si="33"/>
        <v>0</v>
      </c>
      <c r="I154" s="577">
        <f t="shared" si="34"/>
        <v>0</v>
      </c>
      <c r="J154" s="514">
        <f t="shared" si="27"/>
        <v>0</v>
      </c>
      <c r="K154" s="514"/>
      <c r="L154" s="532"/>
      <c r="M154" s="533">
        <f t="shared" si="36"/>
        <v>0</v>
      </c>
      <c r="N154" s="532"/>
      <c r="O154" s="533">
        <f t="shared" si="37"/>
        <v>0</v>
      </c>
      <c r="P154" s="533">
        <f t="shared" si="38"/>
        <v>0</v>
      </c>
    </row>
    <row r="155" spans="2:16" ht="12.5">
      <c r="C155" s="374" t="s">
        <v>78</v>
      </c>
      <c r="D155" s="375"/>
      <c r="E155" s="375">
        <f>SUM(E99:E154)</f>
        <v>4866027.9999999981</v>
      </c>
      <c r="F155" s="375"/>
      <c r="G155" s="375"/>
      <c r="H155" s="375">
        <f>SUM(H99:H154)</f>
        <v>16699614.132801739</v>
      </c>
      <c r="I155" s="375">
        <f>SUM(I99:I154)</f>
        <v>16699614.132801739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8" priority="1" stopIfTrue="1" operator="equal">
      <formula>$I$10</formula>
    </cfRule>
  </conditionalFormatting>
  <conditionalFormatting sqref="C99:C154">
    <cfRule type="cellIs" dxfId="7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91"/>
  <dimension ref="A1:P162"/>
  <sheetViews>
    <sheetView view="pageBreakPreview" zoomScale="72" zoomScaleNormal="100" zoomScaleSheetLayoutView="7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54296875" style="183" customWidth="1"/>
    <col min="10" max="10" width="18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42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651284.16062052594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651284.16062052594</v>
      </c>
      <c r="O6" s="269"/>
      <c r="P6" s="269"/>
    </row>
    <row r="7" spans="1:16" ht="13.5" thickBot="1">
      <c r="C7" s="467" t="s">
        <v>48</v>
      </c>
      <c r="D7" s="624" t="s">
        <v>314</v>
      </c>
      <c r="E7" s="587"/>
      <c r="F7" s="587"/>
      <c r="G7" s="587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313</v>
      </c>
      <c r="E9" s="637" t="s">
        <v>323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5289194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125933.19047619047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4520000</v>
      </c>
      <c r="E17" s="638">
        <v>53809.523809523809</v>
      </c>
      <c r="F17" s="629">
        <v>4466190.4761904757</v>
      </c>
      <c r="G17" s="638">
        <v>656345.55089366634</v>
      </c>
      <c r="H17" s="639">
        <v>656345.55089366634</v>
      </c>
      <c r="I17" s="616">
        <v>0</v>
      </c>
      <c r="J17" s="511"/>
      <c r="K17" s="641">
        <f t="shared" ref="K17:K22" si="0">G17</f>
        <v>656345.55089366634</v>
      </c>
      <c r="L17" s="642">
        <f t="shared" ref="L17:L22" si="1">IF(K17&lt;&gt;0,+G17-K17,0)</f>
        <v>0</v>
      </c>
      <c r="M17" s="643">
        <f t="shared" ref="M17:M22" si="2">H17</f>
        <v>656345.55089366634</v>
      </c>
      <c r="N17" s="64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4466190.4761904757</v>
      </c>
      <c r="E18" s="630">
        <v>125933.19047619047</v>
      </c>
      <c r="F18" s="629">
        <v>4340257.2857142854</v>
      </c>
      <c r="G18" s="630">
        <v>697565.91247196728</v>
      </c>
      <c r="H18" s="639">
        <v>697565.91247196728</v>
      </c>
      <c r="I18" s="511">
        <v>0</v>
      </c>
      <c r="J18" s="511"/>
      <c r="K18" s="518">
        <f t="shared" si="0"/>
        <v>697565.91247196728</v>
      </c>
      <c r="L18" s="519">
        <f t="shared" si="1"/>
        <v>0</v>
      </c>
      <c r="M18" s="518">
        <f t="shared" si="2"/>
        <v>697565.91247196728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5109451.2857142854</v>
      </c>
      <c r="E19" s="630">
        <v>125933.19047619047</v>
      </c>
      <c r="F19" s="629">
        <v>4983518.0952380951</v>
      </c>
      <c r="G19" s="630">
        <v>774189.09981108969</v>
      </c>
      <c r="H19" s="639">
        <v>774189.09981108969</v>
      </c>
      <c r="I19" s="511">
        <f>H19-G19</f>
        <v>0</v>
      </c>
      <c r="J19" s="511"/>
      <c r="K19" s="518">
        <f t="shared" si="0"/>
        <v>774189.09981108969</v>
      </c>
      <c r="L19" s="519">
        <f t="shared" si="1"/>
        <v>0</v>
      </c>
      <c r="M19" s="518">
        <f t="shared" si="2"/>
        <v>774189.09981108969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/>
      </c>
      <c r="C20" s="507">
        <f>IF(D11="","-",+C19+1)</f>
        <v>2017</v>
      </c>
      <c r="D20" s="629">
        <v>4983518.0952380951</v>
      </c>
      <c r="E20" s="630">
        <v>123004.51162790698</v>
      </c>
      <c r="F20" s="629">
        <v>4860513.5836101882</v>
      </c>
      <c r="G20" s="630">
        <v>732805.52447428892</v>
      </c>
      <c r="H20" s="639">
        <v>732805.52447428892</v>
      </c>
      <c r="I20" s="511">
        <f t="shared" ref="I20:I72" si="4">H20-G20</f>
        <v>0</v>
      </c>
      <c r="J20" s="511"/>
      <c r="K20" s="518">
        <f t="shared" si="0"/>
        <v>732805.52447428892</v>
      </c>
      <c r="L20" s="519">
        <f t="shared" si="1"/>
        <v>0</v>
      </c>
      <c r="M20" s="518">
        <f t="shared" si="2"/>
        <v>732805.52447428892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4860513.5836101882</v>
      </c>
      <c r="E21" s="630">
        <v>129004.73170731707</v>
      </c>
      <c r="F21" s="629">
        <v>4731508.8519028714</v>
      </c>
      <c r="G21" s="630">
        <v>738549.45587790722</v>
      </c>
      <c r="H21" s="639">
        <v>738549.45587790722</v>
      </c>
      <c r="I21" s="511">
        <f t="shared" si="4"/>
        <v>0</v>
      </c>
      <c r="J21" s="511"/>
      <c r="K21" s="518">
        <f t="shared" si="0"/>
        <v>738549.45587790722</v>
      </c>
      <c r="L21" s="519">
        <f t="shared" si="1"/>
        <v>0</v>
      </c>
      <c r="M21" s="518">
        <f t="shared" si="2"/>
        <v>738549.45587790722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4731508.8519028714</v>
      </c>
      <c r="E22" s="630">
        <v>129004.73170731707</v>
      </c>
      <c r="F22" s="629">
        <v>4602504.1201955546</v>
      </c>
      <c r="G22" s="630">
        <v>722153.71574408386</v>
      </c>
      <c r="H22" s="639">
        <v>722153.71574408386</v>
      </c>
      <c r="I22" s="511">
        <f t="shared" si="4"/>
        <v>0</v>
      </c>
      <c r="J22" s="511"/>
      <c r="K22" s="518">
        <f t="shared" si="0"/>
        <v>722153.71574408386</v>
      </c>
      <c r="L22" s="519">
        <f t="shared" si="1"/>
        <v>0</v>
      </c>
      <c r="M22" s="518">
        <f t="shared" si="2"/>
        <v>722153.71574408386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/>
      </c>
      <c r="C23" s="507">
        <f>IF(D11="","-",+C22+1)</f>
        <v>2020</v>
      </c>
      <c r="D23" s="629">
        <v>4602504.1201955546</v>
      </c>
      <c r="E23" s="630">
        <v>129004.73170731707</v>
      </c>
      <c r="F23" s="629">
        <v>4473499.3884882377</v>
      </c>
      <c r="G23" s="630">
        <v>593403.20733019966</v>
      </c>
      <c r="H23" s="639">
        <v>593403.20733019966</v>
      </c>
      <c r="I23" s="511">
        <f t="shared" si="4"/>
        <v>0</v>
      </c>
      <c r="J23" s="511"/>
      <c r="K23" s="518">
        <f t="shared" ref="K23" si="7">G23</f>
        <v>593403.20733019966</v>
      </c>
      <c r="L23" s="519">
        <f t="shared" ref="L23" si="8">IF(K23&lt;&gt;0,+G23-K23,0)</f>
        <v>0</v>
      </c>
      <c r="M23" s="518">
        <f t="shared" ref="M23" si="9">H23</f>
        <v>593403.20733019966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>IU</v>
      </c>
      <c r="C24" s="507">
        <f>IF(D11="","-",+C23+1)</f>
        <v>2021</v>
      </c>
      <c r="D24" s="629">
        <v>4479499.6085676476</v>
      </c>
      <c r="E24" s="630">
        <v>125933.19047619047</v>
      </c>
      <c r="F24" s="629">
        <v>4353566.4180914573</v>
      </c>
      <c r="G24" s="630">
        <v>594105.76321991044</v>
      </c>
      <c r="H24" s="639">
        <v>594105.76321991044</v>
      </c>
      <c r="I24" s="511">
        <f t="shared" si="4"/>
        <v>0</v>
      </c>
      <c r="J24" s="511"/>
      <c r="K24" s="518">
        <f t="shared" ref="K24" si="10">G24</f>
        <v>594105.76321991044</v>
      </c>
      <c r="L24" s="519">
        <f t="shared" ref="L24" si="11">IF(K24&lt;&gt;0,+G24-K24,0)</f>
        <v>0</v>
      </c>
      <c r="M24" s="518">
        <f t="shared" ref="M24" si="12">H24</f>
        <v>594105.76321991044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>IU</v>
      </c>
      <c r="C25" s="507">
        <f>IF(D11="","-",+C24+1)</f>
        <v>2022</v>
      </c>
      <c r="D25" s="629">
        <v>4347566.1980120465</v>
      </c>
      <c r="E25" s="630">
        <v>125933.19047619047</v>
      </c>
      <c r="F25" s="629">
        <v>4221633.0075358562</v>
      </c>
      <c r="G25" s="630">
        <v>607711.1233156696</v>
      </c>
      <c r="H25" s="639">
        <v>607711.1233156696</v>
      </c>
      <c r="I25" s="511">
        <f t="shared" si="4"/>
        <v>0</v>
      </c>
      <c r="J25" s="511"/>
      <c r="K25" s="518">
        <f t="shared" ref="K25" si="13">G25</f>
        <v>607711.1233156696</v>
      </c>
      <c r="L25" s="519">
        <f t="shared" ref="L25" si="14">IF(K25&lt;&gt;0,+G25-K25,0)</f>
        <v>0</v>
      </c>
      <c r="M25" s="518">
        <f t="shared" ref="M25" si="15">H25</f>
        <v>607711.1233156696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/>
      </c>
      <c r="C26" s="507">
        <f>IF(D11="","-",+C25+1)</f>
        <v>2023</v>
      </c>
      <c r="D26" s="523">
        <f>IF(F25+SUM(E$17:E25)=D$10,F25,D$10-SUM(E$17:E25))</f>
        <v>4221633.0075358562</v>
      </c>
      <c r="E26" s="522">
        <f t="shared" ref="E26:E72" si="16">IF(+$I$14&lt;F25,$I$14,D26)</f>
        <v>125933.19047619047</v>
      </c>
      <c r="F26" s="523">
        <f t="shared" ref="F26:F72" si="17">+D26-E26</f>
        <v>4095699.8170596659</v>
      </c>
      <c r="G26" s="524">
        <f t="shared" ref="G26:G51" si="18">+I$12*((D26+F26)/2)+E26</f>
        <v>651284.16062052594</v>
      </c>
      <c r="H26" s="491">
        <f t="shared" ref="H26:H51" si="19">+I$13*((D26+F26)/2)+E26</f>
        <v>651284.16062052594</v>
      </c>
      <c r="I26" s="511">
        <f t="shared" si="4"/>
        <v>0</v>
      </c>
      <c r="J26" s="511"/>
      <c r="K26" s="525"/>
      <c r="L26" s="514">
        <f t="shared" ref="L26:L72" si="20">IF(K26&lt;&gt;0,+G26-K26,0)</f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4095699.8170596659</v>
      </c>
      <c r="E27" s="522">
        <f t="shared" si="16"/>
        <v>125933.19047619047</v>
      </c>
      <c r="F27" s="523">
        <f t="shared" si="17"/>
        <v>3969766.6265834756</v>
      </c>
      <c r="G27" s="524">
        <f t="shared" si="18"/>
        <v>635375.42516764218</v>
      </c>
      <c r="H27" s="491">
        <f t="shared" si="19"/>
        <v>635375.42516764218</v>
      </c>
      <c r="I27" s="511">
        <f t="shared" si="4"/>
        <v>0</v>
      </c>
      <c r="J27" s="511"/>
      <c r="K27" s="525"/>
      <c r="L27" s="514">
        <f t="shared" si="20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3969766.6265834756</v>
      </c>
      <c r="E28" s="522">
        <f t="shared" si="16"/>
        <v>125933.19047619047</v>
      </c>
      <c r="F28" s="523">
        <f t="shared" si="17"/>
        <v>3843833.4361072853</v>
      </c>
      <c r="G28" s="524">
        <f t="shared" si="18"/>
        <v>619466.68971475854</v>
      </c>
      <c r="H28" s="491">
        <f t="shared" si="19"/>
        <v>619466.68971475854</v>
      </c>
      <c r="I28" s="511">
        <f t="shared" si="4"/>
        <v>0</v>
      </c>
      <c r="J28" s="511"/>
      <c r="K28" s="525"/>
      <c r="L28" s="514">
        <f t="shared" si="20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3843833.4361072853</v>
      </c>
      <c r="E29" s="522">
        <f t="shared" si="16"/>
        <v>125933.19047619047</v>
      </c>
      <c r="F29" s="523">
        <f t="shared" si="17"/>
        <v>3717900.245631095</v>
      </c>
      <c r="G29" s="524">
        <f t="shared" si="18"/>
        <v>603557.95426187478</v>
      </c>
      <c r="H29" s="491">
        <f t="shared" si="19"/>
        <v>603557.95426187478</v>
      </c>
      <c r="I29" s="511">
        <f t="shared" si="4"/>
        <v>0</v>
      </c>
      <c r="J29" s="511"/>
      <c r="K29" s="525"/>
      <c r="L29" s="514">
        <f t="shared" si="20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3717900.245631095</v>
      </c>
      <c r="E30" s="522">
        <f t="shared" si="16"/>
        <v>125933.19047619047</v>
      </c>
      <c r="F30" s="523">
        <f t="shared" si="17"/>
        <v>3591967.0551549047</v>
      </c>
      <c r="G30" s="524">
        <f t="shared" si="18"/>
        <v>587649.21880899114</v>
      </c>
      <c r="H30" s="491">
        <f t="shared" si="19"/>
        <v>587649.21880899114</v>
      </c>
      <c r="I30" s="511">
        <f t="shared" si="4"/>
        <v>0</v>
      </c>
      <c r="J30" s="511"/>
      <c r="K30" s="525"/>
      <c r="L30" s="514">
        <f t="shared" si="20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3591967.0551549047</v>
      </c>
      <c r="E31" s="522">
        <f t="shared" si="16"/>
        <v>125933.19047619047</v>
      </c>
      <c r="F31" s="523">
        <f t="shared" si="17"/>
        <v>3466033.8646787144</v>
      </c>
      <c r="G31" s="524">
        <f t="shared" si="18"/>
        <v>571740.48335610749</v>
      </c>
      <c r="H31" s="491">
        <f t="shared" si="19"/>
        <v>571740.48335610749</v>
      </c>
      <c r="I31" s="511">
        <f t="shared" si="4"/>
        <v>0</v>
      </c>
      <c r="J31" s="511"/>
      <c r="K31" s="525"/>
      <c r="L31" s="514">
        <f t="shared" si="20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3466033.8646787144</v>
      </c>
      <c r="E32" s="522">
        <f t="shared" si="16"/>
        <v>125933.19047619047</v>
      </c>
      <c r="F32" s="523">
        <f t="shared" si="17"/>
        <v>3340100.6742025241</v>
      </c>
      <c r="G32" s="524">
        <f t="shared" si="18"/>
        <v>555831.74790322385</v>
      </c>
      <c r="H32" s="491">
        <f t="shared" si="19"/>
        <v>555831.74790322385</v>
      </c>
      <c r="I32" s="511">
        <f t="shared" si="4"/>
        <v>0</v>
      </c>
      <c r="J32" s="511"/>
      <c r="K32" s="525"/>
      <c r="L32" s="514">
        <f t="shared" si="20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3340100.6742025241</v>
      </c>
      <c r="E33" s="522">
        <f t="shared" si="16"/>
        <v>125933.19047619047</v>
      </c>
      <c r="F33" s="523">
        <f t="shared" si="17"/>
        <v>3214167.4837263338</v>
      </c>
      <c r="G33" s="524">
        <f t="shared" si="18"/>
        <v>539923.0124503402</v>
      </c>
      <c r="H33" s="491">
        <f t="shared" si="19"/>
        <v>539923.0124503402</v>
      </c>
      <c r="I33" s="511">
        <f t="shared" si="4"/>
        <v>0</v>
      </c>
      <c r="J33" s="511"/>
      <c r="K33" s="525"/>
      <c r="L33" s="514">
        <f t="shared" si="20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3214167.4837263338</v>
      </c>
      <c r="E34" s="522">
        <f t="shared" si="16"/>
        <v>125933.19047619047</v>
      </c>
      <c r="F34" s="523">
        <f t="shared" si="17"/>
        <v>3088234.2932501435</v>
      </c>
      <c r="G34" s="524">
        <f t="shared" si="18"/>
        <v>524014.27699745644</v>
      </c>
      <c r="H34" s="491">
        <f t="shared" si="19"/>
        <v>524014.27699745644</v>
      </c>
      <c r="I34" s="511">
        <f t="shared" si="4"/>
        <v>0</v>
      </c>
      <c r="J34" s="511"/>
      <c r="K34" s="525"/>
      <c r="L34" s="514">
        <f t="shared" si="20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3088234.2932501435</v>
      </c>
      <c r="E35" s="522">
        <f t="shared" si="16"/>
        <v>125933.19047619047</v>
      </c>
      <c r="F35" s="523">
        <f t="shared" si="17"/>
        <v>2962301.1027739532</v>
      </c>
      <c r="G35" s="524">
        <f t="shared" si="18"/>
        <v>508105.5415445728</v>
      </c>
      <c r="H35" s="491">
        <f t="shared" si="19"/>
        <v>508105.5415445728</v>
      </c>
      <c r="I35" s="511">
        <f t="shared" si="4"/>
        <v>0</v>
      </c>
      <c r="J35" s="511"/>
      <c r="K35" s="525"/>
      <c r="L35" s="514">
        <f t="shared" si="20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2962301.1027739532</v>
      </c>
      <c r="E36" s="522">
        <f t="shared" si="16"/>
        <v>125933.19047619047</v>
      </c>
      <c r="F36" s="523">
        <f t="shared" si="17"/>
        <v>2836367.9122977629</v>
      </c>
      <c r="G36" s="524">
        <f t="shared" si="18"/>
        <v>492196.8060916891</v>
      </c>
      <c r="H36" s="491">
        <f t="shared" si="19"/>
        <v>492196.8060916891</v>
      </c>
      <c r="I36" s="511">
        <f t="shared" si="4"/>
        <v>0</v>
      </c>
      <c r="J36" s="511"/>
      <c r="K36" s="525"/>
      <c r="L36" s="514">
        <f t="shared" si="20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2836367.9122977629</v>
      </c>
      <c r="E37" s="522">
        <f t="shared" si="16"/>
        <v>125933.19047619047</v>
      </c>
      <c r="F37" s="523">
        <f t="shared" si="17"/>
        <v>2710434.7218215726</v>
      </c>
      <c r="G37" s="524">
        <f t="shared" si="18"/>
        <v>476288.07063880545</v>
      </c>
      <c r="H37" s="491">
        <f t="shared" si="19"/>
        <v>476288.07063880545</v>
      </c>
      <c r="I37" s="511">
        <f t="shared" si="4"/>
        <v>0</v>
      </c>
      <c r="J37" s="511"/>
      <c r="K37" s="525"/>
      <c r="L37" s="514">
        <f t="shared" si="20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2710434.7218215726</v>
      </c>
      <c r="E38" s="522">
        <f t="shared" si="16"/>
        <v>125933.19047619047</v>
      </c>
      <c r="F38" s="523">
        <f t="shared" si="17"/>
        <v>2584501.5313453823</v>
      </c>
      <c r="G38" s="524">
        <f t="shared" si="18"/>
        <v>460379.33518592175</v>
      </c>
      <c r="H38" s="491">
        <f t="shared" si="19"/>
        <v>460379.33518592175</v>
      </c>
      <c r="I38" s="511">
        <f t="shared" si="4"/>
        <v>0</v>
      </c>
      <c r="J38" s="511"/>
      <c r="K38" s="525"/>
      <c r="L38" s="514">
        <f t="shared" si="20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2584501.5313453823</v>
      </c>
      <c r="E39" s="522">
        <f t="shared" si="16"/>
        <v>125933.19047619047</v>
      </c>
      <c r="F39" s="523">
        <f t="shared" si="17"/>
        <v>2458568.340869192</v>
      </c>
      <c r="G39" s="524">
        <f t="shared" si="18"/>
        <v>444470.59973303811</v>
      </c>
      <c r="H39" s="491">
        <f t="shared" si="19"/>
        <v>444470.59973303811</v>
      </c>
      <c r="I39" s="511">
        <f t="shared" si="4"/>
        <v>0</v>
      </c>
      <c r="J39" s="511"/>
      <c r="K39" s="525"/>
      <c r="L39" s="514">
        <f t="shared" si="20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2458568.340869192</v>
      </c>
      <c r="E40" s="522">
        <f t="shared" si="16"/>
        <v>125933.19047619047</v>
      </c>
      <c r="F40" s="523">
        <f t="shared" si="17"/>
        <v>2332635.1503930017</v>
      </c>
      <c r="G40" s="524">
        <f t="shared" si="18"/>
        <v>428561.8642801544</v>
      </c>
      <c r="H40" s="491">
        <f t="shared" si="19"/>
        <v>428561.8642801544</v>
      </c>
      <c r="I40" s="511">
        <f t="shared" si="4"/>
        <v>0</v>
      </c>
      <c r="J40" s="511"/>
      <c r="K40" s="525"/>
      <c r="L40" s="514">
        <f t="shared" si="20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2332635.1503930017</v>
      </c>
      <c r="E41" s="522">
        <f t="shared" si="16"/>
        <v>125933.19047619047</v>
      </c>
      <c r="F41" s="523">
        <f t="shared" si="17"/>
        <v>2206701.9599168114</v>
      </c>
      <c r="G41" s="524">
        <f t="shared" si="18"/>
        <v>412653.12882727076</v>
      </c>
      <c r="H41" s="491">
        <f t="shared" si="19"/>
        <v>412653.12882727076</v>
      </c>
      <c r="I41" s="511">
        <f t="shared" si="4"/>
        <v>0</v>
      </c>
      <c r="J41" s="511"/>
      <c r="K41" s="525"/>
      <c r="L41" s="514">
        <f t="shared" si="20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2206701.9599168114</v>
      </c>
      <c r="E42" s="522">
        <f t="shared" si="16"/>
        <v>125933.19047619047</v>
      </c>
      <c r="F42" s="523">
        <f t="shared" si="17"/>
        <v>2080768.7694406209</v>
      </c>
      <c r="G42" s="524">
        <f t="shared" si="18"/>
        <v>396744.39337438706</v>
      </c>
      <c r="H42" s="491">
        <f t="shared" si="19"/>
        <v>396744.39337438706</v>
      </c>
      <c r="I42" s="511">
        <f t="shared" si="4"/>
        <v>0</v>
      </c>
      <c r="J42" s="511"/>
      <c r="K42" s="525"/>
      <c r="L42" s="514">
        <f t="shared" si="20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2080768.7694406209</v>
      </c>
      <c r="E43" s="522">
        <f t="shared" si="16"/>
        <v>125933.19047619047</v>
      </c>
      <c r="F43" s="523">
        <f t="shared" si="17"/>
        <v>1954835.5789644304</v>
      </c>
      <c r="G43" s="524">
        <f t="shared" si="18"/>
        <v>380835.6579215033</v>
      </c>
      <c r="H43" s="491">
        <f t="shared" si="19"/>
        <v>380835.6579215033</v>
      </c>
      <c r="I43" s="511">
        <f t="shared" si="4"/>
        <v>0</v>
      </c>
      <c r="J43" s="511"/>
      <c r="K43" s="525"/>
      <c r="L43" s="514">
        <f t="shared" si="20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1954835.5789644304</v>
      </c>
      <c r="E44" s="522">
        <f t="shared" si="16"/>
        <v>125933.19047619047</v>
      </c>
      <c r="F44" s="523">
        <f t="shared" si="17"/>
        <v>1828902.3884882398</v>
      </c>
      <c r="G44" s="524">
        <f t="shared" si="18"/>
        <v>364926.92246861965</v>
      </c>
      <c r="H44" s="491">
        <f t="shared" si="19"/>
        <v>364926.92246861965</v>
      </c>
      <c r="I44" s="511">
        <f t="shared" si="4"/>
        <v>0</v>
      </c>
      <c r="J44" s="511"/>
      <c r="K44" s="525"/>
      <c r="L44" s="514">
        <f t="shared" si="20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1828902.3884882398</v>
      </c>
      <c r="E45" s="522">
        <f t="shared" si="16"/>
        <v>125933.19047619047</v>
      </c>
      <c r="F45" s="523">
        <f t="shared" si="17"/>
        <v>1702969.1980120493</v>
      </c>
      <c r="G45" s="524">
        <f t="shared" si="18"/>
        <v>349018.18701573589</v>
      </c>
      <c r="H45" s="491">
        <f t="shared" si="19"/>
        <v>349018.18701573589</v>
      </c>
      <c r="I45" s="511">
        <f t="shared" si="4"/>
        <v>0</v>
      </c>
      <c r="J45" s="511"/>
      <c r="K45" s="525"/>
      <c r="L45" s="514">
        <f t="shared" si="20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1702969.1980120493</v>
      </c>
      <c r="E46" s="522">
        <f t="shared" si="16"/>
        <v>125933.19047619047</v>
      </c>
      <c r="F46" s="523">
        <f t="shared" si="17"/>
        <v>1577036.0075358588</v>
      </c>
      <c r="G46" s="524">
        <f t="shared" si="18"/>
        <v>333109.45156285225</v>
      </c>
      <c r="H46" s="491">
        <f t="shared" si="19"/>
        <v>333109.45156285225</v>
      </c>
      <c r="I46" s="511">
        <f t="shared" si="4"/>
        <v>0</v>
      </c>
      <c r="J46" s="511"/>
      <c r="K46" s="525"/>
      <c r="L46" s="514">
        <f t="shared" si="20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1577036.0075358588</v>
      </c>
      <c r="E47" s="522">
        <f t="shared" si="16"/>
        <v>125933.19047619047</v>
      </c>
      <c r="F47" s="523">
        <f t="shared" si="17"/>
        <v>1451102.8170596682</v>
      </c>
      <c r="G47" s="524">
        <f t="shared" si="18"/>
        <v>317200.71610996849</v>
      </c>
      <c r="H47" s="491">
        <f t="shared" si="19"/>
        <v>317200.71610996849</v>
      </c>
      <c r="I47" s="511">
        <f t="shared" si="4"/>
        <v>0</v>
      </c>
      <c r="J47" s="511"/>
      <c r="K47" s="525"/>
      <c r="L47" s="514">
        <f t="shared" si="20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1451102.8170596682</v>
      </c>
      <c r="E48" s="522">
        <f t="shared" si="16"/>
        <v>125933.19047619047</v>
      </c>
      <c r="F48" s="523">
        <f t="shared" si="17"/>
        <v>1325169.6265834777</v>
      </c>
      <c r="G48" s="524">
        <f t="shared" si="18"/>
        <v>301291.98065708485</v>
      </c>
      <c r="H48" s="491">
        <f t="shared" si="19"/>
        <v>301291.98065708485</v>
      </c>
      <c r="I48" s="511">
        <f t="shared" si="4"/>
        <v>0</v>
      </c>
      <c r="J48" s="511"/>
      <c r="K48" s="525"/>
      <c r="L48" s="514">
        <f t="shared" si="20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1325169.6265834777</v>
      </c>
      <c r="E49" s="522">
        <f t="shared" si="16"/>
        <v>125933.19047619047</v>
      </c>
      <c r="F49" s="523">
        <f t="shared" si="17"/>
        <v>1199236.4361072872</v>
      </c>
      <c r="G49" s="524">
        <f t="shared" si="18"/>
        <v>285383.24520420108</v>
      </c>
      <c r="H49" s="491">
        <f t="shared" si="19"/>
        <v>285383.24520420108</v>
      </c>
      <c r="I49" s="511">
        <f t="shared" si="4"/>
        <v>0</v>
      </c>
      <c r="J49" s="511"/>
      <c r="K49" s="525"/>
      <c r="L49" s="514">
        <f t="shared" si="20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1199236.4361072872</v>
      </c>
      <c r="E50" s="522">
        <f t="shared" si="16"/>
        <v>125933.19047619047</v>
      </c>
      <c r="F50" s="523">
        <f t="shared" si="17"/>
        <v>1073303.2456310967</v>
      </c>
      <c r="G50" s="524">
        <f t="shared" si="18"/>
        <v>269474.50975131744</v>
      </c>
      <c r="H50" s="491">
        <f t="shared" si="19"/>
        <v>269474.50975131744</v>
      </c>
      <c r="I50" s="511">
        <f t="shared" si="4"/>
        <v>0</v>
      </c>
      <c r="J50" s="511"/>
      <c r="K50" s="525"/>
      <c r="L50" s="514">
        <f t="shared" si="20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1073303.2456310967</v>
      </c>
      <c r="E51" s="522">
        <f t="shared" si="16"/>
        <v>125933.19047619047</v>
      </c>
      <c r="F51" s="523">
        <f t="shared" si="17"/>
        <v>947370.05515490612</v>
      </c>
      <c r="G51" s="524">
        <f t="shared" si="18"/>
        <v>253565.77429843371</v>
      </c>
      <c r="H51" s="491">
        <f t="shared" si="19"/>
        <v>253565.77429843371</v>
      </c>
      <c r="I51" s="511">
        <f t="shared" si="4"/>
        <v>0</v>
      </c>
      <c r="J51" s="511"/>
      <c r="K51" s="525"/>
      <c r="L51" s="514">
        <f t="shared" si="20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947370.05515490612</v>
      </c>
      <c r="E52" s="522">
        <f t="shared" si="16"/>
        <v>125933.19047619047</v>
      </c>
      <c r="F52" s="523">
        <f t="shared" si="17"/>
        <v>821436.86467871559</v>
      </c>
      <c r="G52" s="524">
        <f t="shared" ref="G52:G72" si="21">+I$12*((D52+F52)/2)+E52</f>
        <v>237657.03884554998</v>
      </c>
      <c r="H52" s="491">
        <f t="shared" ref="H52:H72" si="22">+I$13*((D52+F52)/2)+E52</f>
        <v>237657.03884554998</v>
      </c>
      <c r="I52" s="511">
        <f t="shared" si="4"/>
        <v>0</v>
      </c>
      <c r="J52" s="511"/>
      <c r="K52" s="525"/>
      <c r="L52" s="514">
        <f t="shared" si="20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821436.86467871559</v>
      </c>
      <c r="E53" s="522">
        <f t="shared" si="16"/>
        <v>125933.19047619047</v>
      </c>
      <c r="F53" s="523">
        <f t="shared" si="17"/>
        <v>695503.67420252506</v>
      </c>
      <c r="G53" s="524">
        <f t="shared" si="21"/>
        <v>221748.30339266628</v>
      </c>
      <c r="H53" s="491">
        <f t="shared" si="22"/>
        <v>221748.30339266628</v>
      </c>
      <c r="I53" s="511">
        <f t="shared" si="4"/>
        <v>0</v>
      </c>
      <c r="J53" s="511"/>
      <c r="K53" s="525"/>
      <c r="L53" s="514">
        <f t="shared" si="20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695503.67420252506</v>
      </c>
      <c r="E54" s="522">
        <f t="shared" si="16"/>
        <v>125933.19047619047</v>
      </c>
      <c r="F54" s="523">
        <f t="shared" si="17"/>
        <v>569570.48372633453</v>
      </c>
      <c r="G54" s="524">
        <f t="shared" si="21"/>
        <v>205839.56793978257</v>
      </c>
      <c r="H54" s="491">
        <f t="shared" si="22"/>
        <v>205839.56793978257</v>
      </c>
      <c r="I54" s="511">
        <f t="shared" si="4"/>
        <v>0</v>
      </c>
      <c r="J54" s="511"/>
      <c r="K54" s="525"/>
      <c r="L54" s="514">
        <f t="shared" si="20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569570.48372633453</v>
      </c>
      <c r="E55" s="522">
        <f t="shared" si="16"/>
        <v>125933.19047619047</v>
      </c>
      <c r="F55" s="523">
        <f t="shared" si="17"/>
        <v>443637.29325014405</v>
      </c>
      <c r="G55" s="524">
        <f t="shared" si="21"/>
        <v>189930.83248689887</v>
      </c>
      <c r="H55" s="491">
        <f t="shared" si="22"/>
        <v>189930.83248689887</v>
      </c>
      <c r="I55" s="511">
        <f t="shared" si="4"/>
        <v>0</v>
      </c>
      <c r="J55" s="511"/>
      <c r="K55" s="525"/>
      <c r="L55" s="514">
        <f t="shared" si="20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443637.29325014405</v>
      </c>
      <c r="E56" s="522">
        <f t="shared" si="16"/>
        <v>125933.19047619047</v>
      </c>
      <c r="F56" s="523">
        <f t="shared" si="17"/>
        <v>317704.10277395358</v>
      </c>
      <c r="G56" s="524">
        <f t="shared" si="21"/>
        <v>174022.0970340152</v>
      </c>
      <c r="H56" s="491">
        <f t="shared" si="22"/>
        <v>174022.0970340152</v>
      </c>
      <c r="I56" s="511">
        <f t="shared" si="4"/>
        <v>0</v>
      </c>
      <c r="J56" s="511"/>
      <c r="K56" s="525"/>
      <c r="L56" s="514">
        <f t="shared" si="20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317704.10277395358</v>
      </c>
      <c r="E57" s="522">
        <f t="shared" si="16"/>
        <v>125933.19047619047</v>
      </c>
      <c r="F57" s="523">
        <f t="shared" si="17"/>
        <v>191770.91229776311</v>
      </c>
      <c r="G57" s="524">
        <f t="shared" si="21"/>
        <v>158113.3615811315</v>
      </c>
      <c r="H57" s="491">
        <f t="shared" si="22"/>
        <v>158113.3615811315</v>
      </c>
      <c r="I57" s="511">
        <f t="shared" si="4"/>
        <v>0</v>
      </c>
      <c r="J57" s="511"/>
      <c r="K57" s="525"/>
      <c r="L57" s="514">
        <f t="shared" si="20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191770.91229776311</v>
      </c>
      <c r="E58" s="522">
        <f t="shared" si="16"/>
        <v>125933.19047619047</v>
      </c>
      <c r="F58" s="523">
        <f t="shared" si="17"/>
        <v>65837.721821572632</v>
      </c>
      <c r="G58" s="524">
        <f t="shared" si="21"/>
        <v>142204.62612824779</v>
      </c>
      <c r="H58" s="491">
        <f t="shared" si="22"/>
        <v>142204.62612824779</v>
      </c>
      <c r="I58" s="511">
        <f t="shared" si="4"/>
        <v>0</v>
      </c>
      <c r="J58" s="511"/>
      <c r="K58" s="525"/>
      <c r="L58" s="514">
        <f t="shared" si="20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65837.721821572632</v>
      </c>
      <c r="E59" s="522">
        <f t="shared" si="16"/>
        <v>65837.721821572632</v>
      </c>
      <c r="F59" s="523">
        <f t="shared" si="17"/>
        <v>0</v>
      </c>
      <c r="G59" s="524">
        <f t="shared" si="21"/>
        <v>69996.255784380366</v>
      </c>
      <c r="H59" s="491">
        <f t="shared" si="22"/>
        <v>69996.255784380366</v>
      </c>
      <c r="I59" s="511">
        <f t="shared" si="4"/>
        <v>0</v>
      </c>
      <c r="J59" s="511"/>
      <c r="K59" s="525"/>
      <c r="L59" s="514">
        <f t="shared" si="20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6"/>
        <v>0</v>
      </c>
      <c r="F60" s="523">
        <f t="shared" si="17"/>
        <v>0</v>
      </c>
      <c r="G60" s="524">
        <f t="shared" si="21"/>
        <v>0</v>
      </c>
      <c r="H60" s="491">
        <f t="shared" si="22"/>
        <v>0</v>
      </c>
      <c r="I60" s="511">
        <f t="shared" si="4"/>
        <v>0</v>
      </c>
      <c r="J60" s="511"/>
      <c r="K60" s="525"/>
      <c r="L60" s="514">
        <f t="shared" si="20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6"/>
        <v>0</v>
      </c>
      <c r="F61" s="523">
        <f t="shared" si="17"/>
        <v>0</v>
      </c>
      <c r="G61" s="524">
        <f t="shared" si="21"/>
        <v>0</v>
      </c>
      <c r="H61" s="491">
        <f t="shared" si="22"/>
        <v>0</v>
      </c>
      <c r="I61" s="511">
        <f t="shared" si="4"/>
        <v>0</v>
      </c>
      <c r="J61" s="511"/>
      <c r="K61" s="525"/>
      <c r="L61" s="514">
        <f t="shared" si="20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6"/>
        <v>0</v>
      </c>
      <c r="F62" s="523">
        <f t="shared" si="17"/>
        <v>0</v>
      </c>
      <c r="G62" s="524">
        <f t="shared" si="21"/>
        <v>0</v>
      </c>
      <c r="H62" s="491">
        <f t="shared" si="22"/>
        <v>0</v>
      </c>
      <c r="I62" s="511">
        <f t="shared" si="4"/>
        <v>0</v>
      </c>
      <c r="J62" s="511"/>
      <c r="K62" s="525"/>
      <c r="L62" s="514">
        <f t="shared" si="20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6"/>
        <v>0</v>
      </c>
      <c r="F63" s="523">
        <f t="shared" si="17"/>
        <v>0</v>
      </c>
      <c r="G63" s="524">
        <f t="shared" si="21"/>
        <v>0</v>
      </c>
      <c r="H63" s="491">
        <f t="shared" si="22"/>
        <v>0</v>
      </c>
      <c r="I63" s="511">
        <f t="shared" si="4"/>
        <v>0</v>
      </c>
      <c r="J63" s="511"/>
      <c r="K63" s="525"/>
      <c r="L63" s="514">
        <f t="shared" si="20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6"/>
        <v>0</v>
      </c>
      <c r="F64" s="523">
        <f t="shared" si="17"/>
        <v>0</v>
      </c>
      <c r="G64" s="524">
        <f t="shared" si="21"/>
        <v>0</v>
      </c>
      <c r="H64" s="491">
        <f t="shared" si="22"/>
        <v>0</v>
      </c>
      <c r="I64" s="511">
        <f t="shared" si="4"/>
        <v>0</v>
      </c>
      <c r="J64" s="511"/>
      <c r="K64" s="525"/>
      <c r="L64" s="514">
        <f t="shared" si="20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6"/>
        <v>0</v>
      </c>
      <c r="F65" s="523">
        <f t="shared" si="17"/>
        <v>0</v>
      </c>
      <c r="G65" s="524">
        <f t="shared" si="21"/>
        <v>0</v>
      </c>
      <c r="H65" s="491">
        <f t="shared" si="22"/>
        <v>0</v>
      </c>
      <c r="I65" s="511">
        <f t="shared" si="4"/>
        <v>0</v>
      </c>
      <c r="J65" s="511"/>
      <c r="K65" s="525"/>
      <c r="L65" s="514">
        <f t="shared" si="20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6"/>
        <v>0</v>
      </c>
      <c r="F66" s="523">
        <f t="shared" si="17"/>
        <v>0</v>
      </c>
      <c r="G66" s="524">
        <f t="shared" si="21"/>
        <v>0</v>
      </c>
      <c r="H66" s="491">
        <f t="shared" si="22"/>
        <v>0</v>
      </c>
      <c r="I66" s="511">
        <f t="shared" si="4"/>
        <v>0</v>
      </c>
      <c r="J66" s="511"/>
      <c r="K66" s="525"/>
      <c r="L66" s="514">
        <f t="shared" si="20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6"/>
        <v>0</v>
      </c>
      <c r="F67" s="523">
        <f t="shared" si="17"/>
        <v>0</v>
      </c>
      <c r="G67" s="524">
        <f t="shared" si="21"/>
        <v>0</v>
      </c>
      <c r="H67" s="491">
        <f t="shared" si="22"/>
        <v>0</v>
      </c>
      <c r="I67" s="511">
        <f t="shared" si="4"/>
        <v>0</v>
      </c>
      <c r="J67" s="511"/>
      <c r="K67" s="525"/>
      <c r="L67" s="514">
        <f t="shared" si="20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6"/>
        <v>0</v>
      </c>
      <c r="F68" s="523">
        <f t="shared" si="17"/>
        <v>0</v>
      </c>
      <c r="G68" s="524">
        <f t="shared" si="21"/>
        <v>0</v>
      </c>
      <c r="H68" s="491">
        <f t="shared" si="22"/>
        <v>0</v>
      </c>
      <c r="I68" s="511">
        <f t="shared" si="4"/>
        <v>0</v>
      </c>
      <c r="J68" s="511"/>
      <c r="K68" s="525"/>
      <c r="L68" s="514">
        <f t="shared" si="20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6"/>
        <v>0</v>
      </c>
      <c r="F69" s="523">
        <f t="shared" si="17"/>
        <v>0</v>
      </c>
      <c r="G69" s="524">
        <f t="shared" si="21"/>
        <v>0</v>
      </c>
      <c r="H69" s="491">
        <f t="shared" si="22"/>
        <v>0</v>
      </c>
      <c r="I69" s="511">
        <f t="shared" si="4"/>
        <v>0</v>
      </c>
      <c r="J69" s="511"/>
      <c r="K69" s="525"/>
      <c r="L69" s="514">
        <f t="shared" si="20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6"/>
        <v>0</v>
      </c>
      <c r="F70" s="523">
        <f t="shared" si="17"/>
        <v>0</v>
      </c>
      <c r="G70" s="524">
        <f t="shared" si="21"/>
        <v>0</v>
      </c>
      <c r="H70" s="491">
        <f t="shared" si="22"/>
        <v>0</v>
      </c>
      <c r="I70" s="511">
        <f t="shared" si="4"/>
        <v>0</v>
      </c>
      <c r="J70" s="511"/>
      <c r="K70" s="525"/>
      <c r="L70" s="514">
        <f t="shared" si="20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6"/>
        <v>0</v>
      </c>
      <c r="F71" s="523">
        <f t="shared" si="17"/>
        <v>0</v>
      </c>
      <c r="G71" s="524">
        <f t="shared" si="21"/>
        <v>0</v>
      </c>
      <c r="H71" s="491">
        <f t="shared" si="22"/>
        <v>0</v>
      </c>
      <c r="I71" s="511">
        <f t="shared" si="4"/>
        <v>0</v>
      </c>
      <c r="J71" s="511"/>
      <c r="K71" s="525"/>
      <c r="L71" s="514">
        <f t="shared" si="20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6"/>
        <v>0</v>
      </c>
      <c r="F72" s="523">
        <f t="shared" si="17"/>
        <v>0</v>
      </c>
      <c r="G72" s="524">
        <f t="shared" si="21"/>
        <v>0</v>
      </c>
      <c r="H72" s="491">
        <f t="shared" si="22"/>
        <v>0</v>
      </c>
      <c r="I72" s="511">
        <f t="shared" si="4"/>
        <v>0</v>
      </c>
      <c r="J72" s="511"/>
      <c r="K72" s="532"/>
      <c r="L72" s="533">
        <f t="shared" si="20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5289193.9999999991</v>
      </c>
      <c r="F73" s="375"/>
      <c r="G73" s="375">
        <f>SUM(G17:G72)</f>
        <v>19279390.59027794</v>
      </c>
      <c r="H73" s="375">
        <f>SUM(H17:H72)</f>
        <v>19279390.59027794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42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594105.76321991044</v>
      </c>
      <c r="N87" s="546">
        <f>IF(J92&lt;D11,0,VLOOKUP(J92,C17:O72,11))</f>
        <v>594105.76321991044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629827.59752181685</v>
      </c>
      <c r="N88" s="550">
        <f>IF(J92&lt;D11,0,VLOOKUP(J92,C99:P154,7))</f>
        <v>629827.59752181685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Northwest Henderson to Poynter 69 kV Rebuild 3.2 miles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35721.834301906405</v>
      </c>
      <c r="N89" s="555">
        <f>+N88-N87</f>
        <v>35721.834301906405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TP2004031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5289194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129004.73170731707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62966.595238095237</v>
      </c>
      <c r="F99" s="631">
        <v>5226227.4047619049</v>
      </c>
      <c r="G99" s="632">
        <v>2613113.7023809524</v>
      </c>
      <c r="H99" s="633">
        <v>418150</v>
      </c>
      <c r="I99" s="634">
        <v>418150</v>
      </c>
      <c r="J99" s="514">
        <f>+I99-H99</f>
        <v>0</v>
      </c>
      <c r="K99" s="514"/>
      <c r="L99" s="518">
        <f t="shared" ref="L99:L105" si="23">H99</f>
        <v>418150</v>
      </c>
      <c r="M99" s="519">
        <f t="shared" ref="M99:M105" si="24">IF(L99&lt;&gt;0,+H99-L99,0)</f>
        <v>0</v>
      </c>
      <c r="N99" s="518">
        <f t="shared" ref="N99:N105" si="25">I99</f>
        <v>418150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/>
      </c>
      <c r="C100" s="507">
        <f>IF(D93="","-",+C99+1)</f>
        <v>2015</v>
      </c>
      <c r="D100" s="629">
        <v>5226227.4047619049</v>
      </c>
      <c r="E100" s="630">
        <v>125933.19047619047</v>
      </c>
      <c r="F100" s="631">
        <v>5100294.2142857146</v>
      </c>
      <c r="G100" s="631">
        <v>5163260.8095238097</v>
      </c>
      <c r="H100" s="633">
        <v>806290.27352306223</v>
      </c>
      <c r="I100" s="634">
        <v>806290.27352306223</v>
      </c>
      <c r="J100" s="514">
        <f>+I100-H100</f>
        <v>0</v>
      </c>
      <c r="K100" s="514"/>
      <c r="L100" s="518">
        <f t="shared" si="23"/>
        <v>806290.27352306223</v>
      </c>
      <c r="M100" s="519">
        <f t="shared" si="24"/>
        <v>0</v>
      </c>
      <c r="N100" s="518">
        <f t="shared" si="25"/>
        <v>806290.27352306223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6">IF(D101=F100,"","IU")</f>
        <v/>
      </c>
      <c r="C101" s="507">
        <f>IF(D93="","-",+C100+1)</f>
        <v>2016</v>
      </c>
      <c r="D101" s="629">
        <v>5100294.2142857146</v>
      </c>
      <c r="E101" s="630">
        <v>123004.51162790698</v>
      </c>
      <c r="F101" s="631">
        <v>4977289.7026578076</v>
      </c>
      <c r="G101" s="631">
        <v>5038791.9584717611</v>
      </c>
      <c r="H101" s="633">
        <v>762679.09174338926</v>
      </c>
      <c r="I101" s="634">
        <v>762679.09174338926</v>
      </c>
      <c r="J101" s="514">
        <f t="shared" ref="J101:J154" si="27">+I101-H101</f>
        <v>0</v>
      </c>
      <c r="K101" s="514"/>
      <c r="L101" s="518">
        <f t="shared" si="23"/>
        <v>762679.09174338926</v>
      </c>
      <c r="M101" s="519">
        <f t="shared" si="24"/>
        <v>0</v>
      </c>
      <c r="N101" s="518">
        <f t="shared" si="25"/>
        <v>762679.09174338926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6"/>
        <v/>
      </c>
      <c r="C102" s="507">
        <f>IF(D93="","-",+C101+1)</f>
        <v>2017</v>
      </c>
      <c r="D102" s="629">
        <v>4977289.7026578076</v>
      </c>
      <c r="E102" s="630">
        <v>125933.19047619047</v>
      </c>
      <c r="F102" s="631">
        <v>4851356.5121816173</v>
      </c>
      <c r="G102" s="631">
        <v>4914323.1074197125</v>
      </c>
      <c r="H102" s="633">
        <v>722883.18186453939</v>
      </c>
      <c r="I102" s="634">
        <v>722883.18186453939</v>
      </c>
      <c r="J102" s="514">
        <f t="shared" si="27"/>
        <v>0</v>
      </c>
      <c r="K102" s="514"/>
      <c r="L102" s="518">
        <f t="shared" si="23"/>
        <v>722883.18186453939</v>
      </c>
      <c r="M102" s="519">
        <f t="shared" si="24"/>
        <v>0</v>
      </c>
      <c r="N102" s="518">
        <f t="shared" si="25"/>
        <v>722883.18186453939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26"/>
        <v/>
      </c>
      <c r="C103" s="507">
        <f>IF(D93="","-",+C102+1)</f>
        <v>2018</v>
      </c>
      <c r="D103" s="629">
        <v>4851356.5121816173</v>
      </c>
      <c r="E103" s="630">
        <v>125933.19047619047</v>
      </c>
      <c r="F103" s="631">
        <v>4725423.321705427</v>
      </c>
      <c r="G103" s="631">
        <v>4788389.9169435222</v>
      </c>
      <c r="H103" s="633">
        <v>631609.12439866643</v>
      </c>
      <c r="I103" s="634">
        <v>631609.12439866643</v>
      </c>
      <c r="J103" s="514">
        <f t="shared" si="27"/>
        <v>0</v>
      </c>
      <c r="K103" s="514"/>
      <c r="L103" s="518">
        <f t="shared" si="23"/>
        <v>631609.12439866643</v>
      </c>
      <c r="M103" s="519">
        <f t="shared" si="24"/>
        <v>0</v>
      </c>
      <c r="N103" s="518">
        <f t="shared" si="25"/>
        <v>631609.12439866643</v>
      </c>
      <c r="O103" s="514">
        <f t="shared" ref="O103:O130" si="28">IF(N103&lt;&gt;0,+I103-N103,0)</f>
        <v>0</v>
      </c>
      <c r="P103" s="514">
        <f t="shared" ref="P103:P130" si="29">+O103-M103</f>
        <v>0</v>
      </c>
    </row>
    <row r="104" spans="1:16" ht="12.5">
      <c r="B104" s="195" t="str">
        <f t="shared" si="26"/>
        <v/>
      </c>
      <c r="C104" s="507">
        <f>IF(D93="","-",+C103+1)</f>
        <v>2019</v>
      </c>
      <c r="D104" s="629">
        <v>4725423.321705427</v>
      </c>
      <c r="E104" s="630">
        <v>123004.51162790698</v>
      </c>
      <c r="F104" s="631">
        <v>4602418.8100775201</v>
      </c>
      <c r="G104" s="631">
        <v>4663921.0658914736</v>
      </c>
      <c r="H104" s="633">
        <v>622233.17154996516</v>
      </c>
      <c r="I104" s="634">
        <v>622233.17154996516</v>
      </c>
      <c r="J104" s="514">
        <f t="shared" si="27"/>
        <v>0</v>
      </c>
      <c r="K104" s="514"/>
      <c r="L104" s="518">
        <f t="shared" si="23"/>
        <v>622233.17154996516</v>
      </c>
      <c r="M104" s="519">
        <f t="shared" si="24"/>
        <v>0</v>
      </c>
      <c r="N104" s="518">
        <f t="shared" si="25"/>
        <v>622233.17154996516</v>
      </c>
      <c r="O104" s="514">
        <f t="shared" si="28"/>
        <v>0</v>
      </c>
      <c r="P104" s="514">
        <f t="shared" si="29"/>
        <v>0</v>
      </c>
    </row>
    <row r="105" spans="1:16" ht="12.5">
      <c r="B105" s="195" t="str">
        <f t="shared" si="26"/>
        <v/>
      </c>
      <c r="C105" s="507">
        <f>IF(D93="","-",+C104+1)</f>
        <v>2020</v>
      </c>
      <c r="D105" s="629">
        <v>4602418.8100775201</v>
      </c>
      <c r="E105" s="630">
        <v>125933.19047619047</v>
      </c>
      <c r="F105" s="631">
        <v>4476485.6196013298</v>
      </c>
      <c r="G105" s="631">
        <v>4539452.2148394249</v>
      </c>
      <c r="H105" s="633">
        <v>614259.46268042875</v>
      </c>
      <c r="I105" s="634">
        <v>614259.46268042875</v>
      </c>
      <c r="J105" s="514">
        <f t="shared" si="27"/>
        <v>0</v>
      </c>
      <c r="K105" s="514"/>
      <c r="L105" s="518">
        <f t="shared" si="23"/>
        <v>614259.46268042875</v>
      </c>
      <c r="M105" s="519">
        <f t="shared" si="24"/>
        <v>0</v>
      </c>
      <c r="N105" s="518">
        <f t="shared" si="25"/>
        <v>614259.46268042875</v>
      </c>
      <c r="O105" s="514">
        <f t="shared" si="28"/>
        <v>0</v>
      </c>
      <c r="P105" s="514">
        <f t="shared" si="29"/>
        <v>0</v>
      </c>
    </row>
    <row r="106" spans="1:16" ht="12.5">
      <c r="B106" s="195" t="str">
        <f t="shared" si="26"/>
        <v/>
      </c>
      <c r="C106" s="507">
        <f>IF(D93="","-",+C105+1)</f>
        <v>2021</v>
      </c>
      <c r="D106" s="374">
        <f>IF(F105+SUM(E$99:E105)=D$92,F105,D$92-SUM(E$99:E105))</f>
        <v>4476485.6196013298</v>
      </c>
      <c r="E106" s="522">
        <f t="shared" ref="E106:E154" si="30">IF(+$J$96&lt;F105,$J$96,D106)</f>
        <v>129004.73170731707</v>
      </c>
      <c r="F106" s="523">
        <f t="shared" ref="F106:F154" si="31">+D106-E106</f>
        <v>4347480.887894013</v>
      </c>
      <c r="G106" s="523">
        <f t="shared" ref="G106:G154" si="32">+(F106+D106)/2</f>
        <v>4411983.2537476718</v>
      </c>
      <c r="H106" s="526">
        <f t="shared" ref="H106:H154" si="33">+J$94*G106+E106</f>
        <v>629827.59752181685</v>
      </c>
      <c r="I106" s="577">
        <f t="shared" ref="I106:I154" si="34">+J$95*G106+E106</f>
        <v>629827.59752181685</v>
      </c>
      <c r="J106" s="514">
        <f t="shared" si="27"/>
        <v>0</v>
      </c>
      <c r="K106" s="514"/>
      <c r="L106" s="525"/>
      <c r="M106" s="514">
        <f t="shared" ref="M106:M130" si="35">IF(L106&lt;&gt;0,+H106-L106,0)</f>
        <v>0</v>
      </c>
      <c r="N106" s="525"/>
      <c r="O106" s="514">
        <f t="shared" si="28"/>
        <v>0</v>
      </c>
      <c r="P106" s="514">
        <f t="shared" si="29"/>
        <v>0</v>
      </c>
    </row>
    <row r="107" spans="1:16" ht="12.5">
      <c r="B107" s="195" t="str">
        <f t="shared" si="26"/>
        <v/>
      </c>
      <c r="C107" s="507">
        <f>IF(D93="","-",+C106+1)</f>
        <v>2022</v>
      </c>
      <c r="D107" s="374">
        <f>IF(F106+SUM(E$99:E106)=D$92,F106,D$92-SUM(E$99:E106))</f>
        <v>4347480.887894013</v>
      </c>
      <c r="E107" s="522">
        <f t="shared" si="30"/>
        <v>129004.73170731707</v>
      </c>
      <c r="F107" s="523">
        <f t="shared" si="31"/>
        <v>4218476.1561866961</v>
      </c>
      <c r="G107" s="523">
        <f t="shared" si="32"/>
        <v>4282978.5220403541</v>
      </c>
      <c r="H107" s="526">
        <f t="shared" si="33"/>
        <v>615183.72520375915</v>
      </c>
      <c r="I107" s="577">
        <f t="shared" si="34"/>
        <v>615183.72520375915</v>
      </c>
      <c r="J107" s="514">
        <f t="shared" si="27"/>
        <v>0</v>
      </c>
      <c r="K107" s="514"/>
      <c r="L107" s="525"/>
      <c r="M107" s="514">
        <f t="shared" si="35"/>
        <v>0</v>
      </c>
      <c r="N107" s="525"/>
      <c r="O107" s="514">
        <f t="shared" si="28"/>
        <v>0</v>
      </c>
      <c r="P107" s="514">
        <f t="shared" si="29"/>
        <v>0</v>
      </c>
    </row>
    <row r="108" spans="1:16" ht="12.5">
      <c r="B108" s="195" t="str">
        <f t="shared" si="26"/>
        <v/>
      </c>
      <c r="C108" s="507">
        <f>IF(D93="","-",+C107+1)</f>
        <v>2023</v>
      </c>
      <c r="D108" s="374">
        <f>IF(F107+SUM(E$99:E107)=D$92,F107,D$92-SUM(E$99:E107))</f>
        <v>4218476.1561866961</v>
      </c>
      <c r="E108" s="522">
        <f t="shared" si="30"/>
        <v>129004.73170731707</v>
      </c>
      <c r="F108" s="523">
        <f t="shared" si="31"/>
        <v>4089471.4244793789</v>
      </c>
      <c r="G108" s="523">
        <f t="shared" si="32"/>
        <v>4153973.7903330373</v>
      </c>
      <c r="H108" s="526">
        <f t="shared" si="33"/>
        <v>600539.85288570169</v>
      </c>
      <c r="I108" s="577">
        <f t="shared" si="34"/>
        <v>600539.85288570169</v>
      </c>
      <c r="J108" s="514">
        <f t="shared" si="27"/>
        <v>0</v>
      </c>
      <c r="K108" s="514"/>
      <c r="L108" s="525"/>
      <c r="M108" s="514">
        <f t="shared" si="35"/>
        <v>0</v>
      </c>
      <c r="N108" s="525"/>
      <c r="O108" s="514">
        <f t="shared" si="28"/>
        <v>0</v>
      </c>
      <c r="P108" s="514">
        <f t="shared" si="29"/>
        <v>0</v>
      </c>
    </row>
    <row r="109" spans="1:16" ht="12.5">
      <c r="B109" s="195" t="str">
        <f t="shared" si="26"/>
        <v/>
      </c>
      <c r="C109" s="507">
        <f>IF(D93="","-",+C108+1)</f>
        <v>2024</v>
      </c>
      <c r="D109" s="374">
        <f>IF(F108+SUM(E$99:E108)=D$92,F108,D$92-SUM(E$99:E108))</f>
        <v>4089471.4244793789</v>
      </c>
      <c r="E109" s="522">
        <f t="shared" si="30"/>
        <v>129004.73170731707</v>
      </c>
      <c r="F109" s="523">
        <f t="shared" si="31"/>
        <v>3960466.6927720616</v>
      </c>
      <c r="G109" s="523">
        <f t="shared" si="32"/>
        <v>4024969.0586257204</v>
      </c>
      <c r="H109" s="526">
        <f t="shared" si="33"/>
        <v>585895.98056764412</v>
      </c>
      <c r="I109" s="577">
        <f t="shared" si="34"/>
        <v>585895.98056764412</v>
      </c>
      <c r="J109" s="514">
        <f t="shared" si="27"/>
        <v>0</v>
      </c>
      <c r="K109" s="514"/>
      <c r="L109" s="525"/>
      <c r="M109" s="514">
        <f t="shared" si="35"/>
        <v>0</v>
      </c>
      <c r="N109" s="525"/>
      <c r="O109" s="514">
        <f t="shared" si="28"/>
        <v>0</v>
      </c>
      <c r="P109" s="514">
        <f t="shared" si="29"/>
        <v>0</v>
      </c>
    </row>
    <row r="110" spans="1:16" ht="12.5">
      <c r="B110" s="195" t="str">
        <f t="shared" si="26"/>
        <v/>
      </c>
      <c r="C110" s="507">
        <f>IF(D93="","-",+C109+1)</f>
        <v>2025</v>
      </c>
      <c r="D110" s="374">
        <f>IF(F109+SUM(E$99:E109)=D$92,F109,D$92-SUM(E$99:E109))</f>
        <v>3960466.6927720616</v>
      </c>
      <c r="E110" s="522">
        <f t="shared" si="30"/>
        <v>129004.73170731707</v>
      </c>
      <c r="F110" s="523">
        <f t="shared" si="31"/>
        <v>3831461.9610647443</v>
      </c>
      <c r="G110" s="523">
        <f t="shared" si="32"/>
        <v>3895964.3269184027</v>
      </c>
      <c r="H110" s="526">
        <f t="shared" si="33"/>
        <v>571252.10824958642</v>
      </c>
      <c r="I110" s="577">
        <f t="shared" si="34"/>
        <v>571252.10824958642</v>
      </c>
      <c r="J110" s="514">
        <f t="shared" si="27"/>
        <v>0</v>
      </c>
      <c r="K110" s="514"/>
      <c r="L110" s="525"/>
      <c r="M110" s="514">
        <f t="shared" si="35"/>
        <v>0</v>
      </c>
      <c r="N110" s="525"/>
      <c r="O110" s="514">
        <f t="shared" si="28"/>
        <v>0</v>
      </c>
      <c r="P110" s="514">
        <f t="shared" si="29"/>
        <v>0</v>
      </c>
    </row>
    <row r="111" spans="1:16" ht="12.5">
      <c r="B111" s="195" t="str">
        <f t="shared" si="26"/>
        <v/>
      </c>
      <c r="C111" s="507">
        <f>IF(D93="","-",+C110+1)</f>
        <v>2026</v>
      </c>
      <c r="D111" s="374">
        <f>IF(F110+SUM(E$99:E110)=D$92,F110,D$92-SUM(E$99:E110))</f>
        <v>3831461.9610647443</v>
      </c>
      <c r="E111" s="522">
        <f t="shared" si="30"/>
        <v>129004.73170731707</v>
      </c>
      <c r="F111" s="523">
        <f t="shared" si="31"/>
        <v>3702457.229357427</v>
      </c>
      <c r="G111" s="523">
        <f t="shared" si="32"/>
        <v>3766959.5952110859</v>
      </c>
      <c r="H111" s="526">
        <f t="shared" si="33"/>
        <v>556608.23593152885</v>
      </c>
      <c r="I111" s="577">
        <f t="shared" si="34"/>
        <v>556608.23593152885</v>
      </c>
      <c r="J111" s="514">
        <f t="shared" si="27"/>
        <v>0</v>
      </c>
      <c r="K111" s="514"/>
      <c r="L111" s="525"/>
      <c r="M111" s="514">
        <f t="shared" si="35"/>
        <v>0</v>
      </c>
      <c r="N111" s="525"/>
      <c r="O111" s="514">
        <f t="shared" si="28"/>
        <v>0</v>
      </c>
      <c r="P111" s="514">
        <f t="shared" si="29"/>
        <v>0</v>
      </c>
    </row>
    <row r="112" spans="1:16" ht="12.5">
      <c r="B112" s="195" t="str">
        <f t="shared" si="26"/>
        <v/>
      </c>
      <c r="C112" s="507">
        <f>IF(D93="","-",+C111+1)</f>
        <v>2027</v>
      </c>
      <c r="D112" s="374">
        <f>IF(F111+SUM(E$99:E111)=D$92,F111,D$92-SUM(E$99:E111))</f>
        <v>3702457.229357427</v>
      </c>
      <c r="E112" s="522">
        <f t="shared" si="30"/>
        <v>129004.73170731707</v>
      </c>
      <c r="F112" s="523">
        <f t="shared" si="31"/>
        <v>3573452.4976501097</v>
      </c>
      <c r="G112" s="523">
        <f t="shared" si="32"/>
        <v>3637954.8635037681</v>
      </c>
      <c r="H112" s="526">
        <f t="shared" si="33"/>
        <v>541964.36361347116</v>
      </c>
      <c r="I112" s="577">
        <f t="shared" si="34"/>
        <v>541964.36361347116</v>
      </c>
      <c r="J112" s="514">
        <f t="shared" si="27"/>
        <v>0</v>
      </c>
      <c r="K112" s="514"/>
      <c r="L112" s="525"/>
      <c r="M112" s="514">
        <f t="shared" si="35"/>
        <v>0</v>
      </c>
      <c r="N112" s="525"/>
      <c r="O112" s="514">
        <f t="shared" si="28"/>
        <v>0</v>
      </c>
      <c r="P112" s="514">
        <f t="shared" si="29"/>
        <v>0</v>
      </c>
    </row>
    <row r="113" spans="2:16" ht="12.5">
      <c r="B113" s="195" t="str">
        <f t="shared" si="26"/>
        <v/>
      </c>
      <c r="C113" s="507">
        <f>IF(D93="","-",+C112+1)</f>
        <v>2028</v>
      </c>
      <c r="D113" s="374">
        <f>IF(F112+SUM(E$99:E112)=D$92,F112,D$92-SUM(E$99:E112))</f>
        <v>3573452.4976501097</v>
      </c>
      <c r="E113" s="522">
        <f t="shared" si="30"/>
        <v>129004.73170731707</v>
      </c>
      <c r="F113" s="523">
        <f t="shared" si="31"/>
        <v>3444447.7659427924</v>
      </c>
      <c r="G113" s="523">
        <f t="shared" si="32"/>
        <v>3508950.1317964513</v>
      </c>
      <c r="H113" s="526">
        <f t="shared" si="33"/>
        <v>527320.49129541358</v>
      </c>
      <c r="I113" s="577">
        <f t="shared" si="34"/>
        <v>527320.49129541358</v>
      </c>
      <c r="J113" s="514">
        <f t="shared" si="27"/>
        <v>0</v>
      </c>
      <c r="K113" s="514"/>
      <c r="L113" s="525"/>
      <c r="M113" s="514">
        <f t="shared" si="35"/>
        <v>0</v>
      </c>
      <c r="N113" s="525"/>
      <c r="O113" s="514">
        <f t="shared" si="28"/>
        <v>0</v>
      </c>
      <c r="P113" s="514">
        <f t="shared" si="29"/>
        <v>0</v>
      </c>
    </row>
    <row r="114" spans="2:16" ht="12.5">
      <c r="B114" s="195" t="str">
        <f t="shared" si="26"/>
        <v/>
      </c>
      <c r="C114" s="507">
        <f>IF(D93="","-",+C113+1)</f>
        <v>2029</v>
      </c>
      <c r="D114" s="374">
        <f>IF(F113+SUM(E$99:E113)=D$92,F113,D$92-SUM(E$99:E113))</f>
        <v>3444447.7659427924</v>
      </c>
      <c r="E114" s="522">
        <f t="shared" si="30"/>
        <v>129004.73170731707</v>
      </c>
      <c r="F114" s="523">
        <f t="shared" si="31"/>
        <v>3315443.0342354751</v>
      </c>
      <c r="G114" s="523">
        <f t="shared" si="32"/>
        <v>3379945.4000891335</v>
      </c>
      <c r="H114" s="526">
        <f t="shared" si="33"/>
        <v>512676.61897735589</v>
      </c>
      <c r="I114" s="577">
        <f t="shared" si="34"/>
        <v>512676.61897735589</v>
      </c>
      <c r="J114" s="514">
        <f t="shared" si="27"/>
        <v>0</v>
      </c>
      <c r="K114" s="514"/>
      <c r="L114" s="525"/>
      <c r="M114" s="514">
        <f t="shared" si="35"/>
        <v>0</v>
      </c>
      <c r="N114" s="525"/>
      <c r="O114" s="514">
        <f t="shared" si="28"/>
        <v>0</v>
      </c>
      <c r="P114" s="514">
        <f t="shared" si="29"/>
        <v>0</v>
      </c>
    </row>
    <row r="115" spans="2:16" ht="12.5">
      <c r="B115" s="195" t="str">
        <f t="shared" si="26"/>
        <v/>
      </c>
      <c r="C115" s="507">
        <f>IF(D93="","-",+C114+1)</f>
        <v>2030</v>
      </c>
      <c r="D115" s="374">
        <f>IF(F114+SUM(E$99:E114)=D$92,F114,D$92-SUM(E$99:E114))</f>
        <v>3315443.0342354751</v>
      </c>
      <c r="E115" s="522">
        <f t="shared" si="30"/>
        <v>129004.73170731707</v>
      </c>
      <c r="F115" s="523">
        <f t="shared" si="31"/>
        <v>3186438.3025281578</v>
      </c>
      <c r="G115" s="523">
        <f t="shared" si="32"/>
        <v>3250940.6683818167</v>
      </c>
      <c r="H115" s="526">
        <f t="shared" si="33"/>
        <v>498032.74665929831</v>
      </c>
      <c r="I115" s="577">
        <f t="shared" si="34"/>
        <v>498032.74665929831</v>
      </c>
      <c r="J115" s="514">
        <f t="shared" si="27"/>
        <v>0</v>
      </c>
      <c r="K115" s="514"/>
      <c r="L115" s="525"/>
      <c r="M115" s="514">
        <f t="shared" si="35"/>
        <v>0</v>
      </c>
      <c r="N115" s="525"/>
      <c r="O115" s="514">
        <f t="shared" si="28"/>
        <v>0</v>
      </c>
      <c r="P115" s="514">
        <f t="shared" si="29"/>
        <v>0</v>
      </c>
    </row>
    <row r="116" spans="2:16" ht="12.5">
      <c r="B116" s="195" t="str">
        <f t="shared" si="26"/>
        <v/>
      </c>
      <c r="C116" s="507">
        <f>IF(D93="","-",+C115+1)</f>
        <v>2031</v>
      </c>
      <c r="D116" s="374">
        <f>IF(F115+SUM(E$99:E115)=D$92,F115,D$92-SUM(E$99:E115))</f>
        <v>3186438.3025281578</v>
      </c>
      <c r="E116" s="522">
        <f t="shared" si="30"/>
        <v>129004.73170731707</v>
      </c>
      <c r="F116" s="523">
        <f t="shared" si="31"/>
        <v>3057433.5708208405</v>
      </c>
      <c r="G116" s="523">
        <f t="shared" si="32"/>
        <v>3121935.936674499</v>
      </c>
      <c r="H116" s="526">
        <f t="shared" si="33"/>
        <v>483388.87434124068</v>
      </c>
      <c r="I116" s="577">
        <f t="shared" si="34"/>
        <v>483388.87434124068</v>
      </c>
      <c r="J116" s="514">
        <f t="shared" si="27"/>
        <v>0</v>
      </c>
      <c r="K116" s="514"/>
      <c r="L116" s="525"/>
      <c r="M116" s="514">
        <f t="shared" si="35"/>
        <v>0</v>
      </c>
      <c r="N116" s="525"/>
      <c r="O116" s="514">
        <f t="shared" si="28"/>
        <v>0</v>
      </c>
      <c r="P116" s="514">
        <f t="shared" si="29"/>
        <v>0</v>
      </c>
    </row>
    <row r="117" spans="2:16" ht="12.5">
      <c r="B117" s="195" t="str">
        <f t="shared" si="26"/>
        <v/>
      </c>
      <c r="C117" s="507">
        <f>IF(D93="","-",+C116+1)</f>
        <v>2032</v>
      </c>
      <c r="D117" s="374">
        <f>IF(F116+SUM(E$99:E116)=D$92,F116,D$92-SUM(E$99:E116))</f>
        <v>3057433.5708208405</v>
      </c>
      <c r="E117" s="522">
        <f t="shared" si="30"/>
        <v>129004.73170731707</v>
      </c>
      <c r="F117" s="523">
        <f t="shared" si="31"/>
        <v>2928428.8391135233</v>
      </c>
      <c r="G117" s="523">
        <f t="shared" si="32"/>
        <v>2992931.2049671821</v>
      </c>
      <c r="H117" s="526">
        <f t="shared" si="33"/>
        <v>468745.0020231831</v>
      </c>
      <c r="I117" s="577">
        <f t="shared" si="34"/>
        <v>468745.0020231831</v>
      </c>
      <c r="J117" s="514">
        <f t="shared" si="27"/>
        <v>0</v>
      </c>
      <c r="K117" s="514"/>
      <c r="L117" s="525"/>
      <c r="M117" s="514">
        <f t="shared" si="35"/>
        <v>0</v>
      </c>
      <c r="N117" s="525"/>
      <c r="O117" s="514">
        <f t="shared" si="28"/>
        <v>0</v>
      </c>
      <c r="P117" s="514">
        <f t="shared" si="29"/>
        <v>0</v>
      </c>
    </row>
    <row r="118" spans="2:16" ht="12.5">
      <c r="B118" s="195" t="str">
        <f t="shared" si="26"/>
        <v/>
      </c>
      <c r="C118" s="507">
        <f>IF(D93="","-",+C117+1)</f>
        <v>2033</v>
      </c>
      <c r="D118" s="374">
        <f>IF(F117+SUM(E$99:E117)=D$92,F117,D$92-SUM(E$99:E117))</f>
        <v>2928428.8391135233</v>
      </c>
      <c r="E118" s="522">
        <f t="shared" si="30"/>
        <v>129004.73170731707</v>
      </c>
      <c r="F118" s="523">
        <f t="shared" si="31"/>
        <v>2799424.107406206</v>
      </c>
      <c r="G118" s="523">
        <f t="shared" si="32"/>
        <v>2863926.4732598644</v>
      </c>
      <c r="H118" s="526">
        <f t="shared" si="33"/>
        <v>454101.12970512541</v>
      </c>
      <c r="I118" s="577">
        <f t="shared" si="34"/>
        <v>454101.12970512541</v>
      </c>
      <c r="J118" s="514">
        <f t="shared" si="27"/>
        <v>0</v>
      </c>
      <c r="K118" s="514"/>
      <c r="L118" s="525"/>
      <c r="M118" s="514">
        <f t="shared" si="35"/>
        <v>0</v>
      </c>
      <c r="N118" s="525"/>
      <c r="O118" s="514">
        <f t="shared" si="28"/>
        <v>0</v>
      </c>
      <c r="P118" s="514">
        <f t="shared" si="29"/>
        <v>0</v>
      </c>
    </row>
    <row r="119" spans="2:16" ht="12.5">
      <c r="B119" s="195" t="str">
        <f t="shared" si="26"/>
        <v/>
      </c>
      <c r="C119" s="507">
        <f>IF(D93="","-",+C118+1)</f>
        <v>2034</v>
      </c>
      <c r="D119" s="374">
        <f>IF(F118+SUM(E$99:E118)=D$92,F118,D$92-SUM(E$99:E118))</f>
        <v>2799424.107406206</v>
      </c>
      <c r="E119" s="522">
        <f t="shared" si="30"/>
        <v>129004.73170731707</v>
      </c>
      <c r="F119" s="523">
        <f t="shared" si="31"/>
        <v>2670419.3756988887</v>
      </c>
      <c r="G119" s="523">
        <f t="shared" si="32"/>
        <v>2734921.7415525476</v>
      </c>
      <c r="H119" s="526">
        <f t="shared" si="33"/>
        <v>439457.25738706789</v>
      </c>
      <c r="I119" s="577">
        <f t="shared" si="34"/>
        <v>439457.25738706789</v>
      </c>
      <c r="J119" s="514">
        <f t="shared" si="27"/>
        <v>0</v>
      </c>
      <c r="K119" s="514"/>
      <c r="L119" s="525"/>
      <c r="M119" s="514">
        <f t="shared" si="35"/>
        <v>0</v>
      </c>
      <c r="N119" s="525"/>
      <c r="O119" s="514">
        <f t="shared" si="28"/>
        <v>0</v>
      </c>
      <c r="P119" s="514">
        <f t="shared" si="29"/>
        <v>0</v>
      </c>
    </row>
    <row r="120" spans="2:16" ht="12.5">
      <c r="B120" s="195" t="str">
        <f t="shared" si="26"/>
        <v/>
      </c>
      <c r="C120" s="507">
        <f>IF(D93="","-",+C119+1)</f>
        <v>2035</v>
      </c>
      <c r="D120" s="374">
        <f>IF(F119+SUM(E$99:E119)=D$92,F119,D$92-SUM(E$99:E119))</f>
        <v>2670419.3756988887</v>
      </c>
      <c r="E120" s="522">
        <f t="shared" si="30"/>
        <v>129004.73170731707</v>
      </c>
      <c r="F120" s="523">
        <f t="shared" si="31"/>
        <v>2541414.6439915714</v>
      </c>
      <c r="G120" s="523">
        <f t="shared" si="32"/>
        <v>2605917.0098452298</v>
      </c>
      <c r="H120" s="526">
        <f t="shared" si="33"/>
        <v>424813.3850690102</v>
      </c>
      <c r="I120" s="577">
        <f t="shared" si="34"/>
        <v>424813.3850690102</v>
      </c>
      <c r="J120" s="514">
        <f t="shared" si="27"/>
        <v>0</v>
      </c>
      <c r="K120" s="514"/>
      <c r="L120" s="525"/>
      <c r="M120" s="514">
        <f t="shared" si="35"/>
        <v>0</v>
      </c>
      <c r="N120" s="525"/>
      <c r="O120" s="514">
        <f t="shared" si="28"/>
        <v>0</v>
      </c>
      <c r="P120" s="514">
        <f t="shared" si="29"/>
        <v>0</v>
      </c>
    </row>
    <row r="121" spans="2:16" ht="12.5">
      <c r="B121" s="195" t="str">
        <f t="shared" si="26"/>
        <v/>
      </c>
      <c r="C121" s="507">
        <f>IF(D93="","-",+C120+1)</f>
        <v>2036</v>
      </c>
      <c r="D121" s="374">
        <f>IF(F120+SUM(E$99:E120)=D$92,F120,D$92-SUM(E$99:E120))</f>
        <v>2541414.6439915714</v>
      </c>
      <c r="E121" s="522">
        <f t="shared" si="30"/>
        <v>129004.73170731707</v>
      </c>
      <c r="F121" s="523">
        <f t="shared" si="31"/>
        <v>2412409.9122842541</v>
      </c>
      <c r="G121" s="523">
        <f t="shared" si="32"/>
        <v>2476912.278137913</v>
      </c>
      <c r="H121" s="526">
        <f t="shared" si="33"/>
        <v>410169.51275095262</v>
      </c>
      <c r="I121" s="577">
        <f t="shared" si="34"/>
        <v>410169.51275095262</v>
      </c>
      <c r="J121" s="514">
        <f t="shared" si="27"/>
        <v>0</v>
      </c>
      <c r="K121" s="514"/>
      <c r="L121" s="525"/>
      <c r="M121" s="514">
        <f t="shared" si="35"/>
        <v>0</v>
      </c>
      <c r="N121" s="525"/>
      <c r="O121" s="514">
        <f t="shared" si="28"/>
        <v>0</v>
      </c>
      <c r="P121" s="514">
        <f t="shared" si="29"/>
        <v>0</v>
      </c>
    </row>
    <row r="122" spans="2:16" ht="12.5">
      <c r="B122" s="195" t="str">
        <f t="shared" si="26"/>
        <v/>
      </c>
      <c r="C122" s="507">
        <f>IF(D93="","-",+C121+1)</f>
        <v>2037</v>
      </c>
      <c r="D122" s="374">
        <f>IF(F121+SUM(E$99:E121)=D$92,F121,D$92-SUM(E$99:E121))</f>
        <v>2412409.9122842541</v>
      </c>
      <c r="E122" s="522">
        <f t="shared" si="30"/>
        <v>129004.73170731707</v>
      </c>
      <c r="F122" s="523">
        <f t="shared" si="31"/>
        <v>2283405.1805769368</v>
      </c>
      <c r="G122" s="523">
        <f t="shared" si="32"/>
        <v>2347907.5464305952</v>
      </c>
      <c r="H122" s="526">
        <f t="shared" si="33"/>
        <v>395525.64043289493</v>
      </c>
      <c r="I122" s="577">
        <f t="shared" si="34"/>
        <v>395525.64043289493</v>
      </c>
      <c r="J122" s="514">
        <f t="shared" si="27"/>
        <v>0</v>
      </c>
      <c r="K122" s="514"/>
      <c r="L122" s="525"/>
      <c r="M122" s="514">
        <f t="shared" si="35"/>
        <v>0</v>
      </c>
      <c r="N122" s="525"/>
      <c r="O122" s="514">
        <f t="shared" si="28"/>
        <v>0</v>
      </c>
      <c r="P122" s="514">
        <f t="shared" si="29"/>
        <v>0</v>
      </c>
    </row>
    <row r="123" spans="2:16" ht="12.5">
      <c r="B123" s="195" t="str">
        <f t="shared" si="26"/>
        <v/>
      </c>
      <c r="C123" s="507">
        <f>IF(D93="","-",+C122+1)</f>
        <v>2038</v>
      </c>
      <c r="D123" s="374">
        <f>IF(F122+SUM(E$99:E122)=D$92,F122,D$92-SUM(E$99:E122))</f>
        <v>2283405.1805769368</v>
      </c>
      <c r="E123" s="522">
        <f t="shared" si="30"/>
        <v>129004.73170731707</v>
      </c>
      <c r="F123" s="523">
        <f t="shared" si="31"/>
        <v>2154400.4488696195</v>
      </c>
      <c r="G123" s="523">
        <f t="shared" si="32"/>
        <v>2218902.8147232784</v>
      </c>
      <c r="H123" s="526">
        <f t="shared" si="33"/>
        <v>380881.76811483741</v>
      </c>
      <c r="I123" s="577">
        <f t="shared" si="34"/>
        <v>380881.76811483741</v>
      </c>
      <c r="J123" s="514">
        <f t="shared" si="27"/>
        <v>0</v>
      </c>
      <c r="K123" s="514"/>
      <c r="L123" s="525"/>
      <c r="M123" s="514">
        <f t="shared" si="35"/>
        <v>0</v>
      </c>
      <c r="N123" s="525"/>
      <c r="O123" s="514">
        <f t="shared" si="28"/>
        <v>0</v>
      </c>
      <c r="P123" s="514">
        <f t="shared" si="29"/>
        <v>0</v>
      </c>
    </row>
    <row r="124" spans="2:16" ht="12.5">
      <c r="B124" s="195" t="str">
        <f t="shared" si="26"/>
        <v/>
      </c>
      <c r="C124" s="507">
        <f>IF(D93="","-",+C123+1)</f>
        <v>2039</v>
      </c>
      <c r="D124" s="374">
        <f>IF(F123+SUM(E$99:E123)=D$92,F123,D$92-SUM(E$99:E123))</f>
        <v>2154400.4488696195</v>
      </c>
      <c r="E124" s="522">
        <f t="shared" si="30"/>
        <v>129004.73170731707</v>
      </c>
      <c r="F124" s="523">
        <f t="shared" si="31"/>
        <v>2025395.7171623025</v>
      </c>
      <c r="G124" s="523">
        <f t="shared" si="32"/>
        <v>2089898.0830159611</v>
      </c>
      <c r="H124" s="526">
        <f t="shared" si="33"/>
        <v>366237.89579677978</v>
      </c>
      <c r="I124" s="577">
        <f t="shared" si="34"/>
        <v>366237.89579677978</v>
      </c>
      <c r="J124" s="514">
        <f t="shared" si="27"/>
        <v>0</v>
      </c>
      <c r="K124" s="514"/>
      <c r="L124" s="525"/>
      <c r="M124" s="514">
        <f t="shared" si="35"/>
        <v>0</v>
      </c>
      <c r="N124" s="525"/>
      <c r="O124" s="514">
        <f t="shared" si="28"/>
        <v>0</v>
      </c>
      <c r="P124" s="514">
        <f t="shared" si="29"/>
        <v>0</v>
      </c>
    </row>
    <row r="125" spans="2:16" ht="12.5">
      <c r="B125" s="195" t="str">
        <f t="shared" si="26"/>
        <v/>
      </c>
      <c r="C125" s="507">
        <f>IF(D93="","-",+C124+1)</f>
        <v>2040</v>
      </c>
      <c r="D125" s="374">
        <f>IF(F124+SUM(E$99:E124)=D$92,F124,D$92-SUM(E$99:E124))</f>
        <v>2025395.7171623025</v>
      </c>
      <c r="E125" s="522">
        <f t="shared" si="30"/>
        <v>129004.73170731707</v>
      </c>
      <c r="F125" s="523">
        <f t="shared" si="31"/>
        <v>1896390.9854549854</v>
      </c>
      <c r="G125" s="523">
        <f t="shared" si="32"/>
        <v>1960893.3513086438</v>
      </c>
      <c r="H125" s="526">
        <f t="shared" si="33"/>
        <v>351594.02347872214</v>
      </c>
      <c r="I125" s="577">
        <f t="shared" si="34"/>
        <v>351594.02347872214</v>
      </c>
      <c r="J125" s="514">
        <f t="shared" si="27"/>
        <v>0</v>
      </c>
      <c r="K125" s="514"/>
      <c r="L125" s="525"/>
      <c r="M125" s="514">
        <f t="shared" si="35"/>
        <v>0</v>
      </c>
      <c r="N125" s="525"/>
      <c r="O125" s="514">
        <f t="shared" si="28"/>
        <v>0</v>
      </c>
      <c r="P125" s="514">
        <f t="shared" si="29"/>
        <v>0</v>
      </c>
    </row>
    <row r="126" spans="2:16" ht="12.5">
      <c r="B126" s="195" t="str">
        <f t="shared" si="26"/>
        <v/>
      </c>
      <c r="C126" s="507">
        <f>IF(D93="","-",+C125+1)</f>
        <v>2041</v>
      </c>
      <c r="D126" s="374">
        <f>IF(F125+SUM(E$99:E125)=D$92,F125,D$92-SUM(E$99:E125))</f>
        <v>1896390.9854549854</v>
      </c>
      <c r="E126" s="522">
        <f t="shared" si="30"/>
        <v>129004.73170731707</v>
      </c>
      <c r="F126" s="523">
        <f t="shared" si="31"/>
        <v>1767386.2537476684</v>
      </c>
      <c r="G126" s="523">
        <f t="shared" si="32"/>
        <v>1831888.619601327</v>
      </c>
      <c r="H126" s="526">
        <f t="shared" si="33"/>
        <v>336950.15116066462</v>
      </c>
      <c r="I126" s="577">
        <f t="shared" si="34"/>
        <v>336950.15116066462</v>
      </c>
      <c r="J126" s="514">
        <f t="shared" si="27"/>
        <v>0</v>
      </c>
      <c r="K126" s="514"/>
      <c r="L126" s="525"/>
      <c r="M126" s="514">
        <f t="shared" si="35"/>
        <v>0</v>
      </c>
      <c r="N126" s="525"/>
      <c r="O126" s="514">
        <f t="shared" si="28"/>
        <v>0</v>
      </c>
      <c r="P126" s="514">
        <f t="shared" si="29"/>
        <v>0</v>
      </c>
    </row>
    <row r="127" spans="2:16" ht="12.5">
      <c r="B127" s="195" t="str">
        <f t="shared" si="26"/>
        <v/>
      </c>
      <c r="C127" s="507">
        <f>IF(D93="","-",+C126+1)</f>
        <v>2042</v>
      </c>
      <c r="D127" s="374">
        <f>IF(F126+SUM(E$99:E126)=D$92,F126,D$92-SUM(E$99:E126))</f>
        <v>1767386.2537476684</v>
      </c>
      <c r="E127" s="522">
        <f t="shared" si="30"/>
        <v>129004.73170731707</v>
      </c>
      <c r="F127" s="523">
        <f t="shared" si="31"/>
        <v>1638381.5220403513</v>
      </c>
      <c r="G127" s="523">
        <f t="shared" si="32"/>
        <v>1702883.8878940097</v>
      </c>
      <c r="H127" s="526">
        <f t="shared" si="33"/>
        <v>322306.27884260699</v>
      </c>
      <c r="I127" s="577">
        <f t="shared" si="34"/>
        <v>322306.27884260699</v>
      </c>
      <c r="J127" s="514">
        <f t="shared" si="27"/>
        <v>0</v>
      </c>
      <c r="K127" s="514"/>
      <c r="L127" s="525"/>
      <c r="M127" s="514">
        <f t="shared" si="35"/>
        <v>0</v>
      </c>
      <c r="N127" s="525"/>
      <c r="O127" s="514">
        <f t="shared" si="28"/>
        <v>0</v>
      </c>
      <c r="P127" s="514">
        <f t="shared" si="29"/>
        <v>0</v>
      </c>
    </row>
    <row r="128" spans="2:16" ht="12.5">
      <c r="B128" s="195" t="str">
        <f t="shared" si="26"/>
        <v/>
      </c>
      <c r="C128" s="507">
        <f>IF(D93="","-",+C127+1)</f>
        <v>2043</v>
      </c>
      <c r="D128" s="374">
        <f>IF(F127+SUM(E$99:E127)=D$92,F127,D$92-SUM(E$99:E127))</f>
        <v>1638381.5220403513</v>
      </c>
      <c r="E128" s="522">
        <f t="shared" si="30"/>
        <v>129004.73170731707</v>
      </c>
      <c r="F128" s="523">
        <f t="shared" si="31"/>
        <v>1509376.7903330342</v>
      </c>
      <c r="G128" s="523">
        <f t="shared" si="32"/>
        <v>1573879.1561866929</v>
      </c>
      <c r="H128" s="526">
        <f t="shared" si="33"/>
        <v>307662.40652454941</v>
      </c>
      <c r="I128" s="577">
        <f t="shared" si="34"/>
        <v>307662.40652454941</v>
      </c>
      <c r="J128" s="514">
        <f t="shared" si="27"/>
        <v>0</v>
      </c>
      <c r="K128" s="514"/>
      <c r="L128" s="525"/>
      <c r="M128" s="514">
        <f t="shared" si="35"/>
        <v>0</v>
      </c>
      <c r="N128" s="525"/>
      <c r="O128" s="514">
        <f t="shared" si="28"/>
        <v>0</v>
      </c>
      <c r="P128" s="514">
        <f t="shared" si="29"/>
        <v>0</v>
      </c>
    </row>
    <row r="129" spans="2:16" ht="12.5">
      <c r="B129" s="195" t="str">
        <f t="shared" si="26"/>
        <v/>
      </c>
      <c r="C129" s="507">
        <f>IF(D93="","-",+C128+1)</f>
        <v>2044</v>
      </c>
      <c r="D129" s="374">
        <f>IF(F128+SUM(E$99:E128)=D$92,F128,D$92-SUM(E$99:E128))</f>
        <v>1509376.7903330342</v>
      </c>
      <c r="E129" s="522">
        <f t="shared" si="30"/>
        <v>129004.73170731707</v>
      </c>
      <c r="F129" s="523">
        <f t="shared" si="31"/>
        <v>1380372.0586257172</v>
      </c>
      <c r="G129" s="523">
        <f t="shared" si="32"/>
        <v>1444874.4244793756</v>
      </c>
      <c r="H129" s="526">
        <f t="shared" si="33"/>
        <v>293018.53420649178</v>
      </c>
      <c r="I129" s="577">
        <f t="shared" si="34"/>
        <v>293018.53420649178</v>
      </c>
      <c r="J129" s="514">
        <f t="shared" si="27"/>
        <v>0</v>
      </c>
      <c r="K129" s="514"/>
      <c r="L129" s="525"/>
      <c r="M129" s="514">
        <f t="shared" si="35"/>
        <v>0</v>
      </c>
      <c r="N129" s="525"/>
      <c r="O129" s="514">
        <f t="shared" si="28"/>
        <v>0</v>
      </c>
      <c r="P129" s="514">
        <f t="shared" si="29"/>
        <v>0</v>
      </c>
    </row>
    <row r="130" spans="2:16" ht="12.5">
      <c r="B130" s="195" t="str">
        <f t="shared" si="26"/>
        <v/>
      </c>
      <c r="C130" s="507">
        <f>IF(D93="","-",+C129+1)</f>
        <v>2045</v>
      </c>
      <c r="D130" s="374">
        <f>IF(F129+SUM(E$99:E129)=D$92,F129,D$92-SUM(E$99:E129))</f>
        <v>1380372.0586257172</v>
      </c>
      <c r="E130" s="522">
        <f t="shared" si="30"/>
        <v>129004.73170731707</v>
      </c>
      <c r="F130" s="523">
        <f t="shared" si="31"/>
        <v>1251367.3269184001</v>
      </c>
      <c r="G130" s="523">
        <f t="shared" si="32"/>
        <v>1315869.6927720588</v>
      </c>
      <c r="H130" s="526">
        <f t="shared" si="33"/>
        <v>278374.6618884342</v>
      </c>
      <c r="I130" s="577">
        <f t="shared" si="34"/>
        <v>278374.6618884342</v>
      </c>
      <c r="J130" s="514">
        <f t="shared" si="27"/>
        <v>0</v>
      </c>
      <c r="K130" s="514"/>
      <c r="L130" s="525"/>
      <c r="M130" s="514">
        <f t="shared" si="35"/>
        <v>0</v>
      </c>
      <c r="N130" s="525"/>
      <c r="O130" s="514">
        <f t="shared" si="28"/>
        <v>0</v>
      </c>
      <c r="P130" s="514">
        <f t="shared" si="29"/>
        <v>0</v>
      </c>
    </row>
    <row r="131" spans="2:16" ht="12.5">
      <c r="B131" s="195" t="str">
        <f t="shared" si="26"/>
        <v/>
      </c>
      <c r="C131" s="507">
        <f>IF(D93="","-",+C130+1)</f>
        <v>2046</v>
      </c>
      <c r="D131" s="374">
        <f>IF(F130+SUM(E$99:E130)=D$92,F130,D$92-SUM(E$99:E130))</f>
        <v>1251367.3269184001</v>
      </c>
      <c r="E131" s="522">
        <f t="shared" si="30"/>
        <v>129004.73170731707</v>
      </c>
      <c r="F131" s="523">
        <f t="shared" si="31"/>
        <v>1122362.5952110831</v>
      </c>
      <c r="G131" s="523">
        <f t="shared" si="32"/>
        <v>1186864.9610647415</v>
      </c>
      <c r="H131" s="526">
        <f t="shared" si="33"/>
        <v>263730.78957037663</v>
      </c>
      <c r="I131" s="577">
        <f t="shared" si="34"/>
        <v>263730.78957037663</v>
      </c>
      <c r="J131" s="514">
        <f t="shared" si="27"/>
        <v>0</v>
      </c>
      <c r="K131" s="514"/>
      <c r="L131" s="525"/>
      <c r="M131" s="514">
        <f t="shared" ref="M131:M154" si="36">IF(L541&lt;&gt;0,+H541-L541,0)</f>
        <v>0</v>
      </c>
      <c r="N131" s="525"/>
      <c r="O131" s="514">
        <f t="shared" ref="O131:O154" si="37">IF(N541&lt;&gt;0,+I541-N541,0)</f>
        <v>0</v>
      </c>
      <c r="P131" s="514">
        <f t="shared" ref="P131:P154" si="38">+O541-M541</f>
        <v>0</v>
      </c>
    </row>
    <row r="132" spans="2:16" ht="12.5">
      <c r="B132" s="195" t="str">
        <f t="shared" si="26"/>
        <v/>
      </c>
      <c r="C132" s="507">
        <f>IF(D93="","-",+C131+1)</f>
        <v>2047</v>
      </c>
      <c r="D132" s="374">
        <f>IF(F131+SUM(E$99:E131)=D$92,F131,D$92-SUM(E$99:E131))</f>
        <v>1122362.5952110831</v>
      </c>
      <c r="E132" s="522">
        <f t="shared" si="30"/>
        <v>129004.73170731707</v>
      </c>
      <c r="F132" s="523">
        <f t="shared" si="31"/>
        <v>993357.86350376601</v>
      </c>
      <c r="G132" s="523">
        <f t="shared" si="32"/>
        <v>1057860.2293574247</v>
      </c>
      <c r="H132" s="526">
        <f t="shared" si="33"/>
        <v>249086.91725231905</v>
      </c>
      <c r="I132" s="577">
        <f t="shared" si="34"/>
        <v>249086.91725231905</v>
      </c>
      <c r="J132" s="514">
        <f t="shared" si="27"/>
        <v>0</v>
      </c>
      <c r="K132" s="514"/>
      <c r="L132" s="525"/>
      <c r="M132" s="514">
        <f t="shared" si="36"/>
        <v>0</v>
      </c>
      <c r="N132" s="525"/>
      <c r="O132" s="514">
        <f t="shared" si="37"/>
        <v>0</v>
      </c>
      <c r="P132" s="514">
        <f t="shared" si="38"/>
        <v>0</v>
      </c>
    </row>
    <row r="133" spans="2:16" ht="12.5">
      <c r="B133" s="195" t="str">
        <f t="shared" si="26"/>
        <v/>
      </c>
      <c r="C133" s="507">
        <f>IF(D93="","-",+C132+1)</f>
        <v>2048</v>
      </c>
      <c r="D133" s="374">
        <f>IF(F132+SUM(E$99:E132)=D$92,F132,D$92-SUM(E$99:E132))</f>
        <v>993357.86350376601</v>
      </c>
      <c r="E133" s="522">
        <f t="shared" si="30"/>
        <v>129004.73170731707</v>
      </c>
      <c r="F133" s="523">
        <f t="shared" si="31"/>
        <v>864353.13179644896</v>
      </c>
      <c r="G133" s="523">
        <f t="shared" si="32"/>
        <v>928855.49765010749</v>
      </c>
      <c r="H133" s="526">
        <f t="shared" si="33"/>
        <v>234443.04493426144</v>
      </c>
      <c r="I133" s="577">
        <f t="shared" si="34"/>
        <v>234443.04493426144</v>
      </c>
      <c r="J133" s="514">
        <f t="shared" si="27"/>
        <v>0</v>
      </c>
      <c r="K133" s="514"/>
      <c r="L133" s="525"/>
      <c r="M133" s="514">
        <f t="shared" si="36"/>
        <v>0</v>
      </c>
      <c r="N133" s="525"/>
      <c r="O133" s="514">
        <f t="shared" si="37"/>
        <v>0</v>
      </c>
      <c r="P133" s="514">
        <f t="shared" si="38"/>
        <v>0</v>
      </c>
    </row>
    <row r="134" spans="2:16" ht="12.5">
      <c r="B134" s="195" t="str">
        <f t="shared" si="26"/>
        <v/>
      </c>
      <c r="C134" s="507">
        <f>IF(D93="","-",+C133+1)</f>
        <v>2049</v>
      </c>
      <c r="D134" s="374">
        <f>IF(F133+SUM(E$99:E133)=D$92,F133,D$92-SUM(E$99:E133))</f>
        <v>864353.13179644896</v>
      </c>
      <c r="E134" s="522">
        <f t="shared" si="30"/>
        <v>129004.73170731707</v>
      </c>
      <c r="F134" s="523">
        <f t="shared" si="31"/>
        <v>735348.4000891319</v>
      </c>
      <c r="G134" s="523">
        <f t="shared" si="32"/>
        <v>799850.76594279043</v>
      </c>
      <c r="H134" s="526">
        <f t="shared" si="33"/>
        <v>219799.17261620384</v>
      </c>
      <c r="I134" s="577">
        <f t="shared" si="34"/>
        <v>219799.17261620384</v>
      </c>
      <c r="J134" s="514">
        <f t="shared" si="27"/>
        <v>0</v>
      </c>
      <c r="K134" s="514"/>
      <c r="L134" s="525"/>
      <c r="M134" s="514">
        <f t="shared" si="36"/>
        <v>0</v>
      </c>
      <c r="N134" s="525"/>
      <c r="O134" s="514">
        <f t="shared" si="37"/>
        <v>0</v>
      </c>
      <c r="P134" s="514">
        <f t="shared" si="38"/>
        <v>0</v>
      </c>
    </row>
    <row r="135" spans="2:16" ht="12.5">
      <c r="B135" s="195" t="str">
        <f t="shared" si="26"/>
        <v/>
      </c>
      <c r="C135" s="507">
        <f>IF(D93="","-",+C134+1)</f>
        <v>2050</v>
      </c>
      <c r="D135" s="374">
        <f>IF(F134+SUM(E$99:E134)=D$92,F134,D$92-SUM(E$99:E134))</f>
        <v>735348.4000891319</v>
      </c>
      <c r="E135" s="522">
        <f t="shared" si="30"/>
        <v>129004.73170731707</v>
      </c>
      <c r="F135" s="523">
        <f t="shared" si="31"/>
        <v>606343.66838181484</v>
      </c>
      <c r="G135" s="523">
        <f t="shared" si="32"/>
        <v>670846.03423547337</v>
      </c>
      <c r="H135" s="526">
        <f t="shared" si="33"/>
        <v>205155.30029814626</v>
      </c>
      <c r="I135" s="577">
        <f t="shared" si="34"/>
        <v>205155.30029814626</v>
      </c>
      <c r="J135" s="514">
        <f t="shared" si="27"/>
        <v>0</v>
      </c>
      <c r="K135" s="514"/>
      <c r="L135" s="525"/>
      <c r="M135" s="514">
        <f t="shared" si="36"/>
        <v>0</v>
      </c>
      <c r="N135" s="525"/>
      <c r="O135" s="514">
        <f t="shared" si="37"/>
        <v>0</v>
      </c>
      <c r="P135" s="514">
        <f t="shared" si="38"/>
        <v>0</v>
      </c>
    </row>
    <row r="136" spans="2:16" ht="12.5">
      <c r="B136" s="195" t="str">
        <f t="shared" si="26"/>
        <v/>
      </c>
      <c r="C136" s="507">
        <f>IF(D93="","-",+C135+1)</f>
        <v>2051</v>
      </c>
      <c r="D136" s="374">
        <f>IF(F135+SUM(E$99:E135)=D$92,F135,D$92-SUM(E$99:E135))</f>
        <v>606343.66838181484</v>
      </c>
      <c r="E136" s="522">
        <f t="shared" si="30"/>
        <v>129004.73170731707</v>
      </c>
      <c r="F136" s="523">
        <f t="shared" si="31"/>
        <v>477338.93667449779</v>
      </c>
      <c r="G136" s="523">
        <f t="shared" si="32"/>
        <v>541841.30252815632</v>
      </c>
      <c r="H136" s="526">
        <f t="shared" si="33"/>
        <v>190511.42798008866</v>
      </c>
      <c r="I136" s="577">
        <f t="shared" si="34"/>
        <v>190511.42798008866</v>
      </c>
      <c r="J136" s="514">
        <f t="shared" si="27"/>
        <v>0</v>
      </c>
      <c r="K136" s="514"/>
      <c r="L136" s="525"/>
      <c r="M136" s="514">
        <f t="shared" si="36"/>
        <v>0</v>
      </c>
      <c r="N136" s="525"/>
      <c r="O136" s="514">
        <f t="shared" si="37"/>
        <v>0</v>
      </c>
      <c r="P136" s="514">
        <f t="shared" si="38"/>
        <v>0</v>
      </c>
    </row>
    <row r="137" spans="2:16" ht="12.5">
      <c r="B137" s="195" t="str">
        <f t="shared" si="26"/>
        <v/>
      </c>
      <c r="C137" s="507">
        <f>IF(D93="","-",+C136+1)</f>
        <v>2052</v>
      </c>
      <c r="D137" s="374">
        <f>IF(F136+SUM(E$99:E136)=D$92,F136,D$92-SUM(E$99:E136))</f>
        <v>477338.93667449779</v>
      </c>
      <c r="E137" s="522">
        <f t="shared" si="30"/>
        <v>129004.73170731707</v>
      </c>
      <c r="F137" s="523">
        <f t="shared" si="31"/>
        <v>348334.20496718073</v>
      </c>
      <c r="G137" s="523">
        <f t="shared" si="32"/>
        <v>412836.57082083926</v>
      </c>
      <c r="H137" s="526">
        <f t="shared" si="33"/>
        <v>175867.55566203108</v>
      </c>
      <c r="I137" s="577">
        <f t="shared" si="34"/>
        <v>175867.55566203108</v>
      </c>
      <c r="J137" s="514">
        <f t="shared" si="27"/>
        <v>0</v>
      </c>
      <c r="K137" s="514"/>
      <c r="L137" s="525"/>
      <c r="M137" s="514">
        <f t="shared" si="36"/>
        <v>0</v>
      </c>
      <c r="N137" s="525"/>
      <c r="O137" s="514">
        <f t="shared" si="37"/>
        <v>0</v>
      </c>
      <c r="P137" s="514">
        <f t="shared" si="38"/>
        <v>0</v>
      </c>
    </row>
    <row r="138" spans="2:16" ht="12.5">
      <c r="B138" s="195" t="str">
        <f t="shared" si="26"/>
        <v/>
      </c>
      <c r="C138" s="507">
        <f>IF(D93="","-",+C137+1)</f>
        <v>2053</v>
      </c>
      <c r="D138" s="374">
        <f>IF(F137+SUM(E$99:E137)=D$92,F137,D$92-SUM(E$99:E137))</f>
        <v>348334.20496718073</v>
      </c>
      <c r="E138" s="522">
        <f t="shared" si="30"/>
        <v>129004.73170731707</v>
      </c>
      <c r="F138" s="523">
        <f t="shared" si="31"/>
        <v>219329.47325986368</v>
      </c>
      <c r="G138" s="523">
        <f t="shared" si="32"/>
        <v>283831.8391135222</v>
      </c>
      <c r="H138" s="526">
        <f t="shared" si="33"/>
        <v>161223.68334397348</v>
      </c>
      <c r="I138" s="577">
        <f t="shared" si="34"/>
        <v>161223.68334397348</v>
      </c>
      <c r="J138" s="514">
        <f t="shared" si="27"/>
        <v>0</v>
      </c>
      <c r="K138" s="514"/>
      <c r="L138" s="525"/>
      <c r="M138" s="514">
        <f t="shared" si="36"/>
        <v>0</v>
      </c>
      <c r="N138" s="525"/>
      <c r="O138" s="514">
        <f t="shared" si="37"/>
        <v>0</v>
      </c>
      <c r="P138" s="514">
        <f t="shared" si="38"/>
        <v>0</v>
      </c>
    </row>
    <row r="139" spans="2:16" ht="12.5">
      <c r="B139" s="195" t="str">
        <f t="shared" si="26"/>
        <v/>
      </c>
      <c r="C139" s="507">
        <f>IF(D93="","-",+C138+1)</f>
        <v>2054</v>
      </c>
      <c r="D139" s="374">
        <f>IF(F138+SUM(E$99:E138)=D$92,F138,D$92-SUM(E$99:E138))</f>
        <v>219329.47325986368</v>
      </c>
      <c r="E139" s="522">
        <f t="shared" si="30"/>
        <v>129004.73170731707</v>
      </c>
      <c r="F139" s="523">
        <f t="shared" si="31"/>
        <v>90324.741552546606</v>
      </c>
      <c r="G139" s="523">
        <f t="shared" si="32"/>
        <v>154827.10740620515</v>
      </c>
      <c r="H139" s="526">
        <f t="shared" si="33"/>
        <v>146579.8110259159</v>
      </c>
      <c r="I139" s="577">
        <f t="shared" si="34"/>
        <v>146579.8110259159</v>
      </c>
      <c r="J139" s="514">
        <f t="shared" si="27"/>
        <v>0</v>
      </c>
      <c r="K139" s="514"/>
      <c r="L139" s="525"/>
      <c r="M139" s="514">
        <f t="shared" si="36"/>
        <v>0</v>
      </c>
      <c r="N139" s="525"/>
      <c r="O139" s="514">
        <f t="shared" si="37"/>
        <v>0</v>
      </c>
      <c r="P139" s="514">
        <f t="shared" si="38"/>
        <v>0</v>
      </c>
    </row>
    <row r="140" spans="2:16" ht="12.5">
      <c r="B140" s="195" t="str">
        <f t="shared" si="26"/>
        <v/>
      </c>
      <c r="C140" s="507">
        <f>IF(D93="","-",+C139+1)</f>
        <v>2055</v>
      </c>
      <c r="D140" s="374">
        <f>IF(F139+SUM(E$99:E139)=D$92,F139,D$92-SUM(E$99:E139))</f>
        <v>90324.741552546606</v>
      </c>
      <c r="E140" s="522">
        <f t="shared" si="30"/>
        <v>90324.741552546606</v>
      </c>
      <c r="F140" s="523">
        <f t="shared" si="31"/>
        <v>0</v>
      </c>
      <c r="G140" s="523">
        <f t="shared" si="32"/>
        <v>45162.370776273303</v>
      </c>
      <c r="H140" s="526">
        <f t="shared" si="33"/>
        <v>95451.313132331619</v>
      </c>
      <c r="I140" s="577">
        <f t="shared" si="34"/>
        <v>95451.313132331619</v>
      </c>
      <c r="J140" s="514">
        <f t="shared" si="27"/>
        <v>0</v>
      </c>
      <c r="K140" s="514"/>
      <c r="L140" s="525"/>
      <c r="M140" s="514">
        <f t="shared" si="36"/>
        <v>0</v>
      </c>
      <c r="N140" s="525"/>
      <c r="O140" s="514">
        <f t="shared" si="37"/>
        <v>0</v>
      </c>
      <c r="P140" s="514">
        <f t="shared" si="38"/>
        <v>0</v>
      </c>
    </row>
    <row r="141" spans="2:16" ht="12.5">
      <c r="B141" s="195" t="str">
        <f t="shared" si="26"/>
        <v/>
      </c>
      <c r="C141" s="507">
        <f>IF(D93="","-",+C140+1)</f>
        <v>2056</v>
      </c>
      <c r="D141" s="374">
        <f>IF(F140+SUM(E$99:E140)=D$92,F140,D$92-SUM(E$99:E140))</f>
        <v>0</v>
      </c>
      <c r="E141" s="522">
        <f t="shared" si="30"/>
        <v>0</v>
      </c>
      <c r="F141" s="523">
        <f t="shared" si="31"/>
        <v>0</v>
      </c>
      <c r="G141" s="523">
        <f t="shared" si="32"/>
        <v>0</v>
      </c>
      <c r="H141" s="526">
        <f t="shared" si="33"/>
        <v>0</v>
      </c>
      <c r="I141" s="577">
        <f t="shared" si="34"/>
        <v>0</v>
      </c>
      <c r="J141" s="514">
        <f t="shared" si="27"/>
        <v>0</v>
      </c>
      <c r="K141" s="514"/>
      <c r="L141" s="525"/>
      <c r="M141" s="514">
        <f t="shared" si="36"/>
        <v>0</v>
      </c>
      <c r="N141" s="525"/>
      <c r="O141" s="514">
        <f t="shared" si="37"/>
        <v>0</v>
      </c>
      <c r="P141" s="514">
        <f t="shared" si="38"/>
        <v>0</v>
      </c>
    </row>
    <row r="142" spans="2:16" ht="12.5">
      <c r="B142" s="195" t="str">
        <f t="shared" si="26"/>
        <v/>
      </c>
      <c r="C142" s="507">
        <f>IF(D93="","-",+C141+1)</f>
        <v>2057</v>
      </c>
      <c r="D142" s="374">
        <f>IF(F141+SUM(E$99:E141)=D$92,F141,D$92-SUM(E$99:E141))</f>
        <v>0</v>
      </c>
      <c r="E142" s="522">
        <f t="shared" si="30"/>
        <v>0</v>
      </c>
      <c r="F142" s="523">
        <f t="shared" si="31"/>
        <v>0</v>
      </c>
      <c r="G142" s="523">
        <f t="shared" si="32"/>
        <v>0</v>
      </c>
      <c r="H142" s="526">
        <f t="shared" si="33"/>
        <v>0</v>
      </c>
      <c r="I142" s="577">
        <f t="shared" si="34"/>
        <v>0</v>
      </c>
      <c r="J142" s="514">
        <f t="shared" si="27"/>
        <v>0</v>
      </c>
      <c r="K142" s="514"/>
      <c r="L142" s="525"/>
      <c r="M142" s="514">
        <f t="shared" si="36"/>
        <v>0</v>
      </c>
      <c r="N142" s="525"/>
      <c r="O142" s="514">
        <f t="shared" si="37"/>
        <v>0</v>
      </c>
      <c r="P142" s="514">
        <f t="shared" si="38"/>
        <v>0</v>
      </c>
    </row>
    <row r="143" spans="2:16" ht="12.5">
      <c r="B143" s="195" t="str">
        <f t="shared" si="26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30"/>
        <v>0</v>
      </c>
      <c r="F143" s="523">
        <f t="shared" si="31"/>
        <v>0</v>
      </c>
      <c r="G143" s="523">
        <f t="shared" si="32"/>
        <v>0</v>
      </c>
      <c r="H143" s="526">
        <f t="shared" si="33"/>
        <v>0</v>
      </c>
      <c r="I143" s="577">
        <f t="shared" si="34"/>
        <v>0</v>
      </c>
      <c r="J143" s="514">
        <f t="shared" si="27"/>
        <v>0</v>
      </c>
      <c r="K143" s="514"/>
      <c r="L143" s="525"/>
      <c r="M143" s="514">
        <f t="shared" si="36"/>
        <v>0</v>
      </c>
      <c r="N143" s="525"/>
      <c r="O143" s="514">
        <f t="shared" si="37"/>
        <v>0</v>
      </c>
      <c r="P143" s="514">
        <f t="shared" si="38"/>
        <v>0</v>
      </c>
    </row>
    <row r="144" spans="2:16" ht="12.5">
      <c r="B144" s="195" t="str">
        <f t="shared" si="26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30"/>
        <v>0</v>
      </c>
      <c r="F144" s="523">
        <f t="shared" si="31"/>
        <v>0</v>
      </c>
      <c r="G144" s="523">
        <f t="shared" si="32"/>
        <v>0</v>
      </c>
      <c r="H144" s="526">
        <f t="shared" si="33"/>
        <v>0</v>
      </c>
      <c r="I144" s="577">
        <f t="shared" si="34"/>
        <v>0</v>
      </c>
      <c r="J144" s="514">
        <f t="shared" si="27"/>
        <v>0</v>
      </c>
      <c r="K144" s="514"/>
      <c r="L144" s="525"/>
      <c r="M144" s="514">
        <f t="shared" si="36"/>
        <v>0</v>
      </c>
      <c r="N144" s="525"/>
      <c r="O144" s="514">
        <f t="shared" si="37"/>
        <v>0</v>
      </c>
      <c r="P144" s="514">
        <f t="shared" si="38"/>
        <v>0</v>
      </c>
    </row>
    <row r="145" spans="2:16" ht="12.5">
      <c r="B145" s="195" t="str">
        <f t="shared" si="26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30"/>
        <v>0</v>
      </c>
      <c r="F145" s="523">
        <f t="shared" si="31"/>
        <v>0</v>
      </c>
      <c r="G145" s="523">
        <f t="shared" si="32"/>
        <v>0</v>
      </c>
      <c r="H145" s="526">
        <f t="shared" si="33"/>
        <v>0</v>
      </c>
      <c r="I145" s="577">
        <f t="shared" si="34"/>
        <v>0</v>
      </c>
      <c r="J145" s="514">
        <f t="shared" si="27"/>
        <v>0</v>
      </c>
      <c r="K145" s="514"/>
      <c r="L145" s="525"/>
      <c r="M145" s="514">
        <f t="shared" si="36"/>
        <v>0</v>
      </c>
      <c r="N145" s="525"/>
      <c r="O145" s="514">
        <f t="shared" si="37"/>
        <v>0</v>
      </c>
      <c r="P145" s="514">
        <f t="shared" si="38"/>
        <v>0</v>
      </c>
    </row>
    <row r="146" spans="2:16" ht="12.5">
      <c r="B146" s="195" t="str">
        <f t="shared" si="26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30"/>
        <v>0</v>
      </c>
      <c r="F146" s="523">
        <f t="shared" si="31"/>
        <v>0</v>
      </c>
      <c r="G146" s="523">
        <f t="shared" si="32"/>
        <v>0</v>
      </c>
      <c r="H146" s="526">
        <f t="shared" si="33"/>
        <v>0</v>
      </c>
      <c r="I146" s="577">
        <f t="shared" si="34"/>
        <v>0</v>
      </c>
      <c r="J146" s="514">
        <f t="shared" si="27"/>
        <v>0</v>
      </c>
      <c r="K146" s="514"/>
      <c r="L146" s="525"/>
      <c r="M146" s="514">
        <f t="shared" si="36"/>
        <v>0</v>
      </c>
      <c r="N146" s="525"/>
      <c r="O146" s="514">
        <f t="shared" si="37"/>
        <v>0</v>
      </c>
      <c r="P146" s="514">
        <f t="shared" si="38"/>
        <v>0</v>
      </c>
    </row>
    <row r="147" spans="2:16" ht="12.5">
      <c r="B147" s="195" t="str">
        <f t="shared" si="26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30"/>
        <v>0</v>
      </c>
      <c r="F147" s="523">
        <f t="shared" si="31"/>
        <v>0</v>
      </c>
      <c r="G147" s="523">
        <f t="shared" si="32"/>
        <v>0</v>
      </c>
      <c r="H147" s="526">
        <f t="shared" si="33"/>
        <v>0</v>
      </c>
      <c r="I147" s="577">
        <f t="shared" si="34"/>
        <v>0</v>
      </c>
      <c r="J147" s="514">
        <f t="shared" si="27"/>
        <v>0</v>
      </c>
      <c r="K147" s="514"/>
      <c r="L147" s="525"/>
      <c r="M147" s="514">
        <f t="shared" si="36"/>
        <v>0</v>
      </c>
      <c r="N147" s="525"/>
      <c r="O147" s="514">
        <f t="shared" si="37"/>
        <v>0</v>
      </c>
      <c r="P147" s="514">
        <f t="shared" si="38"/>
        <v>0</v>
      </c>
    </row>
    <row r="148" spans="2:16" ht="12.5">
      <c r="B148" s="195" t="str">
        <f t="shared" si="26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30"/>
        <v>0</v>
      </c>
      <c r="F148" s="523">
        <f t="shared" si="31"/>
        <v>0</v>
      </c>
      <c r="G148" s="523">
        <f t="shared" si="32"/>
        <v>0</v>
      </c>
      <c r="H148" s="526">
        <f t="shared" si="33"/>
        <v>0</v>
      </c>
      <c r="I148" s="577">
        <f t="shared" si="34"/>
        <v>0</v>
      </c>
      <c r="J148" s="514">
        <f t="shared" si="27"/>
        <v>0</v>
      </c>
      <c r="K148" s="514"/>
      <c r="L148" s="525"/>
      <c r="M148" s="514">
        <f t="shared" si="36"/>
        <v>0</v>
      </c>
      <c r="N148" s="525"/>
      <c r="O148" s="514">
        <f t="shared" si="37"/>
        <v>0</v>
      </c>
      <c r="P148" s="514">
        <f t="shared" si="38"/>
        <v>0</v>
      </c>
    </row>
    <row r="149" spans="2:16" ht="12.5">
      <c r="B149" s="195" t="str">
        <f t="shared" si="26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30"/>
        <v>0</v>
      </c>
      <c r="F149" s="523">
        <f t="shared" si="31"/>
        <v>0</v>
      </c>
      <c r="G149" s="523">
        <f t="shared" si="32"/>
        <v>0</v>
      </c>
      <c r="H149" s="526">
        <f t="shared" si="33"/>
        <v>0</v>
      </c>
      <c r="I149" s="577">
        <f t="shared" si="34"/>
        <v>0</v>
      </c>
      <c r="J149" s="514">
        <f t="shared" si="27"/>
        <v>0</v>
      </c>
      <c r="K149" s="514"/>
      <c r="L149" s="525"/>
      <c r="M149" s="514">
        <f t="shared" si="36"/>
        <v>0</v>
      </c>
      <c r="N149" s="525"/>
      <c r="O149" s="514">
        <f t="shared" si="37"/>
        <v>0</v>
      </c>
      <c r="P149" s="514">
        <f t="shared" si="38"/>
        <v>0</v>
      </c>
    </row>
    <row r="150" spans="2:16" ht="12.5">
      <c r="B150" s="195" t="str">
        <f t="shared" si="26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30"/>
        <v>0</v>
      </c>
      <c r="F150" s="523">
        <f t="shared" si="31"/>
        <v>0</v>
      </c>
      <c r="G150" s="523">
        <f t="shared" si="32"/>
        <v>0</v>
      </c>
      <c r="H150" s="526">
        <f t="shared" si="33"/>
        <v>0</v>
      </c>
      <c r="I150" s="577">
        <f t="shared" si="34"/>
        <v>0</v>
      </c>
      <c r="J150" s="514">
        <f t="shared" si="27"/>
        <v>0</v>
      </c>
      <c r="K150" s="514"/>
      <c r="L150" s="525"/>
      <c r="M150" s="514">
        <f t="shared" si="36"/>
        <v>0</v>
      </c>
      <c r="N150" s="525"/>
      <c r="O150" s="514">
        <f t="shared" si="37"/>
        <v>0</v>
      </c>
      <c r="P150" s="514">
        <f t="shared" si="38"/>
        <v>0</v>
      </c>
    </row>
    <row r="151" spans="2:16" ht="12.5">
      <c r="B151" s="195" t="str">
        <f t="shared" si="26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30"/>
        <v>0</v>
      </c>
      <c r="F151" s="523">
        <f t="shared" si="31"/>
        <v>0</v>
      </c>
      <c r="G151" s="523">
        <f t="shared" si="32"/>
        <v>0</v>
      </c>
      <c r="H151" s="526">
        <f t="shared" si="33"/>
        <v>0</v>
      </c>
      <c r="I151" s="577">
        <f t="shared" si="34"/>
        <v>0</v>
      </c>
      <c r="J151" s="514">
        <f t="shared" si="27"/>
        <v>0</v>
      </c>
      <c r="K151" s="514"/>
      <c r="L151" s="525"/>
      <c r="M151" s="514">
        <f t="shared" si="36"/>
        <v>0</v>
      </c>
      <c r="N151" s="525"/>
      <c r="O151" s="514">
        <f t="shared" si="37"/>
        <v>0</v>
      </c>
      <c r="P151" s="514">
        <f t="shared" si="38"/>
        <v>0</v>
      </c>
    </row>
    <row r="152" spans="2:16" ht="12.5">
      <c r="B152" s="195" t="str">
        <f t="shared" si="26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30"/>
        <v>0</v>
      </c>
      <c r="F152" s="523">
        <f t="shared" si="31"/>
        <v>0</v>
      </c>
      <c r="G152" s="523">
        <f t="shared" si="32"/>
        <v>0</v>
      </c>
      <c r="H152" s="526">
        <f t="shared" si="33"/>
        <v>0</v>
      </c>
      <c r="I152" s="577">
        <f t="shared" si="34"/>
        <v>0</v>
      </c>
      <c r="J152" s="514">
        <f t="shared" si="27"/>
        <v>0</v>
      </c>
      <c r="K152" s="514"/>
      <c r="L152" s="525"/>
      <c r="M152" s="514">
        <f t="shared" si="36"/>
        <v>0</v>
      </c>
      <c r="N152" s="525"/>
      <c r="O152" s="514">
        <f t="shared" si="37"/>
        <v>0</v>
      </c>
      <c r="P152" s="514">
        <f t="shared" si="38"/>
        <v>0</v>
      </c>
    </row>
    <row r="153" spans="2:16" ht="12.5">
      <c r="B153" s="195" t="str">
        <f t="shared" si="26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30"/>
        <v>0</v>
      </c>
      <c r="F153" s="523">
        <f t="shared" si="31"/>
        <v>0</v>
      </c>
      <c r="G153" s="523">
        <f t="shared" si="32"/>
        <v>0</v>
      </c>
      <c r="H153" s="526">
        <f t="shared" si="33"/>
        <v>0</v>
      </c>
      <c r="I153" s="577">
        <f t="shared" si="34"/>
        <v>0</v>
      </c>
      <c r="J153" s="514">
        <f t="shared" si="27"/>
        <v>0</v>
      </c>
      <c r="K153" s="514"/>
      <c r="L153" s="525"/>
      <c r="M153" s="514">
        <f t="shared" si="36"/>
        <v>0</v>
      </c>
      <c r="N153" s="525"/>
      <c r="O153" s="514">
        <f t="shared" si="37"/>
        <v>0</v>
      </c>
      <c r="P153" s="514">
        <f t="shared" si="38"/>
        <v>0</v>
      </c>
    </row>
    <row r="154" spans="2:16" ht="13" thickBot="1">
      <c r="B154" s="195" t="str">
        <f t="shared" si="26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30"/>
        <v>0</v>
      </c>
      <c r="F154" s="523">
        <f t="shared" si="31"/>
        <v>0</v>
      </c>
      <c r="G154" s="523">
        <f t="shared" si="32"/>
        <v>0</v>
      </c>
      <c r="H154" s="526">
        <f t="shared" si="33"/>
        <v>0</v>
      </c>
      <c r="I154" s="577">
        <f t="shared" si="34"/>
        <v>0</v>
      </c>
      <c r="J154" s="514">
        <f t="shared" si="27"/>
        <v>0</v>
      </c>
      <c r="K154" s="514"/>
      <c r="L154" s="532"/>
      <c r="M154" s="533">
        <f t="shared" si="36"/>
        <v>0</v>
      </c>
      <c r="N154" s="532"/>
      <c r="O154" s="533">
        <f t="shared" si="37"/>
        <v>0</v>
      </c>
      <c r="P154" s="533">
        <f t="shared" si="38"/>
        <v>0</v>
      </c>
    </row>
    <row r="155" spans="2:16" ht="12.5">
      <c r="C155" s="374" t="s">
        <v>78</v>
      </c>
      <c r="D155" s="375"/>
      <c r="E155" s="375">
        <f>SUM(E99:E154)</f>
        <v>5289194</v>
      </c>
      <c r="F155" s="375"/>
      <c r="G155" s="375"/>
      <c r="H155" s="375">
        <f>SUM(H99:H154)</f>
        <v>17872481.564203836</v>
      </c>
      <c r="I155" s="375">
        <f>SUM(I99:I154)</f>
        <v>17872481.564203836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6" priority="1" stopIfTrue="1" operator="equal">
      <formula>$I$10</formula>
    </cfRule>
  </conditionalFormatting>
  <conditionalFormatting sqref="C99:C154">
    <cfRule type="cellIs" dxfId="7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92"/>
  <dimension ref="A1:P162"/>
  <sheetViews>
    <sheetView view="pageBreakPreview" zoomScale="82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43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1848781.0485526482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1848781.0485526482</v>
      </c>
      <c r="O6" s="269"/>
      <c r="P6" s="269"/>
    </row>
    <row r="7" spans="1:16" ht="13.5" thickBot="1">
      <c r="C7" s="467" t="s">
        <v>48</v>
      </c>
      <c r="D7" s="624" t="s">
        <v>316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315</v>
      </c>
      <c r="E9" s="637" t="s">
        <v>500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14866883.030000001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2014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353973.4054761905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2014</v>
      </c>
      <c r="D17" s="629">
        <v>14332500</v>
      </c>
      <c r="E17" s="638">
        <v>0</v>
      </c>
      <c r="F17" s="629">
        <v>14332500</v>
      </c>
      <c r="G17" s="638">
        <v>1933604.8594930479</v>
      </c>
      <c r="H17" s="639">
        <v>1933604.8594930479</v>
      </c>
      <c r="I17" s="616">
        <v>0</v>
      </c>
      <c r="J17" s="511"/>
      <c r="K17" s="641">
        <f t="shared" ref="K17:K22" si="0">G17</f>
        <v>1933604.8594930479</v>
      </c>
      <c r="L17" s="642">
        <f t="shared" ref="L17:L22" si="1">IF(K17&lt;&gt;0,+G17-K17,0)</f>
        <v>0</v>
      </c>
      <c r="M17" s="643">
        <f t="shared" ref="M17:M22" si="2">H17</f>
        <v>1933604.8594930479</v>
      </c>
      <c r="N17" s="64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2015</v>
      </c>
      <c r="D18" s="629">
        <v>14332500</v>
      </c>
      <c r="E18" s="630">
        <v>357761.90476190473</v>
      </c>
      <c r="F18" s="629">
        <v>13974738.095238095</v>
      </c>
      <c r="G18" s="630">
        <v>2198302.0042745443</v>
      </c>
      <c r="H18" s="639">
        <v>2198302.0042745443</v>
      </c>
      <c r="I18" s="511">
        <v>0</v>
      </c>
      <c r="J18" s="511"/>
      <c r="K18" s="518">
        <f t="shared" si="0"/>
        <v>2198302.0042745443</v>
      </c>
      <c r="L18" s="519">
        <f t="shared" si="1"/>
        <v>0</v>
      </c>
      <c r="M18" s="518">
        <f t="shared" si="2"/>
        <v>2198302.0042745443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2016</v>
      </c>
      <c r="D19" s="629">
        <v>14668238.095238095</v>
      </c>
      <c r="E19" s="630">
        <v>357761.90476190473</v>
      </c>
      <c r="F19" s="629">
        <v>14310476.19047619</v>
      </c>
      <c r="G19" s="630">
        <v>2219268.2901278744</v>
      </c>
      <c r="H19" s="639">
        <v>2219268.2901278744</v>
      </c>
      <c r="I19" s="511">
        <f>H19-G19</f>
        <v>0</v>
      </c>
      <c r="J19" s="511"/>
      <c r="K19" s="518">
        <f t="shared" si="0"/>
        <v>2219268.2901278744</v>
      </c>
      <c r="L19" s="519">
        <f t="shared" si="1"/>
        <v>0</v>
      </c>
      <c r="M19" s="518">
        <f t="shared" si="2"/>
        <v>2219268.2901278744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3">IF(D20=F19,"","IU")</f>
        <v>IU</v>
      </c>
      <c r="C20" s="507">
        <f>IF(D11="","-",+C19+1)</f>
        <v>2017</v>
      </c>
      <c r="D20" s="629">
        <v>14151359.19047619</v>
      </c>
      <c r="E20" s="630">
        <v>345741.46511627908</v>
      </c>
      <c r="F20" s="629">
        <v>13805617.725359911</v>
      </c>
      <c r="G20" s="630">
        <v>2077571.8162955591</v>
      </c>
      <c r="H20" s="639">
        <v>2077571.8162955591</v>
      </c>
      <c r="I20" s="511">
        <f t="shared" ref="I20:I72" si="4">H20-G20</f>
        <v>0</v>
      </c>
      <c r="J20" s="511"/>
      <c r="K20" s="518">
        <f t="shared" si="0"/>
        <v>2077571.8162955591</v>
      </c>
      <c r="L20" s="519">
        <f t="shared" si="1"/>
        <v>0</v>
      </c>
      <c r="M20" s="518">
        <f t="shared" si="2"/>
        <v>2077571.8162955591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3"/>
        <v/>
      </c>
      <c r="C21" s="507">
        <f>IF(D11="","-",+C20+1)</f>
        <v>2018</v>
      </c>
      <c r="D21" s="629">
        <v>13805617.725359911</v>
      </c>
      <c r="E21" s="630">
        <v>362606.90243902442</v>
      </c>
      <c r="F21" s="629">
        <v>13443010.822920887</v>
      </c>
      <c r="G21" s="630">
        <v>2094176.8486263207</v>
      </c>
      <c r="H21" s="639">
        <v>2094176.8486263207</v>
      </c>
      <c r="I21" s="511">
        <f t="shared" si="4"/>
        <v>0</v>
      </c>
      <c r="J21" s="511"/>
      <c r="K21" s="518">
        <f t="shared" si="0"/>
        <v>2094176.8486263207</v>
      </c>
      <c r="L21" s="519">
        <f t="shared" si="1"/>
        <v>0</v>
      </c>
      <c r="M21" s="518">
        <f t="shared" si="2"/>
        <v>2094176.8486263207</v>
      </c>
      <c r="N21" s="514">
        <f>IF(M21&lt;&gt;0,+H21-M21,0)</f>
        <v>0</v>
      </c>
      <c r="O21" s="514">
        <f>+N21-L21</f>
        <v>0</v>
      </c>
      <c r="P21" s="272"/>
    </row>
    <row r="22" spans="2:16" ht="12.5">
      <c r="B22" s="195" t="str">
        <f t="shared" si="3"/>
        <v/>
      </c>
      <c r="C22" s="507">
        <f>IF(D11="","-",+C21+1)</f>
        <v>2019</v>
      </c>
      <c r="D22" s="629">
        <v>13443010.822920887</v>
      </c>
      <c r="E22" s="630">
        <v>362606.90243902442</v>
      </c>
      <c r="F22" s="629">
        <v>13080403.920481863</v>
      </c>
      <c r="G22" s="630">
        <v>2048091.6510956655</v>
      </c>
      <c r="H22" s="639">
        <v>2048091.6510956655</v>
      </c>
      <c r="I22" s="511">
        <f t="shared" si="4"/>
        <v>0</v>
      </c>
      <c r="J22" s="511"/>
      <c r="K22" s="518">
        <f t="shared" si="0"/>
        <v>2048091.6510956655</v>
      </c>
      <c r="L22" s="519">
        <f t="shared" si="1"/>
        <v>0</v>
      </c>
      <c r="M22" s="518">
        <f t="shared" si="2"/>
        <v>2048091.6510956655</v>
      </c>
      <c r="N22" s="514">
        <f t="shared" ref="N22:N72" si="5">IF(M22&lt;&gt;0,+H22-M22,0)</f>
        <v>0</v>
      </c>
      <c r="O22" s="514">
        <f t="shared" ref="O22:O72" si="6">+N22-L22</f>
        <v>0</v>
      </c>
      <c r="P22" s="272"/>
    </row>
    <row r="23" spans="2:16" ht="12.5">
      <c r="B23" s="195" t="str">
        <f t="shared" si="3"/>
        <v/>
      </c>
      <c r="C23" s="507">
        <f>IF(D11="","-",+C22+1)</f>
        <v>2020</v>
      </c>
      <c r="D23" s="629">
        <v>13080403.920481863</v>
      </c>
      <c r="E23" s="630">
        <v>362606.90243902442</v>
      </c>
      <c r="F23" s="629">
        <v>12717797.018042838</v>
      </c>
      <c r="G23" s="630">
        <v>1682642.2217511837</v>
      </c>
      <c r="H23" s="639">
        <v>1682642.2217511837</v>
      </c>
      <c r="I23" s="511">
        <f t="shared" si="4"/>
        <v>0</v>
      </c>
      <c r="J23" s="511"/>
      <c r="K23" s="518">
        <f t="shared" ref="K23" si="7">G23</f>
        <v>1682642.2217511837</v>
      </c>
      <c r="L23" s="519">
        <f t="shared" ref="L23" si="8">IF(K23&lt;&gt;0,+G23-K23,0)</f>
        <v>0</v>
      </c>
      <c r="M23" s="518">
        <f t="shared" ref="M23" si="9">H23</f>
        <v>1682642.2217511837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3"/>
        <v>IU</v>
      </c>
      <c r="C24" s="507">
        <f>IF(D11="","-",+C23+1)</f>
        <v>2021</v>
      </c>
      <c r="D24" s="629">
        <v>12736606.246063258</v>
      </c>
      <c r="E24" s="630">
        <v>353973.40476190473</v>
      </c>
      <c r="F24" s="629">
        <v>12382632.841301354</v>
      </c>
      <c r="G24" s="630">
        <v>1685350.1603983724</v>
      </c>
      <c r="H24" s="639">
        <v>1685350.1603983724</v>
      </c>
      <c r="I24" s="511">
        <f t="shared" si="4"/>
        <v>0</v>
      </c>
      <c r="J24" s="511"/>
      <c r="K24" s="518">
        <f t="shared" ref="K24" si="10">G24</f>
        <v>1685350.1603983724</v>
      </c>
      <c r="L24" s="519">
        <f t="shared" ref="L24" si="11">IF(K24&lt;&gt;0,+G24-K24,0)</f>
        <v>0</v>
      </c>
      <c r="M24" s="518">
        <f t="shared" ref="M24" si="12">H24</f>
        <v>1685350.1603983724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3"/>
        <v>IU</v>
      </c>
      <c r="C25" s="507">
        <f>IF(D11="","-",+C24+1)</f>
        <v>2022</v>
      </c>
      <c r="D25" s="629">
        <v>12363823.613280933</v>
      </c>
      <c r="E25" s="630">
        <v>353973.40476190473</v>
      </c>
      <c r="F25" s="629">
        <v>12009850.208519028</v>
      </c>
      <c r="G25" s="630">
        <v>1724311.275069321</v>
      </c>
      <c r="H25" s="639">
        <v>1724311.275069321</v>
      </c>
      <c r="I25" s="511">
        <f t="shared" si="4"/>
        <v>0</v>
      </c>
      <c r="J25" s="511"/>
      <c r="K25" s="518">
        <f t="shared" ref="K25" si="13">G25</f>
        <v>1724311.275069321</v>
      </c>
      <c r="L25" s="519">
        <f t="shared" ref="L25" si="14">IF(K25&lt;&gt;0,+G25-K25,0)</f>
        <v>0</v>
      </c>
      <c r="M25" s="518">
        <f t="shared" ref="M25" si="15">H25</f>
        <v>1724311.275069321</v>
      </c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3"/>
        <v>IU</v>
      </c>
      <c r="C26" s="507">
        <f>IF(D11="","-",+C25+1)</f>
        <v>2023</v>
      </c>
      <c r="D26" s="523">
        <f>IF(F25+SUM(E$17:E25)=D$10,F25,D$10-SUM(E$17:E25))</f>
        <v>12009850.23851903</v>
      </c>
      <c r="E26" s="522">
        <f t="shared" ref="E26:E72" si="16">IF(+$I$14&lt;F25,$I$14,D26)</f>
        <v>353973.4054761905</v>
      </c>
      <c r="F26" s="523">
        <f t="shared" ref="F26:F72" si="17">+D26-E26</f>
        <v>11655876.83304284</v>
      </c>
      <c r="G26" s="524">
        <f t="shared" ref="G26:G51" si="18">+I$12*((D26+F26)/2)+E26</f>
        <v>1848781.0485526482</v>
      </c>
      <c r="H26" s="491">
        <f t="shared" ref="H26:H51" si="19">+I$13*((D26+F26)/2)+E26</f>
        <v>1848781.0485526482</v>
      </c>
      <c r="I26" s="511">
        <f t="shared" si="4"/>
        <v>0</v>
      </c>
      <c r="J26" s="511"/>
      <c r="K26" s="525"/>
      <c r="L26" s="514">
        <f t="shared" ref="L26:L72" si="20">IF(K26&lt;&gt;0,+G26-K26,0)</f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3"/>
        <v/>
      </c>
      <c r="C27" s="507">
        <f>IF(D11="","-",+C26+1)</f>
        <v>2024</v>
      </c>
      <c r="D27" s="523">
        <f>IF(F26+SUM(E$17:E26)=D$10,F26,D$10-SUM(E$17:E26))</f>
        <v>11655876.83304284</v>
      </c>
      <c r="E27" s="522">
        <f t="shared" si="16"/>
        <v>353973.4054761905</v>
      </c>
      <c r="F27" s="523">
        <f t="shared" si="17"/>
        <v>11301903.427566649</v>
      </c>
      <c r="G27" s="524">
        <f t="shared" si="18"/>
        <v>1804064.7252086313</v>
      </c>
      <c r="H27" s="491">
        <f t="shared" si="19"/>
        <v>1804064.7252086313</v>
      </c>
      <c r="I27" s="511">
        <f t="shared" si="4"/>
        <v>0</v>
      </c>
      <c r="J27" s="511"/>
      <c r="K27" s="525"/>
      <c r="L27" s="514">
        <f t="shared" si="20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3"/>
        <v/>
      </c>
      <c r="C28" s="507">
        <f>IF(D11="","-",+C27+1)</f>
        <v>2025</v>
      </c>
      <c r="D28" s="523">
        <f>IF(F27+SUM(E$17:E27)=D$10,F27,D$10-SUM(E$17:E27))</f>
        <v>11301903.427566649</v>
      </c>
      <c r="E28" s="522">
        <f t="shared" si="16"/>
        <v>353973.4054761905</v>
      </c>
      <c r="F28" s="523">
        <f t="shared" si="17"/>
        <v>10947930.022090459</v>
      </c>
      <c r="G28" s="524">
        <f t="shared" si="18"/>
        <v>1759348.4018646139</v>
      </c>
      <c r="H28" s="491">
        <f t="shared" si="19"/>
        <v>1759348.4018646139</v>
      </c>
      <c r="I28" s="511">
        <f t="shared" si="4"/>
        <v>0</v>
      </c>
      <c r="J28" s="511"/>
      <c r="K28" s="525"/>
      <c r="L28" s="514">
        <f t="shared" si="20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3"/>
        <v/>
      </c>
      <c r="C29" s="507">
        <f>IF(D11="","-",+C28+1)</f>
        <v>2026</v>
      </c>
      <c r="D29" s="523">
        <f>IF(F28+SUM(E$17:E28)=D$10,F28,D$10-SUM(E$17:E28))</f>
        <v>10947930.022090459</v>
      </c>
      <c r="E29" s="522">
        <f t="shared" si="16"/>
        <v>353973.4054761905</v>
      </c>
      <c r="F29" s="523">
        <f t="shared" si="17"/>
        <v>10593956.616614269</v>
      </c>
      <c r="G29" s="524">
        <f t="shared" si="18"/>
        <v>1714632.0785205965</v>
      </c>
      <c r="H29" s="491">
        <f t="shared" si="19"/>
        <v>1714632.0785205965</v>
      </c>
      <c r="I29" s="511">
        <f t="shared" si="4"/>
        <v>0</v>
      </c>
      <c r="J29" s="511"/>
      <c r="K29" s="525"/>
      <c r="L29" s="514">
        <f t="shared" si="20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3"/>
        <v/>
      </c>
      <c r="C30" s="507">
        <f>IF(D11="","-",+C29+1)</f>
        <v>2027</v>
      </c>
      <c r="D30" s="523">
        <f>IF(F29+SUM(E$17:E29)=D$10,F29,D$10-SUM(E$17:E29))</f>
        <v>10593956.616614269</v>
      </c>
      <c r="E30" s="522">
        <f t="shared" si="16"/>
        <v>353973.4054761905</v>
      </c>
      <c r="F30" s="523">
        <f t="shared" si="17"/>
        <v>10239983.211138079</v>
      </c>
      <c r="G30" s="524">
        <f t="shared" si="18"/>
        <v>1669915.7551765796</v>
      </c>
      <c r="H30" s="491">
        <f t="shared" si="19"/>
        <v>1669915.7551765796</v>
      </c>
      <c r="I30" s="511">
        <f t="shared" si="4"/>
        <v>0</v>
      </c>
      <c r="J30" s="511"/>
      <c r="K30" s="525"/>
      <c r="L30" s="514">
        <f t="shared" si="20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3"/>
        <v/>
      </c>
      <c r="C31" s="507">
        <f>IF(D11="","-",+C30+1)</f>
        <v>2028</v>
      </c>
      <c r="D31" s="523">
        <f>IF(F30+SUM(E$17:E30)=D$10,F30,D$10-SUM(E$17:E30))</f>
        <v>10239983.211138079</v>
      </c>
      <c r="E31" s="522">
        <f t="shared" si="16"/>
        <v>353973.4054761905</v>
      </c>
      <c r="F31" s="523">
        <f t="shared" si="17"/>
        <v>9886009.8056618888</v>
      </c>
      <c r="G31" s="524">
        <f t="shared" si="18"/>
        <v>1625199.4318325622</v>
      </c>
      <c r="H31" s="491">
        <f t="shared" si="19"/>
        <v>1625199.4318325622</v>
      </c>
      <c r="I31" s="511">
        <f t="shared" si="4"/>
        <v>0</v>
      </c>
      <c r="J31" s="511"/>
      <c r="K31" s="525"/>
      <c r="L31" s="514">
        <f t="shared" si="20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3"/>
        <v/>
      </c>
      <c r="C32" s="507">
        <f>IF(D11="","-",+C31+1)</f>
        <v>2029</v>
      </c>
      <c r="D32" s="523">
        <f>IF(F31+SUM(E$17:E31)=D$10,F31,D$10-SUM(E$17:E31))</f>
        <v>9886009.8056618888</v>
      </c>
      <c r="E32" s="522">
        <f t="shared" si="16"/>
        <v>353973.4054761905</v>
      </c>
      <c r="F32" s="523">
        <f t="shared" si="17"/>
        <v>9532036.4001856986</v>
      </c>
      <c r="G32" s="524">
        <f t="shared" si="18"/>
        <v>1580483.1084885448</v>
      </c>
      <c r="H32" s="491">
        <f t="shared" si="19"/>
        <v>1580483.1084885448</v>
      </c>
      <c r="I32" s="511">
        <f t="shared" si="4"/>
        <v>0</v>
      </c>
      <c r="J32" s="511"/>
      <c r="K32" s="525"/>
      <c r="L32" s="514">
        <f t="shared" si="20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3"/>
        <v/>
      </c>
      <c r="C33" s="507">
        <f>IF(D11="","-",+C32+1)</f>
        <v>2030</v>
      </c>
      <c r="D33" s="523">
        <f>IF(F32+SUM(E$17:E32)=D$10,F32,D$10-SUM(E$17:E32))</f>
        <v>9532036.4001856986</v>
      </c>
      <c r="E33" s="522">
        <f t="shared" si="16"/>
        <v>353973.4054761905</v>
      </c>
      <c r="F33" s="523">
        <f t="shared" si="17"/>
        <v>9178062.9947095085</v>
      </c>
      <c r="G33" s="524">
        <f t="shared" si="18"/>
        <v>1535766.7851445279</v>
      </c>
      <c r="H33" s="491">
        <f t="shared" si="19"/>
        <v>1535766.7851445279</v>
      </c>
      <c r="I33" s="511">
        <f t="shared" si="4"/>
        <v>0</v>
      </c>
      <c r="J33" s="511"/>
      <c r="K33" s="525"/>
      <c r="L33" s="514">
        <f t="shared" si="20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3"/>
        <v/>
      </c>
      <c r="C34" s="507">
        <f>IF(D11="","-",+C33+1)</f>
        <v>2031</v>
      </c>
      <c r="D34" s="523">
        <f>IF(F33+SUM(E$17:E33)=D$10,F33,D$10-SUM(E$17:E33))</f>
        <v>9178062.9947095085</v>
      </c>
      <c r="E34" s="522">
        <f t="shared" si="16"/>
        <v>353973.4054761905</v>
      </c>
      <c r="F34" s="523">
        <f t="shared" si="17"/>
        <v>8824089.5892333183</v>
      </c>
      <c r="G34" s="524">
        <f t="shared" si="18"/>
        <v>1491050.4618005105</v>
      </c>
      <c r="H34" s="491">
        <f t="shared" si="19"/>
        <v>1491050.4618005105</v>
      </c>
      <c r="I34" s="511">
        <f t="shared" si="4"/>
        <v>0</v>
      </c>
      <c r="J34" s="511"/>
      <c r="K34" s="525"/>
      <c r="L34" s="514">
        <f t="shared" si="20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3"/>
        <v/>
      </c>
      <c r="C35" s="507">
        <f>IF(D11="","-",+C34+1)</f>
        <v>2032</v>
      </c>
      <c r="D35" s="523">
        <f>IF(F34+SUM(E$17:E34)=D$10,F34,D$10-SUM(E$17:E34))</f>
        <v>8824089.5892333183</v>
      </c>
      <c r="E35" s="522">
        <f t="shared" si="16"/>
        <v>353973.4054761905</v>
      </c>
      <c r="F35" s="523">
        <f t="shared" si="17"/>
        <v>8470116.1837571282</v>
      </c>
      <c r="G35" s="524">
        <f t="shared" si="18"/>
        <v>1446334.1384564932</v>
      </c>
      <c r="H35" s="491">
        <f t="shared" si="19"/>
        <v>1446334.1384564932</v>
      </c>
      <c r="I35" s="511">
        <f t="shared" si="4"/>
        <v>0</v>
      </c>
      <c r="J35" s="511"/>
      <c r="K35" s="525"/>
      <c r="L35" s="514">
        <f t="shared" si="20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3"/>
        <v/>
      </c>
      <c r="C36" s="507">
        <f>IF(D11="","-",+C35+1)</f>
        <v>2033</v>
      </c>
      <c r="D36" s="523">
        <f>IF(F35+SUM(E$17:E35)=D$10,F35,D$10-SUM(E$17:E35))</f>
        <v>8470116.1837571282</v>
      </c>
      <c r="E36" s="522">
        <f t="shared" si="16"/>
        <v>353973.4054761905</v>
      </c>
      <c r="F36" s="523">
        <f t="shared" si="17"/>
        <v>8116142.778280938</v>
      </c>
      <c r="G36" s="524">
        <f t="shared" si="18"/>
        <v>1401617.8151124762</v>
      </c>
      <c r="H36" s="491">
        <f t="shared" si="19"/>
        <v>1401617.8151124762</v>
      </c>
      <c r="I36" s="511">
        <f t="shared" si="4"/>
        <v>0</v>
      </c>
      <c r="J36" s="511"/>
      <c r="K36" s="525"/>
      <c r="L36" s="514">
        <f t="shared" si="20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3"/>
        <v/>
      </c>
      <c r="C37" s="507">
        <f>IF(D11="","-",+C36+1)</f>
        <v>2034</v>
      </c>
      <c r="D37" s="523">
        <f>IF(F36+SUM(E$17:E36)=D$10,F36,D$10-SUM(E$17:E36))</f>
        <v>8116142.778280938</v>
      </c>
      <c r="E37" s="522">
        <f t="shared" si="16"/>
        <v>353973.4054761905</v>
      </c>
      <c r="F37" s="523">
        <f t="shared" si="17"/>
        <v>7762169.3728047479</v>
      </c>
      <c r="G37" s="524">
        <f t="shared" si="18"/>
        <v>1356901.4917684589</v>
      </c>
      <c r="H37" s="491">
        <f t="shared" si="19"/>
        <v>1356901.4917684589</v>
      </c>
      <c r="I37" s="511">
        <f t="shared" si="4"/>
        <v>0</v>
      </c>
      <c r="J37" s="511"/>
      <c r="K37" s="525"/>
      <c r="L37" s="514">
        <f t="shared" si="20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3"/>
        <v/>
      </c>
      <c r="C38" s="507">
        <f>IF(D11="","-",+C37+1)</f>
        <v>2035</v>
      </c>
      <c r="D38" s="523">
        <f>IF(F37+SUM(E$17:E37)=D$10,F37,D$10-SUM(E$17:E37))</f>
        <v>7762169.3728047479</v>
      </c>
      <c r="E38" s="522">
        <f t="shared" si="16"/>
        <v>353973.4054761905</v>
      </c>
      <c r="F38" s="523">
        <f t="shared" si="17"/>
        <v>7408195.9673285577</v>
      </c>
      <c r="G38" s="524">
        <f t="shared" si="18"/>
        <v>1312185.1684244417</v>
      </c>
      <c r="H38" s="491">
        <f t="shared" si="19"/>
        <v>1312185.1684244417</v>
      </c>
      <c r="I38" s="511">
        <f t="shared" si="4"/>
        <v>0</v>
      </c>
      <c r="J38" s="511"/>
      <c r="K38" s="525"/>
      <c r="L38" s="514">
        <f t="shared" si="20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3"/>
        <v/>
      </c>
      <c r="C39" s="507">
        <f>IF(D11="","-",+C38+1)</f>
        <v>2036</v>
      </c>
      <c r="D39" s="523">
        <f>IF(F38+SUM(E$17:E38)=D$10,F38,D$10-SUM(E$17:E38))</f>
        <v>7408195.9673285577</v>
      </c>
      <c r="E39" s="522">
        <f t="shared" si="16"/>
        <v>353973.4054761905</v>
      </c>
      <c r="F39" s="523">
        <f t="shared" si="17"/>
        <v>7054222.5618523676</v>
      </c>
      <c r="G39" s="524">
        <f t="shared" si="18"/>
        <v>1267468.8450804246</v>
      </c>
      <c r="H39" s="491">
        <f t="shared" si="19"/>
        <v>1267468.8450804246</v>
      </c>
      <c r="I39" s="511">
        <f t="shared" si="4"/>
        <v>0</v>
      </c>
      <c r="J39" s="511"/>
      <c r="K39" s="525"/>
      <c r="L39" s="514">
        <f t="shared" si="20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3"/>
        <v/>
      </c>
      <c r="C40" s="507">
        <f>IF(D11="","-",+C39+1)</f>
        <v>2037</v>
      </c>
      <c r="D40" s="523">
        <f>IF(F39+SUM(E$17:E39)=D$10,F39,D$10-SUM(E$17:E39))</f>
        <v>7054222.5618523676</v>
      </c>
      <c r="E40" s="522">
        <f t="shared" si="16"/>
        <v>353973.4054761905</v>
      </c>
      <c r="F40" s="523">
        <f t="shared" si="17"/>
        <v>6700249.1563761774</v>
      </c>
      <c r="G40" s="524">
        <f t="shared" si="18"/>
        <v>1222752.5217364072</v>
      </c>
      <c r="H40" s="491">
        <f t="shared" si="19"/>
        <v>1222752.5217364072</v>
      </c>
      <c r="I40" s="511">
        <f t="shared" si="4"/>
        <v>0</v>
      </c>
      <c r="J40" s="511"/>
      <c r="K40" s="525"/>
      <c r="L40" s="514">
        <f t="shared" si="20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3"/>
        <v/>
      </c>
      <c r="C41" s="507">
        <f>IF(D11="","-",+C40+1)</f>
        <v>2038</v>
      </c>
      <c r="D41" s="523">
        <f>IF(F40+SUM(E$17:E40)=D$10,F40,D$10-SUM(E$17:E40))</f>
        <v>6700249.1563761774</v>
      </c>
      <c r="E41" s="522">
        <f t="shared" si="16"/>
        <v>353973.4054761905</v>
      </c>
      <c r="F41" s="523">
        <f t="shared" si="17"/>
        <v>6346275.7508999873</v>
      </c>
      <c r="G41" s="524">
        <f t="shared" si="18"/>
        <v>1178036.19839239</v>
      </c>
      <c r="H41" s="491">
        <f t="shared" si="19"/>
        <v>1178036.19839239</v>
      </c>
      <c r="I41" s="511">
        <f t="shared" si="4"/>
        <v>0</v>
      </c>
      <c r="J41" s="511"/>
      <c r="K41" s="525"/>
      <c r="L41" s="514">
        <f t="shared" si="20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3"/>
        <v/>
      </c>
      <c r="C42" s="507">
        <f>IF(D11="","-",+C41+1)</f>
        <v>2039</v>
      </c>
      <c r="D42" s="523">
        <f>IF(F41+SUM(E$17:E41)=D$10,F41,D$10-SUM(E$17:E41))</f>
        <v>6346275.7508999873</v>
      </c>
      <c r="E42" s="522">
        <f t="shared" si="16"/>
        <v>353973.4054761905</v>
      </c>
      <c r="F42" s="523">
        <f t="shared" si="17"/>
        <v>5992302.3454237971</v>
      </c>
      <c r="G42" s="524">
        <f t="shared" si="18"/>
        <v>1133319.8750483729</v>
      </c>
      <c r="H42" s="491">
        <f t="shared" si="19"/>
        <v>1133319.8750483729</v>
      </c>
      <c r="I42" s="511">
        <f t="shared" si="4"/>
        <v>0</v>
      </c>
      <c r="J42" s="511"/>
      <c r="K42" s="525"/>
      <c r="L42" s="514">
        <f t="shared" si="20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3"/>
        <v/>
      </c>
      <c r="C43" s="507">
        <f>IF(D11="","-",+C42+1)</f>
        <v>2040</v>
      </c>
      <c r="D43" s="523">
        <f>IF(F42+SUM(E$17:E42)=D$10,F42,D$10-SUM(E$17:E42))</f>
        <v>5992302.3454237971</v>
      </c>
      <c r="E43" s="522">
        <f t="shared" si="16"/>
        <v>353973.4054761905</v>
      </c>
      <c r="F43" s="523">
        <f t="shared" si="17"/>
        <v>5638328.939947607</v>
      </c>
      <c r="G43" s="524">
        <f t="shared" si="18"/>
        <v>1088603.5517043555</v>
      </c>
      <c r="H43" s="491">
        <f t="shared" si="19"/>
        <v>1088603.5517043555</v>
      </c>
      <c r="I43" s="511">
        <f t="shared" si="4"/>
        <v>0</v>
      </c>
      <c r="J43" s="511"/>
      <c r="K43" s="525"/>
      <c r="L43" s="514">
        <f t="shared" si="20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3"/>
        <v/>
      </c>
      <c r="C44" s="507">
        <f>IF(D11="","-",+C43+1)</f>
        <v>2041</v>
      </c>
      <c r="D44" s="523">
        <f>IF(F43+SUM(E$17:E43)=D$10,F43,D$10-SUM(E$17:E43))</f>
        <v>5638328.939947607</v>
      </c>
      <c r="E44" s="522">
        <f t="shared" si="16"/>
        <v>353973.4054761905</v>
      </c>
      <c r="F44" s="523">
        <f t="shared" si="17"/>
        <v>5284355.5344714168</v>
      </c>
      <c r="G44" s="524">
        <f t="shared" si="18"/>
        <v>1043887.2283603384</v>
      </c>
      <c r="H44" s="491">
        <f t="shared" si="19"/>
        <v>1043887.2283603384</v>
      </c>
      <c r="I44" s="511">
        <f t="shared" si="4"/>
        <v>0</v>
      </c>
      <c r="J44" s="511"/>
      <c r="K44" s="525"/>
      <c r="L44" s="514">
        <f t="shared" si="20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3"/>
        <v/>
      </c>
      <c r="C45" s="507">
        <f>IF(D11="","-",+C44+1)</f>
        <v>2042</v>
      </c>
      <c r="D45" s="523">
        <f>IF(F44+SUM(E$17:E44)=D$10,F44,D$10-SUM(E$17:E44))</f>
        <v>5284355.5344714168</v>
      </c>
      <c r="E45" s="522">
        <f t="shared" si="16"/>
        <v>353973.4054761905</v>
      </c>
      <c r="F45" s="523">
        <f t="shared" si="17"/>
        <v>4930382.1289952267</v>
      </c>
      <c r="G45" s="524">
        <f t="shared" si="18"/>
        <v>999170.90501632111</v>
      </c>
      <c r="H45" s="491">
        <f t="shared" si="19"/>
        <v>999170.90501632111</v>
      </c>
      <c r="I45" s="511">
        <f t="shared" si="4"/>
        <v>0</v>
      </c>
      <c r="J45" s="511"/>
      <c r="K45" s="525"/>
      <c r="L45" s="514">
        <f t="shared" si="20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3"/>
        <v/>
      </c>
      <c r="C46" s="507">
        <f>IF(D11="","-",+C45+1)</f>
        <v>2043</v>
      </c>
      <c r="D46" s="523">
        <f>IF(F45+SUM(E$17:E45)=D$10,F45,D$10-SUM(E$17:E45))</f>
        <v>4930382.1289952267</v>
      </c>
      <c r="E46" s="522">
        <f t="shared" si="16"/>
        <v>353973.4054761905</v>
      </c>
      <c r="F46" s="523">
        <f t="shared" si="17"/>
        <v>4576408.7235190365</v>
      </c>
      <c r="G46" s="524">
        <f t="shared" si="18"/>
        <v>954454.58167230396</v>
      </c>
      <c r="H46" s="491">
        <f t="shared" si="19"/>
        <v>954454.58167230396</v>
      </c>
      <c r="I46" s="511">
        <f t="shared" si="4"/>
        <v>0</v>
      </c>
      <c r="J46" s="511"/>
      <c r="K46" s="525"/>
      <c r="L46" s="514">
        <f t="shared" si="20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3"/>
        <v/>
      </c>
      <c r="C47" s="507">
        <f>IF(D11="","-",+C46+1)</f>
        <v>2044</v>
      </c>
      <c r="D47" s="523">
        <f>IF(F46+SUM(E$17:E46)=D$10,F46,D$10-SUM(E$17:E46))</f>
        <v>4576408.7235190365</v>
      </c>
      <c r="E47" s="522">
        <f t="shared" si="16"/>
        <v>353973.4054761905</v>
      </c>
      <c r="F47" s="523">
        <f t="shared" si="17"/>
        <v>4222435.3180428464</v>
      </c>
      <c r="G47" s="524">
        <f t="shared" si="18"/>
        <v>909738.2583282867</v>
      </c>
      <c r="H47" s="491">
        <f t="shared" si="19"/>
        <v>909738.2583282867</v>
      </c>
      <c r="I47" s="511">
        <f t="shared" si="4"/>
        <v>0</v>
      </c>
      <c r="J47" s="511"/>
      <c r="K47" s="525"/>
      <c r="L47" s="514">
        <f t="shared" si="20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3"/>
        <v/>
      </c>
      <c r="C48" s="507">
        <f>IF(D11="","-",+C47+1)</f>
        <v>2045</v>
      </c>
      <c r="D48" s="523">
        <f>IF(F47+SUM(E$17:E47)=D$10,F47,D$10-SUM(E$17:E47))</f>
        <v>4222435.3180428464</v>
      </c>
      <c r="E48" s="522">
        <f t="shared" si="16"/>
        <v>353973.4054761905</v>
      </c>
      <c r="F48" s="523">
        <f t="shared" si="17"/>
        <v>3868461.9125666558</v>
      </c>
      <c r="G48" s="524">
        <f t="shared" si="18"/>
        <v>865021.93498426955</v>
      </c>
      <c r="H48" s="491">
        <f t="shared" si="19"/>
        <v>865021.93498426955</v>
      </c>
      <c r="I48" s="511">
        <f t="shared" si="4"/>
        <v>0</v>
      </c>
      <c r="J48" s="511"/>
      <c r="K48" s="525"/>
      <c r="L48" s="514">
        <f t="shared" si="20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3"/>
        <v/>
      </c>
      <c r="C49" s="507">
        <f>IF(D11="","-",+C48+1)</f>
        <v>2046</v>
      </c>
      <c r="D49" s="523">
        <f>IF(F48+SUM(E$17:E48)=D$10,F48,D$10-SUM(E$17:E48))</f>
        <v>3868461.9125666558</v>
      </c>
      <c r="E49" s="522">
        <f t="shared" si="16"/>
        <v>353973.4054761905</v>
      </c>
      <c r="F49" s="523">
        <f t="shared" si="17"/>
        <v>3514488.5070904652</v>
      </c>
      <c r="G49" s="524">
        <f t="shared" si="18"/>
        <v>820305.61164025217</v>
      </c>
      <c r="H49" s="491">
        <f t="shared" si="19"/>
        <v>820305.61164025217</v>
      </c>
      <c r="I49" s="511">
        <f t="shared" si="4"/>
        <v>0</v>
      </c>
      <c r="J49" s="511"/>
      <c r="K49" s="525"/>
      <c r="L49" s="514">
        <f t="shared" si="20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3"/>
        <v/>
      </c>
      <c r="C50" s="507">
        <f>IF(D11="","-",+C49+1)</f>
        <v>2047</v>
      </c>
      <c r="D50" s="523">
        <f>IF(F49+SUM(E$17:E49)=D$10,F49,D$10-SUM(E$17:E49))</f>
        <v>3514488.5070904652</v>
      </c>
      <c r="E50" s="522">
        <f t="shared" si="16"/>
        <v>353973.4054761905</v>
      </c>
      <c r="F50" s="523">
        <f t="shared" si="17"/>
        <v>3160515.1016142746</v>
      </c>
      <c r="G50" s="524">
        <f t="shared" si="18"/>
        <v>775589.28829623503</v>
      </c>
      <c r="H50" s="491">
        <f t="shared" si="19"/>
        <v>775589.28829623503</v>
      </c>
      <c r="I50" s="511">
        <f t="shared" si="4"/>
        <v>0</v>
      </c>
      <c r="J50" s="511"/>
      <c r="K50" s="525"/>
      <c r="L50" s="514">
        <f t="shared" si="20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3"/>
        <v/>
      </c>
      <c r="C51" s="507">
        <f>IF(D11="","-",+C50+1)</f>
        <v>2048</v>
      </c>
      <c r="D51" s="523">
        <f>IF(F50+SUM(E$17:E50)=D$10,F50,D$10-SUM(E$17:E50))</f>
        <v>3160515.1016142746</v>
      </c>
      <c r="E51" s="522">
        <f t="shared" si="16"/>
        <v>353973.4054761905</v>
      </c>
      <c r="F51" s="523">
        <f t="shared" si="17"/>
        <v>2806541.6961380839</v>
      </c>
      <c r="G51" s="524">
        <f t="shared" si="18"/>
        <v>730872.96495221765</v>
      </c>
      <c r="H51" s="491">
        <f t="shared" si="19"/>
        <v>730872.96495221765</v>
      </c>
      <c r="I51" s="511">
        <f t="shared" si="4"/>
        <v>0</v>
      </c>
      <c r="J51" s="511"/>
      <c r="K51" s="525"/>
      <c r="L51" s="514">
        <f t="shared" si="20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3"/>
        <v/>
      </c>
      <c r="C52" s="507">
        <f>IF(D11="","-",+C51+1)</f>
        <v>2049</v>
      </c>
      <c r="D52" s="523">
        <f>IF(F51+SUM(E$17:E51)=D$10,F51,D$10-SUM(E$17:E51))</f>
        <v>2806541.6961380839</v>
      </c>
      <c r="E52" s="522">
        <f t="shared" si="16"/>
        <v>353973.4054761905</v>
      </c>
      <c r="F52" s="523">
        <f t="shared" si="17"/>
        <v>2452568.2906618933</v>
      </c>
      <c r="G52" s="524">
        <f t="shared" ref="G52:G72" si="21">+I$12*((D52+F52)/2)+E52</f>
        <v>686156.64160820039</v>
      </c>
      <c r="H52" s="491">
        <f t="shared" ref="H52:H72" si="22">+I$13*((D52+F52)/2)+E52</f>
        <v>686156.64160820039</v>
      </c>
      <c r="I52" s="511">
        <f t="shared" si="4"/>
        <v>0</v>
      </c>
      <c r="J52" s="511"/>
      <c r="K52" s="525"/>
      <c r="L52" s="514">
        <f t="shared" si="20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3"/>
        <v/>
      </c>
      <c r="C53" s="507">
        <f>IF(D11="","-",+C52+1)</f>
        <v>2050</v>
      </c>
      <c r="D53" s="523">
        <f>IF(F52+SUM(E$17:E52)=D$10,F52,D$10-SUM(E$17:E52))</f>
        <v>2452568.2906618933</v>
      </c>
      <c r="E53" s="522">
        <f t="shared" si="16"/>
        <v>353973.4054761905</v>
      </c>
      <c r="F53" s="523">
        <f t="shared" si="17"/>
        <v>2098594.8851857027</v>
      </c>
      <c r="G53" s="524">
        <f t="shared" si="21"/>
        <v>641440.31826418312</v>
      </c>
      <c r="H53" s="491">
        <f t="shared" si="22"/>
        <v>641440.31826418312</v>
      </c>
      <c r="I53" s="511">
        <f t="shared" si="4"/>
        <v>0</v>
      </c>
      <c r="J53" s="511"/>
      <c r="K53" s="525"/>
      <c r="L53" s="514">
        <f t="shared" si="20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3"/>
        <v/>
      </c>
      <c r="C54" s="507">
        <f>IF(D11="","-",+C53+1)</f>
        <v>2051</v>
      </c>
      <c r="D54" s="523">
        <f>IF(F53+SUM(E$17:E53)=D$10,F53,D$10-SUM(E$17:E53))</f>
        <v>2098594.8851857027</v>
      </c>
      <c r="E54" s="522">
        <f t="shared" si="16"/>
        <v>353973.4054761905</v>
      </c>
      <c r="F54" s="523">
        <f t="shared" si="17"/>
        <v>1744621.4797095121</v>
      </c>
      <c r="G54" s="524">
        <f t="shared" si="21"/>
        <v>596723.99492016586</v>
      </c>
      <c r="H54" s="491">
        <f t="shared" si="22"/>
        <v>596723.99492016586</v>
      </c>
      <c r="I54" s="511">
        <f t="shared" si="4"/>
        <v>0</v>
      </c>
      <c r="J54" s="511"/>
      <c r="K54" s="525"/>
      <c r="L54" s="514">
        <f t="shared" si="20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3"/>
        <v/>
      </c>
      <c r="C55" s="507">
        <f>IF(D11="","-",+C54+1)</f>
        <v>2052</v>
      </c>
      <c r="D55" s="523">
        <f>IF(F54+SUM(E$17:E54)=D$10,F54,D$10-SUM(E$17:E54))</f>
        <v>1744621.4797095121</v>
      </c>
      <c r="E55" s="522">
        <f t="shared" si="16"/>
        <v>353973.4054761905</v>
      </c>
      <c r="F55" s="523">
        <f t="shared" si="17"/>
        <v>1390648.0742333215</v>
      </c>
      <c r="G55" s="524">
        <f t="shared" si="21"/>
        <v>552007.6715761486</v>
      </c>
      <c r="H55" s="491">
        <f t="shared" si="22"/>
        <v>552007.6715761486</v>
      </c>
      <c r="I55" s="511">
        <f t="shared" si="4"/>
        <v>0</v>
      </c>
      <c r="J55" s="511"/>
      <c r="K55" s="525"/>
      <c r="L55" s="514">
        <f t="shared" si="20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3"/>
        <v/>
      </c>
      <c r="C56" s="507">
        <f>IF(D11="","-",+C55+1)</f>
        <v>2053</v>
      </c>
      <c r="D56" s="523">
        <f>IF(F55+SUM(E$17:E55)=D$10,F55,D$10-SUM(E$17:E55))</f>
        <v>1390648.0742333215</v>
      </c>
      <c r="E56" s="522">
        <f t="shared" si="16"/>
        <v>353973.4054761905</v>
      </c>
      <c r="F56" s="523">
        <f t="shared" si="17"/>
        <v>1036674.668757131</v>
      </c>
      <c r="G56" s="524">
        <f t="shared" si="21"/>
        <v>507291.34823213128</v>
      </c>
      <c r="H56" s="491">
        <f t="shared" si="22"/>
        <v>507291.34823213128</v>
      </c>
      <c r="I56" s="511">
        <f t="shared" si="4"/>
        <v>0</v>
      </c>
      <c r="J56" s="511"/>
      <c r="K56" s="525"/>
      <c r="L56" s="514">
        <f t="shared" si="20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3"/>
        <v/>
      </c>
      <c r="C57" s="507">
        <f>IF(D11="","-",+C56+1)</f>
        <v>2054</v>
      </c>
      <c r="D57" s="523">
        <f>IF(F56+SUM(E$17:E56)=D$10,F56,D$10-SUM(E$17:E56))</f>
        <v>1036674.668757131</v>
      </c>
      <c r="E57" s="522">
        <f t="shared" si="16"/>
        <v>353973.4054761905</v>
      </c>
      <c r="F57" s="523">
        <f t="shared" si="17"/>
        <v>682701.26328094047</v>
      </c>
      <c r="G57" s="524">
        <f t="shared" si="21"/>
        <v>462575.02488811401</v>
      </c>
      <c r="H57" s="491">
        <f t="shared" si="22"/>
        <v>462575.02488811401</v>
      </c>
      <c r="I57" s="511">
        <f t="shared" si="4"/>
        <v>0</v>
      </c>
      <c r="J57" s="511"/>
      <c r="K57" s="525"/>
      <c r="L57" s="514">
        <f t="shared" si="20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3"/>
        <v/>
      </c>
      <c r="C58" s="507">
        <f>IF(D11="","-",+C57+1)</f>
        <v>2055</v>
      </c>
      <c r="D58" s="523">
        <f>IF(F57+SUM(E$17:E57)=D$10,F57,D$10-SUM(E$17:E57))</f>
        <v>682701.26328094047</v>
      </c>
      <c r="E58" s="522">
        <f t="shared" si="16"/>
        <v>353973.4054761905</v>
      </c>
      <c r="F58" s="523">
        <f t="shared" si="17"/>
        <v>328727.85780474998</v>
      </c>
      <c r="G58" s="524">
        <f t="shared" si="21"/>
        <v>417858.70154409675</v>
      </c>
      <c r="H58" s="491">
        <f t="shared" si="22"/>
        <v>417858.70154409675</v>
      </c>
      <c r="I58" s="511">
        <f t="shared" si="4"/>
        <v>0</v>
      </c>
      <c r="J58" s="511"/>
      <c r="K58" s="525"/>
      <c r="L58" s="514">
        <f t="shared" si="20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3"/>
        <v/>
      </c>
      <c r="C59" s="507">
        <f>IF(D11="","-",+C58+1)</f>
        <v>2056</v>
      </c>
      <c r="D59" s="523">
        <f>IF(F58+SUM(E$17:E58)=D$10,F58,D$10-SUM(E$17:E58))</f>
        <v>328727.85780474998</v>
      </c>
      <c r="E59" s="522">
        <f t="shared" si="16"/>
        <v>328727.85780474998</v>
      </c>
      <c r="F59" s="523">
        <f t="shared" si="17"/>
        <v>0</v>
      </c>
      <c r="G59" s="524">
        <f t="shared" si="21"/>
        <v>349491.42500269879</v>
      </c>
      <c r="H59" s="491">
        <f t="shared" si="22"/>
        <v>349491.42500269879</v>
      </c>
      <c r="I59" s="511">
        <f t="shared" si="4"/>
        <v>0</v>
      </c>
      <c r="J59" s="511"/>
      <c r="K59" s="525"/>
      <c r="L59" s="514">
        <f t="shared" si="20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3"/>
        <v/>
      </c>
      <c r="C60" s="507">
        <f>IF(D11="","-",+C59+1)</f>
        <v>2057</v>
      </c>
      <c r="D60" s="523">
        <f>IF(F59+SUM(E$17:E59)=D$10,F59,D$10-SUM(E$17:E59))</f>
        <v>0</v>
      </c>
      <c r="E60" s="522">
        <f t="shared" si="16"/>
        <v>0</v>
      </c>
      <c r="F60" s="523">
        <f t="shared" si="17"/>
        <v>0</v>
      </c>
      <c r="G60" s="524">
        <f t="shared" si="21"/>
        <v>0</v>
      </c>
      <c r="H60" s="491">
        <f t="shared" si="22"/>
        <v>0</v>
      </c>
      <c r="I60" s="511">
        <f t="shared" si="4"/>
        <v>0</v>
      </c>
      <c r="J60" s="511"/>
      <c r="K60" s="525"/>
      <c r="L60" s="514">
        <f t="shared" si="20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3"/>
        <v/>
      </c>
      <c r="C61" s="507">
        <f>IF(D11="","-",+C60+1)</f>
        <v>2058</v>
      </c>
      <c r="D61" s="523">
        <f>IF(F60+SUM(E$17:E60)=D$10,F60,D$10-SUM(E$17:E60))</f>
        <v>0</v>
      </c>
      <c r="E61" s="522">
        <f t="shared" si="16"/>
        <v>0</v>
      </c>
      <c r="F61" s="523">
        <f t="shared" si="17"/>
        <v>0</v>
      </c>
      <c r="G61" s="524">
        <f t="shared" si="21"/>
        <v>0</v>
      </c>
      <c r="H61" s="491">
        <f t="shared" si="22"/>
        <v>0</v>
      </c>
      <c r="I61" s="511">
        <f t="shared" si="4"/>
        <v>0</v>
      </c>
      <c r="J61" s="511"/>
      <c r="K61" s="525"/>
      <c r="L61" s="514">
        <f t="shared" si="20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3"/>
        <v/>
      </c>
      <c r="C62" s="507">
        <f>IF(D11="","-",+C61+1)</f>
        <v>2059</v>
      </c>
      <c r="D62" s="523">
        <f>IF(F61+SUM(E$17:E61)=D$10,F61,D$10-SUM(E$17:E61))</f>
        <v>0</v>
      </c>
      <c r="E62" s="522">
        <f t="shared" si="16"/>
        <v>0</v>
      </c>
      <c r="F62" s="523">
        <f t="shared" si="17"/>
        <v>0</v>
      </c>
      <c r="G62" s="524">
        <f t="shared" si="21"/>
        <v>0</v>
      </c>
      <c r="H62" s="491">
        <f t="shared" si="22"/>
        <v>0</v>
      </c>
      <c r="I62" s="511">
        <f t="shared" si="4"/>
        <v>0</v>
      </c>
      <c r="J62" s="511"/>
      <c r="K62" s="525"/>
      <c r="L62" s="514">
        <f t="shared" si="20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3"/>
        <v/>
      </c>
      <c r="C63" s="507">
        <f>IF(D11="","-",+C62+1)</f>
        <v>2060</v>
      </c>
      <c r="D63" s="523">
        <f>IF(F62+SUM(E$17:E62)=D$10,F62,D$10-SUM(E$17:E62))</f>
        <v>0</v>
      </c>
      <c r="E63" s="522">
        <f t="shared" si="16"/>
        <v>0</v>
      </c>
      <c r="F63" s="523">
        <f t="shared" si="17"/>
        <v>0</v>
      </c>
      <c r="G63" s="524">
        <f t="shared" si="21"/>
        <v>0</v>
      </c>
      <c r="H63" s="491">
        <f t="shared" si="22"/>
        <v>0</v>
      </c>
      <c r="I63" s="511">
        <f t="shared" si="4"/>
        <v>0</v>
      </c>
      <c r="J63" s="511"/>
      <c r="K63" s="525"/>
      <c r="L63" s="514">
        <f t="shared" si="20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3"/>
        <v/>
      </c>
      <c r="C64" s="507">
        <f>IF(D11="","-",+C63+1)</f>
        <v>2061</v>
      </c>
      <c r="D64" s="523">
        <f>IF(F63+SUM(E$17:E63)=D$10,F63,D$10-SUM(E$17:E63))</f>
        <v>0</v>
      </c>
      <c r="E64" s="522">
        <f t="shared" si="16"/>
        <v>0</v>
      </c>
      <c r="F64" s="523">
        <f t="shared" si="17"/>
        <v>0</v>
      </c>
      <c r="G64" s="524">
        <f t="shared" si="21"/>
        <v>0</v>
      </c>
      <c r="H64" s="491">
        <f t="shared" si="22"/>
        <v>0</v>
      </c>
      <c r="I64" s="511">
        <f t="shared" si="4"/>
        <v>0</v>
      </c>
      <c r="J64" s="511"/>
      <c r="K64" s="525"/>
      <c r="L64" s="514">
        <f t="shared" si="20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3"/>
        <v/>
      </c>
      <c r="C65" s="507">
        <f>IF(D11="","-",+C64+1)</f>
        <v>2062</v>
      </c>
      <c r="D65" s="523">
        <f>IF(F64+SUM(E$17:E64)=D$10,F64,D$10-SUM(E$17:E64))</f>
        <v>0</v>
      </c>
      <c r="E65" s="522">
        <f t="shared" si="16"/>
        <v>0</v>
      </c>
      <c r="F65" s="523">
        <f t="shared" si="17"/>
        <v>0</v>
      </c>
      <c r="G65" s="524">
        <f t="shared" si="21"/>
        <v>0</v>
      </c>
      <c r="H65" s="491">
        <f t="shared" si="22"/>
        <v>0</v>
      </c>
      <c r="I65" s="511">
        <f t="shared" si="4"/>
        <v>0</v>
      </c>
      <c r="J65" s="511"/>
      <c r="K65" s="525"/>
      <c r="L65" s="514">
        <f t="shared" si="20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3"/>
        <v/>
      </c>
      <c r="C66" s="507">
        <f>IF(D11="","-",+C65+1)</f>
        <v>2063</v>
      </c>
      <c r="D66" s="523">
        <f>IF(F65+SUM(E$17:E65)=D$10,F65,D$10-SUM(E$17:E65))</f>
        <v>0</v>
      </c>
      <c r="E66" s="522">
        <f t="shared" si="16"/>
        <v>0</v>
      </c>
      <c r="F66" s="523">
        <f t="shared" si="17"/>
        <v>0</v>
      </c>
      <c r="G66" s="524">
        <f t="shared" si="21"/>
        <v>0</v>
      </c>
      <c r="H66" s="491">
        <f t="shared" si="22"/>
        <v>0</v>
      </c>
      <c r="I66" s="511">
        <f t="shared" si="4"/>
        <v>0</v>
      </c>
      <c r="J66" s="511"/>
      <c r="K66" s="525"/>
      <c r="L66" s="514">
        <f t="shared" si="20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3"/>
        <v/>
      </c>
      <c r="C67" s="507">
        <f>IF(D11="","-",+C66+1)</f>
        <v>2064</v>
      </c>
      <c r="D67" s="523">
        <f>IF(F66+SUM(E$17:E66)=D$10,F66,D$10-SUM(E$17:E66))</f>
        <v>0</v>
      </c>
      <c r="E67" s="522">
        <f t="shared" si="16"/>
        <v>0</v>
      </c>
      <c r="F67" s="523">
        <f t="shared" si="17"/>
        <v>0</v>
      </c>
      <c r="G67" s="524">
        <f t="shared" si="21"/>
        <v>0</v>
      </c>
      <c r="H67" s="491">
        <f t="shared" si="22"/>
        <v>0</v>
      </c>
      <c r="I67" s="511">
        <f t="shared" si="4"/>
        <v>0</v>
      </c>
      <c r="J67" s="511"/>
      <c r="K67" s="525"/>
      <c r="L67" s="514">
        <f t="shared" si="20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3"/>
        <v/>
      </c>
      <c r="C68" s="507">
        <f>IF(D11="","-",+C67+1)</f>
        <v>2065</v>
      </c>
      <c r="D68" s="523">
        <f>IF(F67+SUM(E$17:E67)=D$10,F67,D$10-SUM(E$17:E67))</f>
        <v>0</v>
      </c>
      <c r="E68" s="522">
        <f t="shared" si="16"/>
        <v>0</v>
      </c>
      <c r="F68" s="523">
        <f t="shared" si="17"/>
        <v>0</v>
      </c>
      <c r="G68" s="524">
        <f t="shared" si="21"/>
        <v>0</v>
      </c>
      <c r="H68" s="491">
        <f t="shared" si="22"/>
        <v>0</v>
      </c>
      <c r="I68" s="511">
        <f t="shared" si="4"/>
        <v>0</v>
      </c>
      <c r="J68" s="511"/>
      <c r="K68" s="525"/>
      <c r="L68" s="514">
        <f t="shared" si="20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3"/>
        <v/>
      </c>
      <c r="C69" s="507">
        <f>IF(D11="","-",+C68+1)</f>
        <v>2066</v>
      </c>
      <c r="D69" s="523">
        <f>IF(F68+SUM(E$17:E68)=D$10,F68,D$10-SUM(E$17:E68))</f>
        <v>0</v>
      </c>
      <c r="E69" s="522">
        <f t="shared" si="16"/>
        <v>0</v>
      </c>
      <c r="F69" s="523">
        <f t="shared" si="17"/>
        <v>0</v>
      </c>
      <c r="G69" s="524">
        <f t="shared" si="21"/>
        <v>0</v>
      </c>
      <c r="H69" s="491">
        <f t="shared" si="22"/>
        <v>0</v>
      </c>
      <c r="I69" s="511">
        <f t="shared" si="4"/>
        <v>0</v>
      </c>
      <c r="J69" s="511"/>
      <c r="K69" s="525"/>
      <c r="L69" s="514">
        <f t="shared" si="20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3"/>
        <v/>
      </c>
      <c r="C70" s="507">
        <f>IF(D11="","-",+C69+1)</f>
        <v>2067</v>
      </c>
      <c r="D70" s="523">
        <f>IF(F69+SUM(E$17:E69)=D$10,F69,D$10-SUM(E$17:E69))</f>
        <v>0</v>
      </c>
      <c r="E70" s="522">
        <f t="shared" si="16"/>
        <v>0</v>
      </c>
      <c r="F70" s="523">
        <f t="shared" si="17"/>
        <v>0</v>
      </c>
      <c r="G70" s="524">
        <f t="shared" si="21"/>
        <v>0</v>
      </c>
      <c r="H70" s="491">
        <f t="shared" si="22"/>
        <v>0</v>
      </c>
      <c r="I70" s="511">
        <f t="shared" si="4"/>
        <v>0</v>
      </c>
      <c r="J70" s="511"/>
      <c r="K70" s="525"/>
      <c r="L70" s="514">
        <f t="shared" si="20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3"/>
        <v/>
      </c>
      <c r="C71" s="507">
        <f>IF(D11="","-",+C70+1)</f>
        <v>2068</v>
      </c>
      <c r="D71" s="523">
        <f>IF(F70+SUM(E$17:E70)=D$10,F70,D$10-SUM(E$17:E70))</f>
        <v>0</v>
      </c>
      <c r="E71" s="522">
        <f t="shared" si="16"/>
        <v>0</v>
      </c>
      <c r="F71" s="523">
        <f t="shared" si="17"/>
        <v>0</v>
      </c>
      <c r="G71" s="524">
        <f t="shared" si="21"/>
        <v>0</v>
      </c>
      <c r="H71" s="491">
        <f t="shared" si="22"/>
        <v>0</v>
      </c>
      <c r="I71" s="511">
        <f t="shared" si="4"/>
        <v>0</v>
      </c>
      <c r="J71" s="511"/>
      <c r="K71" s="525"/>
      <c r="L71" s="514">
        <f t="shared" si="20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3"/>
        <v/>
      </c>
      <c r="C72" s="527">
        <f>IF(D11="","-",+C71+1)</f>
        <v>2069</v>
      </c>
      <c r="D72" s="523">
        <f>IF(F71+SUM(E$17:E71)=D$10,F71,D$10-SUM(E$17:E71))</f>
        <v>0</v>
      </c>
      <c r="E72" s="522">
        <f t="shared" si="16"/>
        <v>0</v>
      </c>
      <c r="F72" s="523">
        <f t="shared" si="17"/>
        <v>0</v>
      </c>
      <c r="G72" s="524">
        <f t="shared" si="21"/>
        <v>0</v>
      </c>
      <c r="H72" s="491">
        <f t="shared" si="22"/>
        <v>0</v>
      </c>
      <c r="I72" s="511">
        <f t="shared" si="4"/>
        <v>0</v>
      </c>
      <c r="J72" s="511"/>
      <c r="K72" s="532"/>
      <c r="L72" s="533">
        <f t="shared" si="20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14866883.029999997</v>
      </c>
      <c r="F73" s="375"/>
      <c r="G73" s="375">
        <f>SUM(G17:G72)</f>
        <v>55412366.42873089</v>
      </c>
      <c r="H73" s="375">
        <f>SUM(H17:H72)</f>
        <v>55412366.42873089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43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1685350.1603983724</v>
      </c>
      <c r="N87" s="546">
        <f>IF(J92&lt;D11,0,VLOOKUP(J92,C17:O72,11))</f>
        <v>1685350.1603983724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1790314.5874907523</v>
      </c>
      <c r="N88" s="550">
        <f>IF(J92&lt;D11,0,VLOOKUP(J92,C99:P154,7))</f>
        <v>1790314.5874907523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Diana to Perdue 138 kV Rebuild 21.8 miles; Station Upgrades at Diana and Perdue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104964.42709237989</v>
      </c>
      <c r="N89" s="555">
        <f>+N88-N87</f>
        <v>104964.42709237989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TP2011023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v>14866883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2014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362606.90243902442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2014</v>
      </c>
      <c r="D99" s="629">
        <v>0</v>
      </c>
      <c r="E99" s="630">
        <v>0</v>
      </c>
      <c r="F99" s="631">
        <v>14986466</v>
      </c>
      <c r="G99" s="632">
        <v>7493233</v>
      </c>
      <c r="H99" s="633">
        <v>1018506.1541813499</v>
      </c>
      <c r="I99" s="634">
        <v>1018506.1541813499</v>
      </c>
      <c r="J99" s="514">
        <v>0</v>
      </c>
      <c r="K99" s="514"/>
      <c r="L99" s="518">
        <f t="shared" ref="L99:L105" si="23">H99</f>
        <v>1018506.1541813499</v>
      </c>
      <c r="M99" s="519">
        <f t="shared" ref="M99:M105" si="24">IF(L99&lt;&gt;0,+H99-L99,0)</f>
        <v>0</v>
      </c>
      <c r="N99" s="518">
        <f t="shared" ref="N99:N105" si="25">I99</f>
        <v>1018506.1541813499</v>
      </c>
      <c r="O99" s="514">
        <f>IF(N99&lt;&gt;0,+I99-N99,0)</f>
        <v>0</v>
      </c>
      <c r="P99" s="514">
        <f>+O99-M99</f>
        <v>0</v>
      </c>
    </row>
    <row r="100" spans="1:16" ht="12.5">
      <c r="B100" s="195" t="str">
        <f>IF(D100=F99,"","IU")</f>
        <v>IU</v>
      </c>
      <c r="C100" s="507">
        <f>IF(D93="","-",+C99+1)</f>
        <v>2015</v>
      </c>
      <c r="D100" s="629">
        <v>14902882.880000001</v>
      </c>
      <c r="E100" s="630">
        <v>354830.54476190481</v>
      </c>
      <c r="F100" s="631">
        <v>14548052.335238095</v>
      </c>
      <c r="G100" s="631">
        <v>14725467.607619047</v>
      </c>
      <c r="H100" s="633">
        <v>2295188.8876024</v>
      </c>
      <c r="I100" s="634">
        <v>2295188.8876024</v>
      </c>
      <c r="J100" s="514">
        <f>+I100-H100</f>
        <v>0</v>
      </c>
      <c r="K100" s="514"/>
      <c r="L100" s="518">
        <f t="shared" si="23"/>
        <v>2295188.8876024</v>
      </c>
      <c r="M100" s="519">
        <f t="shared" si="24"/>
        <v>0</v>
      </c>
      <c r="N100" s="518">
        <f t="shared" si="25"/>
        <v>2295188.8876024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6">IF(D101=F100,"","IU")</f>
        <v>IU</v>
      </c>
      <c r="C101" s="507">
        <f>IF(D93="","-",+C100+1)</f>
        <v>2016</v>
      </c>
      <c r="D101" s="629">
        <v>14512052.455238095</v>
      </c>
      <c r="E101" s="630">
        <v>345741.46511627908</v>
      </c>
      <c r="F101" s="631">
        <v>14166310.990121815</v>
      </c>
      <c r="G101" s="631">
        <v>14339181.722679954</v>
      </c>
      <c r="H101" s="633">
        <v>2166100.4168751929</v>
      </c>
      <c r="I101" s="634">
        <v>2166100.4168751929</v>
      </c>
      <c r="J101" s="514">
        <f t="shared" ref="J101:J154" si="27">+I101-H101</f>
        <v>0</v>
      </c>
      <c r="K101" s="514"/>
      <c r="L101" s="518">
        <f t="shared" si="23"/>
        <v>2166100.4168751929</v>
      </c>
      <c r="M101" s="519">
        <f t="shared" si="24"/>
        <v>0</v>
      </c>
      <c r="N101" s="518">
        <f t="shared" si="25"/>
        <v>2166100.4168751929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6"/>
        <v/>
      </c>
      <c r="C102" s="507">
        <f>IF(D93="","-",+C101+1)</f>
        <v>2017</v>
      </c>
      <c r="D102" s="629">
        <v>14166310.990121815</v>
      </c>
      <c r="E102" s="630">
        <v>353973.40476190473</v>
      </c>
      <c r="F102" s="631">
        <v>13812337.585359911</v>
      </c>
      <c r="G102" s="631">
        <v>13989324.287740864</v>
      </c>
      <c r="H102" s="633">
        <v>2053277.0180077213</v>
      </c>
      <c r="I102" s="634">
        <v>2053277.0180077213</v>
      </c>
      <c r="J102" s="514">
        <f t="shared" si="27"/>
        <v>0</v>
      </c>
      <c r="K102" s="514"/>
      <c r="L102" s="518">
        <f t="shared" si="23"/>
        <v>2053277.0180077213</v>
      </c>
      <c r="M102" s="519">
        <f t="shared" si="24"/>
        <v>0</v>
      </c>
      <c r="N102" s="518">
        <f t="shared" si="25"/>
        <v>2053277.0180077213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26"/>
        <v/>
      </c>
      <c r="C103" s="507">
        <f>IF(D93="","-",+C102+1)</f>
        <v>2018</v>
      </c>
      <c r="D103" s="629">
        <v>13812337.585359911</v>
      </c>
      <c r="E103" s="630">
        <v>353973.40476190473</v>
      </c>
      <c r="F103" s="631">
        <v>13458364.180598006</v>
      </c>
      <c r="G103" s="631">
        <v>13635350.882978957</v>
      </c>
      <c r="H103" s="633">
        <v>1793928.9872663962</v>
      </c>
      <c r="I103" s="634">
        <v>1793928.9872663962</v>
      </c>
      <c r="J103" s="514">
        <f t="shared" si="27"/>
        <v>0</v>
      </c>
      <c r="K103" s="514"/>
      <c r="L103" s="518">
        <f t="shared" si="23"/>
        <v>1793928.9872663962</v>
      </c>
      <c r="M103" s="519">
        <f t="shared" si="24"/>
        <v>0</v>
      </c>
      <c r="N103" s="518">
        <f t="shared" si="25"/>
        <v>1793928.9872663962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26"/>
        <v/>
      </c>
      <c r="C104" s="507">
        <f>IF(D93="","-",+C103+1)</f>
        <v>2019</v>
      </c>
      <c r="D104" s="629">
        <v>13458364.180598006</v>
      </c>
      <c r="E104" s="630">
        <v>345741.46511627908</v>
      </c>
      <c r="F104" s="631">
        <v>13112622.715481726</v>
      </c>
      <c r="G104" s="631">
        <v>13285493.448039867</v>
      </c>
      <c r="H104" s="633">
        <v>1767827.9448754457</v>
      </c>
      <c r="I104" s="634">
        <v>1767827.9448754457</v>
      </c>
      <c r="J104" s="514">
        <f t="shared" si="27"/>
        <v>0</v>
      </c>
      <c r="K104" s="514"/>
      <c r="L104" s="518">
        <f t="shared" si="23"/>
        <v>1767827.9448754457</v>
      </c>
      <c r="M104" s="519">
        <f t="shared" si="24"/>
        <v>0</v>
      </c>
      <c r="N104" s="518">
        <f t="shared" si="25"/>
        <v>1767827.9448754457</v>
      </c>
      <c r="O104" s="514">
        <f t="shared" ref="O104:O130" si="28">IF(N104&lt;&gt;0,+I104-N104,0)</f>
        <v>0</v>
      </c>
      <c r="P104" s="514">
        <f t="shared" ref="P104:P130" si="29">+O104-M104</f>
        <v>0</v>
      </c>
    </row>
    <row r="105" spans="1:16" ht="12.5">
      <c r="B105" s="195" t="str">
        <f t="shared" si="26"/>
        <v/>
      </c>
      <c r="C105" s="507">
        <f>IF(D93="","-",+C104+1)</f>
        <v>2020</v>
      </c>
      <c r="D105" s="629">
        <v>13112622.715481726</v>
      </c>
      <c r="E105" s="630">
        <v>353973.40476190473</v>
      </c>
      <c r="F105" s="631">
        <v>12758649.310719822</v>
      </c>
      <c r="G105" s="631">
        <v>12935636.013100773</v>
      </c>
      <c r="H105" s="633">
        <v>1745509.3465257157</v>
      </c>
      <c r="I105" s="634">
        <v>1745509.3465257157</v>
      </c>
      <c r="J105" s="514">
        <f t="shared" si="27"/>
        <v>0</v>
      </c>
      <c r="K105" s="514"/>
      <c r="L105" s="518">
        <f t="shared" si="23"/>
        <v>1745509.3465257157</v>
      </c>
      <c r="M105" s="519">
        <f t="shared" si="24"/>
        <v>0</v>
      </c>
      <c r="N105" s="518">
        <f t="shared" si="25"/>
        <v>1745509.3465257157</v>
      </c>
      <c r="O105" s="514">
        <f t="shared" si="28"/>
        <v>0</v>
      </c>
      <c r="P105" s="514">
        <f t="shared" si="29"/>
        <v>0</v>
      </c>
    </row>
    <row r="106" spans="1:16" ht="12.5">
      <c r="B106" s="195" t="str">
        <f t="shared" si="26"/>
        <v/>
      </c>
      <c r="C106" s="507">
        <f>IF(D93="","-",+C105+1)</f>
        <v>2021</v>
      </c>
      <c r="D106" s="374">
        <f>IF(F105+SUM(E$99:E105)=D$92,F105,D$92-SUM(E$99:E105))</f>
        <v>12758649.310719822</v>
      </c>
      <c r="E106" s="522">
        <f t="shared" ref="E106:E154" si="30">IF(+$J$96&lt;F105,$J$96,D106)</f>
        <v>362606.90243902442</v>
      </c>
      <c r="F106" s="523">
        <f t="shared" ref="F106:F154" si="31">+D106-E106</f>
        <v>12396042.408280797</v>
      </c>
      <c r="G106" s="523">
        <f t="shared" ref="G106:G154" si="32">+(F106+D106)/2</f>
        <v>12577345.859500309</v>
      </c>
      <c r="H106" s="526">
        <f t="shared" ref="H106:H154" si="33">+J$94*G106+E106</f>
        <v>1790314.5874907523</v>
      </c>
      <c r="I106" s="577">
        <f t="shared" ref="I106:I154" si="34">+J$95*G106+E106</f>
        <v>1790314.5874907523</v>
      </c>
      <c r="J106" s="514">
        <f t="shared" si="27"/>
        <v>0</v>
      </c>
      <c r="K106" s="514"/>
      <c r="L106" s="525"/>
      <c r="M106" s="514">
        <f t="shared" ref="M106:M130" si="35">IF(L106&lt;&gt;0,+H106-L106,0)</f>
        <v>0</v>
      </c>
      <c r="N106" s="525"/>
      <c r="O106" s="514">
        <f t="shared" si="28"/>
        <v>0</v>
      </c>
      <c r="P106" s="514">
        <f t="shared" si="29"/>
        <v>0</v>
      </c>
    </row>
    <row r="107" spans="1:16" ht="12.5">
      <c r="B107" s="195" t="str">
        <f t="shared" si="26"/>
        <v/>
      </c>
      <c r="C107" s="507">
        <f>IF(D93="","-",+C106+1)</f>
        <v>2022</v>
      </c>
      <c r="D107" s="374">
        <f>IF(F106+SUM(E$99:E106)=D$92,F106,D$92-SUM(E$99:E106))</f>
        <v>12396042.408280797</v>
      </c>
      <c r="E107" s="522">
        <f t="shared" si="30"/>
        <v>362606.90243902442</v>
      </c>
      <c r="F107" s="523">
        <f t="shared" si="31"/>
        <v>12033435.505841773</v>
      </c>
      <c r="G107" s="523">
        <f t="shared" si="32"/>
        <v>12214738.957061285</v>
      </c>
      <c r="H107" s="526">
        <f t="shared" si="33"/>
        <v>1749153.5454833121</v>
      </c>
      <c r="I107" s="577">
        <f t="shared" si="34"/>
        <v>1749153.5454833121</v>
      </c>
      <c r="J107" s="514">
        <f t="shared" si="27"/>
        <v>0</v>
      </c>
      <c r="K107" s="514"/>
      <c r="L107" s="525"/>
      <c r="M107" s="514">
        <f t="shared" si="35"/>
        <v>0</v>
      </c>
      <c r="N107" s="525"/>
      <c r="O107" s="514">
        <f t="shared" si="28"/>
        <v>0</v>
      </c>
      <c r="P107" s="514">
        <f t="shared" si="29"/>
        <v>0</v>
      </c>
    </row>
    <row r="108" spans="1:16" ht="12.5">
      <c r="B108" s="195" t="str">
        <f t="shared" si="26"/>
        <v/>
      </c>
      <c r="C108" s="507">
        <f>IF(D93="","-",+C107+1)</f>
        <v>2023</v>
      </c>
      <c r="D108" s="374">
        <f>IF(F107+SUM(E$99:E107)=D$92,F107,D$92-SUM(E$99:E107))</f>
        <v>12033435.505841773</v>
      </c>
      <c r="E108" s="522">
        <f t="shared" si="30"/>
        <v>362606.90243902442</v>
      </c>
      <c r="F108" s="523">
        <f t="shared" si="31"/>
        <v>11670828.603402749</v>
      </c>
      <c r="G108" s="523">
        <f t="shared" si="32"/>
        <v>11852132.054622261</v>
      </c>
      <c r="H108" s="526">
        <f t="shared" si="33"/>
        <v>1707992.5034758714</v>
      </c>
      <c r="I108" s="577">
        <f t="shared" si="34"/>
        <v>1707992.5034758714</v>
      </c>
      <c r="J108" s="514">
        <f t="shared" si="27"/>
        <v>0</v>
      </c>
      <c r="K108" s="514"/>
      <c r="L108" s="525"/>
      <c r="M108" s="514">
        <f t="shared" si="35"/>
        <v>0</v>
      </c>
      <c r="N108" s="525"/>
      <c r="O108" s="514">
        <f t="shared" si="28"/>
        <v>0</v>
      </c>
      <c r="P108" s="514">
        <f t="shared" si="29"/>
        <v>0</v>
      </c>
    </row>
    <row r="109" spans="1:16" ht="12.5">
      <c r="B109" s="195" t="str">
        <f t="shared" si="26"/>
        <v/>
      </c>
      <c r="C109" s="507">
        <f>IF(D93="","-",+C108+1)</f>
        <v>2024</v>
      </c>
      <c r="D109" s="374">
        <f>IF(F108+SUM(E$99:E108)=D$92,F108,D$92-SUM(E$99:E108))</f>
        <v>11670828.603402749</v>
      </c>
      <c r="E109" s="522">
        <f t="shared" si="30"/>
        <v>362606.90243902442</v>
      </c>
      <c r="F109" s="523">
        <f t="shared" si="31"/>
        <v>11308221.700963724</v>
      </c>
      <c r="G109" s="523">
        <f t="shared" si="32"/>
        <v>11489525.152183237</v>
      </c>
      <c r="H109" s="526">
        <f t="shared" si="33"/>
        <v>1666831.4614684312</v>
      </c>
      <c r="I109" s="577">
        <f t="shared" si="34"/>
        <v>1666831.4614684312</v>
      </c>
      <c r="J109" s="514">
        <f t="shared" si="27"/>
        <v>0</v>
      </c>
      <c r="K109" s="514"/>
      <c r="L109" s="525"/>
      <c r="M109" s="514">
        <f t="shared" si="35"/>
        <v>0</v>
      </c>
      <c r="N109" s="525"/>
      <c r="O109" s="514">
        <f t="shared" si="28"/>
        <v>0</v>
      </c>
      <c r="P109" s="514">
        <f t="shared" si="29"/>
        <v>0</v>
      </c>
    </row>
    <row r="110" spans="1:16" ht="12.5">
      <c r="B110" s="195" t="str">
        <f t="shared" si="26"/>
        <v/>
      </c>
      <c r="C110" s="507">
        <f>IF(D93="","-",+C109+1)</f>
        <v>2025</v>
      </c>
      <c r="D110" s="374">
        <f>IF(F109+SUM(E$99:E109)=D$92,F109,D$92-SUM(E$99:E109))</f>
        <v>11308221.700963724</v>
      </c>
      <c r="E110" s="522">
        <f t="shared" si="30"/>
        <v>362606.90243902442</v>
      </c>
      <c r="F110" s="523">
        <f t="shared" si="31"/>
        <v>10945614.7985247</v>
      </c>
      <c r="G110" s="523">
        <f t="shared" si="32"/>
        <v>11126918.249744212</v>
      </c>
      <c r="H110" s="526">
        <f t="shared" si="33"/>
        <v>1625670.4194609909</v>
      </c>
      <c r="I110" s="577">
        <f t="shared" si="34"/>
        <v>1625670.4194609909</v>
      </c>
      <c r="J110" s="514">
        <f t="shared" si="27"/>
        <v>0</v>
      </c>
      <c r="K110" s="514"/>
      <c r="L110" s="525"/>
      <c r="M110" s="514">
        <f t="shared" si="35"/>
        <v>0</v>
      </c>
      <c r="N110" s="525"/>
      <c r="O110" s="514">
        <f t="shared" si="28"/>
        <v>0</v>
      </c>
      <c r="P110" s="514">
        <f t="shared" si="29"/>
        <v>0</v>
      </c>
    </row>
    <row r="111" spans="1:16" ht="12.5">
      <c r="B111" s="195" t="str">
        <f t="shared" si="26"/>
        <v/>
      </c>
      <c r="C111" s="507">
        <f>IF(D93="","-",+C110+1)</f>
        <v>2026</v>
      </c>
      <c r="D111" s="374">
        <f>IF(F110+SUM(E$99:E110)=D$92,F110,D$92-SUM(E$99:E110))</f>
        <v>10945614.7985247</v>
      </c>
      <c r="E111" s="522">
        <f t="shared" si="30"/>
        <v>362606.90243902442</v>
      </c>
      <c r="F111" s="523">
        <f t="shared" si="31"/>
        <v>10583007.896085676</v>
      </c>
      <c r="G111" s="523">
        <f t="shared" si="32"/>
        <v>10764311.347305188</v>
      </c>
      <c r="H111" s="526">
        <f t="shared" si="33"/>
        <v>1584509.3774535507</v>
      </c>
      <c r="I111" s="577">
        <f t="shared" si="34"/>
        <v>1584509.3774535507</v>
      </c>
      <c r="J111" s="514">
        <f t="shared" si="27"/>
        <v>0</v>
      </c>
      <c r="K111" s="514"/>
      <c r="L111" s="525"/>
      <c r="M111" s="514">
        <f t="shared" si="35"/>
        <v>0</v>
      </c>
      <c r="N111" s="525"/>
      <c r="O111" s="514">
        <f t="shared" si="28"/>
        <v>0</v>
      </c>
      <c r="P111" s="514">
        <f t="shared" si="29"/>
        <v>0</v>
      </c>
    </row>
    <row r="112" spans="1:16" ht="12.5">
      <c r="B112" s="195" t="str">
        <f t="shared" si="26"/>
        <v/>
      </c>
      <c r="C112" s="507">
        <f>IF(D93="","-",+C111+1)</f>
        <v>2027</v>
      </c>
      <c r="D112" s="374">
        <f>IF(F111+SUM(E$99:E111)=D$92,F111,D$92-SUM(E$99:E111))</f>
        <v>10583007.896085676</v>
      </c>
      <c r="E112" s="522">
        <f t="shared" si="30"/>
        <v>362606.90243902442</v>
      </c>
      <c r="F112" s="523">
        <f t="shared" si="31"/>
        <v>10220400.993646652</v>
      </c>
      <c r="G112" s="523">
        <f t="shared" si="32"/>
        <v>10401704.444866164</v>
      </c>
      <c r="H112" s="526">
        <f t="shared" si="33"/>
        <v>1543348.3354461105</v>
      </c>
      <c r="I112" s="577">
        <f t="shared" si="34"/>
        <v>1543348.3354461105</v>
      </c>
      <c r="J112" s="514">
        <f t="shared" si="27"/>
        <v>0</v>
      </c>
      <c r="K112" s="514"/>
      <c r="L112" s="525"/>
      <c r="M112" s="514">
        <f t="shared" si="35"/>
        <v>0</v>
      </c>
      <c r="N112" s="525"/>
      <c r="O112" s="514">
        <f t="shared" si="28"/>
        <v>0</v>
      </c>
      <c r="P112" s="514">
        <f t="shared" si="29"/>
        <v>0</v>
      </c>
    </row>
    <row r="113" spans="2:16" ht="12.5">
      <c r="B113" s="195" t="str">
        <f t="shared" si="26"/>
        <v/>
      </c>
      <c r="C113" s="507">
        <f>IF(D93="","-",+C112+1)</f>
        <v>2028</v>
      </c>
      <c r="D113" s="374">
        <f>IF(F112+SUM(E$99:E112)=D$92,F112,D$92-SUM(E$99:E112))</f>
        <v>10220400.993646652</v>
      </c>
      <c r="E113" s="522">
        <f t="shared" si="30"/>
        <v>362606.90243902442</v>
      </c>
      <c r="F113" s="523">
        <f t="shared" si="31"/>
        <v>9857794.0912076272</v>
      </c>
      <c r="G113" s="523">
        <f t="shared" si="32"/>
        <v>10039097.542427139</v>
      </c>
      <c r="H113" s="526">
        <f t="shared" si="33"/>
        <v>1502187.2934386702</v>
      </c>
      <c r="I113" s="577">
        <f t="shared" si="34"/>
        <v>1502187.2934386702</v>
      </c>
      <c r="J113" s="514">
        <f t="shared" si="27"/>
        <v>0</v>
      </c>
      <c r="K113" s="514"/>
      <c r="L113" s="525"/>
      <c r="M113" s="514">
        <f t="shared" si="35"/>
        <v>0</v>
      </c>
      <c r="N113" s="525"/>
      <c r="O113" s="514">
        <f t="shared" si="28"/>
        <v>0</v>
      </c>
      <c r="P113" s="514">
        <f t="shared" si="29"/>
        <v>0</v>
      </c>
    </row>
    <row r="114" spans="2:16" ht="12.5">
      <c r="B114" s="195" t="str">
        <f t="shared" si="26"/>
        <v/>
      </c>
      <c r="C114" s="507">
        <f>IF(D93="","-",+C113+1)</f>
        <v>2029</v>
      </c>
      <c r="D114" s="374">
        <f>IF(F113+SUM(E$99:E113)=D$92,F113,D$92-SUM(E$99:E113))</f>
        <v>9857794.0912076272</v>
      </c>
      <c r="E114" s="522">
        <f t="shared" si="30"/>
        <v>362606.90243902442</v>
      </c>
      <c r="F114" s="523">
        <f t="shared" si="31"/>
        <v>9495187.1887686029</v>
      </c>
      <c r="G114" s="523">
        <f t="shared" si="32"/>
        <v>9676490.6399881151</v>
      </c>
      <c r="H114" s="526">
        <f t="shared" si="33"/>
        <v>1461026.25143123</v>
      </c>
      <c r="I114" s="577">
        <f t="shared" si="34"/>
        <v>1461026.25143123</v>
      </c>
      <c r="J114" s="514">
        <f t="shared" si="27"/>
        <v>0</v>
      </c>
      <c r="K114" s="514"/>
      <c r="L114" s="525"/>
      <c r="M114" s="514">
        <f t="shared" si="35"/>
        <v>0</v>
      </c>
      <c r="N114" s="525"/>
      <c r="O114" s="514">
        <f t="shared" si="28"/>
        <v>0</v>
      </c>
      <c r="P114" s="514">
        <f t="shared" si="29"/>
        <v>0</v>
      </c>
    </row>
    <row r="115" spans="2:16" ht="12.5">
      <c r="B115" s="195" t="str">
        <f t="shared" si="26"/>
        <v/>
      </c>
      <c r="C115" s="507">
        <f>IF(D93="","-",+C114+1)</f>
        <v>2030</v>
      </c>
      <c r="D115" s="374">
        <f>IF(F114+SUM(E$99:E114)=D$92,F114,D$92-SUM(E$99:E114))</f>
        <v>9495187.1887686029</v>
      </c>
      <c r="E115" s="522">
        <f t="shared" si="30"/>
        <v>362606.90243902442</v>
      </c>
      <c r="F115" s="523">
        <f t="shared" si="31"/>
        <v>9132580.2863295786</v>
      </c>
      <c r="G115" s="523">
        <f t="shared" si="32"/>
        <v>9313883.7375490908</v>
      </c>
      <c r="H115" s="526">
        <f t="shared" si="33"/>
        <v>1419865.2094237898</v>
      </c>
      <c r="I115" s="577">
        <f t="shared" si="34"/>
        <v>1419865.2094237898</v>
      </c>
      <c r="J115" s="514">
        <f t="shared" si="27"/>
        <v>0</v>
      </c>
      <c r="K115" s="514"/>
      <c r="L115" s="525"/>
      <c r="M115" s="514">
        <f t="shared" si="35"/>
        <v>0</v>
      </c>
      <c r="N115" s="525"/>
      <c r="O115" s="514">
        <f t="shared" si="28"/>
        <v>0</v>
      </c>
      <c r="P115" s="514">
        <f t="shared" si="29"/>
        <v>0</v>
      </c>
    </row>
    <row r="116" spans="2:16" ht="12.5">
      <c r="B116" s="195" t="str">
        <f t="shared" si="26"/>
        <v/>
      </c>
      <c r="C116" s="507">
        <f>IF(D93="","-",+C115+1)</f>
        <v>2031</v>
      </c>
      <c r="D116" s="374">
        <f>IF(F115+SUM(E$99:E115)=D$92,F115,D$92-SUM(E$99:E115))</f>
        <v>9132580.2863295786</v>
      </c>
      <c r="E116" s="522">
        <f t="shared" si="30"/>
        <v>362606.90243902442</v>
      </c>
      <c r="F116" s="523">
        <f t="shared" si="31"/>
        <v>8769973.3838905543</v>
      </c>
      <c r="G116" s="523">
        <f t="shared" si="32"/>
        <v>8951276.8351100665</v>
      </c>
      <c r="H116" s="526">
        <f t="shared" si="33"/>
        <v>1378704.1674163495</v>
      </c>
      <c r="I116" s="577">
        <f t="shared" si="34"/>
        <v>1378704.1674163495</v>
      </c>
      <c r="J116" s="514">
        <f t="shared" si="27"/>
        <v>0</v>
      </c>
      <c r="K116" s="514"/>
      <c r="L116" s="525"/>
      <c r="M116" s="514">
        <f t="shared" si="35"/>
        <v>0</v>
      </c>
      <c r="N116" s="525"/>
      <c r="O116" s="514">
        <f t="shared" si="28"/>
        <v>0</v>
      </c>
      <c r="P116" s="514">
        <f t="shared" si="29"/>
        <v>0</v>
      </c>
    </row>
    <row r="117" spans="2:16" ht="12.5">
      <c r="B117" s="195" t="str">
        <f t="shared" si="26"/>
        <v/>
      </c>
      <c r="C117" s="507">
        <f>IF(D93="","-",+C116+1)</f>
        <v>2032</v>
      </c>
      <c r="D117" s="374">
        <f>IF(F116+SUM(E$99:E116)=D$92,F116,D$92-SUM(E$99:E116))</f>
        <v>8769973.3838905543</v>
      </c>
      <c r="E117" s="522">
        <f t="shared" si="30"/>
        <v>362606.90243902442</v>
      </c>
      <c r="F117" s="523">
        <f t="shared" si="31"/>
        <v>8407366.48145153</v>
      </c>
      <c r="G117" s="523">
        <f t="shared" si="32"/>
        <v>8588669.9326710422</v>
      </c>
      <c r="H117" s="526">
        <f t="shared" si="33"/>
        <v>1337543.1254089093</v>
      </c>
      <c r="I117" s="577">
        <f t="shared" si="34"/>
        <v>1337543.1254089093</v>
      </c>
      <c r="J117" s="514">
        <f t="shared" si="27"/>
        <v>0</v>
      </c>
      <c r="K117" s="514"/>
      <c r="L117" s="525"/>
      <c r="M117" s="514">
        <f t="shared" si="35"/>
        <v>0</v>
      </c>
      <c r="N117" s="525"/>
      <c r="O117" s="514">
        <f t="shared" si="28"/>
        <v>0</v>
      </c>
      <c r="P117" s="514">
        <f t="shared" si="29"/>
        <v>0</v>
      </c>
    </row>
    <row r="118" spans="2:16" ht="12.5">
      <c r="B118" s="195" t="str">
        <f t="shared" si="26"/>
        <v/>
      </c>
      <c r="C118" s="507">
        <f>IF(D93="","-",+C117+1)</f>
        <v>2033</v>
      </c>
      <c r="D118" s="374">
        <f>IF(F117+SUM(E$99:E117)=D$92,F117,D$92-SUM(E$99:E117))</f>
        <v>8407366.48145153</v>
      </c>
      <c r="E118" s="522">
        <f t="shared" si="30"/>
        <v>362606.90243902442</v>
      </c>
      <c r="F118" s="523">
        <f t="shared" si="31"/>
        <v>8044759.5790125057</v>
      </c>
      <c r="G118" s="523">
        <f t="shared" si="32"/>
        <v>8226063.0302320179</v>
      </c>
      <c r="H118" s="526">
        <f t="shared" si="33"/>
        <v>1296382.083401469</v>
      </c>
      <c r="I118" s="577">
        <f t="shared" si="34"/>
        <v>1296382.083401469</v>
      </c>
      <c r="J118" s="514">
        <f t="shared" si="27"/>
        <v>0</v>
      </c>
      <c r="K118" s="514"/>
      <c r="L118" s="525"/>
      <c r="M118" s="514">
        <f t="shared" si="35"/>
        <v>0</v>
      </c>
      <c r="N118" s="525"/>
      <c r="O118" s="514">
        <f t="shared" si="28"/>
        <v>0</v>
      </c>
      <c r="P118" s="514">
        <f t="shared" si="29"/>
        <v>0</v>
      </c>
    </row>
    <row r="119" spans="2:16" ht="12.5">
      <c r="B119" s="195" t="str">
        <f t="shared" si="26"/>
        <v/>
      </c>
      <c r="C119" s="507">
        <f>IF(D93="","-",+C118+1)</f>
        <v>2034</v>
      </c>
      <c r="D119" s="374">
        <f>IF(F118+SUM(E$99:E118)=D$92,F118,D$92-SUM(E$99:E118))</f>
        <v>8044759.5790125057</v>
      </c>
      <c r="E119" s="522">
        <f t="shared" si="30"/>
        <v>362606.90243902442</v>
      </c>
      <c r="F119" s="523">
        <f t="shared" si="31"/>
        <v>7682152.6765734814</v>
      </c>
      <c r="G119" s="523">
        <f t="shared" si="32"/>
        <v>7863456.1277929936</v>
      </c>
      <c r="H119" s="526">
        <f t="shared" si="33"/>
        <v>1255221.0413940288</v>
      </c>
      <c r="I119" s="577">
        <f t="shared" si="34"/>
        <v>1255221.0413940288</v>
      </c>
      <c r="J119" s="514">
        <f t="shared" si="27"/>
        <v>0</v>
      </c>
      <c r="K119" s="514"/>
      <c r="L119" s="525"/>
      <c r="M119" s="514">
        <f t="shared" si="35"/>
        <v>0</v>
      </c>
      <c r="N119" s="525"/>
      <c r="O119" s="514">
        <f t="shared" si="28"/>
        <v>0</v>
      </c>
      <c r="P119" s="514">
        <f t="shared" si="29"/>
        <v>0</v>
      </c>
    </row>
    <row r="120" spans="2:16" ht="12.5">
      <c r="B120" s="195" t="str">
        <f t="shared" si="26"/>
        <v/>
      </c>
      <c r="C120" s="507">
        <f>IF(D93="","-",+C119+1)</f>
        <v>2035</v>
      </c>
      <c r="D120" s="374">
        <f>IF(F119+SUM(E$99:E119)=D$92,F119,D$92-SUM(E$99:E119))</f>
        <v>7682152.6765734814</v>
      </c>
      <c r="E120" s="522">
        <f t="shared" si="30"/>
        <v>362606.90243902442</v>
      </c>
      <c r="F120" s="523">
        <f t="shared" si="31"/>
        <v>7319545.7741344571</v>
      </c>
      <c r="G120" s="523">
        <f t="shared" si="32"/>
        <v>7500849.2253539693</v>
      </c>
      <c r="H120" s="526">
        <f t="shared" si="33"/>
        <v>1214059.9993865886</v>
      </c>
      <c r="I120" s="577">
        <f t="shared" si="34"/>
        <v>1214059.9993865886</v>
      </c>
      <c r="J120" s="514">
        <f t="shared" si="27"/>
        <v>0</v>
      </c>
      <c r="K120" s="514"/>
      <c r="L120" s="525"/>
      <c r="M120" s="514">
        <f t="shared" si="35"/>
        <v>0</v>
      </c>
      <c r="N120" s="525"/>
      <c r="O120" s="514">
        <f t="shared" si="28"/>
        <v>0</v>
      </c>
      <c r="P120" s="514">
        <f t="shared" si="29"/>
        <v>0</v>
      </c>
    </row>
    <row r="121" spans="2:16" ht="12.5">
      <c r="B121" s="195" t="str">
        <f t="shared" si="26"/>
        <v/>
      </c>
      <c r="C121" s="507">
        <f>IF(D93="","-",+C120+1)</f>
        <v>2036</v>
      </c>
      <c r="D121" s="374">
        <f>IF(F120+SUM(E$99:E120)=D$92,F120,D$92-SUM(E$99:E120))</f>
        <v>7319545.7741344571</v>
      </c>
      <c r="E121" s="522">
        <f t="shared" si="30"/>
        <v>362606.90243902442</v>
      </c>
      <c r="F121" s="523">
        <f t="shared" si="31"/>
        <v>6956938.8716954328</v>
      </c>
      <c r="G121" s="523">
        <f t="shared" si="32"/>
        <v>7138242.322914945</v>
      </c>
      <c r="H121" s="526">
        <f t="shared" si="33"/>
        <v>1172898.9573791483</v>
      </c>
      <c r="I121" s="577">
        <f t="shared" si="34"/>
        <v>1172898.9573791483</v>
      </c>
      <c r="J121" s="514">
        <f t="shared" si="27"/>
        <v>0</v>
      </c>
      <c r="K121" s="514"/>
      <c r="L121" s="525"/>
      <c r="M121" s="514">
        <f t="shared" si="35"/>
        <v>0</v>
      </c>
      <c r="N121" s="525"/>
      <c r="O121" s="514">
        <f t="shared" si="28"/>
        <v>0</v>
      </c>
      <c r="P121" s="514">
        <f t="shared" si="29"/>
        <v>0</v>
      </c>
    </row>
    <row r="122" spans="2:16" ht="12.5">
      <c r="B122" s="195" t="str">
        <f t="shared" si="26"/>
        <v/>
      </c>
      <c r="C122" s="507">
        <f>IF(D93="","-",+C121+1)</f>
        <v>2037</v>
      </c>
      <c r="D122" s="374">
        <f>IF(F121+SUM(E$99:E121)=D$92,F121,D$92-SUM(E$99:E121))</f>
        <v>6956938.8716954328</v>
      </c>
      <c r="E122" s="522">
        <f t="shared" si="30"/>
        <v>362606.90243902442</v>
      </c>
      <c r="F122" s="523">
        <f t="shared" si="31"/>
        <v>6594331.9692564085</v>
      </c>
      <c r="G122" s="523">
        <f t="shared" si="32"/>
        <v>6775635.4204759207</v>
      </c>
      <c r="H122" s="526">
        <f t="shared" si="33"/>
        <v>1131737.9153717081</v>
      </c>
      <c r="I122" s="577">
        <f t="shared" si="34"/>
        <v>1131737.9153717081</v>
      </c>
      <c r="J122" s="514">
        <f t="shared" si="27"/>
        <v>0</v>
      </c>
      <c r="K122" s="514"/>
      <c r="L122" s="525"/>
      <c r="M122" s="514">
        <f t="shared" si="35"/>
        <v>0</v>
      </c>
      <c r="N122" s="525"/>
      <c r="O122" s="514">
        <f t="shared" si="28"/>
        <v>0</v>
      </c>
      <c r="P122" s="514">
        <f t="shared" si="29"/>
        <v>0</v>
      </c>
    </row>
    <row r="123" spans="2:16" ht="12.5">
      <c r="B123" s="195" t="str">
        <f t="shared" si="26"/>
        <v/>
      </c>
      <c r="C123" s="507">
        <f>IF(D93="","-",+C122+1)</f>
        <v>2038</v>
      </c>
      <c r="D123" s="374">
        <f>IF(F122+SUM(E$99:E122)=D$92,F122,D$92-SUM(E$99:E122))</f>
        <v>6594331.9692564085</v>
      </c>
      <c r="E123" s="522">
        <f t="shared" si="30"/>
        <v>362606.90243902442</v>
      </c>
      <c r="F123" s="523">
        <f t="shared" si="31"/>
        <v>6231725.0668173842</v>
      </c>
      <c r="G123" s="523">
        <f t="shared" si="32"/>
        <v>6413028.5180368964</v>
      </c>
      <c r="H123" s="526">
        <f t="shared" si="33"/>
        <v>1090576.8733642679</v>
      </c>
      <c r="I123" s="577">
        <f t="shared" si="34"/>
        <v>1090576.8733642679</v>
      </c>
      <c r="J123" s="514">
        <f t="shared" si="27"/>
        <v>0</v>
      </c>
      <c r="K123" s="514"/>
      <c r="L123" s="525"/>
      <c r="M123" s="514">
        <f t="shared" si="35"/>
        <v>0</v>
      </c>
      <c r="N123" s="525"/>
      <c r="O123" s="514">
        <f t="shared" si="28"/>
        <v>0</v>
      </c>
      <c r="P123" s="514">
        <f t="shared" si="29"/>
        <v>0</v>
      </c>
    </row>
    <row r="124" spans="2:16" ht="12.5">
      <c r="B124" s="195" t="str">
        <f t="shared" si="26"/>
        <v/>
      </c>
      <c r="C124" s="507">
        <f>IF(D93="","-",+C123+1)</f>
        <v>2039</v>
      </c>
      <c r="D124" s="374">
        <f>IF(F123+SUM(E$99:E123)=D$92,F123,D$92-SUM(E$99:E123))</f>
        <v>6231725.0668173842</v>
      </c>
      <c r="E124" s="522">
        <f t="shared" si="30"/>
        <v>362606.90243902442</v>
      </c>
      <c r="F124" s="523">
        <f t="shared" si="31"/>
        <v>5869118.1643783599</v>
      </c>
      <c r="G124" s="523">
        <f t="shared" si="32"/>
        <v>6050421.6155978721</v>
      </c>
      <c r="H124" s="526">
        <f t="shared" si="33"/>
        <v>1049415.8313568274</v>
      </c>
      <c r="I124" s="577">
        <f t="shared" si="34"/>
        <v>1049415.8313568274</v>
      </c>
      <c r="J124" s="514">
        <f t="shared" si="27"/>
        <v>0</v>
      </c>
      <c r="K124" s="514"/>
      <c r="L124" s="525"/>
      <c r="M124" s="514">
        <f t="shared" si="35"/>
        <v>0</v>
      </c>
      <c r="N124" s="525"/>
      <c r="O124" s="514">
        <f t="shared" si="28"/>
        <v>0</v>
      </c>
      <c r="P124" s="514">
        <f t="shared" si="29"/>
        <v>0</v>
      </c>
    </row>
    <row r="125" spans="2:16" ht="12.5">
      <c r="B125" s="195" t="str">
        <f t="shared" si="26"/>
        <v/>
      </c>
      <c r="C125" s="507">
        <f>IF(D93="","-",+C124+1)</f>
        <v>2040</v>
      </c>
      <c r="D125" s="374">
        <f>IF(F124+SUM(E$99:E124)=D$92,F124,D$92-SUM(E$99:E124))</f>
        <v>5869118.1643783599</v>
      </c>
      <c r="E125" s="522">
        <f t="shared" si="30"/>
        <v>362606.90243902442</v>
      </c>
      <c r="F125" s="523">
        <f t="shared" si="31"/>
        <v>5506511.2619393356</v>
      </c>
      <c r="G125" s="523">
        <f t="shared" si="32"/>
        <v>5687814.7131588478</v>
      </c>
      <c r="H125" s="526">
        <f t="shared" si="33"/>
        <v>1008254.7893493872</v>
      </c>
      <c r="I125" s="577">
        <f t="shared" si="34"/>
        <v>1008254.7893493872</v>
      </c>
      <c r="J125" s="514">
        <f t="shared" si="27"/>
        <v>0</v>
      </c>
      <c r="K125" s="514"/>
      <c r="L125" s="525"/>
      <c r="M125" s="514">
        <f t="shared" si="35"/>
        <v>0</v>
      </c>
      <c r="N125" s="525"/>
      <c r="O125" s="514">
        <f t="shared" si="28"/>
        <v>0</v>
      </c>
      <c r="P125" s="514">
        <f t="shared" si="29"/>
        <v>0</v>
      </c>
    </row>
    <row r="126" spans="2:16" ht="12.5">
      <c r="B126" s="195" t="str">
        <f t="shared" si="26"/>
        <v/>
      </c>
      <c r="C126" s="507">
        <f>IF(D93="","-",+C125+1)</f>
        <v>2041</v>
      </c>
      <c r="D126" s="374">
        <f>IF(F125+SUM(E$99:E125)=D$92,F125,D$92-SUM(E$99:E125))</f>
        <v>5506511.2619393356</v>
      </c>
      <c r="E126" s="522">
        <f t="shared" si="30"/>
        <v>362606.90243902442</v>
      </c>
      <c r="F126" s="523">
        <f t="shared" si="31"/>
        <v>5143904.3595003113</v>
      </c>
      <c r="G126" s="523">
        <f t="shared" si="32"/>
        <v>5325207.8107198235</v>
      </c>
      <c r="H126" s="526">
        <f t="shared" si="33"/>
        <v>967093.74734194693</v>
      </c>
      <c r="I126" s="577">
        <f t="shared" si="34"/>
        <v>967093.74734194693</v>
      </c>
      <c r="J126" s="514">
        <f t="shared" si="27"/>
        <v>0</v>
      </c>
      <c r="K126" s="514"/>
      <c r="L126" s="525"/>
      <c r="M126" s="514">
        <f t="shared" si="35"/>
        <v>0</v>
      </c>
      <c r="N126" s="525"/>
      <c r="O126" s="514">
        <f t="shared" si="28"/>
        <v>0</v>
      </c>
      <c r="P126" s="514">
        <f t="shared" si="29"/>
        <v>0</v>
      </c>
    </row>
    <row r="127" spans="2:16" ht="12.5">
      <c r="B127" s="195" t="str">
        <f t="shared" si="26"/>
        <v/>
      </c>
      <c r="C127" s="507">
        <f>IF(D93="","-",+C126+1)</f>
        <v>2042</v>
      </c>
      <c r="D127" s="374">
        <f>IF(F126+SUM(E$99:E126)=D$92,F126,D$92-SUM(E$99:E126))</f>
        <v>5143904.3595003113</v>
      </c>
      <c r="E127" s="522">
        <f t="shared" si="30"/>
        <v>362606.90243902442</v>
      </c>
      <c r="F127" s="523">
        <f t="shared" si="31"/>
        <v>4781297.457061287</v>
      </c>
      <c r="G127" s="523">
        <f t="shared" si="32"/>
        <v>4962600.9082807992</v>
      </c>
      <c r="H127" s="526">
        <f t="shared" si="33"/>
        <v>925932.7053345067</v>
      </c>
      <c r="I127" s="577">
        <f t="shared" si="34"/>
        <v>925932.7053345067</v>
      </c>
      <c r="J127" s="514">
        <f t="shared" si="27"/>
        <v>0</v>
      </c>
      <c r="K127" s="514"/>
      <c r="L127" s="525"/>
      <c r="M127" s="514">
        <f t="shared" si="35"/>
        <v>0</v>
      </c>
      <c r="N127" s="525"/>
      <c r="O127" s="514">
        <f t="shared" si="28"/>
        <v>0</v>
      </c>
      <c r="P127" s="514">
        <f t="shared" si="29"/>
        <v>0</v>
      </c>
    </row>
    <row r="128" spans="2:16" ht="12.5">
      <c r="B128" s="195" t="str">
        <f t="shared" si="26"/>
        <v/>
      </c>
      <c r="C128" s="507">
        <f>IF(D93="","-",+C127+1)</f>
        <v>2043</v>
      </c>
      <c r="D128" s="374">
        <f>IF(F127+SUM(E$99:E127)=D$92,F127,D$92-SUM(E$99:E127))</f>
        <v>4781297.457061287</v>
      </c>
      <c r="E128" s="522">
        <f t="shared" si="30"/>
        <v>362606.90243902442</v>
      </c>
      <c r="F128" s="523">
        <f t="shared" si="31"/>
        <v>4418690.5546222627</v>
      </c>
      <c r="G128" s="523">
        <f t="shared" si="32"/>
        <v>4599994.0058417749</v>
      </c>
      <c r="H128" s="526">
        <f t="shared" si="33"/>
        <v>884771.66332706646</v>
      </c>
      <c r="I128" s="577">
        <f t="shared" si="34"/>
        <v>884771.66332706646</v>
      </c>
      <c r="J128" s="514">
        <f t="shared" si="27"/>
        <v>0</v>
      </c>
      <c r="K128" s="514"/>
      <c r="L128" s="525"/>
      <c r="M128" s="514">
        <f t="shared" si="35"/>
        <v>0</v>
      </c>
      <c r="N128" s="525"/>
      <c r="O128" s="514">
        <f t="shared" si="28"/>
        <v>0</v>
      </c>
      <c r="P128" s="514">
        <f t="shared" si="29"/>
        <v>0</v>
      </c>
    </row>
    <row r="129" spans="2:16" ht="12.5">
      <c r="B129" s="195" t="str">
        <f t="shared" si="26"/>
        <v/>
      </c>
      <c r="C129" s="507">
        <f>IF(D93="","-",+C128+1)</f>
        <v>2044</v>
      </c>
      <c r="D129" s="374">
        <f>IF(F128+SUM(E$99:E128)=D$92,F128,D$92-SUM(E$99:E128))</f>
        <v>4418690.5546222627</v>
      </c>
      <c r="E129" s="522">
        <f t="shared" si="30"/>
        <v>362606.90243902442</v>
      </c>
      <c r="F129" s="523">
        <f t="shared" si="31"/>
        <v>4056083.6521832384</v>
      </c>
      <c r="G129" s="523">
        <f t="shared" si="32"/>
        <v>4237387.1034027506</v>
      </c>
      <c r="H129" s="526">
        <f t="shared" si="33"/>
        <v>843610.62131962623</v>
      </c>
      <c r="I129" s="577">
        <f t="shared" si="34"/>
        <v>843610.62131962623</v>
      </c>
      <c r="J129" s="514">
        <f t="shared" si="27"/>
        <v>0</v>
      </c>
      <c r="K129" s="514"/>
      <c r="L129" s="525"/>
      <c r="M129" s="514">
        <f t="shared" si="35"/>
        <v>0</v>
      </c>
      <c r="N129" s="525"/>
      <c r="O129" s="514">
        <f t="shared" si="28"/>
        <v>0</v>
      </c>
      <c r="P129" s="514">
        <f t="shared" si="29"/>
        <v>0</v>
      </c>
    </row>
    <row r="130" spans="2:16" ht="12.5">
      <c r="B130" s="195" t="str">
        <f t="shared" si="26"/>
        <v/>
      </c>
      <c r="C130" s="507">
        <f>IF(D93="","-",+C129+1)</f>
        <v>2045</v>
      </c>
      <c r="D130" s="374">
        <f>IF(F129+SUM(E$99:E129)=D$92,F129,D$92-SUM(E$99:E129))</f>
        <v>4056083.6521832384</v>
      </c>
      <c r="E130" s="522">
        <f t="shared" si="30"/>
        <v>362606.90243902442</v>
      </c>
      <c r="F130" s="523">
        <f t="shared" si="31"/>
        <v>3693476.7497442141</v>
      </c>
      <c r="G130" s="523">
        <f t="shared" si="32"/>
        <v>3874780.2009637263</v>
      </c>
      <c r="H130" s="526">
        <f t="shared" si="33"/>
        <v>802449.57931218587</v>
      </c>
      <c r="I130" s="577">
        <f t="shared" si="34"/>
        <v>802449.57931218587</v>
      </c>
      <c r="J130" s="514">
        <f t="shared" si="27"/>
        <v>0</v>
      </c>
      <c r="K130" s="514"/>
      <c r="L130" s="525"/>
      <c r="M130" s="514">
        <f t="shared" si="35"/>
        <v>0</v>
      </c>
      <c r="N130" s="525"/>
      <c r="O130" s="514">
        <f t="shared" si="28"/>
        <v>0</v>
      </c>
      <c r="P130" s="514">
        <f t="shared" si="29"/>
        <v>0</v>
      </c>
    </row>
    <row r="131" spans="2:16" ht="12.5">
      <c r="B131" s="195" t="str">
        <f t="shared" si="26"/>
        <v/>
      </c>
      <c r="C131" s="507">
        <f>IF(D93="","-",+C130+1)</f>
        <v>2046</v>
      </c>
      <c r="D131" s="374">
        <f>IF(F130+SUM(E$99:E130)=D$92,F130,D$92-SUM(E$99:E130))</f>
        <v>3693476.7497442141</v>
      </c>
      <c r="E131" s="522">
        <f t="shared" si="30"/>
        <v>362606.90243902442</v>
      </c>
      <c r="F131" s="523">
        <f t="shared" si="31"/>
        <v>3330869.8473051898</v>
      </c>
      <c r="G131" s="523">
        <f t="shared" si="32"/>
        <v>3512173.298524702</v>
      </c>
      <c r="H131" s="526">
        <f t="shared" si="33"/>
        <v>761288.53730474564</v>
      </c>
      <c r="I131" s="577">
        <f t="shared" si="34"/>
        <v>761288.53730474564</v>
      </c>
      <c r="J131" s="514">
        <f t="shared" si="27"/>
        <v>0</v>
      </c>
      <c r="K131" s="514"/>
      <c r="L131" s="525"/>
      <c r="M131" s="514">
        <f t="shared" ref="M131:M154" si="36">IF(L541&lt;&gt;0,+H541-L541,0)</f>
        <v>0</v>
      </c>
      <c r="N131" s="525"/>
      <c r="O131" s="514">
        <f t="shared" ref="O131:O154" si="37">IF(N541&lt;&gt;0,+I541-N541,0)</f>
        <v>0</v>
      </c>
      <c r="P131" s="514">
        <f t="shared" ref="P131:P154" si="38">+O541-M541</f>
        <v>0</v>
      </c>
    </row>
    <row r="132" spans="2:16" ht="12.5">
      <c r="B132" s="195" t="str">
        <f t="shared" si="26"/>
        <v/>
      </c>
      <c r="C132" s="507">
        <f>IF(D93="","-",+C131+1)</f>
        <v>2047</v>
      </c>
      <c r="D132" s="374">
        <f>IF(F131+SUM(E$99:E131)=D$92,F131,D$92-SUM(E$99:E131))</f>
        <v>3330869.8473051898</v>
      </c>
      <c r="E132" s="522">
        <f t="shared" si="30"/>
        <v>362606.90243902442</v>
      </c>
      <c r="F132" s="523">
        <f t="shared" si="31"/>
        <v>2968262.9448661655</v>
      </c>
      <c r="G132" s="523">
        <f t="shared" si="32"/>
        <v>3149566.3960856777</v>
      </c>
      <c r="H132" s="526">
        <f t="shared" si="33"/>
        <v>720127.49529730529</v>
      </c>
      <c r="I132" s="577">
        <f t="shared" si="34"/>
        <v>720127.49529730529</v>
      </c>
      <c r="J132" s="514">
        <f t="shared" si="27"/>
        <v>0</v>
      </c>
      <c r="K132" s="514"/>
      <c r="L132" s="525"/>
      <c r="M132" s="514">
        <f t="shared" si="36"/>
        <v>0</v>
      </c>
      <c r="N132" s="525"/>
      <c r="O132" s="514">
        <f t="shared" si="37"/>
        <v>0</v>
      </c>
      <c r="P132" s="514">
        <f t="shared" si="38"/>
        <v>0</v>
      </c>
    </row>
    <row r="133" spans="2:16" ht="12.5">
      <c r="B133" s="195" t="str">
        <f t="shared" si="26"/>
        <v/>
      </c>
      <c r="C133" s="507">
        <f>IF(D93="","-",+C132+1)</f>
        <v>2048</v>
      </c>
      <c r="D133" s="374">
        <f>IF(F132+SUM(E$99:E132)=D$92,F132,D$92-SUM(E$99:E132))</f>
        <v>2968262.9448661655</v>
      </c>
      <c r="E133" s="522">
        <f t="shared" si="30"/>
        <v>362606.90243902442</v>
      </c>
      <c r="F133" s="523">
        <f t="shared" si="31"/>
        <v>2605656.0424271412</v>
      </c>
      <c r="G133" s="523">
        <f t="shared" si="32"/>
        <v>2786959.4936466534</v>
      </c>
      <c r="H133" s="526">
        <f t="shared" si="33"/>
        <v>678966.45328986505</v>
      </c>
      <c r="I133" s="577">
        <f t="shared" si="34"/>
        <v>678966.45328986505</v>
      </c>
      <c r="J133" s="514">
        <f t="shared" si="27"/>
        <v>0</v>
      </c>
      <c r="K133" s="514"/>
      <c r="L133" s="525"/>
      <c r="M133" s="514">
        <f t="shared" si="36"/>
        <v>0</v>
      </c>
      <c r="N133" s="525"/>
      <c r="O133" s="514">
        <f t="shared" si="37"/>
        <v>0</v>
      </c>
      <c r="P133" s="514">
        <f t="shared" si="38"/>
        <v>0</v>
      </c>
    </row>
    <row r="134" spans="2:16" ht="12.5">
      <c r="B134" s="195" t="str">
        <f t="shared" si="26"/>
        <v/>
      </c>
      <c r="C134" s="507">
        <f>IF(D93="","-",+C133+1)</f>
        <v>2049</v>
      </c>
      <c r="D134" s="374">
        <f>IF(F133+SUM(E$99:E133)=D$92,F133,D$92-SUM(E$99:E133))</f>
        <v>2605656.0424271412</v>
      </c>
      <c r="E134" s="522">
        <f t="shared" si="30"/>
        <v>362606.90243902442</v>
      </c>
      <c r="F134" s="523">
        <f t="shared" si="31"/>
        <v>2243049.1399881169</v>
      </c>
      <c r="G134" s="523">
        <f t="shared" si="32"/>
        <v>2424352.5912076291</v>
      </c>
      <c r="H134" s="526">
        <f t="shared" si="33"/>
        <v>637805.41128242481</v>
      </c>
      <c r="I134" s="577">
        <f t="shared" si="34"/>
        <v>637805.41128242481</v>
      </c>
      <c r="J134" s="514">
        <f t="shared" si="27"/>
        <v>0</v>
      </c>
      <c r="K134" s="514"/>
      <c r="L134" s="525"/>
      <c r="M134" s="514">
        <f t="shared" si="36"/>
        <v>0</v>
      </c>
      <c r="N134" s="525"/>
      <c r="O134" s="514">
        <f t="shared" si="37"/>
        <v>0</v>
      </c>
      <c r="P134" s="514">
        <f t="shared" si="38"/>
        <v>0</v>
      </c>
    </row>
    <row r="135" spans="2:16" ht="12.5">
      <c r="B135" s="195" t="str">
        <f t="shared" si="26"/>
        <v/>
      </c>
      <c r="C135" s="507">
        <f>IF(D93="","-",+C134+1)</f>
        <v>2050</v>
      </c>
      <c r="D135" s="374">
        <f>IF(F134+SUM(E$99:E134)=D$92,F134,D$92-SUM(E$99:E134))</f>
        <v>2243049.1399881169</v>
      </c>
      <c r="E135" s="522">
        <f t="shared" si="30"/>
        <v>362606.90243902442</v>
      </c>
      <c r="F135" s="523">
        <f t="shared" si="31"/>
        <v>1880442.2375490926</v>
      </c>
      <c r="G135" s="523">
        <f t="shared" si="32"/>
        <v>2061745.6887686048</v>
      </c>
      <c r="H135" s="526">
        <f t="shared" si="33"/>
        <v>596644.36927498458</v>
      </c>
      <c r="I135" s="577">
        <f t="shared" si="34"/>
        <v>596644.36927498458</v>
      </c>
      <c r="J135" s="514">
        <f t="shared" si="27"/>
        <v>0</v>
      </c>
      <c r="K135" s="514"/>
      <c r="L135" s="525"/>
      <c r="M135" s="514">
        <f t="shared" si="36"/>
        <v>0</v>
      </c>
      <c r="N135" s="525"/>
      <c r="O135" s="514">
        <f t="shared" si="37"/>
        <v>0</v>
      </c>
      <c r="P135" s="514">
        <f t="shared" si="38"/>
        <v>0</v>
      </c>
    </row>
    <row r="136" spans="2:16" ht="12.5">
      <c r="B136" s="195" t="str">
        <f t="shared" si="26"/>
        <v/>
      </c>
      <c r="C136" s="507">
        <f>IF(D93="","-",+C135+1)</f>
        <v>2051</v>
      </c>
      <c r="D136" s="374">
        <f>IF(F135+SUM(E$99:E135)=D$92,F135,D$92-SUM(E$99:E135))</f>
        <v>1880442.2375490926</v>
      </c>
      <c r="E136" s="522">
        <f t="shared" si="30"/>
        <v>362606.90243902442</v>
      </c>
      <c r="F136" s="523">
        <f t="shared" si="31"/>
        <v>1517835.3351100683</v>
      </c>
      <c r="G136" s="523">
        <f t="shared" si="32"/>
        <v>1699138.7863295805</v>
      </c>
      <c r="H136" s="526">
        <f t="shared" si="33"/>
        <v>555483.32726754434</v>
      </c>
      <c r="I136" s="577">
        <f t="shared" si="34"/>
        <v>555483.32726754434</v>
      </c>
      <c r="J136" s="514">
        <f t="shared" si="27"/>
        <v>0</v>
      </c>
      <c r="K136" s="514"/>
      <c r="L136" s="525"/>
      <c r="M136" s="514">
        <f t="shared" si="36"/>
        <v>0</v>
      </c>
      <c r="N136" s="525"/>
      <c r="O136" s="514">
        <f t="shared" si="37"/>
        <v>0</v>
      </c>
      <c r="P136" s="514">
        <f t="shared" si="38"/>
        <v>0</v>
      </c>
    </row>
    <row r="137" spans="2:16" ht="12.5">
      <c r="B137" s="195" t="str">
        <f t="shared" si="26"/>
        <v/>
      </c>
      <c r="C137" s="507">
        <f>IF(D93="","-",+C136+1)</f>
        <v>2052</v>
      </c>
      <c r="D137" s="374">
        <f>IF(F136+SUM(E$99:E136)=D$92,F136,D$92-SUM(E$99:E136))</f>
        <v>1517835.3351100683</v>
      </c>
      <c r="E137" s="522">
        <f t="shared" si="30"/>
        <v>362606.90243902442</v>
      </c>
      <c r="F137" s="523">
        <f t="shared" si="31"/>
        <v>1155228.432671044</v>
      </c>
      <c r="G137" s="523">
        <f t="shared" si="32"/>
        <v>1336531.8838905562</v>
      </c>
      <c r="H137" s="526">
        <f t="shared" si="33"/>
        <v>514322.28526010411</v>
      </c>
      <c r="I137" s="577">
        <f t="shared" si="34"/>
        <v>514322.28526010411</v>
      </c>
      <c r="J137" s="514">
        <f t="shared" si="27"/>
        <v>0</v>
      </c>
      <c r="K137" s="514"/>
      <c r="L137" s="525"/>
      <c r="M137" s="514">
        <f t="shared" si="36"/>
        <v>0</v>
      </c>
      <c r="N137" s="525"/>
      <c r="O137" s="514">
        <f t="shared" si="37"/>
        <v>0</v>
      </c>
      <c r="P137" s="514">
        <f t="shared" si="38"/>
        <v>0</v>
      </c>
    </row>
    <row r="138" spans="2:16" ht="12.5">
      <c r="B138" s="195" t="str">
        <f t="shared" si="26"/>
        <v/>
      </c>
      <c r="C138" s="507">
        <f>IF(D93="","-",+C137+1)</f>
        <v>2053</v>
      </c>
      <c r="D138" s="374">
        <f>IF(F137+SUM(E$99:E137)=D$92,F137,D$92-SUM(E$99:E137))</f>
        <v>1155228.432671044</v>
      </c>
      <c r="E138" s="522">
        <f t="shared" si="30"/>
        <v>362606.90243902442</v>
      </c>
      <c r="F138" s="523">
        <f t="shared" si="31"/>
        <v>792621.53023201961</v>
      </c>
      <c r="G138" s="523">
        <f t="shared" si="32"/>
        <v>973924.98145153187</v>
      </c>
      <c r="H138" s="526">
        <f t="shared" si="33"/>
        <v>473161.24325266381</v>
      </c>
      <c r="I138" s="577">
        <f t="shared" si="34"/>
        <v>473161.24325266381</v>
      </c>
      <c r="J138" s="514">
        <f t="shared" si="27"/>
        <v>0</v>
      </c>
      <c r="K138" s="514"/>
      <c r="L138" s="525"/>
      <c r="M138" s="514">
        <f t="shared" si="36"/>
        <v>0</v>
      </c>
      <c r="N138" s="525"/>
      <c r="O138" s="514">
        <f t="shared" si="37"/>
        <v>0</v>
      </c>
      <c r="P138" s="514">
        <f t="shared" si="38"/>
        <v>0</v>
      </c>
    </row>
    <row r="139" spans="2:16" ht="12.5">
      <c r="B139" s="195" t="str">
        <f t="shared" si="26"/>
        <v/>
      </c>
      <c r="C139" s="507">
        <f>IF(D93="","-",+C138+1)</f>
        <v>2054</v>
      </c>
      <c r="D139" s="374">
        <f>IF(F138+SUM(E$99:E138)=D$92,F138,D$92-SUM(E$99:E138))</f>
        <v>792621.53023201961</v>
      </c>
      <c r="E139" s="522">
        <f t="shared" si="30"/>
        <v>362606.90243902442</v>
      </c>
      <c r="F139" s="523">
        <f t="shared" si="31"/>
        <v>430014.62779299519</v>
      </c>
      <c r="G139" s="523">
        <f t="shared" si="32"/>
        <v>611318.07901250734</v>
      </c>
      <c r="H139" s="526">
        <f t="shared" si="33"/>
        <v>432000.20124522352</v>
      </c>
      <c r="I139" s="577">
        <f t="shared" si="34"/>
        <v>432000.20124522352</v>
      </c>
      <c r="J139" s="514">
        <f t="shared" si="27"/>
        <v>0</v>
      </c>
      <c r="K139" s="514"/>
      <c r="L139" s="525"/>
      <c r="M139" s="514">
        <f t="shared" si="36"/>
        <v>0</v>
      </c>
      <c r="N139" s="525"/>
      <c r="O139" s="514">
        <f t="shared" si="37"/>
        <v>0</v>
      </c>
      <c r="P139" s="514">
        <f t="shared" si="38"/>
        <v>0</v>
      </c>
    </row>
    <row r="140" spans="2:16" ht="12.5">
      <c r="B140" s="195" t="str">
        <f t="shared" si="26"/>
        <v/>
      </c>
      <c r="C140" s="507">
        <f>IF(D93="","-",+C139+1)</f>
        <v>2055</v>
      </c>
      <c r="D140" s="374">
        <f>IF(F139+SUM(E$99:E139)=D$92,F139,D$92-SUM(E$99:E139))</f>
        <v>430014.62779299519</v>
      </c>
      <c r="E140" s="522">
        <f t="shared" si="30"/>
        <v>362606.90243902442</v>
      </c>
      <c r="F140" s="523">
        <f t="shared" si="31"/>
        <v>67407.725353970774</v>
      </c>
      <c r="G140" s="523">
        <f t="shared" si="32"/>
        <v>248711.17657348298</v>
      </c>
      <c r="H140" s="526">
        <f t="shared" si="33"/>
        <v>390839.15923778323</v>
      </c>
      <c r="I140" s="577">
        <f t="shared" si="34"/>
        <v>390839.15923778323</v>
      </c>
      <c r="J140" s="514">
        <f t="shared" si="27"/>
        <v>0</v>
      </c>
      <c r="K140" s="514"/>
      <c r="L140" s="525"/>
      <c r="M140" s="514">
        <f t="shared" si="36"/>
        <v>0</v>
      </c>
      <c r="N140" s="525"/>
      <c r="O140" s="514">
        <f t="shared" si="37"/>
        <v>0</v>
      </c>
      <c r="P140" s="514">
        <f t="shared" si="38"/>
        <v>0</v>
      </c>
    </row>
    <row r="141" spans="2:16" ht="12.5">
      <c r="B141" s="195" t="str">
        <f t="shared" si="26"/>
        <v/>
      </c>
      <c r="C141" s="507">
        <f>IF(D93="","-",+C140+1)</f>
        <v>2056</v>
      </c>
      <c r="D141" s="374">
        <f>IF(F140+SUM(E$99:E140)=D$92,F140,D$92-SUM(E$99:E140))</f>
        <v>67407.725353970774</v>
      </c>
      <c r="E141" s="522">
        <f t="shared" si="30"/>
        <v>67407.725353970774</v>
      </c>
      <c r="F141" s="523">
        <f t="shared" si="31"/>
        <v>0</v>
      </c>
      <c r="G141" s="523">
        <f t="shared" si="32"/>
        <v>33703.862676985387</v>
      </c>
      <c r="H141" s="526">
        <f t="shared" si="33"/>
        <v>71233.593251490121</v>
      </c>
      <c r="I141" s="577">
        <f t="shared" si="34"/>
        <v>71233.593251490121</v>
      </c>
      <c r="J141" s="514">
        <f t="shared" si="27"/>
        <v>0</v>
      </c>
      <c r="K141" s="514"/>
      <c r="L141" s="525"/>
      <c r="M141" s="514">
        <f t="shared" si="36"/>
        <v>0</v>
      </c>
      <c r="N141" s="525"/>
      <c r="O141" s="514">
        <f t="shared" si="37"/>
        <v>0</v>
      </c>
      <c r="P141" s="514">
        <f t="shared" si="38"/>
        <v>0</v>
      </c>
    </row>
    <row r="142" spans="2:16" ht="12.5">
      <c r="B142" s="195" t="str">
        <f t="shared" si="26"/>
        <v/>
      </c>
      <c r="C142" s="507">
        <f>IF(D93="","-",+C141+1)</f>
        <v>2057</v>
      </c>
      <c r="D142" s="374">
        <f>IF(F141+SUM(E$99:E141)=D$92,F141,D$92-SUM(E$99:E141))</f>
        <v>0</v>
      </c>
      <c r="E142" s="522">
        <f t="shared" si="30"/>
        <v>0</v>
      </c>
      <c r="F142" s="523">
        <f t="shared" si="31"/>
        <v>0</v>
      </c>
      <c r="G142" s="523">
        <f t="shared" si="32"/>
        <v>0</v>
      </c>
      <c r="H142" s="526">
        <f t="shared" si="33"/>
        <v>0</v>
      </c>
      <c r="I142" s="577">
        <f t="shared" si="34"/>
        <v>0</v>
      </c>
      <c r="J142" s="514">
        <f t="shared" si="27"/>
        <v>0</v>
      </c>
      <c r="K142" s="514"/>
      <c r="L142" s="525"/>
      <c r="M142" s="514">
        <f t="shared" si="36"/>
        <v>0</v>
      </c>
      <c r="N142" s="525"/>
      <c r="O142" s="514">
        <f t="shared" si="37"/>
        <v>0</v>
      </c>
      <c r="P142" s="514">
        <f t="shared" si="38"/>
        <v>0</v>
      </c>
    </row>
    <row r="143" spans="2:16" ht="12.5">
      <c r="B143" s="195" t="str">
        <f t="shared" si="26"/>
        <v/>
      </c>
      <c r="C143" s="507">
        <f>IF(D93="","-",+C142+1)</f>
        <v>2058</v>
      </c>
      <c r="D143" s="374">
        <f>IF(F142+SUM(E$99:E142)=D$92,F142,D$92-SUM(E$99:E142))</f>
        <v>0</v>
      </c>
      <c r="E143" s="522">
        <f t="shared" si="30"/>
        <v>0</v>
      </c>
      <c r="F143" s="523">
        <f t="shared" si="31"/>
        <v>0</v>
      </c>
      <c r="G143" s="523">
        <f t="shared" si="32"/>
        <v>0</v>
      </c>
      <c r="H143" s="526">
        <f t="shared" si="33"/>
        <v>0</v>
      </c>
      <c r="I143" s="577">
        <f t="shared" si="34"/>
        <v>0</v>
      </c>
      <c r="J143" s="514">
        <f t="shared" si="27"/>
        <v>0</v>
      </c>
      <c r="K143" s="514"/>
      <c r="L143" s="525"/>
      <c r="M143" s="514">
        <f t="shared" si="36"/>
        <v>0</v>
      </c>
      <c r="N143" s="525"/>
      <c r="O143" s="514">
        <f t="shared" si="37"/>
        <v>0</v>
      </c>
      <c r="P143" s="514">
        <f t="shared" si="38"/>
        <v>0</v>
      </c>
    </row>
    <row r="144" spans="2:16" ht="12.5">
      <c r="B144" s="195" t="str">
        <f t="shared" si="26"/>
        <v/>
      </c>
      <c r="C144" s="507">
        <f>IF(D93="","-",+C143+1)</f>
        <v>2059</v>
      </c>
      <c r="D144" s="374">
        <f>IF(F143+SUM(E$99:E143)=D$92,F143,D$92-SUM(E$99:E143))</f>
        <v>0</v>
      </c>
      <c r="E144" s="522">
        <f t="shared" si="30"/>
        <v>0</v>
      </c>
      <c r="F144" s="523">
        <f t="shared" si="31"/>
        <v>0</v>
      </c>
      <c r="G144" s="523">
        <f t="shared" si="32"/>
        <v>0</v>
      </c>
      <c r="H144" s="526">
        <f t="shared" si="33"/>
        <v>0</v>
      </c>
      <c r="I144" s="577">
        <f t="shared" si="34"/>
        <v>0</v>
      </c>
      <c r="J144" s="514">
        <f t="shared" si="27"/>
        <v>0</v>
      </c>
      <c r="K144" s="514"/>
      <c r="L144" s="525"/>
      <c r="M144" s="514">
        <f t="shared" si="36"/>
        <v>0</v>
      </c>
      <c r="N144" s="525"/>
      <c r="O144" s="514">
        <f t="shared" si="37"/>
        <v>0</v>
      </c>
      <c r="P144" s="514">
        <f t="shared" si="38"/>
        <v>0</v>
      </c>
    </row>
    <row r="145" spans="2:16" ht="12.5">
      <c r="B145" s="195" t="str">
        <f t="shared" si="26"/>
        <v/>
      </c>
      <c r="C145" s="507">
        <f>IF(D93="","-",+C144+1)</f>
        <v>2060</v>
      </c>
      <c r="D145" s="374">
        <f>IF(F144+SUM(E$99:E144)=D$92,F144,D$92-SUM(E$99:E144))</f>
        <v>0</v>
      </c>
      <c r="E145" s="522">
        <f t="shared" si="30"/>
        <v>0</v>
      </c>
      <c r="F145" s="523">
        <f t="shared" si="31"/>
        <v>0</v>
      </c>
      <c r="G145" s="523">
        <f t="shared" si="32"/>
        <v>0</v>
      </c>
      <c r="H145" s="526">
        <f t="shared" si="33"/>
        <v>0</v>
      </c>
      <c r="I145" s="577">
        <f t="shared" si="34"/>
        <v>0</v>
      </c>
      <c r="J145" s="514">
        <f t="shared" si="27"/>
        <v>0</v>
      </c>
      <c r="K145" s="514"/>
      <c r="L145" s="525"/>
      <c r="M145" s="514">
        <f t="shared" si="36"/>
        <v>0</v>
      </c>
      <c r="N145" s="525"/>
      <c r="O145" s="514">
        <f t="shared" si="37"/>
        <v>0</v>
      </c>
      <c r="P145" s="514">
        <f t="shared" si="38"/>
        <v>0</v>
      </c>
    </row>
    <row r="146" spans="2:16" ht="12.5">
      <c r="B146" s="195" t="str">
        <f t="shared" si="26"/>
        <v/>
      </c>
      <c r="C146" s="507">
        <f>IF(D93="","-",+C145+1)</f>
        <v>2061</v>
      </c>
      <c r="D146" s="374">
        <f>IF(F145+SUM(E$99:E145)=D$92,F145,D$92-SUM(E$99:E145))</f>
        <v>0</v>
      </c>
      <c r="E146" s="522">
        <f t="shared" si="30"/>
        <v>0</v>
      </c>
      <c r="F146" s="523">
        <f t="shared" si="31"/>
        <v>0</v>
      </c>
      <c r="G146" s="523">
        <f t="shared" si="32"/>
        <v>0</v>
      </c>
      <c r="H146" s="526">
        <f t="shared" si="33"/>
        <v>0</v>
      </c>
      <c r="I146" s="577">
        <f t="shared" si="34"/>
        <v>0</v>
      </c>
      <c r="J146" s="514">
        <f t="shared" si="27"/>
        <v>0</v>
      </c>
      <c r="K146" s="514"/>
      <c r="L146" s="525"/>
      <c r="M146" s="514">
        <f t="shared" si="36"/>
        <v>0</v>
      </c>
      <c r="N146" s="525"/>
      <c r="O146" s="514">
        <f t="shared" si="37"/>
        <v>0</v>
      </c>
      <c r="P146" s="514">
        <f t="shared" si="38"/>
        <v>0</v>
      </c>
    </row>
    <row r="147" spans="2:16" ht="12.5">
      <c r="B147" s="195" t="str">
        <f t="shared" si="26"/>
        <v/>
      </c>
      <c r="C147" s="507">
        <f>IF(D93="","-",+C146+1)</f>
        <v>2062</v>
      </c>
      <c r="D147" s="374">
        <f>IF(F146+SUM(E$99:E146)=D$92,F146,D$92-SUM(E$99:E146))</f>
        <v>0</v>
      </c>
      <c r="E147" s="522">
        <f t="shared" si="30"/>
        <v>0</v>
      </c>
      <c r="F147" s="523">
        <f t="shared" si="31"/>
        <v>0</v>
      </c>
      <c r="G147" s="523">
        <f t="shared" si="32"/>
        <v>0</v>
      </c>
      <c r="H147" s="526">
        <f t="shared" si="33"/>
        <v>0</v>
      </c>
      <c r="I147" s="577">
        <f t="shared" si="34"/>
        <v>0</v>
      </c>
      <c r="J147" s="514">
        <f t="shared" si="27"/>
        <v>0</v>
      </c>
      <c r="K147" s="514"/>
      <c r="L147" s="525"/>
      <c r="M147" s="514">
        <f t="shared" si="36"/>
        <v>0</v>
      </c>
      <c r="N147" s="525"/>
      <c r="O147" s="514">
        <f t="shared" si="37"/>
        <v>0</v>
      </c>
      <c r="P147" s="514">
        <f t="shared" si="38"/>
        <v>0</v>
      </c>
    </row>
    <row r="148" spans="2:16" ht="12.5">
      <c r="B148" s="195" t="str">
        <f t="shared" si="26"/>
        <v/>
      </c>
      <c r="C148" s="507">
        <f>IF(D93="","-",+C147+1)</f>
        <v>2063</v>
      </c>
      <c r="D148" s="374">
        <f>IF(F147+SUM(E$99:E147)=D$92,F147,D$92-SUM(E$99:E147))</f>
        <v>0</v>
      </c>
      <c r="E148" s="522">
        <f t="shared" si="30"/>
        <v>0</v>
      </c>
      <c r="F148" s="523">
        <f t="shared" si="31"/>
        <v>0</v>
      </c>
      <c r="G148" s="523">
        <f t="shared" si="32"/>
        <v>0</v>
      </c>
      <c r="H148" s="526">
        <f t="shared" si="33"/>
        <v>0</v>
      </c>
      <c r="I148" s="577">
        <f t="shared" si="34"/>
        <v>0</v>
      </c>
      <c r="J148" s="514">
        <f t="shared" si="27"/>
        <v>0</v>
      </c>
      <c r="K148" s="514"/>
      <c r="L148" s="525"/>
      <c r="M148" s="514">
        <f t="shared" si="36"/>
        <v>0</v>
      </c>
      <c r="N148" s="525"/>
      <c r="O148" s="514">
        <f t="shared" si="37"/>
        <v>0</v>
      </c>
      <c r="P148" s="514">
        <f t="shared" si="38"/>
        <v>0</v>
      </c>
    </row>
    <row r="149" spans="2:16" ht="12.5">
      <c r="B149" s="195" t="str">
        <f t="shared" si="26"/>
        <v/>
      </c>
      <c r="C149" s="507">
        <f>IF(D93="","-",+C148+1)</f>
        <v>2064</v>
      </c>
      <c r="D149" s="374">
        <f>IF(F148+SUM(E$99:E148)=D$92,F148,D$92-SUM(E$99:E148))</f>
        <v>0</v>
      </c>
      <c r="E149" s="522">
        <f t="shared" si="30"/>
        <v>0</v>
      </c>
      <c r="F149" s="523">
        <f t="shared" si="31"/>
        <v>0</v>
      </c>
      <c r="G149" s="523">
        <f t="shared" si="32"/>
        <v>0</v>
      </c>
      <c r="H149" s="526">
        <f t="shared" si="33"/>
        <v>0</v>
      </c>
      <c r="I149" s="577">
        <f t="shared" si="34"/>
        <v>0</v>
      </c>
      <c r="J149" s="514">
        <f t="shared" si="27"/>
        <v>0</v>
      </c>
      <c r="K149" s="514"/>
      <c r="L149" s="525"/>
      <c r="M149" s="514">
        <f t="shared" si="36"/>
        <v>0</v>
      </c>
      <c r="N149" s="525"/>
      <c r="O149" s="514">
        <f t="shared" si="37"/>
        <v>0</v>
      </c>
      <c r="P149" s="514">
        <f t="shared" si="38"/>
        <v>0</v>
      </c>
    </row>
    <row r="150" spans="2:16" ht="12.5">
      <c r="B150" s="195" t="str">
        <f t="shared" si="26"/>
        <v/>
      </c>
      <c r="C150" s="507">
        <f>IF(D93="","-",+C149+1)</f>
        <v>2065</v>
      </c>
      <c r="D150" s="374">
        <f>IF(F149+SUM(E$99:E149)=D$92,F149,D$92-SUM(E$99:E149))</f>
        <v>0</v>
      </c>
      <c r="E150" s="522">
        <f t="shared" si="30"/>
        <v>0</v>
      </c>
      <c r="F150" s="523">
        <f t="shared" si="31"/>
        <v>0</v>
      </c>
      <c r="G150" s="523">
        <f t="shared" si="32"/>
        <v>0</v>
      </c>
      <c r="H150" s="526">
        <f t="shared" si="33"/>
        <v>0</v>
      </c>
      <c r="I150" s="577">
        <f t="shared" si="34"/>
        <v>0</v>
      </c>
      <c r="J150" s="514">
        <f t="shared" si="27"/>
        <v>0</v>
      </c>
      <c r="K150" s="514"/>
      <c r="L150" s="525"/>
      <c r="M150" s="514">
        <f t="shared" si="36"/>
        <v>0</v>
      </c>
      <c r="N150" s="525"/>
      <c r="O150" s="514">
        <f t="shared" si="37"/>
        <v>0</v>
      </c>
      <c r="P150" s="514">
        <f t="shared" si="38"/>
        <v>0</v>
      </c>
    </row>
    <row r="151" spans="2:16" ht="12.5">
      <c r="B151" s="195" t="str">
        <f t="shared" si="26"/>
        <v/>
      </c>
      <c r="C151" s="507">
        <f>IF(D93="","-",+C150+1)</f>
        <v>2066</v>
      </c>
      <c r="D151" s="374">
        <f>IF(F150+SUM(E$99:E150)=D$92,F150,D$92-SUM(E$99:E150))</f>
        <v>0</v>
      </c>
      <c r="E151" s="522">
        <f t="shared" si="30"/>
        <v>0</v>
      </c>
      <c r="F151" s="523">
        <f t="shared" si="31"/>
        <v>0</v>
      </c>
      <c r="G151" s="523">
        <f t="shared" si="32"/>
        <v>0</v>
      </c>
      <c r="H151" s="526">
        <f t="shared" si="33"/>
        <v>0</v>
      </c>
      <c r="I151" s="577">
        <f t="shared" si="34"/>
        <v>0</v>
      </c>
      <c r="J151" s="514">
        <f t="shared" si="27"/>
        <v>0</v>
      </c>
      <c r="K151" s="514"/>
      <c r="L151" s="525"/>
      <c r="M151" s="514">
        <f t="shared" si="36"/>
        <v>0</v>
      </c>
      <c r="N151" s="525"/>
      <c r="O151" s="514">
        <f t="shared" si="37"/>
        <v>0</v>
      </c>
      <c r="P151" s="514">
        <f t="shared" si="38"/>
        <v>0</v>
      </c>
    </row>
    <row r="152" spans="2:16" ht="12.5">
      <c r="B152" s="195" t="str">
        <f t="shared" si="26"/>
        <v/>
      </c>
      <c r="C152" s="507">
        <f>IF(D93="","-",+C151+1)</f>
        <v>2067</v>
      </c>
      <c r="D152" s="374">
        <f>IF(F151+SUM(E$99:E151)=D$92,F151,D$92-SUM(E$99:E151))</f>
        <v>0</v>
      </c>
      <c r="E152" s="522">
        <f t="shared" si="30"/>
        <v>0</v>
      </c>
      <c r="F152" s="523">
        <f t="shared" si="31"/>
        <v>0</v>
      </c>
      <c r="G152" s="523">
        <f t="shared" si="32"/>
        <v>0</v>
      </c>
      <c r="H152" s="526">
        <f t="shared" si="33"/>
        <v>0</v>
      </c>
      <c r="I152" s="577">
        <f t="shared" si="34"/>
        <v>0</v>
      </c>
      <c r="J152" s="514">
        <f t="shared" si="27"/>
        <v>0</v>
      </c>
      <c r="K152" s="514"/>
      <c r="L152" s="525"/>
      <c r="M152" s="514">
        <f t="shared" si="36"/>
        <v>0</v>
      </c>
      <c r="N152" s="525"/>
      <c r="O152" s="514">
        <f t="shared" si="37"/>
        <v>0</v>
      </c>
      <c r="P152" s="514">
        <f t="shared" si="38"/>
        <v>0</v>
      </c>
    </row>
    <row r="153" spans="2:16" ht="12.5">
      <c r="B153" s="195" t="str">
        <f t="shared" si="26"/>
        <v/>
      </c>
      <c r="C153" s="507">
        <f>IF(D93="","-",+C152+1)</f>
        <v>2068</v>
      </c>
      <c r="D153" s="374">
        <f>IF(F152+SUM(E$99:E152)=D$92,F152,D$92-SUM(E$99:E152))</f>
        <v>0</v>
      </c>
      <c r="E153" s="522">
        <f t="shared" si="30"/>
        <v>0</v>
      </c>
      <c r="F153" s="523">
        <f t="shared" si="31"/>
        <v>0</v>
      </c>
      <c r="G153" s="523">
        <f t="shared" si="32"/>
        <v>0</v>
      </c>
      <c r="H153" s="526">
        <f t="shared" si="33"/>
        <v>0</v>
      </c>
      <c r="I153" s="577">
        <f t="shared" si="34"/>
        <v>0</v>
      </c>
      <c r="J153" s="514">
        <f t="shared" si="27"/>
        <v>0</v>
      </c>
      <c r="K153" s="514"/>
      <c r="L153" s="525"/>
      <c r="M153" s="514">
        <f t="shared" si="36"/>
        <v>0</v>
      </c>
      <c r="N153" s="525"/>
      <c r="O153" s="514">
        <f t="shared" si="37"/>
        <v>0</v>
      </c>
      <c r="P153" s="514">
        <f t="shared" si="38"/>
        <v>0</v>
      </c>
    </row>
    <row r="154" spans="2:16" ht="13" thickBot="1">
      <c r="B154" s="195" t="str">
        <f t="shared" si="26"/>
        <v/>
      </c>
      <c r="C154" s="527">
        <f>IF(D93="","-",+C153+1)</f>
        <v>2069</v>
      </c>
      <c r="D154" s="374">
        <f>IF(F153+SUM(E$99:E153)=D$92,F153,D$92-SUM(E$99:E153))</f>
        <v>0</v>
      </c>
      <c r="E154" s="522">
        <f t="shared" si="30"/>
        <v>0</v>
      </c>
      <c r="F154" s="523">
        <f t="shared" si="31"/>
        <v>0</v>
      </c>
      <c r="G154" s="523">
        <f t="shared" si="32"/>
        <v>0</v>
      </c>
      <c r="H154" s="526">
        <f t="shared" si="33"/>
        <v>0</v>
      </c>
      <c r="I154" s="577">
        <f t="shared" si="34"/>
        <v>0</v>
      </c>
      <c r="J154" s="514">
        <f t="shared" si="27"/>
        <v>0</v>
      </c>
      <c r="K154" s="514"/>
      <c r="L154" s="532"/>
      <c r="M154" s="533">
        <f t="shared" si="36"/>
        <v>0</v>
      </c>
      <c r="N154" s="532"/>
      <c r="O154" s="533">
        <f t="shared" si="37"/>
        <v>0</v>
      </c>
      <c r="P154" s="533">
        <f t="shared" si="38"/>
        <v>0</v>
      </c>
    </row>
    <row r="155" spans="2:16" ht="12.5">
      <c r="C155" s="374" t="s">
        <v>78</v>
      </c>
      <c r="D155" s="375"/>
      <c r="E155" s="375">
        <f>SUM(E99:E154)</f>
        <v>14866883</v>
      </c>
      <c r="F155" s="375"/>
      <c r="G155" s="375"/>
      <c r="H155" s="375">
        <f>SUM(H99:H154)</f>
        <v>51081762.916335076</v>
      </c>
      <c r="I155" s="375">
        <f>SUM(I99:I154)</f>
        <v>51081762.916335076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4" priority="1" stopIfTrue="1" operator="equal">
      <formula>$I$10</formula>
    </cfRule>
  </conditionalFormatting>
  <conditionalFormatting sqref="C99:C154">
    <cfRule type="cellIs" dxfId="7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93">
    <tabColor theme="9" tint="-0.249977111117893"/>
  </sheetPr>
  <dimension ref="A1:P162"/>
  <sheetViews>
    <sheetView view="pageBreakPreview" zoomScale="82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44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3001403.5988125238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3001403.5988125238</v>
      </c>
      <c r="O6" s="269"/>
      <c r="P6" s="269"/>
    </row>
    <row r="7" spans="1:16" ht="13.5" thickBot="1">
      <c r="C7" s="467" t="s">
        <v>48</v>
      </c>
      <c r="D7" s="624" t="s">
        <v>328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327</v>
      </c>
      <c r="E9" s="637" t="s">
        <v>501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29107362.050000001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693032.42976190476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629">
        <v>29107362.050000001</v>
      </c>
      <c r="E17" s="638">
        <v>57752.702480158732</v>
      </c>
      <c r="F17" s="629">
        <v>29049609.347519841</v>
      </c>
      <c r="G17" s="638">
        <v>3976850.2640178553</v>
      </c>
      <c r="H17" s="639">
        <v>3976850.2640178553</v>
      </c>
      <c r="I17" s="511">
        <v>0</v>
      </c>
      <c r="J17" s="511"/>
      <c r="K17" s="512">
        <f>G17</f>
        <v>3976850.2640178553</v>
      </c>
      <c r="L17" s="597">
        <f>IF(K17&lt;&gt;0,+G17-K17,0)</f>
        <v>0</v>
      </c>
      <c r="M17" s="512">
        <f>H17</f>
        <v>3976850.2640178553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631">
        <v>29049609.347519841</v>
      </c>
      <c r="E18" s="630">
        <v>693032.42976190476</v>
      </c>
      <c r="F18" s="631">
        <v>28356576.917757936</v>
      </c>
      <c r="G18" s="630">
        <v>4518632.6339666937</v>
      </c>
      <c r="H18" s="639">
        <v>4518632.6339666937</v>
      </c>
      <c r="I18" s="511">
        <v>0</v>
      </c>
      <c r="J18" s="511"/>
      <c r="K18" s="518">
        <f>G18</f>
        <v>4518632.6339666937</v>
      </c>
      <c r="L18" s="519">
        <f>IF(K18&lt;&gt;0,+G18-K18,0)</f>
        <v>0</v>
      </c>
      <c r="M18" s="518">
        <f>H18</f>
        <v>4518632.6339666937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2009</v>
      </c>
      <c r="D19" s="631">
        <v>28356576.917757936</v>
      </c>
      <c r="E19" s="630">
        <v>693032.42976190476</v>
      </c>
      <c r="F19" s="631">
        <v>27663544.487996031</v>
      </c>
      <c r="G19" s="630">
        <v>4425135.276633786</v>
      </c>
      <c r="H19" s="639">
        <v>4425135.276633786</v>
      </c>
      <c r="I19" s="511">
        <v>0</v>
      </c>
      <c r="J19" s="511"/>
      <c r="K19" s="518">
        <f t="shared" ref="K19:K24" si="0">G19</f>
        <v>4425135.276633786</v>
      </c>
      <c r="L19" s="519">
        <f t="shared" ref="L19:L24" si="1">IF(K19&lt;&gt;0,+G19-K19,0)</f>
        <v>0</v>
      </c>
      <c r="M19" s="518">
        <f t="shared" ref="M19:M24" si="2">H19</f>
        <v>4425135.276633786</v>
      </c>
      <c r="N19" s="514">
        <f t="shared" ref="N19:N24" si="3">IF(M19&lt;&gt;0,+H19-M19,0)</f>
        <v>0</v>
      </c>
      <c r="O19" s="514">
        <f t="shared" ref="O19:O24" si="4">+N19-L19</f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2010</v>
      </c>
      <c r="D20" s="631">
        <v>27663544.487996031</v>
      </c>
      <c r="E20" s="630">
        <v>693032.42976190476</v>
      </c>
      <c r="F20" s="631">
        <v>26970512.058234125</v>
      </c>
      <c r="G20" s="630">
        <v>4331637.9193008794</v>
      </c>
      <c r="H20" s="639">
        <v>4331637.9193008794</v>
      </c>
      <c r="I20" s="511">
        <v>0</v>
      </c>
      <c r="J20" s="511"/>
      <c r="K20" s="518">
        <f t="shared" si="0"/>
        <v>4331637.9193008794</v>
      </c>
      <c r="L20" s="519">
        <f t="shared" si="1"/>
        <v>0</v>
      </c>
      <c r="M20" s="518">
        <f t="shared" si="2"/>
        <v>4331637.9193008794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2011</v>
      </c>
      <c r="D21" s="631">
        <v>26970512.058234125</v>
      </c>
      <c r="E21" s="630">
        <v>693032.42976190476</v>
      </c>
      <c r="F21" s="631">
        <v>26277479.62847222</v>
      </c>
      <c r="G21" s="630">
        <v>4238140.5619679717</v>
      </c>
      <c r="H21" s="639">
        <v>4238140.5619679717</v>
      </c>
      <c r="I21" s="511">
        <v>0</v>
      </c>
      <c r="J21" s="511"/>
      <c r="K21" s="518">
        <f t="shared" si="0"/>
        <v>4238140.5619679717</v>
      </c>
      <c r="L21" s="519">
        <f t="shared" si="1"/>
        <v>0</v>
      </c>
      <c r="M21" s="518">
        <f t="shared" si="2"/>
        <v>4238140.5619679717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2012</v>
      </c>
      <c r="D22" s="631">
        <v>26277479.62847222</v>
      </c>
      <c r="E22" s="630">
        <v>693032.42976190476</v>
      </c>
      <c r="F22" s="631">
        <v>25584447.198710315</v>
      </c>
      <c r="G22" s="630">
        <v>4144643.2046350646</v>
      </c>
      <c r="H22" s="639">
        <v>4144643.2046350646</v>
      </c>
      <c r="I22" s="511">
        <v>0</v>
      </c>
      <c r="J22" s="511"/>
      <c r="K22" s="518">
        <f t="shared" si="0"/>
        <v>4144643.2046350646</v>
      </c>
      <c r="L22" s="519">
        <f t="shared" si="1"/>
        <v>0</v>
      </c>
      <c r="M22" s="518">
        <f t="shared" si="2"/>
        <v>4144643.2046350646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2013</v>
      </c>
      <c r="D23" s="631">
        <v>25584447.198710315</v>
      </c>
      <c r="E23" s="630">
        <v>693032.42976190476</v>
      </c>
      <c r="F23" s="631">
        <v>24891414.76894841</v>
      </c>
      <c r="G23" s="630">
        <v>4051145.847302157</v>
      </c>
      <c r="H23" s="639">
        <v>4051145.847302157</v>
      </c>
      <c r="I23" s="511">
        <v>0</v>
      </c>
      <c r="J23" s="511"/>
      <c r="K23" s="518">
        <f t="shared" si="0"/>
        <v>4051145.847302157</v>
      </c>
      <c r="L23" s="519">
        <f t="shared" si="1"/>
        <v>0</v>
      </c>
      <c r="M23" s="518">
        <f t="shared" si="2"/>
        <v>4051145.847302157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5"/>
        <v/>
      </c>
      <c r="C24" s="507">
        <f>IF(D11="","-",+C23+1)</f>
        <v>2014</v>
      </c>
      <c r="D24" s="631">
        <v>24891414.76894841</v>
      </c>
      <c r="E24" s="630">
        <v>693032.42976190476</v>
      </c>
      <c r="F24" s="631">
        <v>24198382.339186504</v>
      </c>
      <c r="G24" s="630">
        <v>3957648.4899692498</v>
      </c>
      <c r="H24" s="639">
        <v>3957648.4899692498</v>
      </c>
      <c r="I24" s="511">
        <v>0</v>
      </c>
      <c r="J24" s="511"/>
      <c r="K24" s="518">
        <f t="shared" si="0"/>
        <v>3957648.4899692498</v>
      </c>
      <c r="L24" s="519">
        <f t="shared" si="1"/>
        <v>0</v>
      </c>
      <c r="M24" s="518">
        <f t="shared" si="2"/>
        <v>3957648.4899692498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2015</v>
      </c>
      <c r="D25" s="631">
        <v>24198382.339186504</v>
      </c>
      <c r="E25" s="630">
        <v>693032.42976190476</v>
      </c>
      <c r="F25" s="631">
        <v>23505349.909424599</v>
      </c>
      <c r="G25" s="630">
        <v>3788799.8614330222</v>
      </c>
      <c r="H25" s="639">
        <v>3788799.8614330222</v>
      </c>
      <c r="I25" s="511">
        <v>0</v>
      </c>
      <c r="J25" s="511"/>
      <c r="K25" s="518">
        <f t="shared" ref="K25:K30" si="6">G25</f>
        <v>3788799.8614330222</v>
      </c>
      <c r="L25" s="519">
        <f t="shared" ref="L25:L30" si="7">IF(K25&lt;&gt;0,+G25-K25,0)</f>
        <v>0</v>
      </c>
      <c r="M25" s="518">
        <f t="shared" ref="M25:M30" si="8">H25</f>
        <v>3788799.8614330222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2016</v>
      </c>
      <c r="D26" s="631">
        <v>23505349.909424599</v>
      </c>
      <c r="E26" s="630">
        <v>693032.42976190476</v>
      </c>
      <c r="F26" s="631">
        <v>22812317.479662694</v>
      </c>
      <c r="G26" s="630">
        <v>3660458.1176400636</v>
      </c>
      <c r="H26" s="639">
        <v>3660458.1176400636</v>
      </c>
      <c r="I26" s="511">
        <f t="shared" ref="I26:I72" si="9">H26-G26</f>
        <v>0</v>
      </c>
      <c r="J26" s="511"/>
      <c r="K26" s="518">
        <f t="shared" si="6"/>
        <v>3660458.1176400636</v>
      </c>
      <c r="L26" s="519">
        <f t="shared" si="7"/>
        <v>0</v>
      </c>
      <c r="M26" s="518">
        <f t="shared" si="8"/>
        <v>3660458.1176400636</v>
      </c>
      <c r="N26" s="514">
        <f>IF(M26&lt;&gt;0,+H26-M26,0)</f>
        <v>0</v>
      </c>
      <c r="O26" s="514">
        <f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2017</v>
      </c>
      <c r="D27" s="631">
        <v>22812317.479662694</v>
      </c>
      <c r="E27" s="630">
        <v>676915.39651162794</v>
      </c>
      <c r="F27" s="631">
        <v>22135402.083151065</v>
      </c>
      <c r="G27" s="630">
        <v>3461258.8249701741</v>
      </c>
      <c r="H27" s="639">
        <v>3461258.8249701741</v>
      </c>
      <c r="I27" s="511">
        <f t="shared" si="9"/>
        <v>0</v>
      </c>
      <c r="J27" s="511"/>
      <c r="K27" s="518">
        <f t="shared" si="6"/>
        <v>3461258.8249701741</v>
      </c>
      <c r="L27" s="519">
        <f t="shared" si="7"/>
        <v>0</v>
      </c>
      <c r="M27" s="518">
        <f t="shared" si="8"/>
        <v>3461258.8249701741</v>
      </c>
      <c r="N27" s="514">
        <f>IF(M27&lt;&gt;0,+H27-M27,0)</f>
        <v>0</v>
      </c>
      <c r="O27" s="514">
        <f>+N27-L27</f>
        <v>0</v>
      </c>
      <c r="P27" s="272"/>
    </row>
    <row r="28" spans="2:16" ht="12.5">
      <c r="B28" s="195" t="str">
        <f t="shared" si="5"/>
        <v/>
      </c>
      <c r="C28" s="507">
        <f>IF(D11="","-",+C27+1)</f>
        <v>2018</v>
      </c>
      <c r="D28" s="631">
        <v>22135402.083151065</v>
      </c>
      <c r="E28" s="630">
        <v>709935.65975609759</v>
      </c>
      <c r="F28" s="631">
        <v>21425466.423394967</v>
      </c>
      <c r="G28" s="630">
        <v>3478100.3254420273</v>
      </c>
      <c r="H28" s="639">
        <v>3478100.3254420273</v>
      </c>
      <c r="I28" s="511">
        <f t="shared" si="9"/>
        <v>0</v>
      </c>
      <c r="J28" s="511"/>
      <c r="K28" s="518">
        <f t="shared" si="6"/>
        <v>3478100.3254420273</v>
      </c>
      <c r="L28" s="519">
        <f t="shared" si="7"/>
        <v>0</v>
      </c>
      <c r="M28" s="518">
        <f t="shared" si="8"/>
        <v>3478100.3254420273</v>
      </c>
      <c r="N28" s="514">
        <f>IF(M28&lt;&gt;0,+H28-M28,0)</f>
        <v>0</v>
      </c>
      <c r="O28" s="514">
        <f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2019</v>
      </c>
      <c r="D29" s="631">
        <v>21425466.423394967</v>
      </c>
      <c r="E29" s="630">
        <v>709935.65975609759</v>
      </c>
      <c r="F29" s="631">
        <v>20715530.763638869</v>
      </c>
      <c r="G29" s="630">
        <v>3387871.6924682865</v>
      </c>
      <c r="H29" s="639">
        <v>3387871.6924682865</v>
      </c>
      <c r="I29" s="511">
        <f t="shared" si="9"/>
        <v>0</v>
      </c>
      <c r="J29" s="511"/>
      <c r="K29" s="518">
        <f t="shared" si="6"/>
        <v>3387871.6924682865</v>
      </c>
      <c r="L29" s="519">
        <f t="shared" si="7"/>
        <v>0</v>
      </c>
      <c r="M29" s="518">
        <f t="shared" si="8"/>
        <v>3387871.6924682865</v>
      </c>
      <c r="N29" s="514">
        <f t="shared" ref="N29:N72" si="10">IF(M29&lt;&gt;0,+H29-M29,0)</f>
        <v>0</v>
      </c>
      <c r="O29" s="514">
        <f t="shared" ref="O29:O72" si="11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2020</v>
      </c>
      <c r="D30" s="631">
        <v>20715530.763638869</v>
      </c>
      <c r="E30" s="630">
        <v>709935.65975609759</v>
      </c>
      <c r="F30" s="631">
        <v>20005595.103882771</v>
      </c>
      <c r="G30" s="630">
        <v>2793543.137478089</v>
      </c>
      <c r="H30" s="639">
        <v>2793543.137478089</v>
      </c>
      <c r="I30" s="511">
        <f t="shared" si="9"/>
        <v>0</v>
      </c>
      <c r="J30" s="511"/>
      <c r="K30" s="518">
        <f t="shared" si="6"/>
        <v>2793543.137478089</v>
      </c>
      <c r="L30" s="519">
        <f t="shared" si="7"/>
        <v>0</v>
      </c>
      <c r="M30" s="518">
        <f t="shared" si="8"/>
        <v>2793543.137478089</v>
      </c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>IU</v>
      </c>
      <c r="C31" s="507">
        <f>IF(D11="","-",+C30+1)</f>
        <v>2021</v>
      </c>
      <c r="D31" s="631">
        <v>20038615.367127247</v>
      </c>
      <c r="E31" s="630">
        <v>693032.42976190476</v>
      </c>
      <c r="F31" s="631">
        <v>19345582.937365342</v>
      </c>
      <c r="G31" s="630">
        <v>2780484.4413299775</v>
      </c>
      <c r="H31" s="639">
        <v>2780484.4413299775</v>
      </c>
      <c r="I31" s="511">
        <f t="shared" si="9"/>
        <v>0</v>
      </c>
      <c r="J31" s="511"/>
      <c r="K31" s="518">
        <f t="shared" ref="K31" si="12">G31</f>
        <v>2780484.4413299775</v>
      </c>
      <c r="L31" s="519">
        <f t="shared" ref="L31" si="13">IF(K31&lt;&gt;0,+G31-K31,0)</f>
        <v>0</v>
      </c>
      <c r="M31" s="518">
        <f t="shared" ref="M31" si="14">H31</f>
        <v>2780484.4413299775</v>
      </c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>IU</v>
      </c>
      <c r="C32" s="507">
        <f>IF(D11="","-",+C31+1)</f>
        <v>2022</v>
      </c>
      <c r="D32" s="631">
        <v>19312562.674120873</v>
      </c>
      <c r="E32" s="630">
        <v>693032.42976190476</v>
      </c>
      <c r="F32" s="631">
        <v>18619530.244358968</v>
      </c>
      <c r="G32" s="630">
        <v>2825652.3953134934</v>
      </c>
      <c r="H32" s="639">
        <v>2825652.3953134934</v>
      </c>
      <c r="I32" s="511">
        <f t="shared" si="9"/>
        <v>0</v>
      </c>
      <c r="J32" s="511"/>
      <c r="K32" s="518">
        <f t="shared" ref="K32" si="15">G32</f>
        <v>2825652.3953134934</v>
      </c>
      <c r="L32" s="519">
        <f t="shared" ref="L32" si="16">IF(K32&lt;&gt;0,+G32-K32,0)</f>
        <v>0</v>
      </c>
      <c r="M32" s="518">
        <f t="shared" ref="M32" si="17">H32</f>
        <v>2825652.3953134934</v>
      </c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2023</v>
      </c>
      <c r="D33" s="523">
        <f>IF(F32+SUM(E$17:E32)=D$10,F32,D$10-SUM(E$17:E32))</f>
        <v>18619530.244358968</v>
      </c>
      <c r="E33" s="522">
        <f>IF(+I14&lt;F32,I14,D33)</f>
        <v>693032.42976190476</v>
      </c>
      <c r="F33" s="523">
        <f t="shared" ref="F33:F72" si="18">+D33-E33</f>
        <v>17926497.814597063</v>
      </c>
      <c r="G33" s="524">
        <f t="shared" ref="G33:G72" si="19">+I$12*((D33+F33)/2)+E33</f>
        <v>3001403.5988125238</v>
      </c>
      <c r="H33" s="491">
        <f t="shared" ref="H33:H72" si="20">+I$13*((D33+F33)/2)+E33</f>
        <v>3001403.5988125238</v>
      </c>
      <c r="I33" s="511">
        <f t="shared" si="9"/>
        <v>0</v>
      </c>
      <c r="J33" s="511"/>
      <c r="K33" s="525"/>
      <c r="L33" s="514">
        <f t="shared" ref="L33:L72" si="21">IF(K33&lt;&gt;0,+G33-K33,0)</f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2024</v>
      </c>
      <c r="D34" s="523">
        <f>IF(F33+SUM(E$17:E33)=D$10,F33,D$10-SUM(E$17:E33))</f>
        <v>17926497.814597063</v>
      </c>
      <c r="E34" s="522">
        <f>IF(+I14&lt;F33,I14,D34)</f>
        <v>693032.42976190476</v>
      </c>
      <c r="F34" s="523">
        <f t="shared" si="18"/>
        <v>17233465.384835158</v>
      </c>
      <c r="G34" s="524">
        <f t="shared" si="19"/>
        <v>2913855.0379949864</v>
      </c>
      <c r="H34" s="491">
        <f t="shared" si="20"/>
        <v>2913855.0379949864</v>
      </c>
      <c r="I34" s="511">
        <f t="shared" si="9"/>
        <v>0</v>
      </c>
      <c r="J34" s="511"/>
      <c r="K34" s="525"/>
      <c r="L34" s="514">
        <f t="shared" si="21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2025</v>
      </c>
      <c r="D35" s="523">
        <f>IF(F34+SUM(E$17:E34)=D$10,F34,D$10-SUM(E$17:E34))</f>
        <v>17233465.384835158</v>
      </c>
      <c r="E35" s="522">
        <f>IF(+I14&lt;F34,I14,D35)</f>
        <v>693032.42976190476</v>
      </c>
      <c r="F35" s="523">
        <f t="shared" si="18"/>
        <v>16540432.955073252</v>
      </c>
      <c r="G35" s="524">
        <f t="shared" si="19"/>
        <v>2826306.4771774476</v>
      </c>
      <c r="H35" s="491">
        <f t="shared" si="20"/>
        <v>2826306.4771774476</v>
      </c>
      <c r="I35" s="511">
        <f t="shared" si="9"/>
        <v>0</v>
      </c>
      <c r="J35" s="511"/>
      <c r="K35" s="525"/>
      <c r="L35" s="514">
        <f t="shared" si="21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2026</v>
      </c>
      <c r="D36" s="523">
        <f>IF(F35+SUM(E$17:E35)=D$10,F35,D$10-SUM(E$17:E35))</f>
        <v>16540432.955073252</v>
      </c>
      <c r="E36" s="522">
        <f>IF(+I14&lt;F35,I14,D36)</f>
        <v>693032.42976190476</v>
      </c>
      <c r="F36" s="523">
        <f t="shared" si="18"/>
        <v>15847400.525311347</v>
      </c>
      <c r="G36" s="524">
        <f t="shared" si="19"/>
        <v>2738757.9163599098</v>
      </c>
      <c r="H36" s="491">
        <f t="shared" si="20"/>
        <v>2738757.9163599098</v>
      </c>
      <c r="I36" s="511">
        <f t="shared" si="9"/>
        <v>0</v>
      </c>
      <c r="J36" s="511"/>
      <c r="K36" s="525"/>
      <c r="L36" s="514">
        <f t="shared" si="21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2027</v>
      </c>
      <c r="D37" s="523">
        <f>IF(F36+SUM(E$17:E36)=D$10,F36,D$10-SUM(E$17:E36))</f>
        <v>15847400.525311347</v>
      </c>
      <c r="E37" s="522">
        <f>IF(+I14&lt;F36,I14,D37)</f>
        <v>693032.42976190476</v>
      </c>
      <c r="F37" s="523">
        <f t="shared" si="18"/>
        <v>15154368.095549442</v>
      </c>
      <c r="G37" s="524">
        <f t="shared" si="19"/>
        <v>2651209.355542372</v>
      </c>
      <c r="H37" s="491">
        <f t="shared" si="20"/>
        <v>2651209.355542372</v>
      </c>
      <c r="I37" s="511">
        <f t="shared" si="9"/>
        <v>0</v>
      </c>
      <c r="J37" s="511"/>
      <c r="K37" s="525"/>
      <c r="L37" s="514">
        <f t="shared" si="21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2028</v>
      </c>
      <c r="D38" s="523">
        <f>IF(F37+SUM(E$17:E37)=D$10,F37,D$10-SUM(E$17:E37))</f>
        <v>15154368.095549442</v>
      </c>
      <c r="E38" s="522">
        <f>IF(+I14&lt;F37,I14,D38)</f>
        <v>693032.42976190476</v>
      </c>
      <c r="F38" s="523">
        <f t="shared" si="18"/>
        <v>14461335.665787537</v>
      </c>
      <c r="G38" s="524">
        <f t="shared" si="19"/>
        <v>2563660.7947248342</v>
      </c>
      <c r="H38" s="491">
        <f t="shared" si="20"/>
        <v>2563660.7947248342</v>
      </c>
      <c r="I38" s="511">
        <f t="shared" si="9"/>
        <v>0</v>
      </c>
      <c r="J38" s="511"/>
      <c r="K38" s="525"/>
      <c r="L38" s="514">
        <f t="shared" si="21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2029</v>
      </c>
      <c r="D39" s="523">
        <f>IF(F38+SUM(E$17:E38)=D$10,F38,D$10-SUM(E$17:E38))</f>
        <v>14461335.665787537</v>
      </c>
      <c r="E39" s="522">
        <f>IF(+I14&lt;F38,I14,D39)</f>
        <v>693032.42976190476</v>
      </c>
      <c r="F39" s="523">
        <f t="shared" si="18"/>
        <v>13768303.236025631</v>
      </c>
      <c r="G39" s="524">
        <f t="shared" si="19"/>
        <v>2476112.2339072963</v>
      </c>
      <c r="H39" s="491">
        <f t="shared" si="20"/>
        <v>2476112.2339072963</v>
      </c>
      <c r="I39" s="511">
        <f t="shared" si="9"/>
        <v>0</v>
      </c>
      <c r="J39" s="511"/>
      <c r="K39" s="525"/>
      <c r="L39" s="514">
        <f t="shared" si="21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2030</v>
      </c>
      <c r="D40" s="523">
        <f>IF(F39+SUM(E$17:E39)=D$10,F39,D$10-SUM(E$17:E39))</f>
        <v>13768303.236025631</v>
      </c>
      <c r="E40" s="522">
        <f>IF(+I14&lt;F39,I14,D40)</f>
        <v>693032.42976190476</v>
      </c>
      <c r="F40" s="523">
        <f t="shared" si="18"/>
        <v>13075270.806263726</v>
      </c>
      <c r="G40" s="524">
        <f t="shared" si="19"/>
        <v>2388563.6730897585</v>
      </c>
      <c r="H40" s="491">
        <f t="shared" si="20"/>
        <v>2388563.6730897585</v>
      </c>
      <c r="I40" s="511">
        <f t="shared" si="9"/>
        <v>0</v>
      </c>
      <c r="J40" s="511"/>
      <c r="K40" s="525"/>
      <c r="L40" s="514">
        <f t="shared" si="21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2031</v>
      </c>
      <c r="D41" s="523">
        <f>IF(F40+SUM(E$17:E40)=D$10,F40,D$10-SUM(E$17:E40))</f>
        <v>13075270.806263726</v>
      </c>
      <c r="E41" s="522">
        <f>IF(+I14&lt;F40,I14,D41)</f>
        <v>693032.42976190476</v>
      </c>
      <c r="F41" s="523">
        <f t="shared" si="18"/>
        <v>12382238.376501821</v>
      </c>
      <c r="G41" s="524">
        <f t="shared" si="19"/>
        <v>2301015.1122722202</v>
      </c>
      <c r="H41" s="491">
        <f t="shared" si="20"/>
        <v>2301015.1122722202</v>
      </c>
      <c r="I41" s="511">
        <f t="shared" si="9"/>
        <v>0</v>
      </c>
      <c r="J41" s="511"/>
      <c r="K41" s="525"/>
      <c r="L41" s="514">
        <f t="shared" si="21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2032</v>
      </c>
      <c r="D42" s="523">
        <f>IF(F41+SUM(E$17:E41)=D$10,F41,D$10-SUM(E$17:E41))</f>
        <v>12382238.376501821</v>
      </c>
      <c r="E42" s="522">
        <f>IF(+I14&lt;F41,I14,D42)</f>
        <v>693032.42976190476</v>
      </c>
      <c r="F42" s="523">
        <f t="shared" si="18"/>
        <v>11689205.946739916</v>
      </c>
      <c r="G42" s="524">
        <f t="shared" si="19"/>
        <v>2213466.5514546824</v>
      </c>
      <c r="H42" s="491">
        <f t="shared" si="20"/>
        <v>2213466.5514546824</v>
      </c>
      <c r="I42" s="511">
        <f t="shared" si="9"/>
        <v>0</v>
      </c>
      <c r="J42" s="511"/>
      <c r="K42" s="525"/>
      <c r="L42" s="514">
        <f t="shared" si="21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2033</v>
      </c>
      <c r="D43" s="523">
        <f>IF(F42+SUM(E$17:E42)=D$10,F42,D$10-SUM(E$17:E42))</f>
        <v>11689205.946739916</v>
      </c>
      <c r="E43" s="522">
        <f>IF(+I14&lt;F42,I14,D43)</f>
        <v>693032.42976190476</v>
      </c>
      <c r="F43" s="523">
        <f t="shared" si="18"/>
        <v>10996173.516978011</v>
      </c>
      <c r="G43" s="524">
        <f t="shared" si="19"/>
        <v>2125917.9906371441</v>
      </c>
      <c r="H43" s="491">
        <f t="shared" si="20"/>
        <v>2125917.9906371441</v>
      </c>
      <c r="I43" s="511">
        <f t="shared" si="9"/>
        <v>0</v>
      </c>
      <c r="J43" s="511"/>
      <c r="K43" s="525"/>
      <c r="L43" s="514">
        <f t="shared" si="21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2034</v>
      </c>
      <c r="D44" s="523">
        <f>IF(F43+SUM(E$17:E43)=D$10,F43,D$10-SUM(E$17:E43))</f>
        <v>10996173.516978011</v>
      </c>
      <c r="E44" s="522">
        <f>IF(+I14&lt;F43,I14,D44)</f>
        <v>693032.42976190476</v>
      </c>
      <c r="F44" s="523">
        <f t="shared" si="18"/>
        <v>10303141.087216105</v>
      </c>
      <c r="G44" s="524">
        <f t="shared" si="19"/>
        <v>2038369.4298196065</v>
      </c>
      <c r="H44" s="491">
        <f t="shared" si="20"/>
        <v>2038369.4298196065</v>
      </c>
      <c r="I44" s="511">
        <f t="shared" si="9"/>
        <v>0</v>
      </c>
      <c r="J44" s="511"/>
      <c r="K44" s="525"/>
      <c r="L44" s="514">
        <f t="shared" si="21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2035</v>
      </c>
      <c r="D45" s="523">
        <f>IF(F44+SUM(E$17:E44)=D$10,F44,D$10-SUM(E$17:E44))</f>
        <v>10303141.087216105</v>
      </c>
      <c r="E45" s="522">
        <f>IF(+I14&lt;F44,I14,D45)</f>
        <v>693032.42976190476</v>
      </c>
      <c r="F45" s="523">
        <f t="shared" si="18"/>
        <v>9610108.6574542001</v>
      </c>
      <c r="G45" s="524">
        <f t="shared" si="19"/>
        <v>1950820.8690020684</v>
      </c>
      <c r="H45" s="491">
        <f t="shared" si="20"/>
        <v>1950820.8690020684</v>
      </c>
      <c r="I45" s="511">
        <f t="shared" si="9"/>
        <v>0</v>
      </c>
      <c r="J45" s="511"/>
      <c r="K45" s="525"/>
      <c r="L45" s="514">
        <f t="shared" si="21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2036</v>
      </c>
      <c r="D46" s="523">
        <f>IF(F45+SUM(E$17:E45)=D$10,F45,D$10-SUM(E$17:E45))</f>
        <v>9610108.6574542001</v>
      </c>
      <c r="E46" s="522">
        <f>IF(+I14&lt;F45,I14,D46)</f>
        <v>693032.42976190476</v>
      </c>
      <c r="F46" s="523">
        <f t="shared" si="18"/>
        <v>8917076.2276922949</v>
      </c>
      <c r="G46" s="524">
        <f t="shared" si="19"/>
        <v>1863272.3081845306</v>
      </c>
      <c r="H46" s="491">
        <f t="shared" si="20"/>
        <v>1863272.3081845306</v>
      </c>
      <c r="I46" s="511">
        <f t="shared" si="9"/>
        <v>0</v>
      </c>
      <c r="J46" s="511"/>
      <c r="K46" s="525"/>
      <c r="L46" s="514">
        <f t="shared" si="21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2037</v>
      </c>
      <c r="D47" s="523">
        <f>IF(F46+SUM(E$17:E46)=D$10,F46,D$10-SUM(E$17:E46))</f>
        <v>8917076.2276922949</v>
      </c>
      <c r="E47" s="522">
        <f>IF(+I14&lt;F46,I14,D47)</f>
        <v>693032.42976190476</v>
      </c>
      <c r="F47" s="523">
        <f t="shared" si="18"/>
        <v>8224043.7979303896</v>
      </c>
      <c r="G47" s="524">
        <f t="shared" si="19"/>
        <v>1775723.7473669925</v>
      </c>
      <c r="H47" s="491">
        <f t="shared" si="20"/>
        <v>1775723.7473669925</v>
      </c>
      <c r="I47" s="511">
        <f t="shared" si="9"/>
        <v>0</v>
      </c>
      <c r="J47" s="511"/>
      <c r="K47" s="525"/>
      <c r="L47" s="514">
        <f t="shared" si="21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2038</v>
      </c>
      <c r="D48" s="523">
        <f>IF(F47+SUM(E$17:E47)=D$10,F47,D$10-SUM(E$17:E47))</f>
        <v>8224043.7979303896</v>
      </c>
      <c r="E48" s="522">
        <f>IF(+I14&lt;F47,I14,D48)</f>
        <v>693032.42976190476</v>
      </c>
      <c r="F48" s="523">
        <f t="shared" si="18"/>
        <v>7531011.3681684844</v>
      </c>
      <c r="G48" s="524">
        <f t="shared" si="19"/>
        <v>1688175.1865494545</v>
      </c>
      <c r="H48" s="491">
        <f t="shared" si="20"/>
        <v>1688175.1865494545</v>
      </c>
      <c r="I48" s="511">
        <f t="shared" si="9"/>
        <v>0</v>
      </c>
      <c r="J48" s="511"/>
      <c r="K48" s="525"/>
      <c r="L48" s="514">
        <f t="shared" si="21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2039</v>
      </c>
      <c r="D49" s="523">
        <f>IF(F48+SUM(E$17:E48)=D$10,F48,D$10-SUM(E$17:E48))</f>
        <v>7531011.3681684844</v>
      </c>
      <c r="E49" s="522">
        <f>IF(+I14&lt;F48,I14,D49)</f>
        <v>693032.42976190476</v>
      </c>
      <c r="F49" s="523">
        <f t="shared" si="18"/>
        <v>6837978.9384065792</v>
      </c>
      <c r="G49" s="524">
        <f t="shared" si="19"/>
        <v>1600626.6257319166</v>
      </c>
      <c r="H49" s="491">
        <f t="shared" si="20"/>
        <v>1600626.6257319166</v>
      </c>
      <c r="I49" s="511">
        <f t="shared" si="9"/>
        <v>0</v>
      </c>
      <c r="J49" s="511"/>
      <c r="K49" s="525"/>
      <c r="L49" s="514">
        <f t="shared" si="21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2040</v>
      </c>
      <c r="D50" s="523">
        <f>IF(F49+SUM(E$17:E49)=D$10,F49,D$10-SUM(E$17:E49))</f>
        <v>6837978.9384065792</v>
      </c>
      <c r="E50" s="522">
        <f>IF(+I14&lt;F49,I14,D50)</f>
        <v>693032.42976190476</v>
      </c>
      <c r="F50" s="523">
        <f t="shared" si="18"/>
        <v>6144946.508644674</v>
      </c>
      <c r="G50" s="524">
        <f t="shared" si="19"/>
        <v>1513078.0649143788</v>
      </c>
      <c r="H50" s="491">
        <f t="shared" si="20"/>
        <v>1513078.0649143788</v>
      </c>
      <c r="I50" s="511">
        <f t="shared" si="9"/>
        <v>0</v>
      </c>
      <c r="J50" s="511"/>
      <c r="K50" s="525"/>
      <c r="L50" s="514">
        <f t="shared" si="21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2041</v>
      </c>
      <c r="D51" s="523">
        <f>IF(F50+SUM(E$17:E50)=D$10,F50,D$10-SUM(E$17:E50))</f>
        <v>6144946.508644674</v>
      </c>
      <c r="E51" s="522">
        <f>IF(+I14&lt;F50,I14,D51)</f>
        <v>693032.42976190476</v>
      </c>
      <c r="F51" s="523">
        <f t="shared" si="18"/>
        <v>5451914.0788827688</v>
      </c>
      <c r="G51" s="524">
        <f t="shared" si="19"/>
        <v>1425529.5040968407</v>
      </c>
      <c r="H51" s="491">
        <f t="shared" si="20"/>
        <v>1425529.5040968407</v>
      </c>
      <c r="I51" s="511">
        <f t="shared" si="9"/>
        <v>0</v>
      </c>
      <c r="J51" s="511"/>
      <c r="K51" s="525"/>
      <c r="L51" s="514">
        <f t="shared" si="21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2042</v>
      </c>
      <c r="D52" s="523">
        <f>IF(F51+SUM(E$17:E51)=D$10,F51,D$10-SUM(E$17:E51))</f>
        <v>5451914.0788827688</v>
      </c>
      <c r="E52" s="522">
        <f>IF(+I14&lt;F51,I14,D52)</f>
        <v>693032.42976190476</v>
      </c>
      <c r="F52" s="523">
        <f t="shared" si="18"/>
        <v>4758881.6491208635</v>
      </c>
      <c r="G52" s="524">
        <f t="shared" si="19"/>
        <v>1337980.9432793027</v>
      </c>
      <c r="H52" s="491">
        <f t="shared" si="20"/>
        <v>1337980.9432793027</v>
      </c>
      <c r="I52" s="511">
        <f t="shared" si="9"/>
        <v>0</v>
      </c>
      <c r="J52" s="511"/>
      <c r="K52" s="525"/>
      <c r="L52" s="514">
        <f t="shared" si="21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2043</v>
      </c>
      <c r="D53" s="523">
        <f>IF(F52+SUM(E$17:E52)=D$10,F52,D$10-SUM(E$17:E52))</f>
        <v>4758881.6491208635</v>
      </c>
      <c r="E53" s="522">
        <f>IF(+I14&lt;F52,I14,D53)</f>
        <v>693032.42976190476</v>
      </c>
      <c r="F53" s="523">
        <f t="shared" si="18"/>
        <v>4065849.2193589588</v>
      </c>
      <c r="G53" s="524">
        <f t="shared" si="19"/>
        <v>1250432.3824617648</v>
      </c>
      <c r="H53" s="491">
        <f t="shared" si="20"/>
        <v>1250432.3824617648</v>
      </c>
      <c r="I53" s="511">
        <f t="shared" si="9"/>
        <v>0</v>
      </c>
      <c r="J53" s="511"/>
      <c r="K53" s="525"/>
      <c r="L53" s="514">
        <f t="shared" si="21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2044</v>
      </c>
      <c r="D54" s="523">
        <f>IF(F53+SUM(E$17:E53)=D$10,F53,D$10-SUM(E$17:E53))</f>
        <v>4065849.2193589588</v>
      </c>
      <c r="E54" s="522">
        <f>IF(+I14&lt;F53,I14,D54)</f>
        <v>693032.42976190476</v>
      </c>
      <c r="F54" s="523">
        <f t="shared" si="18"/>
        <v>3372816.789597054</v>
      </c>
      <c r="G54" s="524">
        <f t="shared" si="19"/>
        <v>1162883.821644227</v>
      </c>
      <c r="H54" s="491">
        <f t="shared" si="20"/>
        <v>1162883.821644227</v>
      </c>
      <c r="I54" s="511">
        <f t="shared" si="9"/>
        <v>0</v>
      </c>
      <c r="J54" s="511"/>
      <c r="K54" s="525"/>
      <c r="L54" s="514">
        <f t="shared" si="21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2045</v>
      </c>
      <c r="D55" s="523">
        <f>IF(F54+SUM(E$17:E54)=D$10,F54,D$10-SUM(E$17:E54))</f>
        <v>3372816.789597054</v>
      </c>
      <c r="E55" s="522">
        <f>IF(+I14&lt;F54,I14,D55)</f>
        <v>693032.42976190476</v>
      </c>
      <c r="F55" s="523">
        <f t="shared" si="18"/>
        <v>2679784.3598351493</v>
      </c>
      <c r="G55" s="524">
        <f t="shared" si="19"/>
        <v>1075335.2608266892</v>
      </c>
      <c r="H55" s="491">
        <f t="shared" si="20"/>
        <v>1075335.2608266892</v>
      </c>
      <c r="I55" s="511">
        <f t="shared" si="9"/>
        <v>0</v>
      </c>
      <c r="J55" s="511"/>
      <c r="K55" s="525"/>
      <c r="L55" s="514">
        <f t="shared" si="21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2046</v>
      </c>
      <c r="D56" s="523">
        <f>IF(F55+SUM(E$17:E55)=D$10,F55,D$10-SUM(E$17:E55))</f>
        <v>2679784.3598351493</v>
      </c>
      <c r="E56" s="522">
        <f>IF(+I14&lt;F55,I14,D56)</f>
        <v>693032.42976190476</v>
      </c>
      <c r="F56" s="523">
        <f t="shared" si="18"/>
        <v>1986751.9300732445</v>
      </c>
      <c r="G56" s="524">
        <f t="shared" si="19"/>
        <v>987786.70000915125</v>
      </c>
      <c r="H56" s="491">
        <f t="shared" si="20"/>
        <v>987786.70000915125</v>
      </c>
      <c r="I56" s="511">
        <f t="shared" si="9"/>
        <v>0</v>
      </c>
      <c r="J56" s="511"/>
      <c r="K56" s="525"/>
      <c r="L56" s="514">
        <f t="shared" si="21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2047</v>
      </c>
      <c r="D57" s="523">
        <f>IF(F56+SUM(E$17:E56)=D$10,F56,D$10-SUM(E$17:E56))</f>
        <v>1986751.9300732445</v>
      </c>
      <c r="E57" s="522">
        <f>IF(+I14&lt;F56,I14,D57)</f>
        <v>693032.42976190476</v>
      </c>
      <c r="F57" s="523">
        <f t="shared" si="18"/>
        <v>1293719.5003113397</v>
      </c>
      <c r="G57" s="524">
        <f t="shared" si="19"/>
        <v>900238.1391916133</v>
      </c>
      <c r="H57" s="491">
        <f t="shared" si="20"/>
        <v>900238.1391916133</v>
      </c>
      <c r="I57" s="511">
        <f t="shared" si="9"/>
        <v>0</v>
      </c>
      <c r="J57" s="511"/>
      <c r="K57" s="525"/>
      <c r="L57" s="514">
        <f t="shared" si="21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2048</v>
      </c>
      <c r="D58" s="523">
        <f>IF(F57+SUM(E$17:E57)=D$10,F57,D$10-SUM(E$17:E57))</f>
        <v>1293719.5003113397</v>
      </c>
      <c r="E58" s="522">
        <f>IF(+I14&lt;F57,I14,D58)</f>
        <v>693032.42976190476</v>
      </c>
      <c r="F58" s="523">
        <f t="shared" si="18"/>
        <v>600687.07054943498</v>
      </c>
      <c r="G58" s="524">
        <f t="shared" si="19"/>
        <v>812689.57837407547</v>
      </c>
      <c r="H58" s="491">
        <f t="shared" si="20"/>
        <v>812689.57837407547</v>
      </c>
      <c r="I58" s="511">
        <f t="shared" si="9"/>
        <v>0</v>
      </c>
      <c r="J58" s="511"/>
      <c r="K58" s="525"/>
      <c r="L58" s="514">
        <f t="shared" si="21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2049</v>
      </c>
      <c r="D59" s="523">
        <f>IF(F58+SUM(E$17:E58)=D$10,F58,D$10-SUM(E$17:E58))</f>
        <v>600687.07054943498</v>
      </c>
      <c r="E59" s="522">
        <f>IF(+I14&lt;F58,I14,D59)</f>
        <v>600687.07054943498</v>
      </c>
      <c r="F59" s="523">
        <f t="shared" si="18"/>
        <v>0</v>
      </c>
      <c r="G59" s="524">
        <f t="shared" si="19"/>
        <v>638628.50465113588</v>
      </c>
      <c r="H59" s="491">
        <f t="shared" si="20"/>
        <v>638628.50465113588</v>
      </c>
      <c r="I59" s="511">
        <f t="shared" si="9"/>
        <v>0</v>
      </c>
      <c r="J59" s="511"/>
      <c r="K59" s="525"/>
      <c r="L59" s="514">
        <f t="shared" si="21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19"/>
        <v>0</v>
      </c>
      <c r="H60" s="491">
        <f t="shared" si="20"/>
        <v>0</v>
      </c>
      <c r="I60" s="511">
        <f t="shared" si="9"/>
        <v>0</v>
      </c>
      <c r="J60" s="511"/>
      <c r="K60" s="525"/>
      <c r="L60" s="514">
        <f t="shared" si="21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4">
        <f t="shared" si="19"/>
        <v>0</v>
      </c>
      <c r="H61" s="491">
        <f t="shared" si="20"/>
        <v>0</v>
      </c>
      <c r="I61" s="511">
        <f t="shared" si="9"/>
        <v>0</v>
      </c>
      <c r="J61" s="511"/>
      <c r="K61" s="525"/>
      <c r="L61" s="514">
        <f t="shared" si="21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4">
        <f t="shared" si="19"/>
        <v>0</v>
      </c>
      <c r="H62" s="491">
        <f t="shared" si="20"/>
        <v>0</v>
      </c>
      <c r="I62" s="511">
        <f t="shared" si="9"/>
        <v>0</v>
      </c>
      <c r="J62" s="511"/>
      <c r="K62" s="525"/>
      <c r="L62" s="514">
        <f t="shared" si="21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4">
        <f t="shared" si="19"/>
        <v>0</v>
      </c>
      <c r="H63" s="491">
        <f t="shared" si="20"/>
        <v>0</v>
      </c>
      <c r="I63" s="511">
        <f t="shared" si="9"/>
        <v>0</v>
      </c>
      <c r="J63" s="511"/>
      <c r="K63" s="525"/>
      <c r="L63" s="514">
        <f t="shared" si="21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4">
        <f t="shared" si="19"/>
        <v>0</v>
      </c>
      <c r="H64" s="491">
        <f t="shared" si="20"/>
        <v>0</v>
      </c>
      <c r="I64" s="511">
        <f t="shared" si="9"/>
        <v>0</v>
      </c>
      <c r="J64" s="511"/>
      <c r="K64" s="525"/>
      <c r="L64" s="514">
        <f t="shared" si="21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4">
        <f t="shared" si="19"/>
        <v>0</v>
      </c>
      <c r="H65" s="491">
        <f t="shared" si="20"/>
        <v>0</v>
      </c>
      <c r="I65" s="511">
        <f t="shared" si="9"/>
        <v>0</v>
      </c>
      <c r="J65" s="511"/>
      <c r="K65" s="525"/>
      <c r="L65" s="514">
        <f t="shared" si="21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4">
        <f t="shared" si="19"/>
        <v>0</v>
      </c>
      <c r="H66" s="491">
        <f t="shared" si="20"/>
        <v>0</v>
      </c>
      <c r="I66" s="511">
        <f t="shared" si="9"/>
        <v>0</v>
      </c>
      <c r="J66" s="511"/>
      <c r="K66" s="525"/>
      <c r="L66" s="514">
        <f t="shared" si="21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4">
        <f t="shared" si="19"/>
        <v>0</v>
      </c>
      <c r="H67" s="491">
        <f t="shared" si="20"/>
        <v>0</v>
      </c>
      <c r="I67" s="511">
        <f t="shared" si="9"/>
        <v>0</v>
      </c>
      <c r="J67" s="511"/>
      <c r="K67" s="525"/>
      <c r="L67" s="514">
        <f t="shared" si="21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4">
        <f t="shared" si="19"/>
        <v>0</v>
      </c>
      <c r="H68" s="491">
        <f t="shared" si="20"/>
        <v>0</v>
      </c>
      <c r="I68" s="511">
        <f t="shared" si="9"/>
        <v>0</v>
      </c>
      <c r="J68" s="511"/>
      <c r="K68" s="525"/>
      <c r="L68" s="514">
        <f t="shared" si="21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4">
        <f t="shared" si="19"/>
        <v>0</v>
      </c>
      <c r="H69" s="491">
        <f t="shared" si="20"/>
        <v>0</v>
      </c>
      <c r="I69" s="511">
        <f t="shared" si="9"/>
        <v>0</v>
      </c>
      <c r="J69" s="511"/>
      <c r="K69" s="525"/>
      <c r="L69" s="514">
        <f t="shared" si="21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4">
        <f t="shared" si="19"/>
        <v>0</v>
      </c>
      <c r="H70" s="491">
        <f t="shared" si="20"/>
        <v>0</v>
      </c>
      <c r="I70" s="511">
        <f t="shared" si="9"/>
        <v>0</v>
      </c>
      <c r="J70" s="511"/>
      <c r="K70" s="525"/>
      <c r="L70" s="514">
        <f t="shared" si="21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4">
        <f t="shared" si="19"/>
        <v>0</v>
      </c>
      <c r="H71" s="491">
        <f t="shared" si="20"/>
        <v>0</v>
      </c>
      <c r="I71" s="511">
        <f t="shared" si="9"/>
        <v>0</v>
      </c>
      <c r="J71" s="511"/>
      <c r="K71" s="525"/>
      <c r="L71" s="514">
        <f t="shared" si="21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24">
        <f t="shared" si="19"/>
        <v>0</v>
      </c>
      <c r="H72" s="491">
        <f t="shared" si="20"/>
        <v>0</v>
      </c>
      <c r="I72" s="531">
        <f t="shared" si="9"/>
        <v>0</v>
      </c>
      <c r="J72" s="511"/>
      <c r="K72" s="532"/>
      <c r="L72" s="533">
        <f t="shared" si="21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29107362.050000004</v>
      </c>
      <c r="F73" s="375"/>
      <c r="G73" s="375">
        <f>SUM(G17:G72)</f>
        <v>110041842.80194572</v>
      </c>
      <c r="H73" s="375">
        <f>SUM(H17:H72)</f>
        <v>110041842.80194572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44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2780484.4413299775</v>
      </c>
      <c r="N87" s="546">
        <f>IF(J92&lt;D11,0,VLOOKUP(J92,C17:O72,11))</f>
        <v>2780484.4413299775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3518653.8203164372</v>
      </c>
      <c r="N88" s="550">
        <f>IF(J92&lt;D11,0,VLOOKUP(J92,C99:P154,7))</f>
        <v>3518653.8203164372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Pittsburg-Winnsboro-North Mineola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738169.37898645969</v>
      </c>
      <c r="N89" s="555">
        <f>+N88-N87</f>
        <v>738169.37898645969</v>
      </c>
      <c r="O89" s="556">
        <f>+O88-O87</f>
        <v>0</v>
      </c>
      <c r="P89" s="269"/>
    </row>
    <row r="90" spans="1:16" ht="13.5" thickBot="1">
      <c r="C90" s="534"/>
      <c r="D90" s="646" t="s">
        <v>370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TP2002006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29107362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+D12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709935.6585365854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2007</v>
      </c>
      <c r="D99" s="396"/>
      <c r="E99" s="526"/>
      <c r="F99" s="521"/>
      <c r="G99" s="647"/>
      <c r="H99" s="604"/>
      <c r="I99" s="605"/>
      <c r="J99" s="519">
        <v>0</v>
      </c>
      <c r="K99" s="514"/>
      <c r="L99" s="518"/>
      <c r="M99" s="514">
        <f t="shared" ref="M99:M105" si="22">IF(L99&lt;&gt;0,+H99-L99,0)</f>
        <v>0</v>
      </c>
      <c r="N99" s="518"/>
      <c r="O99" s="514">
        <f t="shared" ref="O99:O105" si="23">IF(N99&lt;&gt;0,+I99-N99,0)</f>
        <v>0</v>
      </c>
      <c r="P99" s="514">
        <f t="shared" ref="P99:P105" si="24">+O99-M99</f>
        <v>0</v>
      </c>
    </row>
    <row r="100" spans="1:16" ht="12.5">
      <c r="B100" s="195" t="str">
        <f>IF(D100=F99,"","IU")</f>
        <v/>
      </c>
      <c r="C100" s="507">
        <f>IF(D93="","-",+C99+1)</f>
        <v>2008</v>
      </c>
      <c r="D100" s="396"/>
      <c r="E100" s="648"/>
      <c r="F100" s="521"/>
      <c r="G100" s="521"/>
      <c r="H100" s="526"/>
      <c r="I100" s="577"/>
      <c r="J100" s="519">
        <v>0</v>
      </c>
      <c r="K100" s="514"/>
      <c r="L100" s="518"/>
      <c r="M100" s="514">
        <f t="shared" si="22"/>
        <v>0</v>
      </c>
      <c r="N100" s="518"/>
      <c r="O100" s="514">
        <f t="shared" si="23"/>
        <v>0</v>
      </c>
      <c r="P100" s="514">
        <f t="shared" si="24"/>
        <v>0</v>
      </c>
    </row>
    <row r="101" spans="1:16" ht="12.5">
      <c r="B101" s="195" t="str">
        <f t="shared" ref="B101:B154" si="25">IF(D101=F100,"","IU")</f>
        <v/>
      </c>
      <c r="C101" s="507">
        <f>IF(D93="","-",+C100+1)</f>
        <v>2009</v>
      </c>
      <c r="D101" s="396"/>
      <c r="E101" s="648"/>
      <c r="F101" s="521"/>
      <c r="G101" s="521"/>
      <c r="H101" s="526"/>
      <c r="I101" s="577"/>
      <c r="J101" s="519">
        <v>0</v>
      </c>
      <c r="K101" s="514"/>
      <c r="L101" s="518"/>
      <c r="M101" s="514">
        <f t="shared" si="22"/>
        <v>0</v>
      </c>
      <c r="N101" s="518"/>
      <c r="O101" s="514">
        <f t="shared" si="23"/>
        <v>0</v>
      </c>
      <c r="P101" s="514">
        <f t="shared" si="24"/>
        <v>0</v>
      </c>
    </row>
    <row r="102" spans="1:16" ht="12.5">
      <c r="B102" s="195" t="str">
        <f t="shared" si="25"/>
        <v/>
      </c>
      <c r="C102" s="507">
        <f>IF(D93="","-",+C101+1)</f>
        <v>2010</v>
      </c>
      <c r="D102" s="396"/>
      <c r="E102" s="648"/>
      <c r="F102" s="521"/>
      <c r="G102" s="521"/>
      <c r="H102" s="526"/>
      <c r="I102" s="577"/>
      <c r="J102" s="519">
        <v>0</v>
      </c>
      <c r="K102" s="514"/>
      <c r="L102" s="518"/>
      <c r="M102" s="514">
        <f t="shared" si="22"/>
        <v>0</v>
      </c>
      <c r="N102" s="518"/>
      <c r="O102" s="514">
        <f t="shared" si="23"/>
        <v>0</v>
      </c>
      <c r="P102" s="514">
        <f t="shared" si="24"/>
        <v>0</v>
      </c>
    </row>
    <row r="103" spans="1:16" ht="12.5">
      <c r="B103" s="195" t="str">
        <f t="shared" si="25"/>
        <v/>
      </c>
      <c r="C103" s="507">
        <f>IF(D93="","-",+C102+1)</f>
        <v>2011</v>
      </c>
      <c r="D103" s="396"/>
      <c r="E103" s="648"/>
      <c r="F103" s="521"/>
      <c r="G103" s="521"/>
      <c r="H103" s="526"/>
      <c r="I103" s="577"/>
      <c r="J103" s="519">
        <v>0</v>
      </c>
      <c r="K103" s="514"/>
      <c r="L103" s="518"/>
      <c r="M103" s="514">
        <f t="shared" si="22"/>
        <v>0</v>
      </c>
      <c r="N103" s="518"/>
      <c r="O103" s="514">
        <f t="shared" si="23"/>
        <v>0</v>
      </c>
      <c r="P103" s="514">
        <f t="shared" si="24"/>
        <v>0</v>
      </c>
    </row>
    <row r="104" spans="1:16" ht="12.5">
      <c r="B104" s="195" t="str">
        <f t="shared" si="25"/>
        <v/>
      </c>
      <c r="C104" s="507">
        <f>IF(D93="","-",+C103+1)</f>
        <v>2012</v>
      </c>
      <c r="D104" s="396"/>
      <c r="E104" s="648"/>
      <c r="F104" s="521"/>
      <c r="G104" s="521"/>
      <c r="H104" s="526"/>
      <c r="I104" s="577"/>
      <c r="J104" s="519">
        <v>0</v>
      </c>
      <c r="K104" s="514"/>
      <c r="L104" s="518"/>
      <c r="M104" s="514">
        <f t="shared" si="22"/>
        <v>0</v>
      </c>
      <c r="N104" s="518"/>
      <c r="O104" s="514">
        <f t="shared" si="23"/>
        <v>0</v>
      </c>
      <c r="P104" s="514">
        <f t="shared" si="24"/>
        <v>0</v>
      </c>
    </row>
    <row r="105" spans="1:16" ht="12.5">
      <c r="B105" s="195" t="str">
        <f t="shared" si="25"/>
        <v/>
      </c>
      <c r="C105" s="507">
        <f>IF(D93="","-",+C104+1)</f>
        <v>2013</v>
      </c>
      <c r="D105" s="396"/>
      <c r="E105" s="648"/>
      <c r="F105" s="521"/>
      <c r="G105" s="521"/>
      <c r="H105" s="526"/>
      <c r="I105" s="577"/>
      <c r="J105" s="519">
        <v>0</v>
      </c>
      <c r="K105" s="514"/>
      <c r="L105" s="518"/>
      <c r="M105" s="514">
        <f t="shared" si="22"/>
        <v>0</v>
      </c>
      <c r="N105" s="518"/>
      <c r="O105" s="514">
        <f t="shared" si="23"/>
        <v>0</v>
      </c>
      <c r="P105" s="514">
        <f t="shared" si="24"/>
        <v>0</v>
      </c>
    </row>
    <row r="106" spans="1:16" ht="12.5">
      <c r="B106" s="195" t="str">
        <f t="shared" si="25"/>
        <v/>
      </c>
      <c r="C106" s="507">
        <f>IF(D93="","-",+C105+1)</f>
        <v>2014</v>
      </c>
      <c r="D106" s="396"/>
      <c r="E106" s="648"/>
      <c r="F106" s="521"/>
      <c r="G106" s="521"/>
      <c r="H106" s="526"/>
      <c r="I106" s="577"/>
      <c r="J106" s="519">
        <v>0</v>
      </c>
      <c r="K106" s="514"/>
      <c r="L106" s="518"/>
      <c r="M106" s="514">
        <f t="shared" ref="M106:M130" si="26">IF(L106&lt;&gt;0,+H106-L106,0)</f>
        <v>0</v>
      </c>
      <c r="N106" s="518"/>
      <c r="O106" s="514">
        <f t="shared" ref="O106:O130" si="27">IF(N106&lt;&gt;0,+I106-N106,0)</f>
        <v>0</v>
      </c>
      <c r="P106" s="514">
        <f t="shared" ref="P106:P130" si="28">+O106-M106</f>
        <v>0</v>
      </c>
    </row>
    <row r="107" spans="1:16" ht="12.5">
      <c r="B107" s="195" t="str">
        <f t="shared" si="25"/>
        <v>IU</v>
      </c>
      <c r="C107" s="507">
        <f>IF(D93="","-",+C106+1)</f>
        <v>2015</v>
      </c>
      <c r="D107" s="629">
        <v>24198382.339186504</v>
      </c>
      <c r="E107" s="630">
        <v>576151.96045682149</v>
      </c>
      <c r="F107" s="631">
        <v>23622230.378729682</v>
      </c>
      <c r="G107" s="631">
        <v>23910306.358958095</v>
      </c>
      <c r="H107" s="633">
        <v>3726786.1990239997</v>
      </c>
      <c r="I107" s="634">
        <v>3726786.1990239997</v>
      </c>
      <c r="J107" s="514">
        <f>+I107-H107</f>
        <v>0</v>
      </c>
      <c r="K107" s="514"/>
      <c r="L107" s="518">
        <f t="shared" ref="L107:L112" si="29">+H107</f>
        <v>3726786.1990239997</v>
      </c>
      <c r="M107" s="514">
        <f t="shared" si="26"/>
        <v>0</v>
      </c>
      <c r="N107" s="518">
        <f t="shared" ref="N107:N112" si="30">+I107</f>
        <v>3726786.1990239997</v>
      </c>
      <c r="O107" s="514">
        <f t="shared" si="27"/>
        <v>0</v>
      </c>
      <c r="P107" s="514">
        <f t="shared" si="28"/>
        <v>0</v>
      </c>
    </row>
    <row r="108" spans="1:16" ht="12.5">
      <c r="B108" s="195" t="str">
        <f t="shared" si="25"/>
        <v>IU</v>
      </c>
      <c r="C108" s="507">
        <f>IF(D93="","-",+C107+1)</f>
        <v>2016</v>
      </c>
      <c r="D108" s="629">
        <v>28531210.039543178</v>
      </c>
      <c r="E108" s="630">
        <v>676915.39534883725</v>
      </c>
      <c r="F108" s="631">
        <v>27854294.644194342</v>
      </c>
      <c r="G108" s="631">
        <v>28192752.341868758</v>
      </c>
      <c r="H108" s="633">
        <v>4255984.9749657642</v>
      </c>
      <c r="I108" s="634">
        <v>4255984.9749657642</v>
      </c>
      <c r="J108" s="514">
        <f t="shared" ref="J108:J154" si="31">+I108-H108</f>
        <v>0</v>
      </c>
      <c r="K108" s="514"/>
      <c r="L108" s="518">
        <f t="shared" si="29"/>
        <v>4255984.9749657642</v>
      </c>
      <c r="M108" s="514">
        <f>IF(L108&lt;&gt;0,+H108-L108,0)</f>
        <v>0</v>
      </c>
      <c r="N108" s="518">
        <f t="shared" si="30"/>
        <v>4255984.9749657642</v>
      </c>
      <c r="O108" s="514">
        <f>IF(N108&lt;&gt;0,+I108-N108,0)</f>
        <v>0</v>
      </c>
      <c r="P108" s="514">
        <f>+O108-M108</f>
        <v>0</v>
      </c>
    </row>
    <row r="109" spans="1:16" ht="12.5">
      <c r="B109" s="195" t="str">
        <f t="shared" si="25"/>
        <v/>
      </c>
      <c r="C109" s="507">
        <f>IF(D93="","-",+C108+1)</f>
        <v>2017</v>
      </c>
      <c r="D109" s="629">
        <v>27854294.644194342</v>
      </c>
      <c r="E109" s="630">
        <v>693032.42857142852</v>
      </c>
      <c r="F109" s="631">
        <v>27161262.215622913</v>
      </c>
      <c r="G109" s="631">
        <v>27507778.429908626</v>
      </c>
      <c r="H109" s="633">
        <v>4034442.3721004287</v>
      </c>
      <c r="I109" s="634">
        <v>4034442.3721004287</v>
      </c>
      <c r="J109" s="514">
        <f t="shared" si="31"/>
        <v>0</v>
      </c>
      <c r="K109" s="514"/>
      <c r="L109" s="518">
        <f t="shared" si="29"/>
        <v>4034442.3721004287</v>
      </c>
      <c r="M109" s="514">
        <f>IF(L109&lt;&gt;0,+H109-L109,0)</f>
        <v>0</v>
      </c>
      <c r="N109" s="518">
        <f t="shared" si="30"/>
        <v>4034442.3721004287</v>
      </c>
      <c r="O109" s="514">
        <f>IF(N109&lt;&gt;0,+I109-N109,0)</f>
        <v>0</v>
      </c>
      <c r="P109" s="514">
        <f>+O109-M109</f>
        <v>0</v>
      </c>
    </row>
    <row r="110" spans="1:16" ht="12.5">
      <c r="B110" s="195" t="str">
        <f t="shared" si="25"/>
        <v/>
      </c>
      <c r="C110" s="507">
        <f>IF(D93="","-",+C109+1)</f>
        <v>2018</v>
      </c>
      <c r="D110" s="629">
        <v>27161262.215622913</v>
      </c>
      <c r="E110" s="630">
        <v>693032.42857142852</v>
      </c>
      <c r="F110" s="631">
        <v>26468229.787051484</v>
      </c>
      <c r="G110" s="631">
        <v>26814746.0013372</v>
      </c>
      <c r="H110" s="633">
        <v>3524792.5739054955</v>
      </c>
      <c r="I110" s="634">
        <v>3524792.5739054955</v>
      </c>
      <c r="J110" s="514">
        <f t="shared" si="31"/>
        <v>0</v>
      </c>
      <c r="K110" s="514"/>
      <c r="L110" s="518">
        <f t="shared" si="29"/>
        <v>3524792.5739054955</v>
      </c>
      <c r="M110" s="514">
        <f>IF(L110&lt;&gt;0,+H110-L110,0)</f>
        <v>0</v>
      </c>
      <c r="N110" s="518">
        <f t="shared" si="30"/>
        <v>3524792.5739054955</v>
      </c>
      <c r="O110" s="514">
        <f>IF(N110&lt;&gt;0,+I110-N110,0)</f>
        <v>0</v>
      </c>
      <c r="P110" s="514">
        <f>+O110-M110</f>
        <v>0</v>
      </c>
    </row>
    <row r="111" spans="1:16" ht="12.5">
      <c r="B111" s="195" t="str">
        <f t="shared" si="25"/>
        <v/>
      </c>
      <c r="C111" s="507">
        <f>IF(D93="","-",+C110+1)</f>
        <v>2019</v>
      </c>
      <c r="D111" s="629">
        <v>26468229.787051484</v>
      </c>
      <c r="E111" s="630">
        <v>676915.39534883725</v>
      </c>
      <c r="F111" s="631">
        <v>25791314.391702648</v>
      </c>
      <c r="G111" s="631">
        <v>26129772.089377068</v>
      </c>
      <c r="H111" s="633">
        <v>3473860.4808152672</v>
      </c>
      <c r="I111" s="634">
        <v>3473860.4808152672</v>
      </c>
      <c r="J111" s="514">
        <f t="shared" si="31"/>
        <v>0</v>
      </c>
      <c r="K111" s="514"/>
      <c r="L111" s="518">
        <f t="shared" si="29"/>
        <v>3473860.4808152672</v>
      </c>
      <c r="M111" s="514">
        <f>IF(L111&lt;&gt;0,+H111-L111,0)</f>
        <v>0</v>
      </c>
      <c r="N111" s="518">
        <f t="shared" si="30"/>
        <v>3473860.4808152672</v>
      </c>
      <c r="O111" s="514">
        <f t="shared" si="27"/>
        <v>0</v>
      </c>
      <c r="P111" s="514">
        <f t="shared" si="28"/>
        <v>0</v>
      </c>
    </row>
    <row r="112" spans="1:16" ht="12.5">
      <c r="B112" s="195" t="str">
        <f t="shared" si="25"/>
        <v/>
      </c>
      <c r="C112" s="507">
        <f>IF(D93="","-",+C111+1)</f>
        <v>2020</v>
      </c>
      <c r="D112" s="629">
        <v>25791314.391702648</v>
      </c>
      <c r="E112" s="630">
        <v>693032.42857142852</v>
      </c>
      <c r="F112" s="631">
        <v>25098281.963131219</v>
      </c>
      <c r="G112" s="631">
        <v>25444798.177416936</v>
      </c>
      <c r="H112" s="633">
        <v>3430226.8857239499</v>
      </c>
      <c r="I112" s="634">
        <v>3430226.8857239499</v>
      </c>
      <c r="J112" s="514">
        <f t="shared" si="31"/>
        <v>0</v>
      </c>
      <c r="K112" s="514"/>
      <c r="L112" s="518">
        <f t="shared" si="29"/>
        <v>3430226.8857239499</v>
      </c>
      <c r="M112" s="514">
        <f>IF(L112&lt;&gt;0,+H112-L112,0)</f>
        <v>0</v>
      </c>
      <c r="N112" s="518">
        <f t="shared" si="30"/>
        <v>3430226.8857239499</v>
      </c>
      <c r="O112" s="514">
        <f t="shared" si="27"/>
        <v>0</v>
      </c>
      <c r="P112" s="514">
        <f t="shared" si="28"/>
        <v>0</v>
      </c>
    </row>
    <row r="113" spans="2:16" ht="12.5">
      <c r="B113" s="195" t="str">
        <f t="shared" si="25"/>
        <v/>
      </c>
      <c r="C113" s="507">
        <f>IF(D93="","-",+C112+1)</f>
        <v>2021</v>
      </c>
      <c r="D113" s="374">
        <f>IF(F112+SUM(E$99:E112)=D$92,F112,D$92-SUM(E$99:E112))</f>
        <v>25098281.963131219</v>
      </c>
      <c r="E113" s="522">
        <f t="shared" ref="E113:E154" si="32">IF(+$J$96&lt;F112,$J$96,D113)</f>
        <v>709935.6585365854</v>
      </c>
      <c r="F113" s="523">
        <f t="shared" ref="F113:F154" si="33">+D113-E113</f>
        <v>24388346.304594632</v>
      </c>
      <c r="G113" s="523">
        <f t="shared" ref="G113:G154" si="34">+(F113+D113)/2</f>
        <v>24743314.133862928</v>
      </c>
      <c r="H113" s="526">
        <f t="shared" ref="H113:H154" si="35">+J$94*G113+E113</f>
        <v>3518653.8203164372</v>
      </c>
      <c r="I113" s="577">
        <f t="shared" ref="I113:I154" si="36">+J$95*G113+E113</f>
        <v>3518653.8203164372</v>
      </c>
      <c r="J113" s="514">
        <f t="shared" si="31"/>
        <v>0</v>
      </c>
      <c r="K113" s="514"/>
      <c r="L113" s="525"/>
      <c r="M113" s="514">
        <f t="shared" si="26"/>
        <v>0</v>
      </c>
      <c r="N113" s="525"/>
      <c r="O113" s="514">
        <f t="shared" si="27"/>
        <v>0</v>
      </c>
      <c r="P113" s="514">
        <f t="shared" si="28"/>
        <v>0</v>
      </c>
    </row>
    <row r="114" spans="2:16" ht="12.5">
      <c r="B114" s="195" t="str">
        <f t="shared" si="25"/>
        <v/>
      </c>
      <c r="C114" s="507">
        <f>IF(D93="","-",+C113+1)</f>
        <v>2022</v>
      </c>
      <c r="D114" s="374">
        <f>IF(F113+SUM(E$99:E113)=D$92,F113,D$92-SUM(E$99:E113))</f>
        <v>24388346.304594632</v>
      </c>
      <c r="E114" s="522">
        <f t="shared" si="32"/>
        <v>709935.6585365854</v>
      </c>
      <c r="F114" s="523">
        <f t="shared" si="33"/>
        <v>23678410.646058045</v>
      </c>
      <c r="G114" s="523">
        <f t="shared" si="34"/>
        <v>24033378.475326337</v>
      </c>
      <c r="H114" s="526">
        <f t="shared" si="35"/>
        <v>3438066.0232639024</v>
      </c>
      <c r="I114" s="577">
        <f t="shared" si="36"/>
        <v>3438066.0232639024</v>
      </c>
      <c r="J114" s="514">
        <f t="shared" si="31"/>
        <v>0</v>
      </c>
      <c r="K114" s="514"/>
      <c r="L114" s="525"/>
      <c r="M114" s="514">
        <f t="shared" si="26"/>
        <v>0</v>
      </c>
      <c r="N114" s="525"/>
      <c r="O114" s="514">
        <f t="shared" si="27"/>
        <v>0</v>
      </c>
      <c r="P114" s="514">
        <f t="shared" si="28"/>
        <v>0</v>
      </c>
    </row>
    <row r="115" spans="2:16" ht="12.5">
      <c r="B115" s="195" t="str">
        <f t="shared" si="25"/>
        <v/>
      </c>
      <c r="C115" s="507">
        <f>IF(D93="","-",+C114+1)</f>
        <v>2023</v>
      </c>
      <c r="D115" s="374">
        <f>IF(F114+SUM(E$99:E114)=D$92,F114,D$92-SUM(E$99:E114))</f>
        <v>23678410.646058045</v>
      </c>
      <c r="E115" s="522">
        <f t="shared" si="32"/>
        <v>709935.6585365854</v>
      </c>
      <c r="F115" s="523">
        <f t="shared" si="33"/>
        <v>22968474.987521458</v>
      </c>
      <c r="G115" s="523">
        <f t="shared" si="34"/>
        <v>23323442.816789754</v>
      </c>
      <c r="H115" s="526">
        <f t="shared" si="35"/>
        <v>3357478.2262113681</v>
      </c>
      <c r="I115" s="577">
        <f t="shared" si="36"/>
        <v>3357478.2262113681</v>
      </c>
      <c r="J115" s="514">
        <f t="shared" si="31"/>
        <v>0</v>
      </c>
      <c r="K115" s="514"/>
      <c r="L115" s="525"/>
      <c r="M115" s="514">
        <f t="shared" si="26"/>
        <v>0</v>
      </c>
      <c r="N115" s="525"/>
      <c r="O115" s="514">
        <f t="shared" si="27"/>
        <v>0</v>
      </c>
      <c r="P115" s="514">
        <f t="shared" si="28"/>
        <v>0</v>
      </c>
    </row>
    <row r="116" spans="2:16" ht="12.5">
      <c r="B116" s="195" t="str">
        <f t="shared" si="25"/>
        <v/>
      </c>
      <c r="C116" s="507">
        <f>IF(D93="","-",+C115+1)</f>
        <v>2024</v>
      </c>
      <c r="D116" s="374">
        <f>IF(F115+SUM(E$99:E115)=D$92,F115,D$92-SUM(E$99:E115))</f>
        <v>22968474.987521458</v>
      </c>
      <c r="E116" s="522">
        <f t="shared" si="32"/>
        <v>709935.6585365854</v>
      </c>
      <c r="F116" s="523">
        <f t="shared" si="33"/>
        <v>22258539.328984872</v>
      </c>
      <c r="G116" s="523">
        <f t="shared" si="34"/>
        <v>22613507.158253163</v>
      </c>
      <c r="H116" s="526">
        <f t="shared" si="35"/>
        <v>3276890.4291588333</v>
      </c>
      <c r="I116" s="577">
        <f t="shared" si="36"/>
        <v>3276890.4291588333</v>
      </c>
      <c r="J116" s="514">
        <f t="shared" si="31"/>
        <v>0</v>
      </c>
      <c r="K116" s="514"/>
      <c r="L116" s="525"/>
      <c r="M116" s="514">
        <f t="shared" si="26"/>
        <v>0</v>
      </c>
      <c r="N116" s="525"/>
      <c r="O116" s="514">
        <f t="shared" si="27"/>
        <v>0</v>
      </c>
      <c r="P116" s="514">
        <f t="shared" si="28"/>
        <v>0</v>
      </c>
    </row>
    <row r="117" spans="2:16" ht="12.5">
      <c r="B117" s="195" t="str">
        <f t="shared" si="25"/>
        <v/>
      </c>
      <c r="C117" s="507">
        <f>IF(D93="","-",+C116+1)</f>
        <v>2025</v>
      </c>
      <c r="D117" s="374">
        <f>IF(F116+SUM(E$99:E116)=D$92,F116,D$92-SUM(E$99:E116))</f>
        <v>22258539.328984872</v>
      </c>
      <c r="E117" s="522">
        <f t="shared" si="32"/>
        <v>709935.6585365854</v>
      </c>
      <c r="F117" s="523">
        <f t="shared" si="33"/>
        <v>21548603.670448285</v>
      </c>
      <c r="G117" s="523">
        <f t="shared" si="34"/>
        <v>21903571.49971658</v>
      </c>
      <c r="H117" s="526">
        <f t="shared" si="35"/>
        <v>3196302.6321062995</v>
      </c>
      <c r="I117" s="577">
        <f t="shared" si="36"/>
        <v>3196302.6321062995</v>
      </c>
      <c r="J117" s="514">
        <f t="shared" si="31"/>
        <v>0</v>
      </c>
      <c r="K117" s="514"/>
      <c r="L117" s="525"/>
      <c r="M117" s="514">
        <f t="shared" si="26"/>
        <v>0</v>
      </c>
      <c r="N117" s="525"/>
      <c r="O117" s="514">
        <f t="shared" si="27"/>
        <v>0</v>
      </c>
      <c r="P117" s="514">
        <f t="shared" si="28"/>
        <v>0</v>
      </c>
    </row>
    <row r="118" spans="2:16" ht="12.5">
      <c r="B118" s="195" t="str">
        <f t="shared" si="25"/>
        <v/>
      </c>
      <c r="C118" s="507">
        <f>IF(D93="","-",+C117+1)</f>
        <v>2026</v>
      </c>
      <c r="D118" s="374">
        <f>IF(F117+SUM(E$99:E117)=D$92,F117,D$92-SUM(E$99:E117))</f>
        <v>21548603.670448285</v>
      </c>
      <c r="E118" s="522">
        <f t="shared" si="32"/>
        <v>709935.6585365854</v>
      </c>
      <c r="F118" s="523">
        <f t="shared" si="33"/>
        <v>20838668.011911698</v>
      </c>
      <c r="G118" s="523">
        <f t="shared" si="34"/>
        <v>21193635.841179989</v>
      </c>
      <c r="H118" s="526">
        <f t="shared" si="35"/>
        <v>3115714.8350537647</v>
      </c>
      <c r="I118" s="577">
        <f t="shared" si="36"/>
        <v>3115714.8350537647</v>
      </c>
      <c r="J118" s="514">
        <f t="shared" si="31"/>
        <v>0</v>
      </c>
      <c r="K118" s="514"/>
      <c r="L118" s="525"/>
      <c r="M118" s="514">
        <f t="shared" si="26"/>
        <v>0</v>
      </c>
      <c r="N118" s="525"/>
      <c r="O118" s="514">
        <f t="shared" si="27"/>
        <v>0</v>
      </c>
      <c r="P118" s="514">
        <f t="shared" si="28"/>
        <v>0</v>
      </c>
    </row>
    <row r="119" spans="2:16" ht="12.5">
      <c r="B119" s="195" t="str">
        <f t="shared" si="25"/>
        <v/>
      </c>
      <c r="C119" s="507">
        <f>IF(D93="","-",+C118+1)</f>
        <v>2027</v>
      </c>
      <c r="D119" s="374">
        <f>IF(F118+SUM(E$99:E118)=D$92,F118,D$92-SUM(E$99:E118))</f>
        <v>20838668.011911698</v>
      </c>
      <c r="E119" s="522">
        <f t="shared" si="32"/>
        <v>709935.6585365854</v>
      </c>
      <c r="F119" s="523">
        <f t="shared" si="33"/>
        <v>20128732.353375111</v>
      </c>
      <c r="G119" s="523">
        <f t="shared" si="34"/>
        <v>20483700.182643406</v>
      </c>
      <c r="H119" s="526">
        <f t="shared" si="35"/>
        <v>3035127.0380012309</v>
      </c>
      <c r="I119" s="577">
        <f t="shared" si="36"/>
        <v>3035127.0380012309</v>
      </c>
      <c r="J119" s="514">
        <f t="shared" si="31"/>
        <v>0</v>
      </c>
      <c r="K119" s="514"/>
      <c r="L119" s="525"/>
      <c r="M119" s="514">
        <f t="shared" si="26"/>
        <v>0</v>
      </c>
      <c r="N119" s="525"/>
      <c r="O119" s="514">
        <f t="shared" si="27"/>
        <v>0</v>
      </c>
      <c r="P119" s="514">
        <f t="shared" si="28"/>
        <v>0</v>
      </c>
    </row>
    <row r="120" spans="2:16" ht="12.5">
      <c r="B120" s="195" t="str">
        <f t="shared" si="25"/>
        <v/>
      </c>
      <c r="C120" s="507">
        <f>IF(D93="","-",+C119+1)</f>
        <v>2028</v>
      </c>
      <c r="D120" s="374">
        <f>IF(F119+SUM(E$99:E119)=D$92,F119,D$92-SUM(E$99:E119))</f>
        <v>20128732.353375111</v>
      </c>
      <c r="E120" s="522">
        <f t="shared" si="32"/>
        <v>709935.6585365854</v>
      </c>
      <c r="F120" s="523">
        <f t="shared" si="33"/>
        <v>19418796.694838524</v>
      </c>
      <c r="G120" s="523">
        <f t="shared" si="34"/>
        <v>19773764.524106815</v>
      </c>
      <c r="H120" s="526">
        <f t="shared" si="35"/>
        <v>2954539.2409486962</v>
      </c>
      <c r="I120" s="577">
        <f t="shared" si="36"/>
        <v>2954539.2409486962</v>
      </c>
      <c r="J120" s="514">
        <f t="shared" si="31"/>
        <v>0</v>
      </c>
      <c r="K120" s="514"/>
      <c r="L120" s="525"/>
      <c r="M120" s="514">
        <f t="shared" si="26"/>
        <v>0</v>
      </c>
      <c r="N120" s="525"/>
      <c r="O120" s="514">
        <f t="shared" si="27"/>
        <v>0</v>
      </c>
      <c r="P120" s="514">
        <f t="shared" si="28"/>
        <v>0</v>
      </c>
    </row>
    <row r="121" spans="2:16" ht="12.5">
      <c r="B121" s="195" t="str">
        <f t="shared" si="25"/>
        <v/>
      </c>
      <c r="C121" s="507">
        <f>IF(D93="","-",+C120+1)</f>
        <v>2029</v>
      </c>
      <c r="D121" s="374">
        <f>IF(F120+SUM(E$99:E120)=D$92,F120,D$92-SUM(E$99:E120))</f>
        <v>19418796.694838524</v>
      </c>
      <c r="E121" s="522">
        <f t="shared" si="32"/>
        <v>709935.6585365854</v>
      </c>
      <c r="F121" s="523">
        <f t="shared" si="33"/>
        <v>18708861.036301937</v>
      </c>
      <c r="G121" s="523">
        <f t="shared" si="34"/>
        <v>19063828.865570232</v>
      </c>
      <c r="H121" s="526">
        <f t="shared" si="35"/>
        <v>2873951.4438961623</v>
      </c>
      <c r="I121" s="577">
        <f t="shared" si="36"/>
        <v>2873951.4438961623</v>
      </c>
      <c r="J121" s="514">
        <f t="shared" si="31"/>
        <v>0</v>
      </c>
      <c r="K121" s="514"/>
      <c r="L121" s="525"/>
      <c r="M121" s="514">
        <f t="shared" si="26"/>
        <v>0</v>
      </c>
      <c r="N121" s="525"/>
      <c r="O121" s="514">
        <f t="shared" si="27"/>
        <v>0</v>
      </c>
      <c r="P121" s="514">
        <f t="shared" si="28"/>
        <v>0</v>
      </c>
    </row>
    <row r="122" spans="2:16" ht="12.5">
      <c r="B122" s="195" t="str">
        <f t="shared" si="25"/>
        <v/>
      </c>
      <c r="C122" s="507">
        <f>IF(D93="","-",+C121+1)</f>
        <v>2030</v>
      </c>
      <c r="D122" s="374">
        <f>IF(F121+SUM(E$99:E121)=D$92,F121,D$92-SUM(E$99:E121))</f>
        <v>18708861.036301937</v>
      </c>
      <c r="E122" s="522">
        <f t="shared" si="32"/>
        <v>709935.6585365854</v>
      </c>
      <c r="F122" s="523">
        <f t="shared" si="33"/>
        <v>17998925.37776535</v>
      </c>
      <c r="G122" s="523">
        <f t="shared" si="34"/>
        <v>18353893.207033642</v>
      </c>
      <c r="H122" s="526">
        <f t="shared" si="35"/>
        <v>2793363.6468436271</v>
      </c>
      <c r="I122" s="577">
        <f t="shared" si="36"/>
        <v>2793363.6468436271</v>
      </c>
      <c r="J122" s="514">
        <f t="shared" si="31"/>
        <v>0</v>
      </c>
      <c r="K122" s="514"/>
      <c r="L122" s="525"/>
      <c r="M122" s="514">
        <f t="shared" si="26"/>
        <v>0</v>
      </c>
      <c r="N122" s="525"/>
      <c r="O122" s="514">
        <f t="shared" si="27"/>
        <v>0</v>
      </c>
      <c r="P122" s="514">
        <f t="shared" si="28"/>
        <v>0</v>
      </c>
    </row>
    <row r="123" spans="2:16" ht="12.5">
      <c r="B123" s="195" t="str">
        <f t="shared" si="25"/>
        <v/>
      </c>
      <c r="C123" s="507">
        <f>IF(D93="","-",+C122+1)</f>
        <v>2031</v>
      </c>
      <c r="D123" s="374">
        <f>IF(F122+SUM(E$99:E122)=D$92,F122,D$92-SUM(E$99:E122))</f>
        <v>17998925.37776535</v>
      </c>
      <c r="E123" s="522">
        <f t="shared" si="32"/>
        <v>709935.6585365854</v>
      </c>
      <c r="F123" s="523">
        <f t="shared" si="33"/>
        <v>17288989.719228763</v>
      </c>
      <c r="G123" s="523">
        <f t="shared" si="34"/>
        <v>17643957.548497058</v>
      </c>
      <c r="H123" s="526">
        <f t="shared" si="35"/>
        <v>2712775.8497910933</v>
      </c>
      <c r="I123" s="577">
        <f t="shared" si="36"/>
        <v>2712775.8497910933</v>
      </c>
      <c r="J123" s="514">
        <f t="shared" si="31"/>
        <v>0</v>
      </c>
      <c r="K123" s="514"/>
      <c r="L123" s="525"/>
      <c r="M123" s="514">
        <f t="shared" si="26"/>
        <v>0</v>
      </c>
      <c r="N123" s="525"/>
      <c r="O123" s="514">
        <f t="shared" si="27"/>
        <v>0</v>
      </c>
      <c r="P123" s="514">
        <f t="shared" si="28"/>
        <v>0</v>
      </c>
    </row>
    <row r="124" spans="2:16" ht="12.5">
      <c r="B124" s="195" t="str">
        <f t="shared" si="25"/>
        <v/>
      </c>
      <c r="C124" s="507">
        <f>IF(D93="","-",+C123+1)</f>
        <v>2032</v>
      </c>
      <c r="D124" s="374">
        <f>IF(F123+SUM(E$99:E123)=D$92,F123,D$92-SUM(E$99:E123))</f>
        <v>17288989.719228763</v>
      </c>
      <c r="E124" s="522">
        <f t="shared" si="32"/>
        <v>709935.6585365854</v>
      </c>
      <c r="F124" s="523">
        <f t="shared" si="33"/>
        <v>16579054.060692178</v>
      </c>
      <c r="G124" s="523">
        <f t="shared" si="34"/>
        <v>16934021.889960472</v>
      </c>
      <c r="H124" s="526">
        <f t="shared" si="35"/>
        <v>2632188.052738559</v>
      </c>
      <c r="I124" s="577">
        <f t="shared" si="36"/>
        <v>2632188.052738559</v>
      </c>
      <c r="J124" s="514">
        <f t="shared" si="31"/>
        <v>0</v>
      </c>
      <c r="K124" s="514"/>
      <c r="L124" s="525"/>
      <c r="M124" s="514">
        <f t="shared" si="26"/>
        <v>0</v>
      </c>
      <c r="N124" s="525"/>
      <c r="O124" s="514">
        <f t="shared" si="27"/>
        <v>0</v>
      </c>
      <c r="P124" s="514">
        <f t="shared" si="28"/>
        <v>0</v>
      </c>
    </row>
    <row r="125" spans="2:16" ht="12.5">
      <c r="B125" s="195" t="str">
        <f t="shared" si="25"/>
        <v/>
      </c>
      <c r="C125" s="507">
        <f>IF(D93="","-",+C124+1)</f>
        <v>2033</v>
      </c>
      <c r="D125" s="374">
        <f>IF(F124+SUM(E$99:E124)=D$92,F124,D$92-SUM(E$99:E124))</f>
        <v>16579054.060692178</v>
      </c>
      <c r="E125" s="522">
        <f t="shared" si="32"/>
        <v>709935.6585365854</v>
      </c>
      <c r="F125" s="523">
        <f t="shared" si="33"/>
        <v>15869118.402155593</v>
      </c>
      <c r="G125" s="523">
        <f t="shared" si="34"/>
        <v>16224086.231423885</v>
      </c>
      <c r="H125" s="526">
        <f t="shared" si="35"/>
        <v>2551600.2556860247</v>
      </c>
      <c r="I125" s="577">
        <f t="shared" si="36"/>
        <v>2551600.2556860247</v>
      </c>
      <c r="J125" s="514">
        <f t="shared" si="31"/>
        <v>0</v>
      </c>
      <c r="K125" s="514"/>
      <c r="L125" s="525"/>
      <c r="M125" s="514">
        <f t="shared" si="26"/>
        <v>0</v>
      </c>
      <c r="N125" s="525"/>
      <c r="O125" s="514">
        <f t="shared" si="27"/>
        <v>0</v>
      </c>
      <c r="P125" s="514">
        <f t="shared" si="28"/>
        <v>0</v>
      </c>
    </row>
    <row r="126" spans="2:16" ht="12.5">
      <c r="B126" s="195" t="str">
        <f t="shared" si="25"/>
        <v/>
      </c>
      <c r="C126" s="507">
        <f>IF(D93="","-",+C125+1)</f>
        <v>2034</v>
      </c>
      <c r="D126" s="374">
        <f>IF(F125+SUM(E$99:E125)=D$92,F125,D$92-SUM(E$99:E125))</f>
        <v>15869118.402155593</v>
      </c>
      <c r="E126" s="522">
        <f t="shared" si="32"/>
        <v>709935.6585365854</v>
      </c>
      <c r="F126" s="523">
        <f t="shared" si="33"/>
        <v>15159182.743619008</v>
      </c>
      <c r="G126" s="523">
        <f t="shared" si="34"/>
        <v>15514150.572887301</v>
      </c>
      <c r="H126" s="526">
        <f t="shared" si="35"/>
        <v>2471012.4586334904</v>
      </c>
      <c r="I126" s="577">
        <f t="shared" si="36"/>
        <v>2471012.4586334904</v>
      </c>
      <c r="J126" s="514">
        <f t="shared" si="31"/>
        <v>0</v>
      </c>
      <c r="K126" s="514"/>
      <c r="L126" s="525"/>
      <c r="M126" s="514">
        <f t="shared" si="26"/>
        <v>0</v>
      </c>
      <c r="N126" s="525"/>
      <c r="O126" s="514">
        <f t="shared" si="27"/>
        <v>0</v>
      </c>
      <c r="P126" s="514">
        <f t="shared" si="28"/>
        <v>0</v>
      </c>
    </row>
    <row r="127" spans="2:16" ht="12.5">
      <c r="B127" s="195" t="str">
        <f t="shared" si="25"/>
        <v/>
      </c>
      <c r="C127" s="507">
        <f>IF(D93="","-",+C126+1)</f>
        <v>2035</v>
      </c>
      <c r="D127" s="374">
        <f>IF(F126+SUM(E$99:E126)=D$92,F126,D$92-SUM(E$99:E126))</f>
        <v>15159182.743619008</v>
      </c>
      <c r="E127" s="522">
        <f t="shared" si="32"/>
        <v>709935.6585365854</v>
      </c>
      <c r="F127" s="523">
        <f t="shared" si="33"/>
        <v>14449247.085082423</v>
      </c>
      <c r="G127" s="523">
        <f t="shared" si="34"/>
        <v>14804214.914350715</v>
      </c>
      <c r="H127" s="526">
        <f t="shared" si="35"/>
        <v>2390424.6615809561</v>
      </c>
      <c r="I127" s="577">
        <f t="shared" si="36"/>
        <v>2390424.6615809561</v>
      </c>
      <c r="J127" s="514">
        <f t="shared" si="31"/>
        <v>0</v>
      </c>
      <c r="K127" s="514"/>
      <c r="L127" s="525"/>
      <c r="M127" s="514">
        <f t="shared" si="26"/>
        <v>0</v>
      </c>
      <c r="N127" s="525"/>
      <c r="O127" s="514">
        <f t="shared" si="27"/>
        <v>0</v>
      </c>
      <c r="P127" s="514">
        <f t="shared" si="28"/>
        <v>0</v>
      </c>
    </row>
    <row r="128" spans="2:16" ht="12.5">
      <c r="B128" s="195" t="str">
        <f t="shared" si="25"/>
        <v/>
      </c>
      <c r="C128" s="507">
        <f>IF(D93="","-",+C127+1)</f>
        <v>2036</v>
      </c>
      <c r="D128" s="374">
        <f>IF(F127+SUM(E$99:E127)=D$92,F127,D$92-SUM(E$99:E127))</f>
        <v>14449247.085082423</v>
      </c>
      <c r="E128" s="522">
        <f t="shared" si="32"/>
        <v>709935.6585365854</v>
      </c>
      <c r="F128" s="523">
        <f t="shared" si="33"/>
        <v>13739311.426545838</v>
      </c>
      <c r="G128" s="523">
        <f t="shared" si="34"/>
        <v>14094279.255814131</v>
      </c>
      <c r="H128" s="526">
        <f t="shared" si="35"/>
        <v>2309836.8645284222</v>
      </c>
      <c r="I128" s="577">
        <f t="shared" si="36"/>
        <v>2309836.8645284222</v>
      </c>
      <c r="J128" s="514">
        <f t="shared" si="31"/>
        <v>0</v>
      </c>
      <c r="K128" s="514"/>
      <c r="L128" s="525"/>
      <c r="M128" s="514">
        <f t="shared" si="26"/>
        <v>0</v>
      </c>
      <c r="N128" s="525"/>
      <c r="O128" s="514">
        <f t="shared" si="27"/>
        <v>0</v>
      </c>
      <c r="P128" s="514">
        <f t="shared" si="28"/>
        <v>0</v>
      </c>
    </row>
    <row r="129" spans="2:16" ht="12.5">
      <c r="B129" s="195" t="str">
        <f t="shared" si="25"/>
        <v/>
      </c>
      <c r="C129" s="507">
        <f>IF(D93="","-",+C128+1)</f>
        <v>2037</v>
      </c>
      <c r="D129" s="374">
        <f>IF(F128+SUM(E$99:E128)=D$92,F128,D$92-SUM(E$99:E128))</f>
        <v>13739311.426545838</v>
      </c>
      <c r="E129" s="522">
        <f t="shared" si="32"/>
        <v>709935.6585365854</v>
      </c>
      <c r="F129" s="523">
        <f t="shared" si="33"/>
        <v>13029375.768009253</v>
      </c>
      <c r="G129" s="523">
        <f t="shared" si="34"/>
        <v>13384343.597277544</v>
      </c>
      <c r="H129" s="526">
        <f t="shared" si="35"/>
        <v>2229249.0674758879</v>
      </c>
      <c r="I129" s="577">
        <f t="shared" si="36"/>
        <v>2229249.0674758879</v>
      </c>
      <c r="J129" s="514">
        <f t="shared" si="31"/>
        <v>0</v>
      </c>
      <c r="K129" s="514"/>
      <c r="L129" s="525"/>
      <c r="M129" s="514">
        <f t="shared" si="26"/>
        <v>0</v>
      </c>
      <c r="N129" s="525"/>
      <c r="O129" s="514">
        <f t="shared" si="27"/>
        <v>0</v>
      </c>
      <c r="P129" s="514">
        <f t="shared" si="28"/>
        <v>0</v>
      </c>
    </row>
    <row r="130" spans="2:16" ht="12.5">
      <c r="B130" s="195" t="str">
        <f t="shared" si="25"/>
        <v/>
      </c>
      <c r="C130" s="507">
        <f>IF(D93="","-",+C129+1)</f>
        <v>2038</v>
      </c>
      <c r="D130" s="374">
        <f>IF(F129+SUM(E$99:E129)=D$92,F129,D$92-SUM(E$99:E129))</f>
        <v>13029375.768009253</v>
      </c>
      <c r="E130" s="522">
        <f t="shared" si="32"/>
        <v>709935.6585365854</v>
      </c>
      <c r="F130" s="523">
        <f t="shared" si="33"/>
        <v>12319440.109472668</v>
      </c>
      <c r="G130" s="523">
        <f t="shared" si="34"/>
        <v>12674407.938740961</v>
      </c>
      <c r="H130" s="526">
        <f t="shared" si="35"/>
        <v>2148661.2704233541</v>
      </c>
      <c r="I130" s="577">
        <f t="shared" si="36"/>
        <v>2148661.2704233541</v>
      </c>
      <c r="J130" s="514">
        <f t="shared" si="31"/>
        <v>0</v>
      </c>
      <c r="K130" s="514"/>
      <c r="L130" s="525"/>
      <c r="M130" s="514">
        <f t="shared" si="26"/>
        <v>0</v>
      </c>
      <c r="N130" s="525"/>
      <c r="O130" s="514">
        <f t="shared" si="27"/>
        <v>0</v>
      </c>
      <c r="P130" s="514">
        <f t="shared" si="28"/>
        <v>0</v>
      </c>
    </row>
    <row r="131" spans="2:16" ht="12.5">
      <c r="B131" s="195" t="str">
        <f t="shared" si="25"/>
        <v/>
      </c>
      <c r="C131" s="507">
        <f>IF(D93="","-",+C130+1)</f>
        <v>2039</v>
      </c>
      <c r="D131" s="374">
        <f>IF(F130+SUM(E$99:E130)=D$92,F130,D$92-SUM(E$99:E130))</f>
        <v>12319440.109472668</v>
      </c>
      <c r="E131" s="522">
        <f t="shared" si="32"/>
        <v>709935.6585365854</v>
      </c>
      <c r="F131" s="523">
        <f t="shared" si="33"/>
        <v>11609504.450936083</v>
      </c>
      <c r="G131" s="523">
        <f t="shared" si="34"/>
        <v>11964472.280204374</v>
      </c>
      <c r="H131" s="526">
        <f t="shared" si="35"/>
        <v>2068073.4733708198</v>
      </c>
      <c r="I131" s="577">
        <f t="shared" si="36"/>
        <v>2068073.4733708198</v>
      </c>
      <c r="J131" s="514">
        <f t="shared" si="31"/>
        <v>0</v>
      </c>
      <c r="K131" s="514"/>
      <c r="L131" s="525"/>
      <c r="M131" s="514">
        <f t="shared" ref="M131:M154" si="37">IF(L541&lt;&gt;0,+H541-L541,0)</f>
        <v>0</v>
      </c>
      <c r="N131" s="525"/>
      <c r="O131" s="514">
        <f t="shared" ref="O131:O154" si="38">IF(N541&lt;&gt;0,+I541-N541,0)</f>
        <v>0</v>
      </c>
      <c r="P131" s="514">
        <f t="shared" ref="P131:P154" si="39">+O541-M541</f>
        <v>0</v>
      </c>
    </row>
    <row r="132" spans="2:16" ht="12.5">
      <c r="B132" s="195" t="str">
        <f t="shared" si="25"/>
        <v/>
      </c>
      <c r="C132" s="507">
        <f>IF(D93="","-",+C131+1)</f>
        <v>2040</v>
      </c>
      <c r="D132" s="374">
        <f>IF(F131+SUM(E$99:E131)=D$92,F131,D$92-SUM(E$99:E131))</f>
        <v>11609504.450936083</v>
      </c>
      <c r="E132" s="522">
        <f t="shared" si="32"/>
        <v>709935.6585365854</v>
      </c>
      <c r="F132" s="523">
        <f t="shared" si="33"/>
        <v>10899568.792399498</v>
      </c>
      <c r="G132" s="523">
        <f t="shared" si="34"/>
        <v>11254536.621667791</v>
      </c>
      <c r="H132" s="526">
        <f t="shared" si="35"/>
        <v>1987485.6763182855</v>
      </c>
      <c r="I132" s="577">
        <f t="shared" si="36"/>
        <v>1987485.6763182855</v>
      </c>
      <c r="J132" s="514">
        <f t="shared" si="31"/>
        <v>0</v>
      </c>
      <c r="K132" s="514"/>
      <c r="L132" s="525"/>
      <c r="M132" s="514">
        <f t="shared" si="37"/>
        <v>0</v>
      </c>
      <c r="N132" s="525"/>
      <c r="O132" s="514">
        <f t="shared" si="38"/>
        <v>0</v>
      </c>
      <c r="P132" s="514">
        <f t="shared" si="39"/>
        <v>0</v>
      </c>
    </row>
    <row r="133" spans="2:16" ht="12.5">
      <c r="B133" s="195" t="str">
        <f t="shared" si="25"/>
        <v/>
      </c>
      <c r="C133" s="507">
        <f>IF(D93="","-",+C132+1)</f>
        <v>2041</v>
      </c>
      <c r="D133" s="374">
        <f>IF(F132+SUM(E$99:E132)=D$92,F132,D$92-SUM(E$99:E132))</f>
        <v>10899568.792399498</v>
      </c>
      <c r="E133" s="522">
        <f t="shared" si="32"/>
        <v>709935.6585365854</v>
      </c>
      <c r="F133" s="523">
        <f t="shared" si="33"/>
        <v>10189633.133862913</v>
      </c>
      <c r="G133" s="523">
        <f t="shared" si="34"/>
        <v>10544600.963131204</v>
      </c>
      <c r="H133" s="526">
        <f t="shared" si="35"/>
        <v>1906897.8792657512</v>
      </c>
      <c r="I133" s="577">
        <f t="shared" si="36"/>
        <v>1906897.8792657512</v>
      </c>
      <c r="J133" s="514">
        <f t="shared" si="31"/>
        <v>0</v>
      </c>
      <c r="K133" s="514"/>
      <c r="L133" s="525"/>
      <c r="M133" s="514">
        <f t="shared" si="37"/>
        <v>0</v>
      </c>
      <c r="N133" s="525"/>
      <c r="O133" s="514">
        <f t="shared" si="38"/>
        <v>0</v>
      </c>
      <c r="P133" s="514">
        <f t="shared" si="39"/>
        <v>0</v>
      </c>
    </row>
    <row r="134" spans="2:16" ht="12.5">
      <c r="B134" s="195" t="str">
        <f t="shared" si="25"/>
        <v/>
      </c>
      <c r="C134" s="507">
        <f>IF(D93="","-",+C133+1)</f>
        <v>2042</v>
      </c>
      <c r="D134" s="374">
        <f>IF(F133+SUM(E$99:E133)=D$92,F133,D$92-SUM(E$99:E133))</f>
        <v>10189633.133862913</v>
      </c>
      <c r="E134" s="522">
        <f t="shared" si="32"/>
        <v>709935.6585365854</v>
      </c>
      <c r="F134" s="523">
        <f t="shared" si="33"/>
        <v>9479697.4753263276</v>
      </c>
      <c r="G134" s="523">
        <f t="shared" si="34"/>
        <v>9834665.3045946211</v>
      </c>
      <c r="H134" s="526">
        <f t="shared" si="35"/>
        <v>1826310.0822132174</v>
      </c>
      <c r="I134" s="577">
        <f t="shared" si="36"/>
        <v>1826310.0822132174</v>
      </c>
      <c r="J134" s="514">
        <f t="shared" si="31"/>
        <v>0</v>
      </c>
      <c r="K134" s="514"/>
      <c r="L134" s="525"/>
      <c r="M134" s="514">
        <f t="shared" si="37"/>
        <v>0</v>
      </c>
      <c r="N134" s="525"/>
      <c r="O134" s="514">
        <f t="shared" si="38"/>
        <v>0</v>
      </c>
      <c r="P134" s="514">
        <f t="shared" si="39"/>
        <v>0</v>
      </c>
    </row>
    <row r="135" spans="2:16" ht="12.5">
      <c r="B135" s="195" t="str">
        <f t="shared" si="25"/>
        <v/>
      </c>
      <c r="C135" s="507">
        <f>IF(D93="","-",+C134+1)</f>
        <v>2043</v>
      </c>
      <c r="D135" s="374">
        <f>IF(F134+SUM(E$99:E134)=D$92,F134,D$92-SUM(E$99:E134))</f>
        <v>9479697.4753263276</v>
      </c>
      <c r="E135" s="522">
        <f t="shared" si="32"/>
        <v>709935.6585365854</v>
      </c>
      <c r="F135" s="523">
        <f t="shared" si="33"/>
        <v>8769761.8167897426</v>
      </c>
      <c r="G135" s="523">
        <f t="shared" si="34"/>
        <v>9124729.6460580342</v>
      </c>
      <c r="H135" s="526">
        <f t="shared" si="35"/>
        <v>1745722.2851606831</v>
      </c>
      <c r="I135" s="577">
        <f t="shared" si="36"/>
        <v>1745722.2851606831</v>
      </c>
      <c r="J135" s="514">
        <f t="shared" si="31"/>
        <v>0</v>
      </c>
      <c r="K135" s="514"/>
      <c r="L135" s="525"/>
      <c r="M135" s="514">
        <f t="shared" si="37"/>
        <v>0</v>
      </c>
      <c r="N135" s="525"/>
      <c r="O135" s="514">
        <f t="shared" si="38"/>
        <v>0</v>
      </c>
      <c r="P135" s="514">
        <f t="shared" si="39"/>
        <v>0</v>
      </c>
    </row>
    <row r="136" spans="2:16" ht="12.5">
      <c r="B136" s="195" t="str">
        <f t="shared" si="25"/>
        <v/>
      </c>
      <c r="C136" s="507">
        <f>IF(D93="","-",+C135+1)</f>
        <v>2044</v>
      </c>
      <c r="D136" s="374">
        <f>IF(F135+SUM(E$99:E135)=D$92,F135,D$92-SUM(E$99:E135))</f>
        <v>8769761.8167897426</v>
      </c>
      <c r="E136" s="522">
        <f t="shared" si="32"/>
        <v>709935.6585365854</v>
      </c>
      <c r="F136" s="523">
        <f t="shared" si="33"/>
        <v>8059826.1582531575</v>
      </c>
      <c r="G136" s="523">
        <f t="shared" si="34"/>
        <v>8414793.987521451</v>
      </c>
      <c r="H136" s="526">
        <f t="shared" si="35"/>
        <v>1665134.488108149</v>
      </c>
      <c r="I136" s="577">
        <f t="shared" si="36"/>
        <v>1665134.488108149</v>
      </c>
      <c r="J136" s="514">
        <f t="shared" si="31"/>
        <v>0</v>
      </c>
      <c r="K136" s="514"/>
      <c r="L136" s="525"/>
      <c r="M136" s="514">
        <f t="shared" si="37"/>
        <v>0</v>
      </c>
      <c r="N136" s="525"/>
      <c r="O136" s="514">
        <f t="shared" si="38"/>
        <v>0</v>
      </c>
      <c r="P136" s="514">
        <f t="shared" si="39"/>
        <v>0</v>
      </c>
    </row>
    <row r="137" spans="2:16" ht="12.5">
      <c r="B137" s="195" t="str">
        <f t="shared" si="25"/>
        <v/>
      </c>
      <c r="C137" s="507">
        <f>IF(D93="","-",+C136+1)</f>
        <v>2045</v>
      </c>
      <c r="D137" s="374">
        <f>IF(F136+SUM(E$99:E136)=D$92,F136,D$92-SUM(E$99:E136))</f>
        <v>8059826.1582531575</v>
      </c>
      <c r="E137" s="522">
        <f t="shared" si="32"/>
        <v>709935.6585365854</v>
      </c>
      <c r="F137" s="523">
        <f t="shared" si="33"/>
        <v>7349890.4997165725</v>
      </c>
      <c r="G137" s="523">
        <f t="shared" si="34"/>
        <v>7704858.328984865</v>
      </c>
      <c r="H137" s="526">
        <f t="shared" si="35"/>
        <v>1584546.691055615</v>
      </c>
      <c r="I137" s="577">
        <f t="shared" si="36"/>
        <v>1584546.691055615</v>
      </c>
      <c r="J137" s="514">
        <f t="shared" si="31"/>
        <v>0</v>
      </c>
      <c r="K137" s="514"/>
      <c r="L137" s="525"/>
      <c r="M137" s="514">
        <f t="shared" si="37"/>
        <v>0</v>
      </c>
      <c r="N137" s="525"/>
      <c r="O137" s="514">
        <f t="shared" si="38"/>
        <v>0</v>
      </c>
      <c r="P137" s="514">
        <f t="shared" si="39"/>
        <v>0</v>
      </c>
    </row>
    <row r="138" spans="2:16" ht="12.5">
      <c r="B138" s="195" t="str">
        <f t="shared" si="25"/>
        <v/>
      </c>
      <c r="C138" s="507">
        <f>IF(D93="","-",+C137+1)</f>
        <v>2046</v>
      </c>
      <c r="D138" s="374">
        <f>IF(F137+SUM(E$99:E137)=D$92,F137,D$92-SUM(E$99:E137))</f>
        <v>7349890.4997165725</v>
      </c>
      <c r="E138" s="522">
        <f t="shared" si="32"/>
        <v>709935.6585365854</v>
      </c>
      <c r="F138" s="523">
        <f t="shared" si="33"/>
        <v>6639954.8411799874</v>
      </c>
      <c r="G138" s="523">
        <f t="shared" si="34"/>
        <v>6994922.6704482799</v>
      </c>
      <c r="H138" s="526">
        <f t="shared" si="35"/>
        <v>1503958.8940030807</v>
      </c>
      <c r="I138" s="577">
        <f t="shared" si="36"/>
        <v>1503958.8940030807</v>
      </c>
      <c r="J138" s="514">
        <f t="shared" si="31"/>
        <v>0</v>
      </c>
      <c r="K138" s="514"/>
      <c r="L138" s="525"/>
      <c r="M138" s="514">
        <f t="shared" si="37"/>
        <v>0</v>
      </c>
      <c r="N138" s="525"/>
      <c r="O138" s="514">
        <f t="shared" si="38"/>
        <v>0</v>
      </c>
      <c r="P138" s="514">
        <f t="shared" si="39"/>
        <v>0</v>
      </c>
    </row>
    <row r="139" spans="2:16" ht="12.5">
      <c r="B139" s="195" t="str">
        <f t="shared" si="25"/>
        <v/>
      </c>
      <c r="C139" s="507">
        <f>IF(D93="","-",+C138+1)</f>
        <v>2047</v>
      </c>
      <c r="D139" s="374">
        <f>IF(F138+SUM(E$99:E138)=D$92,F138,D$92-SUM(E$99:E138))</f>
        <v>6639954.8411799874</v>
      </c>
      <c r="E139" s="522">
        <f t="shared" si="32"/>
        <v>709935.6585365854</v>
      </c>
      <c r="F139" s="523">
        <f t="shared" si="33"/>
        <v>5930019.1826434024</v>
      </c>
      <c r="G139" s="523">
        <f t="shared" si="34"/>
        <v>6284987.0119116949</v>
      </c>
      <c r="H139" s="526">
        <f t="shared" si="35"/>
        <v>1423371.0969505464</v>
      </c>
      <c r="I139" s="577">
        <f t="shared" si="36"/>
        <v>1423371.0969505464</v>
      </c>
      <c r="J139" s="514">
        <f t="shared" si="31"/>
        <v>0</v>
      </c>
      <c r="K139" s="514"/>
      <c r="L139" s="525"/>
      <c r="M139" s="514">
        <f t="shared" si="37"/>
        <v>0</v>
      </c>
      <c r="N139" s="525"/>
      <c r="O139" s="514">
        <f t="shared" si="38"/>
        <v>0</v>
      </c>
      <c r="P139" s="514">
        <f t="shared" si="39"/>
        <v>0</v>
      </c>
    </row>
    <row r="140" spans="2:16" ht="12.5">
      <c r="B140" s="195" t="str">
        <f t="shared" si="25"/>
        <v/>
      </c>
      <c r="C140" s="507">
        <f>IF(D93="","-",+C139+1)</f>
        <v>2048</v>
      </c>
      <c r="D140" s="374">
        <f>IF(F139+SUM(E$99:E139)=D$92,F139,D$92-SUM(E$99:E139))</f>
        <v>5930019.1826434024</v>
      </c>
      <c r="E140" s="522">
        <f t="shared" si="32"/>
        <v>709935.6585365854</v>
      </c>
      <c r="F140" s="523">
        <f t="shared" si="33"/>
        <v>5220083.5241068173</v>
      </c>
      <c r="G140" s="523">
        <f t="shared" si="34"/>
        <v>5575051.3533751098</v>
      </c>
      <c r="H140" s="526">
        <f t="shared" si="35"/>
        <v>1342783.2998980123</v>
      </c>
      <c r="I140" s="577">
        <f t="shared" si="36"/>
        <v>1342783.2998980123</v>
      </c>
      <c r="J140" s="514">
        <f t="shared" si="31"/>
        <v>0</v>
      </c>
      <c r="K140" s="514"/>
      <c r="L140" s="525"/>
      <c r="M140" s="514">
        <f t="shared" si="37"/>
        <v>0</v>
      </c>
      <c r="N140" s="525"/>
      <c r="O140" s="514">
        <f t="shared" si="38"/>
        <v>0</v>
      </c>
      <c r="P140" s="514">
        <f t="shared" si="39"/>
        <v>0</v>
      </c>
    </row>
    <row r="141" spans="2:16" ht="12.5">
      <c r="B141" s="195" t="str">
        <f t="shared" si="25"/>
        <v/>
      </c>
      <c r="C141" s="507">
        <f>IF(D93="","-",+C140+1)</f>
        <v>2049</v>
      </c>
      <c r="D141" s="374">
        <f>IF(F140+SUM(E$99:E140)=D$92,F140,D$92-SUM(E$99:E140))</f>
        <v>5220083.5241068173</v>
      </c>
      <c r="E141" s="522">
        <f t="shared" si="32"/>
        <v>709935.6585365854</v>
      </c>
      <c r="F141" s="523">
        <f t="shared" si="33"/>
        <v>4510147.8655702323</v>
      </c>
      <c r="G141" s="523">
        <f t="shared" si="34"/>
        <v>4865115.6948385248</v>
      </c>
      <c r="H141" s="526">
        <f t="shared" si="35"/>
        <v>1262195.5028454782</v>
      </c>
      <c r="I141" s="577">
        <f t="shared" si="36"/>
        <v>1262195.5028454782</v>
      </c>
      <c r="J141" s="514">
        <f t="shared" si="31"/>
        <v>0</v>
      </c>
      <c r="K141" s="514"/>
      <c r="L141" s="525"/>
      <c r="M141" s="514">
        <f t="shared" si="37"/>
        <v>0</v>
      </c>
      <c r="N141" s="525"/>
      <c r="O141" s="514">
        <f t="shared" si="38"/>
        <v>0</v>
      </c>
      <c r="P141" s="514">
        <f t="shared" si="39"/>
        <v>0</v>
      </c>
    </row>
    <row r="142" spans="2:16" ht="12.5">
      <c r="B142" s="195" t="str">
        <f t="shared" si="25"/>
        <v/>
      </c>
      <c r="C142" s="507">
        <f>IF(D93="","-",+C141+1)</f>
        <v>2050</v>
      </c>
      <c r="D142" s="374">
        <f>IF(F141+SUM(E$99:E141)=D$92,F141,D$92-SUM(E$99:E141))</f>
        <v>4510147.8655702323</v>
      </c>
      <c r="E142" s="522">
        <f t="shared" si="32"/>
        <v>709935.6585365854</v>
      </c>
      <c r="F142" s="523">
        <f t="shared" si="33"/>
        <v>3800212.2070336468</v>
      </c>
      <c r="G142" s="523">
        <f t="shared" si="34"/>
        <v>4155180.0363019397</v>
      </c>
      <c r="H142" s="526">
        <f t="shared" si="35"/>
        <v>1181607.7057929439</v>
      </c>
      <c r="I142" s="577">
        <f t="shared" si="36"/>
        <v>1181607.7057929439</v>
      </c>
      <c r="J142" s="514">
        <f t="shared" si="31"/>
        <v>0</v>
      </c>
      <c r="K142" s="514"/>
      <c r="L142" s="525"/>
      <c r="M142" s="514">
        <f t="shared" si="37"/>
        <v>0</v>
      </c>
      <c r="N142" s="525"/>
      <c r="O142" s="514">
        <f t="shared" si="38"/>
        <v>0</v>
      </c>
      <c r="P142" s="514">
        <f t="shared" si="39"/>
        <v>0</v>
      </c>
    </row>
    <row r="143" spans="2:16" ht="12.5">
      <c r="B143" s="195" t="str">
        <f t="shared" si="25"/>
        <v/>
      </c>
      <c r="C143" s="507">
        <f>IF(D93="","-",+C142+1)</f>
        <v>2051</v>
      </c>
      <c r="D143" s="374">
        <f>IF(F142+SUM(E$99:E142)=D$92,F142,D$92-SUM(E$99:E142))</f>
        <v>3800212.2070336468</v>
      </c>
      <c r="E143" s="522">
        <f t="shared" si="32"/>
        <v>709935.6585365854</v>
      </c>
      <c r="F143" s="523">
        <f t="shared" si="33"/>
        <v>3090276.5484970612</v>
      </c>
      <c r="G143" s="523">
        <f t="shared" si="34"/>
        <v>3445244.3777653538</v>
      </c>
      <c r="H143" s="526">
        <f t="shared" si="35"/>
        <v>1101019.9087404096</v>
      </c>
      <c r="I143" s="577">
        <f t="shared" si="36"/>
        <v>1101019.9087404096</v>
      </c>
      <c r="J143" s="514">
        <f t="shared" si="31"/>
        <v>0</v>
      </c>
      <c r="K143" s="514"/>
      <c r="L143" s="525"/>
      <c r="M143" s="514">
        <f t="shared" si="37"/>
        <v>0</v>
      </c>
      <c r="N143" s="525"/>
      <c r="O143" s="514">
        <f t="shared" si="38"/>
        <v>0</v>
      </c>
      <c r="P143" s="514">
        <f t="shared" si="39"/>
        <v>0</v>
      </c>
    </row>
    <row r="144" spans="2:16" ht="12.5">
      <c r="B144" s="195" t="str">
        <f t="shared" si="25"/>
        <v/>
      </c>
      <c r="C144" s="507">
        <f>IF(D93="","-",+C143+1)</f>
        <v>2052</v>
      </c>
      <c r="D144" s="374">
        <f>IF(F143+SUM(E$99:E143)=D$92,F143,D$92-SUM(E$99:E143))</f>
        <v>3090276.5484970612</v>
      </c>
      <c r="E144" s="522">
        <f t="shared" si="32"/>
        <v>709935.6585365854</v>
      </c>
      <c r="F144" s="523">
        <f t="shared" si="33"/>
        <v>2380340.8899604757</v>
      </c>
      <c r="G144" s="523">
        <f t="shared" si="34"/>
        <v>2735308.7192287687</v>
      </c>
      <c r="H144" s="526">
        <f t="shared" si="35"/>
        <v>1020432.1116878756</v>
      </c>
      <c r="I144" s="577">
        <f t="shared" si="36"/>
        <v>1020432.1116878756</v>
      </c>
      <c r="J144" s="514">
        <f t="shared" si="31"/>
        <v>0</v>
      </c>
      <c r="K144" s="514"/>
      <c r="L144" s="525"/>
      <c r="M144" s="514">
        <f t="shared" si="37"/>
        <v>0</v>
      </c>
      <c r="N144" s="525"/>
      <c r="O144" s="514">
        <f t="shared" si="38"/>
        <v>0</v>
      </c>
      <c r="P144" s="514">
        <f t="shared" si="39"/>
        <v>0</v>
      </c>
    </row>
    <row r="145" spans="2:16" ht="12.5">
      <c r="B145" s="195" t="str">
        <f t="shared" si="25"/>
        <v/>
      </c>
      <c r="C145" s="507">
        <f>IF(D93="","-",+C144+1)</f>
        <v>2053</v>
      </c>
      <c r="D145" s="374">
        <f>IF(F144+SUM(E$99:E144)=D$92,F144,D$92-SUM(E$99:E144))</f>
        <v>2380340.8899604757</v>
      </c>
      <c r="E145" s="522">
        <f t="shared" si="32"/>
        <v>709935.6585365854</v>
      </c>
      <c r="F145" s="523">
        <f t="shared" si="33"/>
        <v>1670405.2314238902</v>
      </c>
      <c r="G145" s="523">
        <f t="shared" si="34"/>
        <v>2025373.060692183</v>
      </c>
      <c r="H145" s="526">
        <f t="shared" si="35"/>
        <v>939844.3146353414</v>
      </c>
      <c r="I145" s="577">
        <f t="shared" si="36"/>
        <v>939844.3146353414</v>
      </c>
      <c r="J145" s="514">
        <f t="shared" si="31"/>
        <v>0</v>
      </c>
      <c r="K145" s="514"/>
      <c r="L145" s="525"/>
      <c r="M145" s="514">
        <f t="shared" si="37"/>
        <v>0</v>
      </c>
      <c r="N145" s="525"/>
      <c r="O145" s="514">
        <f t="shared" si="38"/>
        <v>0</v>
      </c>
      <c r="P145" s="514">
        <f t="shared" si="39"/>
        <v>0</v>
      </c>
    </row>
    <row r="146" spans="2:16" ht="12.5">
      <c r="B146" s="195" t="str">
        <f t="shared" si="25"/>
        <v/>
      </c>
      <c r="C146" s="507">
        <f>IF(D93="","-",+C145+1)</f>
        <v>2054</v>
      </c>
      <c r="D146" s="374">
        <f>IF(F145+SUM(E$99:E145)=D$92,F145,D$92-SUM(E$99:E145))</f>
        <v>1670405.2314238902</v>
      </c>
      <c r="E146" s="522">
        <f t="shared" si="32"/>
        <v>709935.6585365854</v>
      </c>
      <c r="F146" s="523">
        <f t="shared" si="33"/>
        <v>960469.57288730482</v>
      </c>
      <c r="G146" s="523">
        <f t="shared" si="34"/>
        <v>1315437.4021555975</v>
      </c>
      <c r="H146" s="526">
        <f t="shared" si="35"/>
        <v>859256.51758280722</v>
      </c>
      <c r="I146" s="577">
        <f t="shared" si="36"/>
        <v>859256.51758280722</v>
      </c>
      <c r="J146" s="514">
        <f t="shared" si="31"/>
        <v>0</v>
      </c>
      <c r="K146" s="514"/>
      <c r="L146" s="525"/>
      <c r="M146" s="514">
        <f t="shared" si="37"/>
        <v>0</v>
      </c>
      <c r="N146" s="525"/>
      <c r="O146" s="514">
        <f t="shared" si="38"/>
        <v>0</v>
      </c>
      <c r="P146" s="514">
        <f t="shared" si="39"/>
        <v>0</v>
      </c>
    </row>
    <row r="147" spans="2:16" ht="12.5">
      <c r="B147" s="195" t="str">
        <f t="shared" si="25"/>
        <v/>
      </c>
      <c r="C147" s="507">
        <f>IF(D93="","-",+C146+1)</f>
        <v>2055</v>
      </c>
      <c r="D147" s="374">
        <f>IF(F146+SUM(E$99:E146)=D$92,F146,D$92-SUM(E$99:E146))</f>
        <v>960469.57288730482</v>
      </c>
      <c r="E147" s="522">
        <f t="shared" si="32"/>
        <v>709935.6585365854</v>
      </c>
      <c r="F147" s="523">
        <f t="shared" si="33"/>
        <v>250533.91435071942</v>
      </c>
      <c r="G147" s="523">
        <f t="shared" si="34"/>
        <v>605501.74361901218</v>
      </c>
      <c r="H147" s="526">
        <f t="shared" si="35"/>
        <v>778668.72053027293</v>
      </c>
      <c r="I147" s="577">
        <f t="shared" si="36"/>
        <v>778668.72053027293</v>
      </c>
      <c r="J147" s="514">
        <f t="shared" si="31"/>
        <v>0</v>
      </c>
      <c r="K147" s="514"/>
      <c r="L147" s="525"/>
      <c r="M147" s="514">
        <f t="shared" si="37"/>
        <v>0</v>
      </c>
      <c r="N147" s="525"/>
      <c r="O147" s="514">
        <f t="shared" si="38"/>
        <v>0</v>
      </c>
      <c r="P147" s="514">
        <f t="shared" si="39"/>
        <v>0</v>
      </c>
    </row>
    <row r="148" spans="2:16" ht="12.5">
      <c r="B148" s="195" t="str">
        <f t="shared" si="25"/>
        <v/>
      </c>
      <c r="C148" s="507">
        <f>IF(D93="","-",+C147+1)</f>
        <v>2056</v>
      </c>
      <c r="D148" s="374">
        <f>IF(F147+SUM(E$99:E147)=D$92,F147,D$92-SUM(E$99:E147))</f>
        <v>250533.91435071942</v>
      </c>
      <c r="E148" s="522">
        <f t="shared" si="32"/>
        <v>250533.91435071942</v>
      </c>
      <c r="F148" s="523">
        <f t="shared" si="33"/>
        <v>0</v>
      </c>
      <c r="G148" s="523">
        <f t="shared" si="34"/>
        <v>125266.95717535971</v>
      </c>
      <c r="H148" s="526">
        <f t="shared" si="35"/>
        <v>264753.49608442967</v>
      </c>
      <c r="I148" s="577">
        <f t="shared" si="36"/>
        <v>264753.49608442967</v>
      </c>
      <c r="J148" s="514">
        <f t="shared" si="31"/>
        <v>0</v>
      </c>
      <c r="K148" s="514"/>
      <c r="L148" s="525"/>
      <c r="M148" s="514">
        <f t="shared" si="37"/>
        <v>0</v>
      </c>
      <c r="N148" s="525"/>
      <c r="O148" s="514">
        <f t="shared" si="38"/>
        <v>0</v>
      </c>
      <c r="P148" s="514">
        <f t="shared" si="39"/>
        <v>0</v>
      </c>
    </row>
    <row r="149" spans="2:16" ht="12.5">
      <c r="B149" s="195" t="str">
        <f t="shared" si="25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 t="shared" si="32"/>
        <v>0</v>
      </c>
      <c r="F149" s="523">
        <f t="shared" si="33"/>
        <v>0</v>
      </c>
      <c r="G149" s="523">
        <f t="shared" si="34"/>
        <v>0</v>
      </c>
      <c r="H149" s="526">
        <f t="shared" si="35"/>
        <v>0</v>
      </c>
      <c r="I149" s="577">
        <f t="shared" si="36"/>
        <v>0</v>
      </c>
      <c r="J149" s="514">
        <f t="shared" si="31"/>
        <v>0</v>
      </c>
      <c r="K149" s="514"/>
      <c r="L149" s="525"/>
      <c r="M149" s="514">
        <f t="shared" si="37"/>
        <v>0</v>
      </c>
      <c r="N149" s="525"/>
      <c r="O149" s="514">
        <f t="shared" si="38"/>
        <v>0</v>
      </c>
      <c r="P149" s="514">
        <f t="shared" si="39"/>
        <v>0</v>
      </c>
    </row>
    <row r="150" spans="2:16" ht="12.5">
      <c r="B150" s="195" t="str">
        <f t="shared" si="25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 t="shared" si="32"/>
        <v>0</v>
      </c>
      <c r="F150" s="523">
        <f t="shared" si="33"/>
        <v>0</v>
      </c>
      <c r="G150" s="523">
        <f t="shared" si="34"/>
        <v>0</v>
      </c>
      <c r="H150" s="526">
        <f t="shared" si="35"/>
        <v>0</v>
      </c>
      <c r="I150" s="577">
        <f t="shared" si="36"/>
        <v>0</v>
      </c>
      <c r="J150" s="514">
        <f t="shared" si="31"/>
        <v>0</v>
      </c>
      <c r="K150" s="514"/>
      <c r="L150" s="525"/>
      <c r="M150" s="514">
        <f t="shared" si="37"/>
        <v>0</v>
      </c>
      <c r="N150" s="525"/>
      <c r="O150" s="514">
        <f t="shared" si="38"/>
        <v>0</v>
      </c>
      <c r="P150" s="514">
        <f t="shared" si="39"/>
        <v>0</v>
      </c>
    </row>
    <row r="151" spans="2:16" ht="12.5">
      <c r="B151" s="195" t="str">
        <f t="shared" si="25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 t="shared" si="32"/>
        <v>0</v>
      </c>
      <c r="F151" s="523">
        <f t="shared" si="33"/>
        <v>0</v>
      </c>
      <c r="G151" s="523">
        <f t="shared" si="34"/>
        <v>0</v>
      </c>
      <c r="H151" s="526">
        <f t="shared" si="35"/>
        <v>0</v>
      </c>
      <c r="I151" s="577">
        <f t="shared" si="36"/>
        <v>0</v>
      </c>
      <c r="J151" s="514">
        <f t="shared" si="31"/>
        <v>0</v>
      </c>
      <c r="K151" s="514"/>
      <c r="L151" s="525"/>
      <c r="M151" s="514">
        <f t="shared" si="37"/>
        <v>0</v>
      </c>
      <c r="N151" s="525"/>
      <c r="O151" s="514">
        <f t="shared" si="38"/>
        <v>0</v>
      </c>
      <c r="P151" s="514">
        <f t="shared" si="39"/>
        <v>0</v>
      </c>
    </row>
    <row r="152" spans="2:16" ht="12.5">
      <c r="B152" s="195" t="str">
        <f t="shared" si="25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 t="shared" si="32"/>
        <v>0</v>
      </c>
      <c r="F152" s="523">
        <f t="shared" si="33"/>
        <v>0</v>
      </c>
      <c r="G152" s="523">
        <f t="shared" si="34"/>
        <v>0</v>
      </c>
      <c r="H152" s="526">
        <f t="shared" si="35"/>
        <v>0</v>
      </c>
      <c r="I152" s="577">
        <f t="shared" si="36"/>
        <v>0</v>
      </c>
      <c r="J152" s="514">
        <f t="shared" si="31"/>
        <v>0</v>
      </c>
      <c r="K152" s="514"/>
      <c r="L152" s="525"/>
      <c r="M152" s="514">
        <f t="shared" si="37"/>
        <v>0</v>
      </c>
      <c r="N152" s="525"/>
      <c r="O152" s="514">
        <f t="shared" si="38"/>
        <v>0</v>
      </c>
      <c r="P152" s="514">
        <f t="shared" si="39"/>
        <v>0</v>
      </c>
    </row>
    <row r="153" spans="2:16" ht="12.5">
      <c r="B153" s="195" t="str">
        <f t="shared" si="25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 t="shared" si="32"/>
        <v>0</v>
      </c>
      <c r="F153" s="523">
        <f t="shared" si="33"/>
        <v>0</v>
      </c>
      <c r="G153" s="523">
        <f t="shared" si="34"/>
        <v>0</v>
      </c>
      <c r="H153" s="526">
        <f t="shared" si="35"/>
        <v>0</v>
      </c>
      <c r="I153" s="577">
        <f t="shared" si="36"/>
        <v>0</v>
      </c>
      <c r="J153" s="514">
        <f t="shared" si="31"/>
        <v>0</v>
      </c>
      <c r="K153" s="514"/>
      <c r="L153" s="525"/>
      <c r="M153" s="514">
        <f t="shared" si="37"/>
        <v>0</v>
      </c>
      <c r="N153" s="525"/>
      <c r="O153" s="514">
        <f t="shared" si="38"/>
        <v>0</v>
      </c>
      <c r="P153" s="514">
        <f t="shared" si="39"/>
        <v>0</v>
      </c>
    </row>
    <row r="154" spans="2:16" ht="13" thickBot="1">
      <c r="B154" s="195" t="str">
        <f t="shared" si="25"/>
        <v/>
      </c>
      <c r="C154" s="527">
        <f>IF(D93="","-",+C153+1)</f>
        <v>2062</v>
      </c>
      <c r="D154" s="374">
        <f>IF(F153+SUM(E$99:E153)=D$92,F153,D$92-SUM(E$99:E153))</f>
        <v>0</v>
      </c>
      <c r="E154" s="522">
        <f t="shared" si="32"/>
        <v>0</v>
      </c>
      <c r="F154" s="523">
        <f t="shared" si="33"/>
        <v>0</v>
      </c>
      <c r="G154" s="523">
        <f t="shared" si="34"/>
        <v>0</v>
      </c>
      <c r="H154" s="526">
        <f t="shared" si="35"/>
        <v>0</v>
      </c>
      <c r="I154" s="577">
        <f t="shared" si="36"/>
        <v>0</v>
      </c>
      <c r="J154" s="514">
        <f t="shared" si="31"/>
        <v>0</v>
      </c>
      <c r="K154" s="514"/>
      <c r="L154" s="532"/>
      <c r="M154" s="533">
        <f t="shared" si="37"/>
        <v>0</v>
      </c>
      <c r="N154" s="532"/>
      <c r="O154" s="533">
        <f t="shared" si="38"/>
        <v>0</v>
      </c>
      <c r="P154" s="533">
        <f t="shared" si="39"/>
        <v>0</v>
      </c>
    </row>
    <row r="155" spans="2:16" ht="12.5">
      <c r="C155" s="374" t="s">
        <v>78</v>
      </c>
      <c r="D155" s="375"/>
      <c r="E155" s="375">
        <f>SUM(E99:E154)</f>
        <v>29107362.000000011</v>
      </c>
      <c r="F155" s="375"/>
      <c r="G155" s="375"/>
      <c r="H155" s="375">
        <f>SUM(H99:H154)</f>
        <v>97913991.447436735</v>
      </c>
      <c r="I155" s="375">
        <f>SUM(I99:I154)</f>
        <v>97913991.447436735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2" priority="1" stopIfTrue="1" operator="equal">
      <formula>$I$10</formula>
    </cfRule>
  </conditionalFormatting>
  <conditionalFormatting sqref="C99:C154">
    <cfRule type="cellIs" dxfId="7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94">
    <tabColor theme="9" tint="-0.249977111117893"/>
  </sheetPr>
  <dimension ref="A1:P162"/>
  <sheetViews>
    <sheetView view="pageBreakPreview" topLeftCell="A4" zoomScale="82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45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268795.39807015983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268795.39807015983</v>
      </c>
      <c r="O6" s="269"/>
      <c r="P6" s="269"/>
    </row>
    <row r="7" spans="1:16" ht="13.5" thickBot="1">
      <c r="C7" s="467" t="s">
        <v>48</v>
      </c>
      <c r="D7" s="624" t="s">
        <v>330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329</v>
      </c>
      <c r="E9" s="637" t="s">
        <v>502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2658452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2007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63296.476190476191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2007</v>
      </c>
      <c r="D17" s="629">
        <v>2658452</v>
      </c>
      <c r="E17" s="638">
        <v>47472.357142857138</v>
      </c>
      <c r="F17" s="629">
        <v>2610979.6428571427</v>
      </c>
      <c r="G17" s="638">
        <v>399720.94779110374</v>
      </c>
      <c r="H17" s="639">
        <v>399720.94779110374</v>
      </c>
      <c r="I17" s="511">
        <v>0</v>
      </c>
      <c r="J17" s="511"/>
      <c r="K17" s="512">
        <f>G17</f>
        <v>399720.94779110374</v>
      </c>
      <c r="L17" s="597">
        <f>IF(K17&lt;&gt;0,+G17-K17,0)</f>
        <v>0</v>
      </c>
      <c r="M17" s="512">
        <f>H17</f>
        <v>399720.94779110374</v>
      </c>
      <c r="N17" s="513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2008</v>
      </c>
      <c r="D18" s="631">
        <v>2610979.6428571427</v>
      </c>
      <c r="E18" s="630">
        <v>63296.476190476191</v>
      </c>
      <c r="F18" s="631">
        <v>2547683.1666666665</v>
      </c>
      <c r="G18" s="630">
        <v>407005.70706543193</v>
      </c>
      <c r="H18" s="639">
        <v>407005.70706543193</v>
      </c>
      <c r="I18" s="511">
        <v>0</v>
      </c>
      <c r="J18" s="511"/>
      <c r="K18" s="518">
        <f>G18</f>
        <v>407005.70706543193</v>
      </c>
      <c r="L18" s="519">
        <f>IF(K18&lt;&gt;0,+G18-K18,0)</f>
        <v>0</v>
      </c>
      <c r="M18" s="518">
        <f>H18</f>
        <v>407005.70706543193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2009</v>
      </c>
      <c r="D19" s="631">
        <v>2547683.1666666665</v>
      </c>
      <c r="E19" s="630">
        <v>63296.476190476191</v>
      </c>
      <c r="F19" s="631">
        <v>2484386.6904761903</v>
      </c>
      <c r="G19" s="630">
        <v>398466.34729214112</v>
      </c>
      <c r="H19" s="639">
        <v>398466.34729214112</v>
      </c>
      <c r="I19" s="511">
        <v>0</v>
      </c>
      <c r="J19" s="511"/>
      <c r="K19" s="518">
        <f t="shared" ref="K19:K24" si="0">G19</f>
        <v>398466.34729214112</v>
      </c>
      <c r="L19" s="519">
        <f t="shared" ref="L19:L24" si="1">IF(K19&lt;&gt;0,+G19-K19,0)</f>
        <v>0</v>
      </c>
      <c r="M19" s="518">
        <f t="shared" ref="M19:M24" si="2">H19</f>
        <v>398466.34729214112</v>
      </c>
      <c r="N19" s="514">
        <f t="shared" ref="N19:N24" si="3">IF(M19&lt;&gt;0,+H19-M19,0)</f>
        <v>0</v>
      </c>
      <c r="O19" s="514">
        <f t="shared" ref="O19:O24" si="4">+N19-L19</f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2010</v>
      </c>
      <c r="D20" s="631">
        <v>2484386.6904761903</v>
      </c>
      <c r="E20" s="630">
        <v>63296.476190476191</v>
      </c>
      <c r="F20" s="631">
        <v>2421090.2142857141</v>
      </c>
      <c r="G20" s="630">
        <v>389926.98751885031</v>
      </c>
      <c r="H20" s="639">
        <v>389926.98751885031</v>
      </c>
      <c r="I20" s="511">
        <v>0</v>
      </c>
      <c r="J20" s="511"/>
      <c r="K20" s="518">
        <f t="shared" si="0"/>
        <v>389926.98751885031</v>
      </c>
      <c r="L20" s="519">
        <f t="shared" si="1"/>
        <v>0</v>
      </c>
      <c r="M20" s="518">
        <f t="shared" si="2"/>
        <v>389926.98751885031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2011</v>
      </c>
      <c r="D21" s="631">
        <v>2421090.2142857141</v>
      </c>
      <c r="E21" s="630">
        <v>63296.476190476191</v>
      </c>
      <c r="F21" s="631">
        <v>2357793.7380952379</v>
      </c>
      <c r="G21" s="630">
        <v>381387.62774555944</v>
      </c>
      <c r="H21" s="639">
        <v>381387.62774555944</v>
      </c>
      <c r="I21" s="511">
        <v>0</v>
      </c>
      <c r="J21" s="511"/>
      <c r="K21" s="518">
        <f t="shared" si="0"/>
        <v>381387.62774555944</v>
      </c>
      <c r="L21" s="519">
        <f t="shared" si="1"/>
        <v>0</v>
      </c>
      <c r="M21" s="518">
        <f t="shared" si="2"/>
        <v>381387.62774555944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2012</v>
      </c>
      <c r="D22" s="631">
        <v>2357793.7380952379</v>
      </c>
      <c r="E22" s="630">
        <v>63296.476190476191</v>
      </c>
      <c r="F22" s="631">
        <v>2294497.2619047617</v>
      </c>
      <c r="G22" s="630">
        <v>372848.26797226863</v>
      </c>
      <c r="H22" s="639">
        <v>372848.26797226863</v>
      </c>
      <c r="I22" s="511">
        <v>0</v>
      </c>
      <c r="J22" s="511"/>
      <c r="K22" s="518">
        <f t="shared" si="0"/>
        <v>372848.26797226863</v>
      </c>
      <c r="L22" s="519">
        <f t="shared" si="1"/>
        <v>0</v>
      </c>
      <c r="M22" s="518">
        <f t="shared" si="2"/>
        <v>372848.26797226863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2013</v>
      </c>
      <c r="D23" s="631">
        <v>2294497.2619047617</v>
      </c>
      <c r="E23" s="630">
        <v>63296.476190476191</v>
      </c>
      <c r="F23" s="631">
        <v>2231200.7857142854</v>
      </c>
      <c r="G23" s="630">
        <v>364308.90819897782</v>
      </c>
      <c r="H23" s="639">
        <v>364308.90819897782</v>
      </c>
      <c r="I23" s="511">
        <v>0</v>
      </c>
      <c r="J23" s="511"/>
      <c r="K23" s="518">
        <f t="shared" si="0"/>
        <v>364308.90819897782</v>
      </c>
      <c r="L23" s="519">
        <f t="shared" si="1"/>
        <v>0</v>
      </c>
      <c r="M23" s="518">
        <f t="shared" si="2"/>
        <v>364308.90819897782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5"/>
        <v/>
      </c>
      <c r="C24" s="507">
        <f>IF(D11="","-",+C23+1)</f>
        <v>2014</v>
      </c>
      <c r="D24" s="631">
        <v>2231200.7857142854</v>
      </c>
      <c r="E24" s="630">
        <v>63296.476190476191</v>
      </c>
      <c r="F24" s="631">
        <v>2167904.3095238092</v>
      </c>
      <c r="G24" s="630">
        <v>355769.54842568695</v>
      </c>
      <c r="H24" s="639">
        <v>355769.54842568695</v>
      </c>
      <c r="I24" s="511">
        <v>0</v>
      </c>
      <c r="J24" s="511"/>
      <c r="K24" s="518">
        <f t="shared" si="0"/>
        <v>355769.54842568695</v>
      </c>
      <c r="L24" s="519">
        <f t="shared" si="1"/>
        <v>0</v>
      </c>
      <c r="M24" s="518">
        <f t="shared" si="2"/>
        <v>355769.54842568695</v>
      </c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5"/>
        <v/>
      </c>
      <c r="C25" s="507">
        <f>IF(D11="","-",+C24+1)</f>
        <v>2015</v>
      </c>
      <c r="D25" s="631">
        <v>2167904.3095238092</v>
      </c>
      <c r="E25" s="630">
        <v>63296.476190476191</v>
      </c>
      <c r="F25" s="631">
        <v>2104607.833333333</v>
      </c>
      <c r="G25" s="630">
        <v>340483.43201030308</v>
      </c>
      <c r="H25" s="639">
        <v>340483.43201030308</v>
      </c>
      <c r="I25" s="511">
        <v>0</v>
      </c>
      <c r="J25" s="511"/>
      <c r="K25" s="518">
        <f t="shared" ref="K25:K30" si="6">G25</f>
        <v>340483.43201030308</v>
      </c>
      <c r="L25" s="519">
        <f t="shared" ref="L25:L30" si="7">IF(K25&lt;&gt;0,+G25-K25,0)</f>
        <v>0</v>
      </c>
      <c r="M25" s="518">
        <f t="shared" ref="M25:M30" si="8">H25</f>
        <v>340483.43201030308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2016</v>
      </c>
      <c r="D26" s="631">
        <v>2104607.833333333</v>
      </c>
      <c r="E26" s="630">
        <v>63296.476190476191</v>
      </c>
      <c r="F26" s="631">
        <v>2041311.3571428568</v>
      </c>
      <c r="G26" s="630">
        <v>328830.20653345349</v>
      </c>
      <c r="H26" s="639">
        <v>328830.20653345349</v>
      </c>
      <c r="I26" s="511">
        <f>H26-G26</f>
        <v>0</v>
      </c>
      <c r="J26" s="511"/>
      <c r="K26" s="518">
        <f t="shared" si="6"/>
        <v>328830.20653345349</v>
      </c>
      <c r="L26" s="519">
        <f t="shared" si="7"/>
        <v>0</v>
      </c>
      <c r="M26" s="518">
        <f t="shared" si="8"/>
        <v>328830.20653345349</v>
      </c>
      <c r="N26" s="514">
        <f>IF(M26&lt;&gt;0,+H26-M26,0)</f>
        <v>0</v>
      </c>
      <c r="O26" s="514">
        <f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2017</v>
      </c>
      <c r="D27" s="631">
        <v>2041311.3571428568</v>
      </c>
      <c r="E27" s="630">
        <v>61824.465116279069</v>
      </c>
      <c r="F27" s="631">
        <v>1979486.8920265778</v>
      </c>
      <c r="G27" s="630">
        <v>310897.9062413022</v>
      </c>
      <c r="H27" s="639">
        <v>310897.9062413022</v>
      </c>
      <c r="I27" s="511">
        <f t="shared" ref="I27:I72" si="9">H27-G27</f>
        <v>0</v>
      </c>
      <c r="J27" s="511"/>
      <c r="K27" s="518">
        <f t="shared" si="6"/>
        <v>310897.9062413022</v>
      </c>
      <c r="L27" s="519">
        <f t="shared" si="7"/>
        <v>0</v>
      </c>
      <c r="M27" s="518">
        <f t="shared" si="8"/>
        <v>310897.9062413022</v>
      </c>
      <c r="N27" s="514">
        <f>IF(M27&lt;&gt;0,+H27-M27,0)</f>
        <v>0</v>
      </c>
      <c r="O27" s="514">
        <f>+N27-L27</f>
        <v>0</v>
      </c>
      <c r="P27" s="272"/>
    </row>
    <row r="28" spans="2:16" ht="12.5">
      <c r="B28" s="195" t="str">
        <f t="shared" si="5"/>
        <v/>
      </c>
      <c r="C28" s="507">
        <f>IF(D11="","-",+C27+1)</f>
        <v>2018</v>
      </c>
      <c r="D28" s="631">
        <v>1979486.8920265778</v>
      </c>
      <c r="E28" s="630">
        <v>64840.292682926833</v>
      </c>
      <c r="F28" s="631">
        <v>1914646.599343651</v>
      </c>
      <c r="G28" s="630">
        <v>312300.98627895484</v>
      </c>
      <c r="H28" s="639">
        <v>312300.98627895484</v>
      </c>
      <c r="I28" s="511">
        <f t="shared" si="9"/>
        <v>0</v>
      </c>
      <c r="J28" s="511"/>
      <c r="K28" s="518">
        <f t="shared" si="6"/>
        <v>312300.98627895484</v>
      </c>
      <c r="L28" s="519">
        <f t="shared" si="7"/>
        <v>0</v>
      </c>
      <c r="M28" s="518">
        <f t="shared" si="8"/>
        <v>312300.98627895484</v>
      </c>
      <c r="N28" s="514">
        <f>IF(M28&lt;&gt;0,+H28-M28,0)</f>
        <v>0</v>
      </c>
      <c r="O28" s="514">
        <f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2019</v>
      </c>
      <c r="D29" s="631">
        <v>1914646.599343651</v>
      </c>
      <c r="E29" s="630">
        <v>64840.292682926833</v>
      </c>
      <c r="F29" s="631">
        <v>1849806.3066607241</v>
      </c>
      <c r="G29" s="630">
        <v>304060.16770617355</v>
      </c>
      <c r="H29" s="639">
        <v>304060.16770617355</v>
      </c>
      <c r="I29" s="511">
        <f t="shared" si="9"/>
        <v>0</v>
      </c>
      <c r="J29" s="511"/>
      <c r="K29" s="518">
        <f t="shared" si="6"/>
        <v>304060.16770617355</v>
      </c>
      <c r="L29" s="519">
        <f t="shared" si="7"/>
        <v>0</v>
      </c>
      <c r="M29" s="518">
        <f t="shared" si="8"/>
        <v>304060.16770617355</v>
      </c>
      <c r="N29" s="514">
        <f t="shared" ref="N29:N72" si="10">IF(M29&lt;&gt;0,+H29-M29,0)</f>
        <v>0</v>
      </c>
      <c r="O29" s="514">
        <f t="shared" ref="O29:O72" si="11">+N29-L29</f>
        <v>0</v>
      </c>
      <c r="P29" s="272"/>
    </row>
    <row r="30" spans="2:16" ht="12.5">
      <c r="B30" s="195" t="str">
        <f t="shared" si="5"/>
        <v/>
      </c>
      <c r="C30" s="507">
        <f>IF(D11="","-",+C29+1)</f>
        <v>2020</v>
      </c>
      <c r="D30" s="631">
        <v>1849806.3066607241</v>
      </c>
      <c r="E30" s="630">
        <v>64840.292682926833</v>
      </c>
      <c r="F30" s="631">
        <v>1784966.0139777972</v>
      </c>
      <c r="G30" s="630">
        <v>250823.33283113065</v>
      </c>
      <c r="H30" s="639">
        <v>250823.33283113065</v>
      </c>
      <c r="I30" s="511">
        <f t="shared" si="9"/>
        <v>0</v>
      </c>
      <c r="J30" s="511"/>
      <c r="K30" s="518">
        <f t="shared" si="6"/>
        <v>250823.33283113065</v>
      </c>
      <c r="L30" s="519">
        <f t="shared" si="7"/>
        <v>0</v>
      </c>
      <c r="M30" s="518">
        <f t="shared" si="8"/>
        <v>250823.33283113065</v>
      </c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>IU</v>
      </c>
      <c r="C31" s="507">
        <f>IF(D11="","-",+C30+1)</f>
        <v>2021</v>
      </c>
      <c r="D31" s="631">
        <v>1787981.8415444451</v>
      </c>
      <c r="E31" s="630">
        <v>63296.476190476191</v>
      </c>
      <c r="F31" s="631">
        <v>1724685.3653539689</v>
      </c>
      <c r="G31" s="630">
        <v>249475.8207671784</v>
      </c>
      <c r="H31" s="639">
        <v>249475.8207671784</v>
      </c>
      <c r="I31" s="511">
        <f t="shared" si="9"/>
        <v>0</v>
      </c>
      <c r="J31" s="511"/>
      <c r="K31" s="518">
        <f t="shared" ref="K31" si="12">G31</f>
        <v>249475.8207671784</v>
      </c>
      <c r="L31" s="519">
        <f t="shared" ref="L31" si="13">IF(K31&lt;&gt;0,+G31-K31,0)</f>
        <v>0</v>
      </c>
      <c r="M31" s="518">
        <f t="shared" ref="M31" si="14">H31</f>
        <v>249475.8207671784</v>
      </c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>IU</v>
      </c>
      <c r="C32" s="507">
        <f>IF(D11="","-",+C31+1)</f>
        <v>2022</v>
      </c>
      <c r="D32" s="631">
        <v>1721669.537787321</v>
      </c>
      <c r="E32" s="630">
        <v>63296.476190476191</v>
      </c>
      <c r="F32" s="631">
        <v>1658373.0615968448</v>
      </c>
      <c r="G32" s="630">
        <v>253329.39494750532</v>
      </c>
      <c r="H32" s="639">
        <v>253329.39494750532</v>
      </c>
      <c r="I32" s="511">
        <f t="shared" si="9"/>
        <v>0</v>
      </c>
      <c r="J32" s="511"/>
      <c r="K32" s="518">
        <f t="shared" ref="K32" si="15">G32</f>
        <v>253329.39494750532</v>
      </c>
      <c r="L32" s="519">
        <f t="shared" ref="L32" si="16">IF(K32&lt;&gt;0,+G32-K32,0)</f>
        <v>0</v>
      </c>
      <c r="M32" s="518">
        <f t="shared" ref="M32" si="17">H32</f>
        <v>253329.39494750532</v>
      </c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2023</v>
      </c>
      <c r="D33" s="523">
        <f>IF(F32+SUM(E$17:E32)=D$10,F32,D$10-SUM(E$17:E32))</f>
        <v>1658373.0615968448</v>
      </c>
      <c r="E33" s="522">
        <f>IF(+I14&lt;F32,I14,D33)</f>
        <v>63296.476190476191</v>
      </c>
      <c r="F33" s="523">
        <f t="shared" ref="F33:F72" si="18">+D33-E33</f>
        <v>1595076.5854063686</v>
      </c>
      <c r="G33" s="524">
        <f t="shared" ref="G33:G72" si="19">+I$12*((D33+F33)/2)+E33</f>
        <v>268795.39807015983</v>
      </c>
      <c r="H33" s="491">
        <f t="shared" ref="H33:H72" si="20">+I$13*((D33+F33)/2)+E33</f>
        <v>268795.39807015983</v>
      </c>
      <c r="I33" s="511">
        <f t="shared" si="9"/>
        <v>0</v>
      </c>
      <c r="J33" s="511"/>
      <c r="K33" s="525"/>
      <c r="L33" s="514">
        <f t="shared" ref="L33:L72" si="21">IF(K33&lt;&gt;0,+G33-K33,0)</f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2024</v>
      </c>
      <c r="D34" s="523">
        <f>IF(F33+SUM(E$17:E33)=D$10,F33,D$10-SUM(E$17:E33))</f>
        <v>1595076.5854063686</v>
      </c>
      <c r="E34" s="522">
        <f>IF(+I14&lt;F33,I14,D34)</f>
        <v>63296.476190476191</v>
      </c>
      <c r="F34" s="523">
        <f t="shared" si="18"/>
        <v>1531780.1092158924</v>
      </c>
      <c r="G34" s="524">
        <f t="shared" si="19"/>
        <v>260799.35754258803</v>
      </c>
      <c r="H34" s="491">
        <f t="shared" si="20"/>
        <v>260799.35754258803</v>
      </c>
      <c r="I34" s="511">
        <f t="shared" si="9"/>
        <v>0</v>
      </c>
      <c r="J34" s="511"/>
      <c r="K34" s="525"/>
      <c r="L34" s="514">
        <f t="shared" si="21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2025</v>
      </c>
      <c r="D35" s="523">
        <f>IF(F34+SUM(E$17:E34)=D$10,F34,D$10-SUM(E$17:E34))</f>
        <v>1531780.1092158924</v>
      </c>
      <c r="E35" s="522">
        <f>IF(+I14&lt;F34,I14,D35)</f>
        <v>63296.476190476191</v>
      </c>
      <c r="F35" s="523">
        <f t="shared" si="18"/>
        <v>1468483.6330254162</v>
      </c>
      <c r="G35" s="524">
        <f t="shared" si="19"/>
        <v>252803.31701501625</v>
      </c>
      <c r="H35" s="491">
        <f t="shared" si="20"/>
        <v>252803.31701501625</v>
      </c>
      <c r="I35" s="511">
        <f t="shared" si="9"/>
        <v>0</v>
      </c>
      <c r="J35" s="511"/>
      <c r="K35" s="525"/>
      <c r="L35" s="514">
        <f t="shared" si="21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2026</v>
      </c>
      <c r="D36" s="523">
        <f>IF(F35+SUM(E$17:E35)=D$10,F35,D$10-SUM(E$17:E35))</f>
        <v>1468483.6330254162</v>
      </c>
      <c r="E36" s="522">
        <f>IF(+I14&lt;F35,I14,D36)</f>
        <v>63296.476190476191</v>
      </c>
      <c r="F36" s="523">
        <f t="shared" si="18"/>
        <v>1405187.15683494</v>
      </c>
      <c r="G36" s="524">
        <f t="shared" si="19"/>
        <v>244807.27648744444</v>
      </c>
      <c r="H36" s="491">
        <f t="shared" si="20"/>
        <v>244807.27648744444</v>
      </c>
      <c r="I36" s="511">
        <f t="shared" si="9"/>
        <v>0</v>
      </c>
      <c r="J36" s="511"/>
      <c r="K36" s="525"/>
      <c r="L36" s="514">
        <f t="shared" si="21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2027</v>
      </c>
      <c r="D37" s="523">
        <f>IF(F36+SUM(E$17:E36)=D$10,F36,D$10-SUM(E$17:E36))</f>
        <v>1405187.15683494</v>
      </c>
      <c r="E37" s="522">
        <f>IF(+I14&lt;F36,I14,D37)</f>
        <v>63296.476190476191</v>
      </c>
      <c r="F37" s="523">
        <f t="shared" si="18"/>
        <v>1341890.6806444637</v>
      </c>
      <c r="G37" s="524">
        <f t="shared" si="19"/>
        <v>236811.23595987263</v>
      </c>
      <c r="H37" s="491">
        <f t="shared" si="20"/>
        <v>236811.23595987263</v>
      </c>
      <c r="I37" s="511">
        <f t="shared" si="9"/>
        <v>0</v>
      </c>
      <c r="J37" s="511"/>
      <c r="K37" s="525"/>
      <c r="L37" s="514">
        <f t="shared" si="21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2028</v>
      </c>
      <c r="D38" s="523">
        <f>IF(F37+SUM(E$17:E37)=D$10,F37,D$10-SUM(E$17:E37))</f>
        <v>1341890.6806444637</v>
      </c>
      <c r="E38" s="522">
        <f>IF(+I14&lt;F37,I14,D38)</f>
        <v>63296.476190476191</v>
      </c>
      <c r="F38" s="523">
        <f t="shared" si="18"/>
        <v>1278594.2044539875</v>
      </c>
      <c r="G38" s="524">
        <f t="shared" si="19"/>
        <v>228815.19543230085</v>
      </c>
      <c r="H38" s="491">
        <f t="shared" si="20"/>
        <v>228815.19543230085</v>
      </c>
      <c r="I38" s="511">
        <f t="shared" si="9"/>
        <v>0</v>
      </c>
      <c r="J38" s="511"/>
      <c r="K38" s="525"/>
      <c r="L38" s="514">
        <f t="shared" si="21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2029</v>
      </c>
      <c r="D39" s="523">
        <f>IF(F38+SUM(E$17:E38)=D$10,F38,D$10-SUM(E$17:E38))</f>
        <v>1278594.2044539875</v>
      </c>
      <c r="E39" s="522">
        <f>IF(+I14&lt;F38,I14,D39)</f>
        <v>63296.476190476191</v>
      </c>
      <c r="F39" s="523">
        <f t="shared" si="18"/>
        <v>1215297.7282635113</v>
      </c>
      <c r="G39" s="524">
        <f t="shared" si="19"/>
        <v>220819.15490472905</v>
      </c>
      <c r="H39" s="491">
        <f t="shared" si="20"/>
        <v>220819.15490472905</v>
      </c>
      <c r="I39" s="511">
        <f t="shared" si="9"/>
        <v>0</v>
      </c>
      <c r="J39" s="511"/>
      <c r="K39" s="525"/>
      <c r="L39" s="514">
        <f t="shared" si="21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2030</v>
      </c>
      <c r="D40" s="523">
        <f>IF(F39+SUM(E$17:E39)=D$10,F39,D$10-SUM(E$17:E39))</f>
        <v>1215297.7282635113</v>
      </c>
      <c r="E40" s="522">
        <f>IF(+I14&lt;F39,I14,D40)</f>
        <v>63296.476190476191</v>
      </c>
      <c r="F40" s="523">
        <f t="shared" si="18"/>
        <v>1152001.2520730351</v>
      </c>
      <c r="G40" s="524">
        <f t="shared" si="19"/>
        <v>212823.11437715724</v>
      </c>
      <c r="H40" s="491">
        <f t="shared" si="20"/>
        <v>212823.11437715724</v>
      </c>
      <c r="I40" s="511">
        <f t="shared" si="9"/>
        <v>0</v>
      </c>
      <c r="J40" s="511"/>
      <c r="K40" s="525"/>
      <c r="L40" s="514">
        <f t="shared" si="21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2031</v>
      </c>
      <c r="D41" s="523">
        <f>IF(F40+SUM(E$17:E40)=D$10,F40,D$10-SUM(E$17:E40))</f>
        <v>1152001.2520730351</v>
      </c>
      <c r="E41" s="522">
        <f>IF(+I14&lt;F40,I14,D41)</f>
        <v>63296.476190476191</v>
      </c>
      <c r="F41" s="523">
        <f t="shared" si="18"/>
        <v>1088704.7758825589</v>
      </c>
      <c r="G41" s="524">
        <f t="shared" si="19"/>
        <v>204827.07384958546</v>
      </c>
      <c r="H41" s="491">
        <f t="shared" si="20"/>
        <v>204827.07384958546</v>
      </c>
      <c r="I41" s="511">
        <f t="shared" si="9"/>
        <v>0</v>
      </c>
      <c r="J41" s="511"/>
      <c r="K41" s="525"/>
      <c r="L41" s="514">
        <f t="shared" si="21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2032</v>
      </c>
      <c r="D42" s="523">
        <f>IF(F41+SUM(E$17:E41)=D$10,F41,D$10-SUM(E$17:E41))</f>
        <v>1088704.7758825589</v>
      </c>
      <c r="E42" s="522">
        <f>IF(+I14&lt;F41,I14,D42)</f>
        <v>63296.476190476191</v>
      </c>
      <c r="F42" s="523">
        <f t="shared" si="18"/>
        <v>1025408.2996920827</v>
      </c>
      <c r="G42" s="524">
        <f t="shared" si="19"/>
        <v>196831.03332201365</v>
      </c>
      <c r="H42" s="491">
        <f t="shared" si="20"/>
        <v>196831.03332201365</v>
      </c>
      <c r="I42" s="511">
        <f t="shared" si="9"/>
        <v>0</v>
      </c>
      <c r="J42" s="511"/>
      <c r="K42" s="525"/>
      <c r="L42" s="514">
        <f t="shared" si="21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2033</v>
      </c>
      <c r="D43" s="523">
        <f>IF(F42+SUM(E$17:E42)=D$10,F42,D$10-SUM(E$17:E42))</f>
        <v>1025408.2996920827</v>
      </c>
      <c r="E43" s="522">
        <f>IF(+I14&lt;F42,I14,D43)</f>
        <v>63296.476190476191</v>
      </c>
      <c r="F43" s="523">
        <f t="shared" si="18"/>
        <v>962111.82350160647</v>
      </c>
      <c r="G43" s="524">
        <f t="shared" si="19"/>
        <v>188834.99279444185</v>
      </c>
      <c r="H43" s="491">
        <f t="shared" si="20"/>
        <v>188834.99279444185</v>
      </c>
      <c r="I43" s="511">
        <f t="shared" si="9"/>
        <v>0</v>
      </c>
      <c r="J43" s="511"/>
      <c r="K43" s="525"/>
      <c r="L43" s="514">
        <f t="shared" si="21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2034</v>
      </c>
      <c r="D44" s="523">
        <f>IF(F43+SUM(E$17:E43)=D$10,F43,D$10-SUM(E$17:E43))</f>
        <v>962111.82350160647</v>
      </c>
      <c r="E44" s="522">
        <f>IF(+I14&lt;F43,I14,D44)</f>
        <v>63296.476190476191</v>
      </c>
      <c r="F44" s="523">
        <f t="shared" si="18"/>
        <v>898815.34731113026</v>
      </c>
      <c r="G44" s="524">
        <f t="shared" si="19"/>
        <v>180838.95226687007</v>
      </c>
      <c r="H44" s="491">
        <f t="shared" si="20"/>
        <v>180838.95226687007</v>
      </c>
      <c r="I44" s="511">
        <f t="shared" si="9"/>
        <v>0</v>
      </c>
      <c r="J44" s="511"/>
      <c r="K44" s="525"/>
      <c r="L44" s="514">
        <f t="shared" si="21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2035</v>
      </c>
      <c r="D45" s="523">
        <f>IF(F44+SUM(E$17:E44)=D$10,F44,D$10-SUM(E$17:E44))</f>
        <v>898815.34731113026</v>
      </c>
      <c r="E45" s="522">
        <f>IF(+I14&lt;F44,I14,D45)</f>
        <v>63296.476190476191</v>
      </c>
      <c r="F45" s="523">
        <f t="shared" si="18"/>
        <v>835518.87112065405</v>
      </c>
      <c r="G45" s="524">
        <f t="shared" si="19"/>
        <v>172842.91173929826</v>
      </c>
      <c r="H45" s="491">
        <f t="shared" si="20"/>
        <v>172842.91173929826</v>
      </c>
      <c r="I45" s="511">
        <f t="shared" si="9"/>
        <v>0</v>
      </c>
      <c r="J45" s="511"/>
      <c r="K45" s="525"/>
      <c r="L45" s="514">
        <f t="shared" si="21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2036</v>
      </c>
      <c r="D46" s="523">
        <f>IF(F45+SUM(E$17:E45)=D$10,F45,D$10-SUM(E$17:E45))</f>
        <v>835518.87112065405</v>
      </c>
      <c r="E46" s="522">
        <f>IF(+I14&lt;F45,I14,D46)</f>
        <v>63296.476190476191</v>
      </c>
      <c r="F46" s="523">
        <f t="shared" si="18"/>
        <v>772222.39493017783</v>
      </c>
      <c r="G46" s="524">
        <f t="shared" si="19"/>
        <v>164846.87121172645</v>
      </c>
      <c r="H46" s="491">
        <f t="shared" si="20"/>
        <v>164846.87121172645</v>
      </c>
      <c r="I46" s="511">
        <f t="shared" si="9"/>
        <v>0</v>
      </c>
      <c r="J46" s="511"/>
      <c r="K46" s="525"/>
      <c r="L46" s="514">
        <f t="shared" si="21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2037</v>
      </c>
      <c r="D47" s="523">
        <f>IF(F46+SUM(E$17:E46)=D$10,F46,D$10-SUM(E$17:E46))</f>
        <v>772222.39493017783</v>
      </c>
      <c r="E47" s="522">
        <f>IF(+I14&lt;F46,I14,D47)</f>
        <v>63296.476190476191</v>
      </c>
      <c r="F47" s="523">
        <f t="shared" si="18"/>
        <v>708925.91873970162</v>
      </c>
      <c r="G47" s="524">
        <f t="shared" si="19"/>
        <v>156850.83068415467</v>
      </c>
      <c r="H47" s="491">
        <f t="shared" si="20"/>
        <v>156850.83068415467</v>
      </c>
      <c r="I47" s="511">
        <f t="shared" si="9"/>
        <v>0</v>
      </c>
      <c r="J47" s="511"/>
      <c r="K47" s="525"/>
      <c r="L47" s="514">
        <f t="shared" si="21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2038</v>
      </c>
      <c r="D48" s="523">
        <f>IF(F47+SUM(E$17:E47)=D$10,F47,D$10-SUM(E$17:E47))</f>
        <v>708925.91873970162</v>
      </c>
      <c r="E48" s="522">
        <f>IF(+I14&lt;F47,I14,D48)</f>
        <v>63296.476190476191</v>
      </c>
      <c r="F48" s="523">
        <f t="shared" si="18"/>
        <v>645629.44254922541</v>
      </c>
      <c r="G48" s="524">
        <f t="shared" si="19"/>
        <v>148854.79015658287</v>
      </c>
      <c r="H48" s="491">
        <f t="shared" si="20"/>
        <v>148854.79015658287</v>
      </c>
      <c r="I48" s="511">
        <f t="shared" si="9"/>
        <v>0</v>
      </c>
      <c r="J48" s="511"/>
      <c r="K48" s="525"/>
      <c r="L48" s="514">
        <f t="shared" si="21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2039</v>
      </c>
      <c r="D49" s="523">
        <f>IF(F48+SUM(E$17:E48)=D$10,F48,D$10-SUM(E$17:E48))</f>
        <v>645629.44254922541</v>
      </c>
      <c r="E49" s="522">
        <f>IF(+I14&lt;F48,I14,D49)</f>
        <v>63296.476190476191</v>
      </c>
      <c r="F49" s="523">
        <f t="shared" si="18"/>
        <v>582332.9663587492</v>
      </c>
      <c r="G49" s="524">
        <f t="shared" si="19"/>
        <v>140858.74962901106</v>
      </c>
      <c r="H49" s="491">
        <f t="shared" si="20"/>
        <v>140858.74962901106</v>
      </c>
      <c r="I49" s="511">
        <f t="shared" si="9"/>
        <v>0</v>
      </c>
      <c r="J49" s="511"/>
      <c r="K49" s="525"/>
      <c r="L49" s="514">
        <f t="shared" si="21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2040</v>
      </c>
      <c r="D50" s="523">
        <f>IF(F49+SUM(E$17:E49)=D$10,F49,D$10-SUM(E$17:E49))</f>
        <v>582332.9663587492</v>
      </c>
      <c r="E50" s="522">
        <f>IF(+I14&lt;F49,I14,D50)</f>
        <v>63296.476190476191</v>
      </c>
      <c r="F50" s="523">
        <f t="shared" si="18"/>
        <v>519036.49016827298</v>
      </c>
      <c r="G50" s="524">
        <f t="shared" si="19"/>
        <v>132862.70910143928</v>
      </c>
      <c r="H50" s="491">
        <f t="shared" si="20"/>
        <v>132862.70910143928</v>
      </c>
      <c r="I50" s="511">
        <f t="shared" si="9"/>
        <v>0</v>
      </c>
      <c r="J50" s="511"/>
      <c r="K50" s="525"/>
      <c r="L50" s="514">
        <f t="shared" si="21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2041</v>
      </c>
      <c r="D51" s="523">
        <f>IF(F50+SUM(E$17:E50)=D$10,F50,D$10-SUM(E$17:E50))</f>
        <v>519036.49016827298</v>
      </c>
      <c r="E51" s="522">
        <f>IF(+I14&lt;F50,I14,D51)</f>
        <v>63296.476190476191</v>
      </c>
      <c r="F51" s="523">
        <f t="shared" si="18"/>
        <v>455740.01397779677</v>
      </c>
      <c r="G51" s="524">
        <f t="shared" si="19"/>
        <v>124866.66857386747</v>
      </c>
      <c r="H51" s="491">
        <f t="shared" si="20"/>
        <v>124866.66857386747</v>
      </c>
      <c r="I51" s="511">
        <f t="shared" si="9"/>
        <v>0</v>
      </c>
      <c r="J51" s="511"/>
      <c r="K51" s="525"/>
      <c r="L51" s="514">
        <f t="shared" si="21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2042</v>
      </c>
      <c r="D52" s="523">
        <f>IF(F51+SUM(E$17:E51)=D$10,F51,D$10-SUM(E$17:E51))</f>
        <v>455740.01397779677</v>
      </c>
      <c r="E52" s="522">
        <f>IF(+I14&lt;F51,I14,D52)</f>
        <v>63296.476190476191</v>
      </c>
      <c r="F52" s="523">
        <f t="shared" si="18"/>
        <v>392443.53778732056</v>
      </c>
      <c r="G52" s="524">
        <f t="shared" si="19"/>
        <v>116870.62804629568</v>
      </c>
      <c r="H52" s="491">
        <f t="shared" si="20"/>
        <v>116870.62804629568</v>
      </c>
      <c r="I52" s="511">
        <f t="shared" si="9"/>
        <v>0</v>
      </c>
      <c r="J52" s="511"/>
      <c r="K52" s="525"/>
      <c r="L52" s="514">
        <f t="shared" si="21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2043</v>
      </c>
      <c r="D53" s="523">
        <f>IF(F52+SUM(E$17:E52)=D$10,F52,D$10-SUM(E$17:E52))</f>
        <v>392443.53778732056</v>
      </c>
      <c r="E53" s="522">
        <f>IF(+I14&lt;F52,I14,D53)</f>
        <v>63296.476190476191</v>
      </c>
      <c r="F53" s="523">
        <f t="shared" si="18"/>
        <v>329147.06159684435</v>
      </c>
      <c r="G53" s="524">
        <f t="shared" si="19"/>
        <v>108874.58751872389</v>
      </c>
      <c r="H53" s="491">
        <f t="shared" si="20"/>
        <v>108874.58751872389</v>
      </c>
      <c r="I53" s="511">
        <f t="shared" si="9"/>
        <v>0</v>
      </c>
      <c r="J53" s="511"/>
      <c r="K53" s="525"/>
      <c r="L53" s="514">
        <f t="shared" si="21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2044</v>
      </c>
      <c r="D54" s="523">
        <f>IF(F53+SUM(E$17:E53)=D$10,F53,D$10-SUM(E$17:E53))</f>
        <v>329147.06159684435</v>
      </c>
      <c r="E54" s="522">
        <f>IF(+I14&lt;F53,I14,D54)</f>
        <v>63296.476190476191</v>
      </c>
      <c r="F54" s="523">
        <f t="shared" si="18"/>
        <v>265850.58540636813</v>
      </c>
      <c r="G54" s="524">
        <f t="shared" si="19"/>
        <v>100878.54699115208</v>
      </c>
      <c r="H54" s="491">
        <f t="shared" si="20"/>
        <v>100878.54699115208</v>
      </c>
      <c r="I54" s="511">
        <f t="shared" si="9"/>
        <v>0</v>
      </c>
      <c r="J54" s="511"/>
      <c r="K54" s="525"/>
      <c r="L54" s="514">
        <f t="shared" si="21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2045</v>
      </c>
      <c r="D55" s="523">
        <f>IF(F54+SUM(E$17:E54)=D$10,F54,D$10-SUM(E$17:E54))</f>
        <v>265850.58540636813</v>
      </c>
      <c r="E55" s="522">
        <f>IF(+I14&lt;F54,I14,D55)</f>
        <v>63296.476190476191</v>
      </c>
      <c r="F55" s="523">
        <f t="shared" si="18"/>
        <v>202554.10921589195</v>
      </c>
      <c r="G55" s="524">
        <f t="shared" si="19"/>
        <v>92882.506463580285</v>
      </c>
      <c r="H55" s="491">
        <f t="shared" si="20"/>
        <v>92882.506463580285</v>
      </c>
      <c r="I55" s="511">
        <f t="shared" si="9"/>
        <v>0</v>
      </c>
      <c r="J55" s="511"/>
      <c r="K55" s="525"/>
      <c r="L55" s="514">
        <f t="shared" si="21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2046</v>
      </c>
      <c r="D56" s="523">
        <f>IF(F55+SUM(E$17:E55)=D$10,F55,D$10-SUM(E$17:E55))</f>
        <v>202554.10921589195</v>
      </c>
      <c r="E56" s="522">
        <f>IF(+I14&lt;F55,I14,D56)</f>
        <v>63296.476190476191</v>
      </c>
      <c r="F56" s="523">
        <f t="shared" si="18"/>
        <v>139257.63302541577</v>
      </c>
      <c r="G56" s="524">
        <f t="shared" si="19"/>
        <v>84886.465936008492</v>
      </c>
      <c r="H56" s="491">
        <f t="shared" si="20"/>
        <v>84886.465936008492</v>
      </c>
      <c r="I56" s="511">
        <f t="shared" si="9"/>
        <v>0</v>
      </c>
      <c r="J56" s="511"/>
      <c r="K56" s="525"/>
      <c r="L56" s="514">
        <f t="shared" si="21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2047</v>
      </c>
      <c r="D57" s="523">
        <f>IF(F56+SUM(E$17:E56)=D$10,F56,D$10-SUM(E$17:E56))</f>
        <v>139257.63302541577</v>
      </c>
      <c r="E57" s="522">
        <f>IF(+I14&lt;F56,I14,D57)</f>
        <v>63296.476190476191</v>
      </c>
      <c r="F57" s="523">
        <f t="shared" si="18"/>
        <v>75961.156834939582</v>
      </c>
      <c r="G57" s="524">
        <f t="shared" si="19"/>
        <v>76890.425408436698</v>
      </c>
      <c r="H57" s="491">
        <f t="shared" si="20"/>
        <v>76890.425408436698</v>
      </c>
      <c r="I57" s="511">
        <f t="shared" si="9"/>
        <v>0</v>
      </c>
      <c r="J57" s="511"/>
      <c r="K57" s="525"/>
      <c r="L57" s="514">
        <f t="shared" si="21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2048</v>
      </c>
      <c r="D58" s="523">
        <f>IF(F57+SUM(E$17:E57)=D$10,F57,D$10-SUM(E$17:E57))</f>
        <v>75961.156834939582</v>
      </c>
      <c r="E58" s="522">
        <f>IF(+I14&lt;F57,I14,D58)</f>
        <v>63296.476190476191</v>
      </c>
      <c r="F58" s="523">
        <f t="shared" si="18"/>
        <v>12664.680644463391</v>
      </c>
      <c r="G58" s="524">
        <f t="shared" si="19"/>
        <v>68894.384880864905</v>
      </c>
      <c r="H58" s="491">
        <f t="shared" si="20"/>
        <v>68894.384880864905</v>
      </c>
      <c r="I58" s="511">
        <f t="shared" si="9"/>
        <v>0</v>
      </c>
      <c r="J58" s="511"/>
      <c r="K58" s="525"/>
      <c r="L58" s="514">
        <f t="shared" si="21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2049</v>
      </c>
      <c r="D59" s="523">
        <f>IF(F58+SUM(E$17:E58)=D$10,F58,D$10-SUM(E$17:E58))</f>
        <v>12664.680644463391</v>
      </c>
      <c r="E59" s="522">
        <f>IF(+I14&lt;F58,I14,D59)</f>
        <v>12664.680644463391</v>
      </c>
      <c r="F59" s="523">
        <f t="shared" si="18"/>
        <v>0</v>
      </c>
      <c r="G59" s="524">
        <f t="shared" si="19"/>
        <v>13464.624857764798</v>
      </c>
      <c r="H59" s="491">
        <f t="shared" si="20"/>
        <v>13464.624857764798</v>
      </c>
      <c r="I59" s="511">
        <f t="shared" si="9"/>
        <v>0</v>
      </c>
      <c r="J59" s="511"/>
      <c r="K59" s="525"/>
      <c r="L59" s="514">
        <f t="shared" si="21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8"/>
        <v>0</v>
      </c>
      <c r="G60" s="524">
        <f t="shared" si="19"/>
        <v>0</v>
      </c>
      <c r="H60" s="491">
        <f t="shared" si="20"/>
        <v>0</v>
      </c>
      <c r="I60" s="511">
        <f t="shared" si="9"/>
        <v>0</v>
      </c>
      <c r="J60" s="511"/>
      <c r="K60" s="525"/>
      <c r="L60" s="514">
        <f t="shared" si="21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8"/>
        <v>0</v>
      </c>
      <c r="G61" s="524">
        <f t="shared" si="19"/>
        <v>0</v>
      </c>
      <c r="H61" s="491">
        <f t="shared" si="20"/>
        <v>0</v>
      </c>
      <c r="I61" s="511">
        <f t="shared" si="9"/>
        <v>0</v>
      </c>
      <c r="J61" s="511"/>
      <c r="K61" s="525"/>
      <c r="L61" s="514">
        <f t="shared" si="21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8"/>
        <v>0</v>
      </c>
      <c r="G62" s="524">
        <f t="shared" si="19"/>
        <v>0</v>
      </c>
      <c r="H62" s="491">
        <f t="shared" si="20"/>
        <v>0</v>
      </c>
      <c r="I62" s="511">
        <f t="shared" si="9"/>
        <v>0</v>
      </c>
      <c r="J62" s="511"/>
      <c r="K62" s="525"/>
      <c r="L62" s="514">
        <f t="shared" si="21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8"/>
        <v>0</v>
      </c>
      <c r="G63" s="524">
        <f t="shared" si="19"/>
        <v>0</v>
      </c>
      <c r="H63" s="491">
        <f t="shared" si="20"/>
        <v>0</v>
      </c>
      <c r="I63" s="511">
        <f t="shared" si="9"/>
        <v>0</v>
      </c>
      <c r="J63" s="511"/>
      <c r="K63" s="525"/>
      <c r="L63" s="514">
        <f t="shared" si="21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8"/>
        <v>0</v>
      </c>
      <c r="G64" s="524">
        <f t="shared" si="19"/>
        <v>0</v>
      </c>
      <c r="H64" s="491">
        <f t="shared" si="20"/>
        <v>0</v>
      </c>
      <c r="I64" s="511">
        <f t="shared" si="9"/>
        <v>0</v>
      </c>
      <c r="J64" s="511"/>
      <c r="K64" s="525"/>
      <c r="L64" s="514">
        <f t="shared" si="21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8"/>
        <v>0</v>
      </c>
      <c r="G65" s="524">
        <f t="shared" si="19"/>
        <v>0</v>
      </c>
      <c r="H65" s="491">
        <f t="shared" si="20"/>
        <v>0</v>
      </c>
      <c r="I65" s="511">
        <f t="shared" si="9"/>
        <v>0</v>
      </c>
      <c r="J65" s="511"/>
      <c r="K65" s="525"/>
      <c r="L65" s="514">
        <f t="shared" si="21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8"/>
        <v>0</v>
      </c>
      <c r="G66" s="524">
        <f t="shared" si="19"/>
        <v>0</v>
      </c>
      <c r="H66" s="491">
        <f t="shared" si="20"/>
        <v>0</v>
      </c>
      <c r="I66" s="511">
        <f t="shared" si="9"/>
        <v>0</v>
      </c>
      <c r="J66" s="511"/>
      <c r="K66" s="525"/>
      <c r="L66" s="514">
        <f t="shared" si="21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2057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8"/>
        <v>0</v>
      </c>
      <c r="G67" s="524">
        <f t="shared" si="19"/>
        <v>0</v>
      </c>
      <c r="H67" s="491">
        <f t="shared" si="20"/>
        <v>0</v>
      </c>
      <c r="I67" s="511">
        <f t="shared" si="9"/>
        <v>0</v>
      </c>
      <c r="J67" s="511"/>
      <c r="K67" s="525"/>
      <c r="L67" s="514">
        <f t="shared" si="21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2058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8"/>
        <v>0</v>
      </c>
      <c r="G68" s="524">
        <f t="shared" si="19"/>
        <v>0</v>
      </c>
      <c r="H68" s="491">
        <f t="shared" si="20"/>
        <v>0</v>
      </c>
      <c r="I68" s="511">
        <f t="shared" si="9"/>
        <v>0</v>
      </c>
      <c r="J68" s="511"/>
      <c r="K68" s="525"/>
      <c r="L68" s="514">
        <f t="shared" si="21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2059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8"/>
        <v>0</v>
      </c>
      <c r="G69" s="524">
        <f t="shared" si="19"/>
        <v>0</v>
      </c>
      <c r="H69" s="491">
        <f t="shared" si="20"/>
        <v>0</v>
      </c>
      <c r="I69" s="511">
        <f t="shared" si="9"/>
        <v>0</v>
      </c>
      <c r="J69" s="511"/>
      <c r="K69" s="525"/>
      <c r="L69" s="514">
        <f t="shared" si="21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8"/>
        <v>0</v>
      </c>
      <c r="G70" s="524">
        <f t="shared" si="19"/>
        <v>0</v>
      </c>
      <c r="H70" s="491">
        <f t="shared" si="20"/>
        <v>0</v>
      </c>
      <c r="I70" s="511">
        <f t="shared" si="9"/>
        <v>0</v>
      </c>
      <c r="J70" s="511"/>
      <c r="K70" s="525"/>
      <c r="L70" s="514">
        <f t="shared" si="21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8"/>
        <v>0</v>
      </c>
      <c r="G71" s="524">
        <f t="shared" si="19"/>
        <v>0</v>
      </c>
      <c r="H71" s="491">
        <f t="shared" si="20"/>
        <v>0</v>
      </c>
      <c r="I71" s="511">
        <f t="shared" si="9"/>
        <v>0</v>
      </c>
      <c r="J71" s="511"/>
      <c r="K71" s="525"/>
      <c r="L71" s="514">
        <f t="shared" si="21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8"/>
        <v>0</v>
      </c>
      <c r="G72" s="524">
        <f t="shared" si="19"/>
        <v>0</v>
      </c>
      <c r="H72" s="491">
        <f t="shared" si="20"/>
        <v>0</v>
      </c>
      <c r="I72" s="531">
        <f t="shared" si="9"/>
        <v>0</v>
      </c>
      <c r="J72" s="511"/>
      <c r="K72" s="532"/>
      <c r="L72" s="533">
        <f t="shared" si="21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2658451.9999999995</v>
      </c>
      <c r="F73" s="375"/>
      <c r="G73" s="375">
        <f>SUM(G17:G72)</f>
        <v>9823067.3925471082</v>
      </c>
      <c r="H73" s="375">
        <f>SUM(H17:H72)</f>
        <v>9823067.3925471082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45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249475.8207671784</v>
      </c>
      <c r="N87" s="546">
        <f>IF(J92&lt;D11,0,VLOOKUP(J92,C17:O72,11))</f>
        <v>249475.8207671784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321481.96510916646</v>
      </c>
      <c r="N88" s="550">
        <f>IF(J92&lt;D11,0,VLOOKUP(J92,C99:P154,7))</f>
        <v>321481.96510916646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TONTITOWN 161KV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72006.144341988052</v>
      </c>
      <c r="N89" s="555">
        <f>+N88-N87</f>
        <v>72006.144341988052</v>
      </c>
      <c r="O89" s="556">
        <f>+O88-O87</f>
        <v>0</v>
      </c>
      <c r="P89" s="269"/>
    </row>
    <row r="90" spans="1:16" ht="13.5" thickBot="1">
      <c r="C90" s="534"/>
      <c r="D90" s="646" t="str">
        <f>+S.044!D90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TP2005152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2658452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2007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3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64840.292682926833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2007</v>
      </c>
      <c r="D99" s="374"/>
      <c r="E99" s="524"/>
      <c r="F99" s="523"/>
      <c r="G99" s="603"/>
      <c r="H99" s="604"/>
      <c r="I99" s="605"/>
      <c r="J99" s="514">
        <f t="shared" ref="J99:J108" si="22">+I99-H99</f>
        <v>0</v>
      </c>
      <c r="K99" s="514"/>
      <c r="L99" s="512"/>
      <c r="M99" s="513">
        <f t="shared" ref="M99:M130" si="23">IF(L99&lt;&gt;0,+H99-L99,0)</f>
        <v>0</v>
      </c>
      <c r="N99" s="512"/>
      <c r="O99" s="513">
        <f t="shared" ref="O99:O130" si="24">IF(N99&lt;&gt;0,+I99-N99,0)</f>
        <v>0</v>
      </c>
      <c r="P99" s="513">
        <f t="shared" ref="P99:P130" si="25">+O99-M99</f>
        <v>0</v>
      </c>
    </row>
    <row r="100" spans="1:16" ht="12.5">
      <c r="B100" s="195" t="str">
        <f>IF(D100=F99,"","IU")</f>
        <v/>
      </c>
      <c r="C100" s="507">
        <f>IF(D93="","-",+C99+1)</f>
        <v>2008</v>
      </c>
      <c r="D100" s="374"/>
      <c r="E100" s="522"/>
      <c r="F100" s="523"/>
      <c r="G100" s="523"/>
      <c r="H100" s="526"/>
      <c r="I100" s="577"/>
      <c r="J100" s="514">
        <f t="shared" si="22"/>
        <v>0</v>
      </c>
      <c r="K100" s="514"/>
      <c r="L100" s="518"/>
      <c r="M100" s="514">
        <f t="shared" si="23"/>
        <v>0</v>
      </c>
      <c r="N100" s="518"/>
      <c r="O100" s="514">
        <f t="shared" si="24"/>
        <v>0</v>
      </c>
      <c r="P100" s="514">
        <f t="shared" si="25"/>
        <v>0</v>
      </c>
    </row>
    <row r="101" spans="1:16" ht="12.5">
      <c r="B101" s="195" t="str">
        <f t="shared" ref="B101:B154" si="26">IF(D101=F100,"","IU")</f>
        <v/>
      </c>
      <c r="C101" s="507">
        <f>IF(D93="","-",+C100+1)</f>
        <v>2009</v>
      </c>
      <c r="D101" s="374"/>
      <c r="E101" s="522"/>
      <c r="F101" s="523"/>
      <c r="G101" s="523"/>
      <c r="H101" s="526"/>
      <c r="I101" s="577"/>
      <c r="J101" s="514">
        <f t="shared" si="22"/>
        <v>0</v>
      </c>
      <c r="K101" s="514"/>
      <c r="L101" s="518"/>
      <c r="M101" s="514">
        <f t="shared" si="23"/>
        <v>0</v>
      </c>
      <c r="N101" s="518"/>
      <c r="O101" s="514">
        <f t="shared" si="24"/>
        <v>0</v>
      </c>
      <c r="P101" s="514">
        <f t="shared" si="25"/>
        <v>0</v>
      </c>
    </row>
    <row r="102" spans="1:16" ht="12.5">
      <c r="B102" s="195" t="str">
        <f t="shared" si="26"/>
        <v/>
      </c>
      <c r="C102" s="507">
        <f>IF(D93="","-",+C101+1)</f>
        <v>2010</v>
      </c>
      <c r="D102" s="374"/>
      <c r="E102" s="522"/>
      <c r="F102" s="523"/>
      <c r="G102" s="523"/>
      <c r="H102" s="526"/>
      <c r="I102" s="577"/>
      <c r="J102" s="514">
        <f t="shared" si="22"/>
        <v>0</v>
      </c>
      <c r="K102" s="514"/>
      <c r="L102" s="518"/>
      <c r="M102" s="514">
        <f t="shared" si="23"/>
        <v>0</v>
      </c>
      <c r="N102" s="518"/>
      <c r="O102" s="514">
        <f t="shared" si="24"/>
        <v>0</v>
      </c>
      <c r="P102" s="514">
        <f t="shared" si="25"/>
        <v>0</v>
      </c>
    </row>
    <row r="103" spans="1:16" ht="12.5">
      <c r="B103" s="195" t="str">
        <f t="shared" si="26"/>
        <v/>
      </c>
      <c r="C103" s="507">
        <f>IF(D93="","-",+C102+1)</f>
        <v>2011</v>
      </c>
      <c r="D103" s="374"/>
      <c r="E103" s="522"/>
      <c r="F103" s="523"/>
      <c r="G103" s="523"/>
      <c r="H103" s="526"/>
      <c r="I103" s="577"/>
      <c r="J103" s="514">
        <f t="shared" si="22"/>
        <v>0</v>
      </c>
      <c r="K103" s="514"/>
      <c r="L103" s="518"/>
      <c r="M103" s="514">
        <f t="shared" si="23"/>
        <v>0</v>
      </c>
      <c r="N103" s="518"/>
      <c r="O103" s="514">
        <f t="shared" si="24"/>
        <v>0</v>
      </c>
      <c r="P103" s="514">
        <f t="shared" si="25"/>
        <v>0</v>
      </c>
    </row>
    <row r="104" spans="1:16" ht="12.5">
      <c r="B104" s="195" t="str">
        <f t="shared" si="26"/>
        <v/>
      </c>
      <c r="C104" s="507">
        <f>IF(D93="","-",+C103+1)</f>
        <v>2012</v>
      </c>
      <c r="D104" s="374"/>
      <c r="E104" s="522"/>
      <c r="F104" s="523"/>
      <c r="G104" s="523"/>
      <c r="H104" s="526"/>
      <c r="I104" s="577"/>
      <c r="J104" s="514">
        <f t="shared" si="22"/>
        <v>0</v>
      </c>
      <c r="K104" s="514"/>
      <c r="L104" s="518"/>
      <c r="M104" s="514">
        <f t="shared" si="23"/>
        <v>0</v>
      </c>
      <c r="N104" s="518"/>
      <c r="O104" s="514">
        <f t="shared" si="24"/>
        <v>0</v>
      </c>
      <c r="P104" s="514">
        <f t="shared" si="25"/>
        <v>0</v>
      </c>
    </row>
    <row r="105" spans="1:16" ht="12.5">
      <c r="B105" s="195" t="str">
        <f t="shared" si="26"/>
        <v/>
      </c>
      <c r="C105" s="507">
        <f>IF(D93="","-",+C104+1)</f>
        <v>2013</v>
      </c>
      <c r="D105" s="374"/>
      <c r="E105" s="522"/>
      <c r="F105" s="523"/>
      <c r="G105" s="523"/>
      <c r="H105" s="526"/>
      <c r="I105" s="577"/>
      <c r="J105" s="514">
        <f t="shared" si="22"/>
        <v>0</v>
      </c>
      <c r="K105" s="514"/>
      <c r="L105" s="518"/>
      <c r="M105" s="514">
        <f t="shared" si="23"/>
        <v>0</v>
      </c>
      <c r="N105" s="518"/>
      <c r="O105" s="514">
        <f t="shared" si="24"/>
        <v>0</v>
      </c>
      <c r="P105" s="514">
        <f t="shared" si="25"/>
        <v>0</v>
      </c>
    </row>
    <row r="106" spans="1:16" ht="12.5">
      <c r="B106" s="195" t="str">
        <f t="shared" si="26"/>
        <v/>
      </c>
      <c r="C106" s="507">
        <f>IF(D93="","-",+C105+1)</f>
        <v>2014</v>
      </c>
      <c r="D106" s="374"/>
      <c r="E106" s="522"/>
      <c r="F106" s="523"/>
      <c r="G106" s="523"/>
      <c r="H106" s="526"/>
      <c r="I106" s="577"/>
      <c r="J106" s="514">
        <f t="shared" si="22"/>
        <v>0</v>
      </c>
      <c r="K106" s="514"/>
      <c r="L106" s="518"/>
      <c r="M106" s="514">
        <f t="shared" si="23"/>
        <v>0</v>
      </c>
      <c r="N106" s="518"/>
      <c r="O106" s="514">
        <f t="shared" si="24"/>
        <v>0</v>
      </c>
      <c r="P106" s="514">
        <f t="shared" si="25"/>
        <v>0</v>
      </c>
    </row>
    <row r="107" spans="1:16" ht="12.5">
      <c r="B107" s="195" t="str">
        <f t="shared" si="26"/>
        <v>IU</v>
      </c>
      <c r="C107" s="507">
        <f>IF(D93="","-",+C106+1)</f>
        <v>2015</v>
      </c>
      <c r="D107" s="629">
        <v>2167904.3095238092</v>
      </c>
      <c r="E107" s="630">
        <v>51616.769274376413</v>
      </c>
      <c r="F107" s="631">
        <v>2116287.5402494329</v>
      </c>
      <c r="G107" s="631">
        <v>2142095.9248866211</v>
      </c>
      <c r="H107" s="633">
        <v>333878.34559727815</v>
      </c>
      <c r="I107" s="634">
        <v>333878.34559727815</v>
      </c>
      <c r="J107" s="514">
        <f t="shared" si="22"/>
        <v>0</v>
      </c>
      <c r="K107" s="514"/>
      <c r="L107" s="518">
        <f t="shared" ref="L107:L112" si="27">+H107</f>
        <v>333878.34559727815</v>
      </c>
      <c r="M107" s="514">
        <f t="shared" si="23"/>
        <v>0</v>
      </c>
      <c r="N107" s="518">
        <f t="shared" ref="N107:N112" si="28">+I107</f>
        <v>333878.34559727815</v>
      </c>
      <c r="O107" s="514">
        <f t="shared" si="24"/>
        <v>0</v>
      </c>
      <c r="P107" s="514">
        <f t="shared" si="25"/>
        <v>0</v>
      </c>
    </row>
    <row r="108" spans="1:16" ht="12.5">
      <c r="B108" s="195" t="str">
        <f t="shared" si="26"/>
        <v>IU</v>
      </c>
      <c r="C108" s="507">
        <f>IF(D93="","-",+C107+1)</f>
        <v>2016</v>
      </c>
      <c r="D108" s="629">
        <v>2606835.2307256237</v>
      </c>
      <c r="E108" s="630">
        <v>61824.465116279069</v>
      </c>
      <c r="F108" s="631">
        <v>2545010.7656093445</v>
      </c>
      <c r="G108" s="631">
        <v>2575922.9981674841</v>
      </c>
      <c r="H108" s="633">
        <v>388837.85956536332</v>
      </c>
      <c r="I108" s="634">
        <v>388837.85956536332</v>
      </c>
      <c r="J108" s="514">
        <f t="shared" si="22"/>
        <v>0</v>
      </c>
      <c r="K108" s="514"/>
      <c r="L108" s="518">
        <f t="shared" si="27"/>
        <v>388837.85956536332</v>
      </c>
      <c r="M108" s="514">
        <f>IF(L108&lt;&gt;0,+H108-L108,0)</f>
        <v>0</v>
      </c>
      <c r="N108" s="518">
        <f t="shared" si="28"/>
        <v>388837.85956536332</v>
      </c>
      <c r="O108" s="514">
        <f>IF(N108&lt;&gt;0,+I108-N108,0)</f>
        <v>0</v>
      </c>
      <c r="P108" s="514">
        <f>+O108-M108</f>
        <v>0</v>
      </c>
    </row>
    <row r="109" spans="1:16" ht="12.5">
      <c r="B109" s="195" t="str">
        <f t="shared" si="26"/>
        <v/>
      </c>
      <c r="C109" s="507">
        <f>IF(D93="","-",+C108+1)</f>
        <v>2017</v>
      </c>
      <c r="D109" s="629">
        <v>2545010.7656093445</v>
      </c>
      <c r="E109" s="630">
        <v>63296.476190476191</v>
      </c>
      <c r="F109" s="631">
        <v>2481714.2894188683</v>
      </c>
      <c r="G109" s="631">
        <v>2513362.5275141066</v>
      </c>
      <c r="H109" s="633">
        <v>368598.28609591222</v>
      </c>
      <c r="I109" s="634">
        <v>368598.28609591222</v>
      </c>
      <c r="J109" s="514">
        <f t="shared" ref="J109:J154" si="29">+I109-H109</f>
        <v>0</v>
      </c>
      <c r="K109" s="514"/>
      <c r="L109" s="518">
        <f t="shared" si="27"/>
        <v>368598.28609591222</v>
      </c>
      <c r="M109" s="514">
        <f>IF(L109&lt;&gt;0,+H109-L109,0)</f>
        <v>0</v>
      </c>
      <c r="N109" s="518">
        <f t="shared" si="28"/>
        <v>368598.28609591222</v>
      </c>
      <c r="O109" s="514">
        <f>IF(N109&lt;&gt;0,+I109-N109,0)</f>
        <v>0</v>
      </c>
      <c r="P109" s="514">
        <f>+O109-M109</f>
        <v>0</v>
      </c>
    </row>
    <row r="110" spans="1:16" ht="12.5">
      <c r="B110" s="195" t="str">
        <f t="shared" si="26"/>
        <v/>
      </c>
      <c r="C110" s="507">
        <f>IF(D93="","-",+C109+1)</f>
        <v>2018</v>
      </c>
      <c r="D110" s="629">
        <v>2481714.2894188683</v>
      </c>
      <c r="E110" s="630">
        <v>63296.476190476191</v>
      </c>
      <c r="F110" s="631">
        <v>2418417.813228392</v>
      </c>
      <c r="G110" s="631">
        <v>2450066.0513236299</v>
      </c>
      <c r="H110" s="633">
        <v>322034.68677163479</v>
      </c>
      <c r="I110" s="634">
        <v>322034.68677163479</v>
      </c>
      <c r="J110" s="514">
        <f t="shared" si="29"/>
        <v>0</v>
      </c>
      <c r="K110" s="514"/>
      <c r="L110" s="518">
        <f t="shared" si="27"/>
        <v>322034.68677163479</v>
      </c>
      <c r="M110" s="514">
        <f>IF(L110&lt;&gt;0,+H110-L110,0)</f>
        <v>0</v>
      </c>
      <c r="N110" s="518">
        <f t="shared" si="28"/>
        <v>322034.68677163479</v>
      </c>
      <c r="O110" s="514">
        <f>IF(N110&lt;&gt;0,+I110-N110,0)</f>
        <v>0</v>
      </c>
      <c r="P110" s="514">
        <f t="shared" si="25"/>
        <v>0</v>
      </c>
    </row>
    <row r="111" spans="1:16" ht="12.5">
      <c r="B111" s="195" t="str">
        <f t="shared" si="26"/>
        <v/>
      </c>
      <c r="C111" s="507">
        <f>IF(D93="","-",+C110+1)</f>
        <v>2019</v>
      </c>
      <c r="D111" s="629">
        <v>2418417.813228392</v>
      </c>
      <c r="E111" s="630">
        <v>61824.465116279069</v>
      </c>
      <c r="F111" s="631">
        <v>2356593.3481121128</v>
      </c>
      <c r="G111" s="631">
        <v>2387505.5806702524</v>
      </c>
      <c r="H111" s="633">
        <v>317384.36734344519</v>
      </c>
      <c r="I111" s="634">
        <v>317384.36734344519</v>
      </c>
      <c r="J111" s="514">
        <f t="shared" si="29"/>
        <v>0</v>
      </c>
      <c r="K111" s="514"/>
      <c r="L111" s="518">
        <f t="shared" si="27"/>
        <v>317384.36734344519</v>
      </c>
      <c r="M111" s="514">
        <f>IF(L111&lt;&gt;0,+H111-L111,0)</f>
        <v>0</v>
      </c>
      <c r="N111" s="518">
        <f t="shared" si="28"/>
        <v>317384.36734344519</v>
      </c>
      <c r="O111" s="514">
        <f t="shared" si="24"/>
        <v>0</v>
      </c>
      <c r="P111" s="514">
        <f t="shared" si="25"/>
        <v>0</v>
      </c>
    </row>
    <row r="112" spans="1:16" ht="12.5">
      <c r="B112" s="195" t="str">
        <f t="shared" si="26"/>
        <v/>
      </c>
      <c r="C112" s="507">
        <f>IF(D93="","-",+C111+1)</f>
        <v>2020</v>
      </c>
      <c r="D112" s="629">
        <v>2356593.3481121128</v>
      </c>
      <c r="E112" s="630">
        <v>63296.476190476191</v>
      </c>
      <c r="F112" s="631">
        <v>2293296.8719216366</v>
      </c>
      <c r="G112" s="631">
        <v>2324945.110016875</v>
      </c>
      <c r="H112" s="633">
        <v>313399.73202884034</v>
      </c>
      <c r="I112" s="634">
        <v>313399.73202884034</v>
      </c>
      <c r="J112" s="514">
        <f t="shared" si="29"/>
        <v>0</v>
      </c>
      <c r="K112" s="514"/>
      <c r="L112" s="518">
        <f t="shared" si="27"/>
        <v>313399.73202884034</v>
      </c>
      <c r="M112" s="514">
        <f>IF(L112&lt;&gt;0,+H112-L112,0)</f>
        <v>0</v>
      </c>
      <c r="N112" s="518">
        <f t="shared" si="28"/>
        <v>313399.73202884034</v>
      </c>
      <c r="O112" s="514">
        <f t="shared" si="24"/>
        <v>0</v>
      </c>
      <c r="P112" s="514">
        <f t="shared" si="25"/>
        <v>0</v>
      </c>
    </row>
    <row r="113" spans="2:16" ht="12.5">
      <c r="B113" s="195" t="str">
        <f t="shared" si="26"/>
        <v/>
      </c>
      <c r="C113" s="507">
        <f>IF(D93="","-",+C112+1)</f>
        <v>2021</v>
      </c>
      <c r="D113" s="374">
        <f>IF(F112+SUM(E$99:E112)=D$92,F112,D$92-SUM(E$99:E112))</f>
        <v>2293296.8719216366</v>
      </c>
      <c r="E113" s="522">
        <f t="shared" ref="E113:E154" si="30">IF(+$J$96&lt;F112,$J$96,D113)</f>
        <v>64840.292682926833</v>
      </c>
      <c r="F113" s="523">
        <f t="shared" ref="F113:F154" si="31">+D113-E113</f>
        <v>2228456.57923871</v>
      </c>
      <c r="G113" s="523">
        <f t="shared" ref="G113:G154" si="32">+(F113+D113)/2</f>
        <v>2260876.7255801735</v>
      </c>
      <c r="H113" s="526">
        <f t="shared" ref="H113:H154" si="33">+J$94*G113+E113</f>
        <v>321481.96510916646</v>
      </c>
      <c r="I113" s="577">
        <f t="shared" ref="I113:I154" si="34">+J$95*G113+E113</f>
        <v>321481.96510916646</v>
      </c>
      <c r="J113" s="514">
        <f t="shared" si="29"/>
        <v>0</v>
      </c>
      <c r="K113" s="514"/>
      <c r="L113" s="525"/>
      <c r="M113" s="514">
        <f t="shared" si="23"/>
        <v>0</v>
      </c>
      <c r="N113" s="525"/>
      <c r="O113" s="514">
        <f t="shared" si="24"/>
        <v>0</v>
      </c>
      <c r="P113" s="514">
        <f t="shared" si="25"/>
        <v>0</v>
      </c>
    </row>
    <row r="114" spans="2:16" ht="12.5">
      <c r="B114" s="195" t="str">
        <f t="shared" si="26"/>
        <v/>
      </c>
      <c r="C114" s="507">
        <f>IF(D93="","-",+C113+1)</f>
        <v>2022</v>
      </c>
      <c r="D114" s="374">
        <f>IF(F113+SUM(E$99:E113)=D$92,F113,D$92-SUM(E$99:E113))</f>
        <v>2228456.57923871</v>
      </c>
      <c r="E114" s="522">
        <f t="shared" si="30"/>
        <v>64840.292682926833</v>
      </c>
      <c r="F114" s="523">
        <f t="shared" si="31"/>
        <v>2163616.2865557834</v>
      </c>
      <c r="G114" s="523">
        <f t="shared" si="32"/>
        <v>2196036.4328972464</v>
      </c>
      <c r="H114" s="526">
        <f t="shared" si="33"/>
        <v>314121.66944754298</v>
      </c>
      <c r="I114" s="577">
        <f t="shared" si="34"/>
        <v>314121.66944754298</v>
      </c>
      <c r="J114" s="514">
        <f t="shared" si="29"/>
        <v>0</v>
      </c>
      <c r="K114" s="514"/>
      <c r="L114" s="525"/>
      <c r="M114" s="514">
        <f t="shared" si="23"/>
        <v>0</v>
      </c>
      <c r="N114" s="525"/>
      <c r="O114" s="514">
        <f t="shared" si="24"/>
        <v>0</v>
      </c>
      <c r="P114" s="514">
        <f t="shared" si="25"/>
        <v>0</v>
      </c>
    </row>
    <row r="115" spans="2:16" ht="12.5">
      <c r="B115" s="195" t="str">
        <f t="shared" si="26"/>
        <v/>
      </c>
      <c r="C115" s="507">
        <f>IF(D93="","-",+C114+1)</f>
        <v>2023</v>
      </c>
      <c r="D115" s="374">
        <f>IF(F114+SUM(E$99:E114)=D$92,F114,D$92-SUM(E$99:E114))</f>
        <v>2163616.2865557834</v>
      </c>
      <c r="E115" s="522">
        <f t="shared" si="30"/>
        <v>64840.292682926833</v>
      </c>
      <c r="F115" s="523">
        <f t="shared" si="31"/>
        <v>2098775.9938728567</v>
      </c>
      <c r="G115" s="523">
        <f t="shared" si="32"/>
        <v>2131196.1402143203</v>
      </c>
      <c r="H115" s="526">
        <f t="shared" si="33"/>
        <v>306761.37378591957</v>
      </c>
      <c r="I115" s="577">
        <f t="shared" si="34"/>
        <v>306761.37378591957</v>
      </c>
      <c r="J115" s="514">
        <f t="shared" si="29"/>
        <v>0</v>
      </c>
      <c r="K115" s="514"/>
      <c r="L115" s="525"/>
      <c r="M115" s="514">
        <f t="shared" si="23"/>
        <v>0</v>
      </c>
      <c r="N115" s="525"/>
      <c r="O115" s="514">
        <f t="shared" si="24"/>
        <v>0</v>
      </c>
      <c r="P115" s="514">
        <f t="shared" si="25"/>
        <v>0</v>
      </c>
    </row>
    <row r="116" spans="2:16" ht="12.5">
      <c r="B116" s="195" t="str">
        <f t="shared" si="26"/>
        <v/>
      </c>
      <c r="C116" s="507">
        <f>IF(D93="","-",+C115+1)</f>
        <v>2024</v>
      </c>
      <c r="D116" s="374">
        <f>IF(F115+SUM(E$99:E115)=D$92,F115,D$92-SUM(E$99:E115))</f>
        <v>2098775.9938728567</v>
      </c>
      <c r="E116" s="522">
        <f t="shared" si="30"/>
        <v>64840.292682926833</v>
      </c>
      <c r="F116" s="523">
        <f t="shared" si="31"/>
        <v>2033935.7011899299</v>
      </c>
      <c r="G116" s="523">
        <f t="shared" si="32"/>
        <v>2066355.8475313932</v>
      </c>
      <c r="H116" s="526">
        <f t="shared" si="33"/>
        <v>299401.07812429609</v>
      </c>
      <c r="I116" s="577">
        <f t="shared" si="34"/>
        <v>299401.07812429609</v>
      </c>
      <c r="J116" s="514">
        <f t="shared" si="29"/>
        <v>0</v>
      </c>
      <c r="K116" s="514"/>
      <c r="L116" s="525"/>
      <c r="M116" s="514">
        <f t="shared" si="23"/>
        <v>0</v>
      </c>
      <c r="N116" s="525"/>
      <c r="O116" s="514">
        <f t="shared" si="24"/>
        <v>0</v>
      </c>
      <c r="P116" s="514">
        <f t="shared" si="25"/>
        <v>0</v>
      </c>
    </row>
    <row r="117" spans="2:16" ht="12.5">
      <c r="B117" s="195" t="str">
        <f t="shared" si="26"/>
        <v/>
      </c>
      <c r="C117" s="507">
        <f>IF(D93="","-",+C116+1)</f>
        <v>2025</v>
      </c>
      <c r="D117" s="374">
        <f>IF(F116+SUM(E$99:E116)=D$92,F116,D$92-SUM(E$99:E116))</f>
        <v>2033935.7011899299</v>
      </c>
      <c r="E117" s="522">
        <f t="shared" si="30"/>
        <v>64840.292682926833</v>
      </c>
      <c r="F117" s="523">
        <f t="shared" si="31"/>
        <v>1969095.408507003</v>
      </c>
      <c r="G117" s="523">
        <f t="shared" si="32"/>
        <v>2001515.5548484665</v>
      </c>
      <c r="H117" s="526">
        <f t="shared" si="33"/>
        <v>292040.78246267268</v>
      </c>
      <c r="I117" s="577">
        <f t="shared" si="34"/>
        <v>292040.78246267268</v>
      </c>
      <c r="J117" s="514">
        <f t="shared" si="29"/>
        <v>0</v>
      </c>
      <c r="K117" s="514"/>
      <c r="L117" s="525"/>
      <c r="M117" s="514">
        <f t="shared" si="23"/>
        <v>0</v>
      </c>
      <c r="N117" s="525"/>
      <c r="O117" s="514">
        <f t="shared" si="24"/>
        <v>0</v>
      </c>
      <c r="P117" s="514">
        <f t="shared" si="25"/>
        <v>0</v>
      </c>
    </row>
    <row r="118" spans="2:16" ht="12.5">
      <c r="B118" s="195" t="str">
        <f t="shared" si="26"/>
        <v/>
      </c>
      <c r="C118" s="507">
        <f>IF(D93="","-",+C117+1)</f>
        <v>2026</v>
      </c>
      <c r="D118" s="374">
        <f>IF(F117+SUM(E$99:E117)=D$92,F117,D$92-SUM(E$99:E117))</f>
        <v>1969095.408507003</v>
      </c>
      <c r="E118" s="522">
        <f t="shared" si="30"/>
        <v>64840.292682926833</v>
      </c>
      <c r="F118" s="523">
        <f t="shared" si="31"/>
        <v>1904255.1158240761</v>
      </c>
      <c r="G118" s="523">
        <f t="shared" si="32"/>
        <v>1936675.2621655394</v>
      </c>
      <c r="H118" s="526">
        <f t="shared" si="33"/>
        <v>284680.48680104915</v>
      </c>
      <c r="I118" s="577">
        <f t="shared" si="34"/>
        <v>284680.48680104915</v>
      </c>
      <c r="J118" s="514">
        <f t="shared" si="29"/>
        <v>0</v>
      </c>
      <c r="K118" s="514"/>
      <c r="L118" s="525"/>
      <c r="M118" s="514">
        <f t="shared" si="23"/>
        <v>0</v>
      </c>
      <c r="N118" s="525"/>
      <c r="O118" s="514">
        <f t="shared" si="24"/>
        <v>0</v>
      </c>
      <c r="P118" s="514">
        <f t="shared" si="25"/>
        <v>0</v>
      </c>
    </row>
    <row r="119" spans="2:16" ht="12.5">
      <c r="B119" s="195" t="str">
        <f t="shared" si="26"/>
        <v/>
      </c>
      <c r="C119" s="507">
        <f>IF(D93="","-",+C118+1)</f>
        <v>2027</v>
      </c>
      <c r="D119" s="374">
        <f>IF(F118+SUM(E$99:E118)=D$92,F118,D$92-SUM(E$99:E118))</f>
        <v>1904255.1158240761</v>
      </c>
      <c r="E119" s="522">
        <f t="shared" si="30"/>
        <v>64840.292682926833</v>
      </c>
      <c r="F119" s="523">
        <f t="shared" si="31"/>
        <v>1839414.8231411492</v>
      </c>
      <c r="G119" s="523">
        <f t="shared" si="32"/>
        <v>1871834.9694826128</v>
      </c>
      <c r="H119" s="526">
        <f t="shared" si="33"/>
        <v>277320.19113942573</v>
      </c>
      <c r="I119" s="577">
        <f t="shared" si="34"/>
        <v>277320.19113942573</v>
      </c>
      <c r="J119" s="514">
        <f t="shared" si="29"/>
        <v>0</v>
      </c>
      <c r="K119" s="514"/>
      <c r="L119" s="525"/>
      <c r="M119" s="514">
        <f t="shared" si="23"/>
        <v>0</v>
      </c>
      <c r="N119" s="525"/>
      <c r="O119" s="514">
        <f t="shared" si="24"/>
        <v>0</v>
      </c>
      <c r="P119" s="514">
        <f t="shared" si="25"/>
        <v>0</v>
      </c>
    </row>
    <row r="120" spans="2:16" ht="12.5">
      <c r="B120" s="195" t="str">
        <f t="shared" si="26"/>
        <v/>
      </c>
      <c r="C120" s="507">
        <f>IF(D93="","-",+C119+1)</f>
        <v>2028</v>
      </c>
      <c r="D120" s="374">
        <f>IF(F119+SUM(E$99:E119)=D$92,F119,D$92-SUM(E$99:E119))</f>
        <v>1839414.8231411492</v>
      </c>
      <c r="E120" s="522">
        <f t="shared" si="30"/>
        <v>64840.292682926833</v>
      </c>
      <c r="F120" s="523">
        <f t="shared" si="31"/>
        <v>1774574.5304582224</v>
      </c>
      <c r="G120" s="523">
        <f t="shared" si="32"/>
        <v>1806994.6767996857</v>
      </c>
      <c r="H120" s="526">
        <f t="shared" si="33"/>
        <v>269959.8954778022</v>
      </c>
      <c r="I120" s="577">
        <f t="shared" si="34"/>
        <v>269959.8954778022</v>
      </c>
      <c r="J120" s="514">
        <f t="shared" si="29"/>
        <v>0</v>
      </c>
      <c r="K120" s="514"/>
      <c r="L120" s="525"/>
      <c r="M120" s="514">
        <f t="shared" si="23"/>
        <v>0</v>
      </c>
      <c r="N120" s="525"/>
      <c r="O120" s="514">
        <f t="shared" si="24"/>
        <v>0</v>
      </c>
      <c r="P120" s="514">
        <f t="shared" si="25"/>
        <v>0</v>
      </c>
    </row>
    <row r="121" spans="2:16" ht="12.5">
      <c r="B121" s="195" t="str">
        <f t="shared" si="26"/>
        <v/>
      </c>
      <c r="C121" s="507">
        <f>IF(D93="","-",+C120+1)</f>
        <v>2029</v>
      </c>
      <c r="D121" s="374">
        <f>IF(F120+SUM(E$99:E120)=D$92,F120,D$92-SUM(E$99:E120))</f>
        <v>1774574.5304582224</v>
      </c>
      <c r="E121" s="522">
        <f t="shared" si="30"/>
        <v>64840.292682926833</v>
      </c>
      <c r="F121" s="523">
        <f t="shared" si="31"/>
        <v>1709734.2377752955</v>
      </c>
      <c r="G121" s="523">
        <f t="shared" si="32"/>
        <v>1742154.3841167591</v>
      </c>
      <c r="H121" s="526">
        <f t="shared" si="33"/>
        <v>262599.59981617879</v>
      </c>
      <c r="I121" s="577">
        <f t="shared" si="34"/>
        <v>262599.59981617879</v>
      </c>
      <c r="J121" s="514">
        <f t="shared" si="29"/>
        <v>0</v>
      </c>
      <c r="K121" s="514"/>
      <c r="L121" s="525"/>
      <c r="M121" s="514">
        <f t="shared" si="23"/>
        <v>0</v>
      </c>
      <c r="N121" s="525"/>
      <c r="O121" s="514">
        <f t="shared" si="24"/>
        <v>0</v>
      </c>
      <c r="P121" s="514">
        <f t="shared" si="25"/>
        <v>0</v>
      </c>
    </row>
    <row r="122" spans="2:16" ht="12.5">
      <c r="B122" s="195" t="str">
        <f t="shared" si="26"/>
        <v/>
      </c>
      <c r="C122" s="507">
        <f>IF(D93="","-",+C121+1)</f>
        <v>2030</v>
      </c>
      <c r="D122" s="374">
        <f>IF(F121+SUM(E$99:E121)=D$92,F121,D$92-SUM(E$99:E121))</f>
        <v>1709734.2377752955</v>
      </c>
      <c r="E122" s="522">
        <f t="shared" si="30"/>
        <v>64840.292682926833</v>
      </c>
      <c r="F122" s="523">
        <f t="shared" si="31"/>
        <v>1644893.9450923686</v>
      </c>
      <c r="G122" s="523">
        <f t="shared" si="32"/>
        <v>1677314.091433832</v>
      </c>
      <c r="H122" s="526">
        <f t="shared" si="33"/>
        <v>255239.30415455531</v>
      </c>
      <c r="I122" s="577">
        <f t="shared" si="34"/>
        <v>255239.30415455531</v>
      </c>
      <c r="J122" s="514">
        <f t="shared" si="29"/>
        <v>0</v>
      </c>
      <c r="K122" s="514"/>
      <c r="L122" s="525"/>
      <c r="M122" s="514">
        <f t="shared" si="23"/>
        <v>0</v>
      </c>
      <c r="N122" s="525"/>
      <c r="O122" s="514">
        <f t="shared" si="24"/>
        <v>0</v>
      </c>
      <c r="P122" s="514">
        <f t="shared" si="25"/>
        <v>0</v>
      </c>
    </row>
    <row r="123" spans="2:16" ht="12.5">
      <c r="B123" s="195" t="str">
        <f t="shared" si="26"/>
        <v/>
      </c>
      <c r="C123" s="507">
        <f>IF(D93="","-",+C122+1)</f>
        <v>2031</v>
      </c>
      <c r="D123" s="374">
        <f>IF(F122+SUM(E$99:E122)=D$92,F122,D$92-SUM(E$99:E122))</f>
        <v>1644893.9450923686</v>
      </c>
      <c r="E123" s="522">
        <f t="shared" si="30"/>
        <v>64840.292682926833</v>
      </c>
      <c r="F123" s="523">
        <f t="shared" si="31"/>
        <v>1580053.6524094418</v>
      </c>
      <c r="G123" s="523">
        <f t="shared" si="32"/>
        <v>1612473.7987509053</v>
      </c>
      <c r="H123" s="526">
        <f t="shared" si="33"/>
        <v>247879.00849293187</v>
      </c>
      <c r="I123" s="577">
        <f t="shared" si="34"/>
        <v>247879.00849293187</v>
      </c>
      <c r="J123" s="514">
        <f t="shared" si="29"/>
        <v>0</v>
      </c>
      <c r="K123" s="514"/>
      <c r="L123" s="525"/>
      <c r="M123" s="514">
        <f t="shared" si="23"/>
        <v>0</v>
      </c>
      <c r="N123" s="525"/>
      <c r="O123" s="514">
        <f t="shared" si="24"/>
        <v>0</v>
      </c>
      <c r="P123" s="514">
        <f t="shared" si="25"/>
        <v>0</v>
      </c>
    </row>
    <row r="124" spans="2:16" ht="12.5">
      <c r="B124" s="195" t="str">
        <f t="shared" si="26"/>
        <v/>
      </c>
      <c r="C124" s="507">
        <f>IF(D93="","-",+C123+1)</f>
        <v>2032</v>
      </c>
      <c r="D124" s="374">
        <f>IF(F123+SUM(E$99:E123)=D$92,F123,D$92-SUM(E$99:E123))</f>
        <v>1580053.6524094418</v>
      </c>
      <c r="E124" s="522">
        <f t="shared" si="30"/>
        <v>64840.292682926833</v>
      </c>
      <c r="F124" s="523">
        <f t="shared" si="31"/>
        <v>1515213.3597265149</v>
      </c>
      <c r="G124" s="523">
        <f t="shared" si="32"/>
        <v>1547633.5060679782</v>
      </c>
      <c r="H124" s="526">
        <f t="shared" si="33"/>
        <v>240518.71283130837</v>
      </c>
      <c r="I124" s="577">
        <f t="shared" si="34"/>
        <v>240518.71283130837</v>
      </c>
      <c r="J124" s="514">
        <f t="shared" si="29"/>
        <v>0</v>
      </c>
      <c r="K124" s="514"/>
      <c r="L124" s="525"/>
      <c r="M124" s="514">
        <f t="shared" si="23"/>
        <v>0</v>
      </c>
      <c r="N124" s="525"/>
      <c r="O124" s="514">
        <f t="shared" si="24"/>
        <v>0</v>
      </c>
      <c r="P124" s="514">
        <f t="shared" si="25"/>
        <v>0</v>
      </c>
    </row>
    <row r="125" spans="2:16" ht="12.5">
      <c r="B125" s="195" t="str">
        <f t="shared" si="26"/>
        <v/>
      </c>
      <c r="C125" s="507">
        <f>IF(D93="","-",+C124+1)</f>
        <v>2033</v>
      </c>
      <c r="D125" s="374">
        <f>IF(F124+SUM(E$99:E124)=D$92,F124,D$92-SUM(E$99:E124))</f>
        <v>1515213.3597265149</v>
      </c>
      <c r="E125" s="522">
        <f t="shared" si="30"/>
        <v>64840.292682926833</v>
      </c>
      <c r="F125" s="523">
        <f t="shared" si="31"/>
        <v>1450373.067043588</v>
      </c>
      <c r="G125" s="523">
        <f t="shared" si="32"/>
        <v>1482793.2133850516</v>
      </c>
      <c r="H125" s="526">
        <f t="shared" si="33"/>
        <v>233158.41716968492</v>
      </c>
      <c r="I125" s="577">
        <f t="shared" si="34"/>
        <v>233158.41716968492</v>
      </c>
      <c r="J125" s="514">
        <f t="shared" si="29"/>
        <v>0</v>
      </c>
      <c r="K125" s="514"/>
      <c r="L125" s="525"/>
      <c r="M125" s="514">
        <f t="shared" si="23"/>
        <v>0</v>
      </c>
      <c r="N125" s="525"/>
      <c r="O125" s="514">
        <f t="shared" si="24"/>
        <v>0</v>
      </c>
      <c r="P125" s="514">
        <f t="shared" si="25"/>
        <v>0</v>
      </c>
    </row>
    <row r="126" spans="2:16" ht="12.5">
      <c r="B126" s="195" t="str">
        <f t="shared" si="26"/>
        <v/>
      </c>
      <c r="C126" s="507">
        <f>IF(D93="","-",+C125+1)</f>
        <v>2034</v>
      </c>
      <c r="D126" s="374">
        <f>IF(F125+SUM(E$99:E125)=D$92,F125,D$92-SUM(E$99:E125))</f>
        <v>1450373.067043588</v>
      </c>
      <c r="E126" s="522">
        <f t="shared" si="30"/>
        <v>64840.292682926833</v>
      </c>
      <c r="F126" s="523">
        <f t="shared" si="31"/>
        <v>1385532.7743606612</v>
      </c>
      <c r="G126" s="523">
        <f t="shared" si="32"/>
        <v>1417952.9207021245</v>
      </c>
      <c r="H126" s="526">
        <f t="shared" si="33"/>
        <v>225798.12150806145</v>
      </c>
      <c r="I126" s="577">
        <f t="shared" si="34"/>
        <v>225798.12150806145</v>
      </c>
      <c r="J126" s="514">
        <f t="shared" si="29"/>
        <v>0</v>
      </c>
      <c r="K126" s="514"/>
      <c r="L126" s="525"/>
      <c r="M126" s="514">
        <f t="shared" si="23"/>
        <v>0</v>
      </c>
      <c r="N126" s="525"/>
      <c r="O126" s="514">
        <f t="shared" si="24"/>
        <v>0</v>
      </c>
      <c r="P126" s="514">
        <f t="shared" si="25"/>
        <v>0</v>
      </c>
    </row>
    <row r="127" spans="2:16" ht="12.5">
      <c r="B127" s="195" t="str">
        <f t="shared" si="26"/>
        <v/>
      </c>
      <c r="C127" s="507">
        <f>IF(D93="","-",+C126+1)</f>
        <v>2035</v>
      </c>
      <c r="D127" s="374">
        <f>IF(F126+SUM(E$99:E126)=D$92,F126,D$92-SUM(E$99:E126))</f>
        <v>1385532.7743606612</v>
      </c>
      <c r="E127" s="522">
        <f t="shared" si="30"/>
        <v>64840.292682926833</v>
      </c>
      <c r="F127" s="523">
        <f t="shared" si="31"/>
        <v>1320692.4816777343</v>
      </c>
      <c r="G127" s="523">
        <f t="shared" si="32"/>
        <v>1353112.6280191978</v>
      </c>
      <c r="H127" s="526">
        <f t="shared" si="33"/>
        <v>218437.82584643801</v>
      </c>
      <c r="I127" s="577">
        <f t="shared" si="34"/>
        <v>218437.82584643801</v>
      </c>
      <c r="J127" s="514">
        <f t="shared" si="29"/>
        <v>0</v>
      </c>
      <c r="K127" s="514"/>
      <c r="L127" s="525"/>
      <c r="M127" s="514">
        <f t="shared" si="23"/>
        <v>0</v>
      </c>
      <c r="N127" s="525"/>
      <c r="O127" s="514">
        <f t="shared" si="24"/>
        <v>0</v>
      </c>
      <c r="P127" s="514">
        <f t="shared" si="25"/>
        <v>0</v>
      </c>
    </row>
    <row r="128" spans="2:16" ht="12.5">
      <c r="B128" s="195" t="str">
        <f t="shared" si="26"/>
        <v/>
      </c>
      <c r="C128" s="507">
        <f>IF(D93="","-",+C127+1)</f>
        <v>2036</v>
      </c>
      <c r="D128" s="374">
        <f>IF(F127+SUM(E$99:E127)=D$92,F127,D$92-SUM(E$99:E127))</f>
        <v>1320692.4816777343</v>
      </c>
      <c r="E128" s="522">
        <f t="shared" si="30"/>
        <v>64840.292682926833</v>
      </c>
      <c r="F128" s="523">
        <f t="shared" si="31"/>
        <v>1255852.1889948074</v>
      </c>
      <c r="G128" s="523">
        <f t="shared" si="32"/>
        <v>1288272.3353362707</v>
      </c>
      <c r="H128" s="526">
        <f t="shared" si="33"/>
        <v>211077.5301848145</v>
      </c>
      <c r="I128" s="577">
        <f t="shared" si="34"/>
        <v>211077.5301848145</v>
      </c>
      <c r="J128" s="514">
        <f t="shared" si="29"/>
        <v>0</v>
      </c>
      <c r="K128" s="514"/>
      <c r="L128" s="525"/>
      <c r="M128" s="514">
        <f t="shared" si="23"/>
        <v>0</v>
      </c>
      <c r="N128" s="525"/>
      <c r="O128" s="514">
        <f t="shared" si="24"/>
        <v>0</v>
      </c>
      <c r="P128" s="514">
        <f t="shared" si="25"/>
        <v>0</v>
      </c>
    </row>
    <row r="129" spans="2:16" ht="12.5">
      <c r="B129" s="195" t="str">
        <f t="shared" si="26"/>
        <v/>
      </c>
      <c r="C129" s="507">
        <f>IF(D93="","-",+C128+1)</f>
        <v>2037</v>
      </c>
      <c r="D129" s="374">
        <f>IF(F128+SUM(E$99:E128)=D$92,F128,D$92-SUM(E$99:E128))</f>
        <v>1255852.1889948074</v>
      </c>
      <c r="E129" s="522">
        <f t="shared" si="30"/>
        <v>64840.292682926833</v>
      </c>
      <c r="F129" s="523">
        <f t="shared" si="31"/>
        <v>1191011.8963118806</v>
      </c>
      <c r="G129" s="523">
        <f t="shared" si="32"/>
        <v>1223432.0426533441</v>
      </c>
      <c r="H129" s="526">
        <f t="shared" si="33"/>
        <v>203717.23452319106</v>
      </c>
      <c r="I129" s="577">
        <f t="shared" si="34"/>
        <v>203717.23452319106</v>
      </c>
      <c r="J129" s="514">
        <f t="shared" si="29"/>
        <v>0</v>
      </c>
      <c r="K129" s="514"/>
      <c r="L129" s="525"/>
      <c r="M129" s="514">
        <f t="shared" si="23"/>
        <v>0</v>
      </c>
      <c r="N129" s="525"/>
      <c r="O129" s="514">
        <f t="shared" si="24"/>
        <v>0</v>
      </c>
      <c r="P129" s="514">
        <f t="shared" si="25"/>
        <v>0</v>
      </c>
    </row>
    <row r="130" spans="2:16" ht="12.5">
      <c r="B130" s="195" t="str">
        <f t="shared" si="26"/>
        <v/>
      </c>
      <c r="C130" s="507">
        <f>IF(D93="","-",+C129+1)</f>
        <v>2038</v>
      </c>
      <c r="D130" s="374">
        <f>IF(F129+SUM(E$99:E129)=D$92,F129,D$92-SUM(E$99:E129))</f>
        <v>1191011.8963118806</v>
      </c>
      <c r="E130" s="522">
        <f t="shared" si="30"/>
        <v>64840.292682926833</v>
      </c>
      <c r="F130" s="523">
        <f t="shared" si="31"/>
        <v>1126171.6036289537</v>
      </c>
      <c r="G130" s="523">
        <f t="shared" si="32"/>
        <v>1158591.749970417</v>
      </c>
      <c r="H130" s="526">
        <f t="shared" si="33"/>
        <v>196356.93886156759</v>
      </c>
      <c r="I130" s="577">
        <f t="shared" si="34"/>
        <v>196356.93886156759</v>
      </c>
      <c r="J130" s="514">
        <f t="shared" si="29"/>
        <v>0</v>
      </c>
      <c r="K130" s="514"/>
      <c r="L130" s="525"/>
      <c r="M130" s="514">
        <f t="shared" si="23"/>
        <v>0</v>
      </c>
      <c r="N130" s="525"/>
      <c r="O130" s="514">
        <f t="shared" si="24"/>
        <v>0</v>
      </c>
      <c r="P130" s="514">
        <f t="shared" si="25"/>
        <v>0</v>
      </c>
    </row>
    <row r="131" spans="2:16" ht="12.5">
      <c r="B131" s="195" t="str">
        <f t="shared" si="26"/>
        <v/>
      </c>
      <c r="C131" s="507">
        <f>IF(D93="","-",+C130+1)</f>
        <v>2039</v>
      </c>
      <c r="D131" s="374">
        <f>IF(F130+SUM(E$99:E130)=D$92,F130,D$92-SUM(E$99:E130))</f>
        <v>1126171.6036289537</v>
      </c>
      <c r="E131" s="522">
        <f t="shared" si="30"/>
        <v>64840.292682926833</v>
      </c>
      <c r="F131" s="523">
        <f t="shared" si="31"/>
        <v>1061331.3109460268</v>
      </c>
      <c r="G131" s="523">
        <f t="shared" si="32"/>
        <v>1093751.4572874904</v>
      </c>
      <c r="H131" s="526">
        <f t="shared" si="33"/>
        <v>188996.64319994411</v>
      </c>
      <c r="I131" s="577">
        <f t="shared" si="34"/>
        <v>188996.64319994411</v>
      </c>
      <c r="J131" s="514">
        <f t="shared" si="29"/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</row>
    <row r="132" spans="2:16" ht="12.5">
      <c r="B132" s="195" t="str">
        <f t="shared" si="26"/>
        <v/>
      </c>
      <c r="C132" s="507">
        <f>IF(D93="","-",+C131+1)</f>
        <v>2040</v>
      </c>
      <c r="D132" s="374">
        <f>IF(F131+SUM(E$99:E131)=D$92,F131,D$92-SUM(E$99:E131))</f>
        <v>1061331.3109460268</v>
      </c>
      <c r="E132" s="522">
        <f t="shared" si="30"/>
        <v>64840.292682926833</v>
      </c>
      <c r="F132" s="523">
        <f t="shared" si="31"/>
        <v>996491.01826309995</v>
      </c>
      <c r="G132" s="523">
        <f t="shared" si="32"/>
        <v>1028911.1646045634</v>
      </c>
      <c r="H132" s="526">
        <f t="shared" si="33"/>
        <v>181636.34753832064</v>
      </c>
      <c r="I132" s="577">
        <f t="shared" si="34"/>
        <v>181636.34753832064</v>
      </c>
      <c r="J132" s="514">
        <f t="shared" si="29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</row>
    <row r="133" spans="2:16" ht="12.5">
      <c r="B133" s="195" t="str">
        <f t="shared" si="26"/>
        <v/>
      </c>
      <c r="C133" s="507">
        <f>IF(D93="","-",+C132+1)</f>
        <v>2041</v>
      </c>
      <c r="D133" s="374">
        <f>IF(F132+SUM(E$99:E132)=D$92,F132,D$92-SUM(E$99:E132))</f>
        <v>996491.01826309995</v>
      </c>
      <c r="E133" s="522">
        <f t="shared" si="30"/>
        <v>64840.292682926833</v>
      </c>
      <c r="F133" s="523">
        <f t="shared" si="31"/>
        <v>931650.72558017308</v>
      </c>
      <c r="G133" s="523">
        <f t="shared" si="32"/>
        <v>964070.87192163651</v>
      </c>
      <c r="H133" s="526">
        <f t="shared" si="33"/>
        <v>174276.05187669717</v>
      </c>
      <c r="I133" s="577">
        <f t="shared" si="34"/>
        <v>174276.05187669717</v>
      </c>
      <c r="J133" s="514">
        <f t="shared" si="29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</row>
    <row r="134" spans="2:16" ht="12.5">
      <c r="B134" s="195" t="str">
        <f t="shared" si="26"/>
        <v/>
      </c>
      <c r="C134" s="507">
        <f>IF(D93="","-",+C133+1)</f>
        <v>2042</v>
      </c>
      <c r="D134" s="374">
        <f>IF(F133+SUM(E$99:E133)=D$92,F133,D$92-SUM(E$99:E133))</f>
        <v>931650.72558017308</v>
      </c>
      <c r="E134" s="522">
        <f t="shared" si="30"/>
        <v>64840.292682926833</v>
      </c>
      <c r="F134" s="523">
        <f t="shared" si="31"/>
        <v>866810.43289724621</v>
      </c>
      <c r="G134" s="523">
        <f t="shared" si="32"/>
        <v>899230.57923870964</v>
      </c>
      <c r="H134" s="526">
        <f t="shared" si="33"/>
        <v>166915.75621507372</v>
      </c>
      <c r="I134" s="577">
        <f t="shared" si="34"/>
        <v>166915.75621507372</v>
      </c>
      <c r="J134" s="514">
        <f t="shared" si="29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</row>
    <row r="135" spans="2:16" ht="12.5">
      <c r="B135" s="195" t="str">
        <f t="shared" si="26"/>
        <v/>
      </c>
      <c r="C135" s="507">
        <f>IF(D93="","-",+C134+1)</f>
        <v>2043</v>
      </c>
      <c r="D135" s="374">
        <f>IF(F134+SUM(E$99:E134)=D$92,F134,D$92-SUM(E$99:E134))</f>
        <v>866810.43289724621</v>
      </c>
      <c r="E135" s="522">
        <f t="shared" si="30"/>
        <v>64840.292682926833</v>
      </c>
      <c r="F135" s="523">
        <f t="shared" si="31"/>
        <v>801970.14021431934</v>
      </c>
      <c r="G135" s="523">
        <f t="shared" si="32"/>
        <v>834390.28655578278</v>
      </c>
      <c r="H135" s="526">
        <f t="shared" si="33"/>
        <v>159555.46055345025</v>
      </c>
      <c r="I135" s="577">
        <f t="shared" si="34"/>
        <v>159555.46055345025</v>
      </c>
      <c r="J135" s="514">
        <f t="shared" si="29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</row>
    <row r="136" spans="2:16" ht="12.5">
      <c r="B136" s="195" t="str">
        <f t="shared" si="26"/>
        <v/>
      </c>
      <c r="C136" s="507">
        <f>IF(D93="","-",+C135+1)</f>
        <v>2044</v>
      </c>
      <c r="D136" s="374">
        <f>IF(F135+SUM(E$99:E135)=D$92,F135,D$92-SUM(E$99:E135))</f>
        <v>801970.14021431934</v>
      </c>
      <c r="E136" s="522">
        <f t="shared" si="30"/>
        <v>64840.292682926833</v>
      </c>
      <c r="F136" s="523">
        <f t="shared" si="31"/>
        <v>737129.84753139247</v>
      </c>
      <c r="G136" s="523">
        <f t="shared" si="32"/>
        <v>769549.99387285591</v>
      </c>
      <c r="H136" s="526">
        <f t="shared" si="33"/>
        <v>152195.16489182677</v>
      </c>
      <c r="I136" s="577">
        <f t="shared" si="34"/>
        <v>152195.16489182677</v>
      </c>
      <c r="J136" s="514">
        <f t="shared" si="29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</row>
    <row r="137" spans="2:16" ht="12.5">
      <c r="B137" s="195" t="str">
        <f t="shared" si="26"/>
        <v/>
      </c>
      <c r="C137" s="507">
        <f>IF(D93="","-",+C136+1)</f>
        <v>2045</v>
      </c>
      <c r="D137" s="374">
        <f>IF(F136+SUM(E$99:E136)=D$92,F136,D$92-SUM(E$99:E136))</f>
        <v>737129.84753139247</v>
      </c>
      <c r="E137" s="522">
        <f t="shared" si="30"/>
        <v>64840.292682926833</v>
      </c>
      <c r="F137" s="523">
        <f t="shared" si="31"/>
        <v>672289.5548484656</v>
      </c>
      <c r="G137" s="523">
        <f t="shared" si="32"/>
        <v>704709.70118992904</v>
      </c>
      <c r="H137" s="526">
        <f t="shared" si="33"/>
        <v>144834.8692302033</v>
      </c>
      <c r="I137" s="577">
        <f t="shared" si="34"/>
        <v>144834.8692302033</v>
      </c>
      <c r="J137" s="514">
        <f t="shared" si="29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</row>
    <row r="138" spans="2:16" ht="12.5">
      <c r="B138" s="195" t="str">
        <f t="shared" si="26"/>
        <v/>
      </c>
      <c r="C138" s="507">
        <f>IF(D93="","-",+C137+1)</f>
        <v>2046</v>
      </c>
      <c r="D138" s="374">
        <f>IF(F137+SUM(E$99:E137)=D$92,F137,D$92-SUM(E$99:E137))</f>
        <v>672289.5548484656</v>
      </c>
      <c r="E138" s="522">
        <f t="shared" si="30"/>
        <v>64840.292682926833</v>
      </c>
      <c r="F138" s="523">
        <f t="shared" si="31"/>
        <v>607449.26216553873</v>
      </c>
      <c r="G138" s="523">
        <f t="shared" si="32"/>
        <v>639869.40850700217</v>
      </c>
      <c r="H138" s="526">
        <f t="shared" si="33"/>
        <v>137474.57356857986</v>
      </c>
      <c r="I138" s="577">
        <f t="shared" si="34"/>
        <v>137474.57356857986</v>
      </c>
      <c r="J138" s="514">
        <f t="shared" si="29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</row>
    <row r="139" spans="2:16" ht="12.5">
      <c r="B139" s="195" t="str">
        <f t="shared" si="26"/>
        <v/>
      </c>
      <c r="C139" s="507">
        <f>IF(D93="","-",+C138+1)</f>
        <v>2047</v>
      </c>
      <c r="D139" s="374">
        <f>IF(F138+SUM(E$99:E138)=D$92,F138,D$92-SUM(E$99:E138))</f>
        <v>607449.26216553873</v>
      </c>
      <c r="E139" s="522">
        <f t="shared" si="30"/>
        <v>64840.292682926833</v>
      </c>
      <c r="F139" s="523">
        <f t="shared" si="31"/>
        <v>542608.96948261186</v>
      </c>
      <c r="G139" s="523">
        <f t="shared" si="32"/>
        <v>575029.1158240753</v>
      </c>
      <c r="H139" s="526">
        <f t="shared" si="33"/>
        <v>130114.27790695638</v>
      </c>
      <c r="I139" s="577">
        <f t="shared" si="34"/>
        <v>130114.27790695638</v>
      </c>
      <c r="J139" s="514">
        <f t="shared" si="29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</row>
    <row r="140" spans="2:16" ht="12.5">
      <c r="B140" s="195" t="str">
        <f t="shared" si="26"/>
        <v/>
      </c>
      <c r="C140" s="507">
        <f>IF(D93="","-",+C139+1)</f>
        <v>2048</v>
      </c>
      <c r="D140" s="374">
        <f>IF(F139+SUM(E$99:E139)=D$92,F139,D$92-SUM(E$99:E139))</f>
        <v>542608.96948261186</v>
      </c>
      <c r="E140" s="522">
        <f t="shared" si="30"/>
        <v>64840.292682926833</v>
      </c>
      <c r="F140" s="523">
        <f t="shared" si="31"/>
        <v>477768.67679968505</v>
      </c>
      <c r="G140" s="523">
        <f t="shared" si="32"/>
        <v>510188.82314114843</v>
      </c>
      <c r="H140" s="526">
        <f t="shared" si="33"/>
        <v>122753.98224533291</v>
      </c>
      <c r="I140" s="577">
        <f t="shared" si="34"/>
        <v>122753.98224533291</v>
      </c>
      <c r="J140" s="514">
        <f t="shared" si="29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</row>
    <row r="141" spans="2:16" ht="12.5">
      <c r="B141" s="195" t="str">
        <f t="shared" si="26"/>
        <v/>
      </c>
      <c r="C141" s="507">
        <f>IF(D93="","-",+C140+1)</f>
        <v>2049</v>
      </c>
      <c r="D141" s="374">
        <f>IF(F140+SUM(E$99:E140)=D$92,F140,D$92-SUM(E$99:E140))</f>
        <v>477768.67679968505</v>
      </c>
      <c r="E141" s="522">
        <f t="shared" si="30"/>
        <v>64840.292682926833</v>
      </c>
      <c r="F141" s="523">
        <f t="shared" si="31"/>
        <v>412928.38411675824</v>
      </c>
      <c r="G141" s="523">
        <f t="shared" si="32"/>
        <v>445348.53045822168</v>
      </c>
      <c r="H141" s="526">
        <f t="shared" si="33"/>
        <v>115393.68658370947</v>
      </c>
      <c r="I141" s="577">
        <f t="shared" si="34"/>
        <v>115393.68658370947</v>
      </c>
      <c r="J141" s="514">
        <f t="shared" si="29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</row>
    <row r="142" spans="2:16" ht="12.5">
      <c r="B142" s="195" t="str">
        <f t="shared" si="26"/>
        <v/>
      </c>
      <c r="C142" s="507">
        <f>IF(D93="","-",+C141+1)</f>
        <v>2050</v>
      </c>
      <c r="D142" s="374">
        <f>IF(F141+SUM(E$99:E141)=D$92,F141,D$92-SUM(E$99:E141))</f>
        <v>412928.38411675824</v>
      </c>
      <c r="E142" s="522">
        <f t="shared" si="30"/>
        <v>64840.292682926833</v>
      </c>
      <c r="F142" s="523">
        <f t="shared" si="31"/>
        <v>348088.09143383143</v>
      </c>
      <c r="G142" s="523">
        <f t="shared" si="32"/>
        <v>380508.23777529481</v>
      </c>
      <c r="H142" s="526">
        <f t="shared" si="33"/>
        <v>108033.39092208599</v>
      </c>
      <c r="I142" s="577">
        <f t="shared" si="34"/>
        <v>108033.39092208599</v>
      </c>
      <c r="J142" s="514">
        <f t="shared" si="29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</row>
    <row r="143" spans="2:16" ht="12.5">
      <c r="B143" s="195" t="str">
        <f t="shared" si="26"/>
        <v/>
      </c>
      <c r="C143" s="507">
        <f>IF(D93="","-",+C142+1)</f>
        <v>2051</v>
      </c>
      <c r="D143" s="374">
        <f>IF(F142+SUM(E$99:E142)=D$92,F142,D$92-SUM(E$99:E142))</f>
        <v>348088.09143383143</v>
      </c>
      <c r="E143" s="522">
        <f t="shared" si="30"/>
        <v>64840.292682926833</v>
      </c>
      <c r="F143" s="523">
        <f t="shared" si="31"/>
        <v>283247.79875090462</v>
      </c>
      <c r="G143" s="523">
        <f t="shared" si="32"/>
        <v>315667.94509236806</v>
      </c>
      <c r="H143" s="526">
        <f t="shared" si="33"/>
        <v>100673.09526046253</v>
      </c>
      <c r="I143" s="577">
        <f t="shared" si="34"/>
        <v>100673.09526046253</v>
      </c>
      <c r="J143" s="514">
        <f t="shared" si="29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</row>
    <row r="144" spans="2:16" ht="12.5">
      <c r="B144" s="195" t="str">
        <f t="shared" si="26"/>
        <v/>
      </c>
      <c r="C144" s="507">
        <f>IF(D93="","-",+C143+1)</f>
        <v>2052</v>
      </c>
      <c r="D144" s="374">
        <f>IF(F143+SUM(E$99:E143)=D$92,F143,D$92-SUM(E$99:E143))</f>
        <v>283247.79875090462</v>
      </c>
      <c r="E144" s="522">
        <f t="shared" si="30"/>
        <v>64840.292682926833</v>
      </c>
      <c r="F144" s="523">
        <f t="shared" si="31"/>
        <v>218407.50606797778</v>
      </c>
      <c r="G144" s="523">
        <f t="shared" si="32"/>
        <v>250827.65240944119</v>
      </c>
      <c r="H144" s="526">
        <f t="shared" si="33"/>
        <v>93312.799598839076</v>
      </c>
      <c r="I144" s="577">
        <f t="shared" si="34"/>
        <v>93312.799598839076</v>
      </c>
      <c r="J144" s="514">
        <f t="shared" si="29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</row>
    <row r="145" spans="2:16" ht="12.5">
      <c r="B145" s="195" t="str">
        <f t="shared" si="26"/>
        <v/>
      </c>
      <c r="C145" s="507">
        <f>IF(D93="","-",+C144+1)</f>
        <v>2053</v>
      </c>
      <c r="D145" s="374">
        <f>IF(F144+SUM(E$99:E144)=D$92,F144,D$92-SUM(E$99:E144))</f>
        <v>218407.50606797778</v>
      </c>
      <c r="E145" s="522">
        <f t="shared" si="30"/>
        <v>64840.292682926833</v>
      </c>
      <c r="F145" s="523">
        <f t="shared" si="31"/>
        <v>153567.21338505094</v>
      </c>
      <c r="G145" s="523">
        <f t="shared" si="32"/>
        <v>185987.35972651438</v>
      </c>
      <c r="H145" s="526">
        <f t="shared" si="33"/>
        <v>85952.503937215602</v>
      </c>
      <c r="I145" s="577">
        <f t="shared" si="34"/>
        <v>85952.503937215602</v>
      </c>
      <c r="J145" s="514">
        <f t="shared" si="29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</row>
    <row r="146" spans="2:16" ht="12.5">
      <c r="B146" s="195" t="str">
        <f t="shared" si="26"/>
        <v/>
      </c>
      <c r="C146" s="507">
        <f>IF(D93="","-",+C145+1)</f>
        <v>2054</v>
      </c>
      <c r="D146" s="374">
        <f>IF(F145+SUM(E$99:E145)=D$92,F145,D$92-SUM(E$99:E145))</f>
        <v>153567.21338505094</v>
      </c>
      <c r="E146" s="522">
        <f t="shared" si="30"/>
        <v>64840.292682926833</v>
      </c>
      <c r="F146" s="523">
        <f t="shared" si="31"/>
        <v>88726.920702124102</v>
      </c>
      <c r="G146" s="523">
        <f t="shared" si="32"/>
        <v>121147.06704358752</v>
      </c>
      <c r="H146" s="526">
        <f t="shared" si="33"/>
        <v>78592.208275592144</v>
      </c>
      <c r="I146" s="577">
        <f t="shared" si="34"/>
        <v>78592.208275592144</v>
      </c>
      <c r="J146" s="514">
        <f t="shared" si="29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</row>
    <row r="147" spans="2:16" ht="12.5">
      <c r="B147" s="195" t="str">
        <f t="shared" si="26"/>
        <v/>
      </c>
      <c r="C147" s="507">
        <f>IF(D93="","-",+C146+1)</f>
        <v>2055</v>
      </c>
      <c r="D147" s="374">
        <f>IF(F146+SUM(E$99:E146)=D$92,F146,D$92-SUM(E$99:E146))</f>
        <v>88726.920702124102</v>
      </c>
      <c r="E147" s="522">
        <f t="shared" si="30"/>
        <v>64840.292682926833</v>
      </c>
      <c r="F147" s="523">
        <f t="shared" si="31"/>
        <v>23886.628019197269</v>
      </c>
      <c r="G147" s="523">
        <f t="shared" si="32"/>
        <v>56306.774360660682</v>
      </c>
      <c r="H147" s="526">
        <f t="shared" si="33"/>
        <v>71231.912613968685</v>
      </c>
      <c r="I147" s="577">
        <f t="shared" si="34"/>
        <v>71231.912613968685</v>
      </c>
      <c r="J147" s="514">
        <f t="shared" si="29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</row>
    <row r="148" spans="2:16" ht="12.5">
      <c r="B148" s="195" t="str">
        <f t="shared" si="26"/>
        <v/>
      </c>
      <c r="C148" s="507">
        <f>IF(D93="","-",+C147+1)</f>
        <v>2056</v>
      </c>
      <c r="D148" s="374">
        <f>IF(F147+SUM(E$99:E147)=D$92,F147,D$92-SUM(E$99:E147))</f>
        <v>23886.628019197269</v>
      </c>
      <c r="E148" s="522">
        <f t="shared" si="30"/>
        <v>23886.628019197269</v>
      </c>
      <c r="F148" s="523">
        <f t="shared" si="31"/>
        <v>0</v>
      </c>
      <c r="G148" s="523">
        <f t="shared" si="32"/>
        <v>11943.314009598635</v>
      </c>
      <c r="H148" s="526">
        <f t="shared" si="33"/>
        <v>25242.364069312327</v>
      </c>
      <c r="I148" s="577">
        <f t="shared" si="34"/>
        <v>25242.364069312327</v>
      </c>
      <c r="J148" s="514">
        <f t="shared" si="29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</row>
    <row r="149" spans="2:16" ht="12.5">
      <c r="B149" s="195" t="str">
        <f t="shared" si="26"/>
        <v/>
      </c>
      <c r="C149" s="507">
        <f>IF(D93="","-",+C148+1)</f>
        <v>2057</v>
      </c>
      <c r="D149" s="374">
        <f>IF(F148+SUM(E$99:E148)=D$92,F148,D$92-SUM(E$99:E148))</f>
        <v>0</v>
      </c>
      <c r="E149" s="522">
        <f t="shared" si="30"/>
        <v>0</v>
      </c>
      <c r="F149" s="523">
        <f t="shared" si="31"/>
        <v>0</v>
      </c>
      <c r="G149" s="523">
        <f t="shared" si="32"/>
        <v>0</v>
      </c>
      <c r="H149" s="526">
        <f t="shared" si="33"/>
        <v>0</v>
      </c>
      <c r="I149" s="577">
        <f t="shared" si="34"/>
        <v>0</v>
      </c>
      <c r="J149" s="514">
        <f t="shared" si="29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</row>
    <row r="150" spans="2:16" ht="12.5">
      <c r="B150" s="195" t="str">
        <f t="shared" si="26"/>
        <v/>
      </c>
      <c r="C150" s="507">
        <f>IF(D93="","-",+C149+1)</f>
        <v>2058</v>
      </c>
      <c r="D150" s="374">
        <f>IF(F149+SUM(E$99:E149)=D$92,F149,D$92-SUM(E$99:E149))</f>
        <v>0</v>
      </c>
      <c r="E150" s="522">
        <f t="shared" si="30"/>
        <v>0</v>
      </c>
      <c r="F150" s="523">
        <f t="shared" si="31"/>
        <v>0</v>
      </c>
      <c r="G150" s="523">
        <f t="shared" si="32"/>
        <v>0</v>
      </c>
      <c r="H150" s="526">
        <f t="shared" si="33"/>
        <v>0</v>
      </c>
      <c r="I150" s="577">
        <f t="shared" si="34"/>
        <v>0</v>
      </c>
      <c r="J150" s="514">
        <f t="shared" si="29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</row>
    <row r="151" spans="2:16" ht="12.5">
      <c r="B151" s="195" t="str">
        <f t="shared" si="26"/>
        <v/>
      </c>
      <c r="C151" s="507">
        <f>IF(D93="","-",+C150+1)</f>
        <v>2059</v>
      </c>
      <c r="D151" s="374">
        <f>IF(F150+SUM(E$99:E150)=D$92,F150,D$92-SUM(E$99:E150))</f>
        <v>0</v>
      </c>
      <c r="E151" s="522">
        <f t="shared" si="30"/>
        <v>0</v>
      </c>
      <c r="F151" s="523">
        <f t="shared" si="31"/>
        <v>0</v>
      </c>
      <c r="G151" s="523">
        <f t="shared" si="32"/>
        <v>0</v>
      </c>
      <c r="H151" s="526">
        <f t="shared" si="33"/>
        <v>0</v>
      </c>
      <c r="I151" s="577">
        <f t="shared" si="34"/>
        <v>0</v>
      </c>
      <c r="J151" s="514">
        <f t="shared" si="29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</row>
    <row r="152" spans="2:16" ht="12.5">
      <c r="B152" s="195" t="str">
        <f t="shared" si="26"/>
        <v/>
      </c>
      <c r="C152" s="507">
        <f>IF(D93="","-",+C151+1)</f>
        <v>2060</v>
      </c>
      <c r="D152" s="374">
        <f>IF(F151+SUM(E$99:E151)=D$92,F151,D$92-SUM(E$99:E151))</f>
        <v>0</v>
      </c>
      <c r="E152" s="522">
        <f t="shared" si="30"/>
        <v>0</v>
      </c>
      <c r="F152" s="523">
        <f t="shared" si="31"/>
        <v>0</v>
      </c>
      <c r="G152" s="523">
        <f t="shared" si="32"/>
        <v>0</v>
      </c>
      <c r="H152" s="526">
        <f t="shared" si="33"/>
        <v>0</v>
      </c>
      <c r="I152" s="577">
        <f t="shared" si="34"/>
        <v>0</v>
      </c>
      <c r="J152" s="514">
        <f t="shared" si="29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</row>
    <row r="153" spans="2:16" ht="12.5">
      <c r="B153" s="195" t="str">
        <f t="shared" si="26"/>
        <v/>
      </c>
      <c r="C153" s="507">
        <f>IF(D93="","-",+C152+1)</f>
        <v>2061</v>
      </c>
      <c r="D153" s="374">
        <f>IF(F152+SUM(E$99:E152)=D$92,F152,D$92-SUM(E$99:E152))</f>
        <v>0</v>
      </c>
      <c r="E153" s="522">
        <f t="shared" si="30"/>
        <v>0</v>
      </c>
      <c r="F153" s="523">
        <f t="shared" si="31"/>
        <v>0</v>
      </c>
      <c r="G153" s="523">
        <f t="shared" si="32"/>
        <v>0</v>
      </c>
      <c r="H153" s="526">
        <f t="shared" si="33"/>
        <v>0</v>
      </c>
      <c r="I153" s="577">
        <f t="shared" si="34"/>
        <v>0</v>
      </c>
      <c r="J153" s="514">
        <f t="shared" si="29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</row>
    <row r="154" spans="2:16" ht="13" thickBot="1">
      <c r="B154" s="195" t="str">
        <f t="shared" si="26"/>
        <v/>
      </c>
      <c r="C154" s="527">
        <f>IF(D93="","-",+C153+1)</f>
        <v>2062</v>
      </c>
      <c r="D154" s="374">
        <f>IF(F153+SUM(E$99:E153)=D$92,F153,D$92-SUM(E$99:E153))</f>
        <v>0</v>
      </c>
      <c r="E154" s="522">
        <f t="shared" si="30"/>
        <v>0</v>
      </c>
      <c r="F154" s="523">
        <f t="shared" si="31"/>
        <v>0</v>
      </c>
      <c r="G154" s="523">
        <f t="shared" si="32"/>
        <v>0</v>
      </c>
      <c r="H154" s="526">
        <f t="shared" si="33"/>
        <v>0</v>
      </c>
      <c r="I154" s="577">
        <f t="shared" si="34"/>
        <v>0</v>
      </c>
      <c r="J154" s="514">
        <f t="shared" si="29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</row>
    <row r="155" spans="2:16" ht="12.5">
      <c r="C155" s="374" t="s">
        <v>78</v>
      </c>
      <c r="D155" s="375"/>
      <c r="E155" s="375">
        <f>SUM(E99:E154)</f>
        <v>2658451.9999999986</v>
      </c>
      <c r="F155" s="375"/>
      <c r="G155" s="375"/>
      <c r="H155" s="375">
        <f>SUM(H99:H154)</f>
        <v>8941868.5016266517</v>
      </c>
      <c r="I155" s="375">
        <f>SUM(I99:I154)</f>
        <v>8941868.5016266517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0" priority="1" stopIfTrue="1" operator="equal">
      <formula>$I$10</formula>
    </cfRule>
  </conditionalFormatting>
  <conditionalFormatting sqref="C99:C154">
    <cfRule type="cellIs" dxfId="6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95">
    <tabColor theme="9" tint="-0.249977111117893"/>
  </sheetPr>
  <dimension ref="A1:P162"/>
  <sheetViews>
    <sheetView view="pageBreakPreview" zoomScale="82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46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1707258.207662385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1707258.207662385</v>
      </c>
      <c r="O6" s="269"/>
      <c r="P6" s="269"/>
    </row>
    <row r="7" spans="1:16" ht="13.5" thickBot="1">
      <c r="C7" s="467" t="s">
        <v>48</v>
      </c>
      <c r="D7" s="624" t="s">
        <v>332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331</v>
      </c>
      <c r="E9" s="637" t="s">
        <v>503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16318844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2008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388543.90476190473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2008</v>
      </c>
      <c r="D17" s="629">
        <v>16318844</v>
      </c>
      <c r="E17" s="638">
        <v>226650.61111111109</v>
      </c>
      <c r="F17" s="629">
        <v>16092193.388888888</v>
      </c>
      <c r="G17" s="638">
        <v>2397656.6000633142</v>
      </c>
      <c r="H17" s="639">
        <v>2397656.6000633142</v>
      </c>
      <c r="I17" s="511">
        <v>0</v>
      </c>
      <c r="J17" s="511"/>
      <c r="K17" s="512">
        <f t="shared" ref="K17:K23" si="0">G17</f>
        <v>2397656.6000633142</v>
      </c>
      <c r="L17" s="597">
        <f t="shared" ref="L17:L23" si="1">IF(K17&lt;&gt;0,+G17-K17,0)</f>
        <v>0</v>
      </c>
      <c r="M17" s="512">
        <f t="shared" ref="M17:M23" si="2">H17</f>
        <v>2397656.6000633142</v>
      </c>
      <c r="N17" s="513">
        <f t="shared" ref="N17:N23" si="3">IF(M17&lt;&gt;0,+H17-M17,0)</f>
        <v>0</v>
      </c>
      <c r="O17" s="514">
        <f t="shared" ref="O17:O23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2009</v>
      </c>
      <c r="D18" s="631">
        <v>16092193.388888888</v>
      </c>
      <c r="E18" s="630">
        <v>388543.90476190473</v>
      </c>
      <c r="F18" s="631">
        <v>15703649.484126983</v>
      </c>
      <c r="G18" s="630">
        <v>2507131.2380452421</v>
      </c>
      <c r="H18" s="639">
        <v>2507131.2380452421</v>
      </c>
      <c r="I18" s="511">
        <v>0</v>
      </c>
      <c r="J18" s="511"/>
      <c r="K18" s="518">
        <f t="shared" si="0"/>
        <v>2507131.2380452421</v>
      </c>
      <c r="L18" s="519">
        <f t="shared" si="1"/>
        <v>0</v>
      </c>
      <c r="M18" s="518">
        <f t="shared" si="2"/>
        <v>2507131.2380452421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2010</v>
      </c>
      <c r="D19" s="631">
        <v>15703649.484126983</v>
      </c>
      <c r="E19" s="630">
        <v>388543.90476190473</v>
      </c>
      <c r="F19" s="631">
        <v>15315105.579365078</v>
      </c>
      <c r="G19" s="630">
        <v>2454712.5823763758</v>
      </c>
      <c r="H19" s="639">
        <v>2454712.5823763758</v>
      </c>
      <c r="I19" s="511">
        <v>0</v>
      </c>
      <c r="J19" s="511"/>
      <c r="K19" s="518">
        <f t="shared" si="0"/>
        <v>2454712.5823763758</v>
      </c>
      <c r="L19" s="519">
        <f t="shared" si="1"/>
        <v>0</v>
      </c>
      <c r="M19" s="518">
        <f t="shared" si="2"/>
        <v>2454712.5823763758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2011</v>
      </c>
      <c r="D20" s="631">
        <v>15315105.579365078</v>
      </c>
      <c r="E20" s="630">
        <v>388543.90476190473</v>
      </c>
      <c r="F20" s="631">
        <v>14926561.674603174</v>
      </c>
      <c r="G20" s="630">
        <v>2402293.9267075099</v>
      </c>
      <c r="H20" s="639">
        <v>2402293.9267075099</v>
      </c>
      <c r="I20" s="511">
        <v>0</v>
      </c>
      <c r="J20" s="511"/>
      <c r="K20" s="518">
        <f t="shared" si="0"/>
        <v>2402293.9267075099</v>
      </c>
      <c r="L20" s="519">
        <f t="shared" si="1"/>
        <v>0</v>
      </c>
      <c r="M20" s="518">
        <f t="shared" si="2"/>
        <v>2402293.9267075099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2012</v>
      </c>
      <c r="D21" s="631">
        <v>14926561.674603174</v>
      </c>
      <c r="E21" s="630">
        <v>388543.90476190473</v>
      </c>
      <c r="F21" s="631">
        <v>14538017.769841269</v>
      </c>
      <c r="G21" s="630">
        <v>2349875.2710386436</v>
      </c>
      <c r="H21" s="639">
        <v>2349875.2710386436</v>
      </c>
      <c r="I21" s="511">
        <v>0</v>
      </c>
      <c r="J21" s="511"/>
      <c r="K21" s="518">
        <f t="shared" si="0"/>
        <v>2349875.2710386436</v>
      </c>
      <c r="L21" s="519">
        <f t="shared" si="1"/>
        <v>0</v>
      </c>
      <c r="M21" s="518">
        <f t="shared" si="2"/>
        <v>2349875.2710386436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2013</v>
      </c>
      <c r="D22" s="631">
        <v>14538017.769841269</v>
      </c>
      <c r="E22" s="630">
        <v>388543.90476190473</v>
      </c>
      <c r="F22" s="631">
        <v>14149473.865079364</v>
      </c>
      <c r="G22" s="630">
        <v>2297456.6153697777</v>
      </c>
      <c r="H22" s="639">
        <v>2297456.6153697777</v>
      </c>
      <c r="I22" s="511">
        <v>0</v>
      </c>
      <c r="J22" s="511"/>
      <c r="K22" s="518">
        <f t="shared" si="0"/>
        <v>2297456.6153697777</v>
      </c>
      <c r="L22" s="519">
        <f t="shared" si="1"/>
        <v>0</v>
      </c>
      <c r="M22" s="518">
        <f t="shared" si="2"/>
        <v>2297456.6153697777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2014</v>
      </c>
      <c r="D23" s="631">
        <v>14149473.865079364</v>
      </c>
      <c r="E23" s="630">
        <v>388543.90476190473</v>
      </c>
      <c r="F23" s="631">
        <v>13760929.960317459</v>
      </c>
      <c r="G23" s="630">
        <v>2245037.9597009113</v>
      </c>
      <c r="H23" s="639">
        <v>2245037.9597009113</v>
      </c>
      <c r="I23" s="511">
        <v>0</v>
      </c>
      <c r="J23" s="511"/>
      <c r="K23" s="518">
        <f t="shared" si="0"/>
        <v>2245037.9597009113</v>
      </c>
      <c r="L23" s="519">
        <f t="shared" si="1"/>
        <v>0</v>
      </c>
      <c r="M23" s="518">
        <f t="shared" si="2"/>
        <v>2245037.9597009113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5"/>
        <v/>
      </c>
      <c r="C24" s="507">
        <f>IF(D11="","-",+C23+1)</f>
        <v>2015</v>
      </c>
      <c r="D24" s="631">
        <v>13760929.960317459</v>
      </c>
      <c r="E24" s="630">
        <v>388543.90476190473</v>
      </c>
      <c r="F24" s="631">
        <v>13372386.055555554</v>
      </c>
      <c r="G24" s="630">
        <v>2149751.3487712028</v>
      </c>
      <c r="H24" s="639">
        <v>2149751.3487712028</v>
      </c>
      <c r="I24" s="511">
        <v>0</v>
      </c>
      <c r="J24" s="511"/>
      <c r="K24" s="518">
        <f t="shared" ref="K24:K29" si="6">G24</f>
        <v>2149751.3487712028</v>
      </c>
      <c r="L24" s="519">
        <f t="shared" ref="L24:L29" si="7">IF(K24&lt;&gt;0,+G24-K24,0)</f>
        <v>0</v>
      </c>
      <c r="M24" s="518">
        <f t="shared" ref="M24:M29" si="8">H24</f>
        <v>2149751.3487712028</v>
      </c>
      <c r="N24" s="514">
        <f>IF(M24&lt;&gt;0,+H24-M24,0)</f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2016</v>
      </c>
      <c r="D25" s="631">
        <v>13372386.055555554</v>
      </c>
      <c r="E25" s="630">
        <v>388543.90476190473</v>
      </c>
      <c r="F25" s="631">
        <v>12983842.150793649</v>
      </c>
      <c r="G25" s="630">
        <v>2077481.7673867224</v>
      </c>
      <c r="H25" s="639">
        <v>2077481.7673867224</v>
      </c>
      <c r="I25" s="511">
        <f t="shared" ref="I25:I33" si="9">H25-G25</f>
        <v>0</v>
      </c>
      <c r="J25" s="511"/>
      <c r="K25" s="518">
        <f t="shared" si="6"/>
        <v>2077481.7673867224</v>
      </c>
      <c r="L25" s="519">
        <f t="shared" si="7"/>
        <v>0</v>
      </c>
      <c r="M25" s="518">
        <f t="shared" si="8"/>
        <v>2077481.7673867224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2017</v>
      </c>
      <c r="D26" s="631">
        <v>12983842.150793649</v>
      </c>
      <c r="E26" s="630">
        <v>379508</v>
      </c>
      <c r="F26" s="631">
        <v>12604334.150793649</v>
      </c>
      <c r="G26" s="630">
        <v>1964599.9963135775</v>
      </c>
      <c r="H26" s="639">
        <v>1964599.9963135775</v>
      </c>
      <c r="I26" s="511">
        <f t="shared" si="9"/>
        <v>0</v>
      </c>
      <c r="J26" s="511"/>
      <c r="K26" s="518">
        <f t="shared" si="6"/>
        <v>1964599.9963135775</v>
      </c>
      <c r="L26" s="519">
        <f t="shared" si="7"/>
        <v>0</v>
      </c>
      <c r="M26" s="518">
        <f t="shared" si="8"/>
        <v>1964599.9963135775</v>
      </c>
      <c r="N26" s="514">
        <f>IF(M26&lt;&gt;0,+H26-M26,0)</f>
        <v>0</v>
      </c>
      <c r="O26" s="514">
        <f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2018</v>
      </c>
      <c r="D27" s="631">
        <v>12604334.150793649</v>
      </c>
      <c r="E27" s="630">
        <v>398020.58536585368</v>
      </c>
      <c r="F27" s="631">
        <v>12206313.565427795</v>
      </c>
      <c r="G27" s="630">
        <v>1974664.0430256741</v>
      </c>
      <c r="H27" s="639">
        <v>1974664.0430256741</v>
      </c>
      <c r="I27" s="511">
        <f t="shared" si="9"/>
        <v>0</v>
      </c>
      <c r="J27" s="511"/>
      <c r="K27" s="518">
        <f t="shared" si="6"/>
        <v>1974664.0430256741</v>
      </c>
      <c r="L27" s="519">
        <f t="shared" si="7"/>
        <v>0</v>
      </c>
      <c r="M27" s="518">
        <f t="shared" si="8"/>
        <v>1974664.0430256741</v>
      </c>
      <c r="N27" s="514">
        <f>IF(M27&lt;&gt;0,+H27-M27,0)</f>
        <v>0</v>
      </c>
      <c r="O27" s="514">
        <f>+N27-L27</f>
        <v>0</v>
      </c>
      <c r="P27" s="272"/>
    </row>
    <row r="28" spans="2:16" ht="12.5">
      <c r="B28" s="195" t="str">
        <f t="shared" si="5"/>
        <v/>
      </c>
      <c r="C28" s="507">
        <f>IF(D11="","-",+C27+1)</f>
        <v>2019</v>
      </c>
      <c r="D28" s="631">
        <v>12206313.565427795</v>
      </c>
      <c r="E28" s="630">
        <v>398020.58536585368</v>
      </c>
      <c r="F28" s="631">
        <v>11808292.980061941</v>
      </c>
      <c r="G28" s="630">
        <v>1924077.9753737026</v>
      </c>
      <c r="H28" s="639">
        <v>1924077.9753737026</v>
      </c>
      <c r="I28" s="511">
        <f t="shared" si="9"/>
        <v>0</v>
      </c>
      <c r="J28" s="511"/>
      <c r="K28" s="518">
        <f t="shared" si="6"/>
        <v>1924077.9753737026</v>
      </c>
      <c r="L28" s="519">
        <f t="shared" si="7"/>
        <v>0</v>
      </c>
      <c r="M28" s="518">
        <f t="shared" si="8"/>
        <v>1924077.9753737026</v>
      </c>
      <c r="N28" s="514">
        <f t="shared" ref="N28:N72" si="10">IF(M28&lt;&gt;0,+H28-M28,0)</f>
        <v>0</v>
      </c>
      <c r="O28" s="514">
        <f t="shared" ref="O28:O72" si="11">+N28-L28</f>
        <v>0</v>
      </c>
      <c r="P28" s="272"/>
    </row>
    <row r="29" spans="2:16" ht="12.5">
      <c r="B29" s="195" t="str">
        <f t="shared" si="5"/>
        <v/>
      </c>
      <c r="C29" s="507">
        <f>IF(D11="","-",+C28+1)</f>
        <v>2020</v>
      </c>
      <c r="D29" s="631">
        <v>11808292.980061941</v>
      </c>
      <c r="E29" s="630">
        <v>398020.58536585368</v>
      </c>
      <c r="F29" s="631">
        <v>11410272.394696087</v>
      </c>
      <c r="G29" s="630">
        <v>1586061.814731969</v>
      </c>
      <c r="H29" s="639">
        <v>1586061.814731969</v>
      </c>
      <c r="I29" s="511">
        <f t="shared" si="9"/>
        <v>0</v>
      </c>
      <c r="J29" s="511"/>
      <c r="K29" s="518">
        <f t="shared" si="6"/>
        <v>1586061.814731969</v>
      </c>
      <c r="L29" s="519">
        <f t="shared" si="7"/>
        <v>0</v>
      </c>
      <c r="M29" s="518">
        <f t="shared" si="8"/>
        <v>1586061.814731969</v>
      </c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>IU</v>
      </c>
      <c r="C30" s="507">
        <f>IF(D11="","-",+C29+1)</f>
        <v>2021</v>
      </c>
      <c r="D30" s="631">
        <v>11428784.980061945</v>
      </c>
      <c r="E30" s="630">
        <v>388543.90476190473</v>
      </c>
      <c r="F30" s="631">
        <v>11040241.07530004</v>
      </c>
      <c r="G30" s="630">
        <v>1579453.3470366392</v>
      </c>
      <c r="H30" s="639">
        <v>1579453.3470366392</v>
      </c>
      <c r="I30" s="511">
        <f t="shared" si="9"/>
        <v>0</v>
      </c>
      <c r="J30" s="511"/>
      <c r="K30" s="518">
        <f t="shared" ref="K30" si="12">G30</f>
        <v>1579453.3470366392</v>
      </c>
      <c r="L30" s="519">
        <f t="shared" ref="L30" si="13">IF(K30&lt;&gt;0,+G30-K30,0)</f>
        <v>0</v>
      </c>
      <c r="M30" s="518">
        <f t="shared" ref="M30" si="14">H30</f>
        <v>1579453.3470366392</v>
      </c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>IU</v>
      </c>
      <c r="C31" s="507">
        <f>IF(D11="","-",+C30+1)</f>
        <v>2022</v>
      </c>
      <c r="D31" s="631">
        <v>11021728.489934186</v>
      </c>
      <c r="E31" s="630">
        <v>388543.90476190473</v>
      </c>
      <c r="F31" s="631">
        <v>10633184.585172281</v>
      </c>
      <c r="G31" s="630">
        <v>1606027.4766677744</v>
      </c>
      <c r="H31" s="639">
        <v>1606027.4766677744</v>
      </c>
      <c r="I31" s="511">
        <f t="shared" si="9"/>
        <v>0</v>
      </c>
      <c r="J31" s="511"/>
      <c r="K31" s="518">
        <f t="shared" ref="K31" si="15">G31</f>
        <v>1606027.4766677744</v>
      </c>
      <c r="L31" s="519">
        <f t="shared" ref="L31" si="16">IF(K31&lt;&gt;0,+G31-K31,0)</f>
        <v>0</v>
      </c>
      <c r="M31" s="518">
        <f t="shared" ref="M31" si="17">H31</f>
        <v>1606027.4766677744</v>
      </c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2023</v>
      </c>
      <c r="D32" s="523">
        <f>IF(F31+SUM(E$17:E31)=D$10,F31,D$10-SUM(E$17:E31))</f>
        <v>10633184.585172281</v>
      </c>
      <c r="E32" s="522">
        <f>IF(+I14&lt;F31,I14,D32)</f>
        <v>388543.90476190473</v>
      </c>
      <c r="F32" s="523">
        <f t="shared" ref="F32:F33" si="18">+D32-E32</f>
        <v>10244640.680410376</v>
      </c>
      <c r="G32" s="524">
        <f t="shared" ref="G32:G72" si="19">+I$12*((D32+F32)/2)+E32</f>
        <v>1707258.207662385</v>
      </c>
      <c r="H32" s="491">
        <f t="shared" ref="H32:H72" si="20">+I$13*((D32+F32)/2)+E32</f>
        <v>1707258.207662385</v>
      </c>
      <c r="I32" s="511">
        <f t="shared" si="9"/>
        <v>0</v>
      </c>
      <c r="J32" s="511"/>
      <c r="K32" s="525"/>
      <c r="L32" s="514">
        <f t="shared" ref="L32:L72" si="21">IF(K32&lt;&gt;0,+G32-K32,0)</f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2024</v>
      </c>
      <c r="D33" s="523">
        <f>IF(F32+SUM(E$17:E32)=D$10,F32,D$10-SUM(E$17:E32))</f>
        <v>10244640.680410376</v>
      </c>
      <c r="E33" s="522">
        <f>IF(+I14&lt;F32,I14,D33)</f>
        <v>388543.90476190473</v>
      </c>
      <c r="F33" s="523">
        <f t="shared" si="18"/>
        <v>9856096.775648471</v>
      </c>
      <c r="G33" s="524">
        <f t="shared" si="19"/>
        <v>1658174.704184751</v>
      </c>
      <c r="H33" s="491">
        <f t="shared" si="20"/>
        <v>1658174.704184751</v>
      </c>
      <c r="I33" s="511">
        <f t="shared" si="9"/>
        <v>0</v>
      </c>
      <c r="J33" s="511"/>
      <c r="K33" s="525"/>
      <c r="L33" s="514">
        <f t="shared" si="21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2025</v>
      </c>
      <c r="D34" s="523">
        <f>IF(F33+SUM(E$17:E33)=D$10,F33,D$10-SUM(E$17:E33))</f>
        <v>9856096.775648471</v>
      </c>
      <c r="E34" s="522">
        <f>IF(+I14&lt;F33,I14,D34)</f>
        <v>388543.90476190473</v>
      </c>
      <c r="F34" s="523">
        <f t="shared" ref="F34:F72" si="22">+D34-E34</f>
        <v>9467552.8708865661</v>
      </c>
      <c r="G34" s="524">
        <f t="shared" si="19"/>
        <v>1609091.200707118</v>
      </c>
      <c r="H34" s="491">
        <f t="shared" si="20"/>
        <v>1609091.200707118</v>
      </c>
      <c r="I34" s="511">
        <f t="shared" ref="I34:I72" si="23">H34-G34</f>
        <v>0</v>
      </c>
      <c r="J34" s="511"/>
      <c r="K34" s="525"/>
      <c r="L34" s="514">
        <f t="shared" si="21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2026</v>
      </c>
      <c r="D35" s="523">
        <f>IF(F34+SUM(E$17:E34)=D$10,F34,D$10-SUM(E$17:E34))</f>
        <v>9467552.8708865661</v>
      </c>
      <c r="E35" s="522">
        <f>IF(+I14&lt;F34,I14,D35)</f>
        <v>388543.90476190473</v>
      </c>
      <c r="F35" s="523">
        <f t="shared" si="22"/>
        <v>9079008.9661246613</v>
      </c>
      <c r="G35" s="524">
        <f t="shared" si="19"/>
        <v>1560007.6972294841</v>
      </c>
      <c r="H35" s="491">
        <f t="shared" si="20"/>
        <v>1560007.6972294841</v>
      </c>
      <c r="I35" s="511">
        <f t="shared" si="23"/>
        <v>0</v>
      </c>
      <c r="J35" s="511"/>
      <c r="K35" s="525"/>
      <c r="L35" s="514">
        <f t="shared" si="21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2027</v>
      </c>
      <c r="D36" s="523">
        <f>IF(F35+SUM(E$17:E35)=D$10,F35,D$10-SUM(E$17:E35))</f>
        <v>9079008.9661246613</v>
      </c>
      <c r="E36" s="522">
        <f>IF(+I14&lt;F35,I14,D36)</f>
        <v>388543.90476190473</v>
      </c>
      <c r="F36" s="523">
        <f t="shared" si="22"/>
        <v>8690465.0613627564</v>
      </c>
      <c r="G36" s="524">
        <f t="shared" si="19"/>
        <v>1510924.1937518506</v>
      </c>
      <c r="H36" s="491">
        <f t="shared" si="20"/>
        <v>1510924.1937518506</v>
      </c>
      <c r="I36" s="511">
        <f t="shared" si="23"/>
        <v>0</v>
      </c>
      <c r="J36" s="511"/>
      <c r="K36" s="525"/>
      <c r="L36" s="514">
        <f t="shared" si="21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2028</v>
      </c>
      <c r="D37" s="523">
        <f>IF(F36+SUM(E$17:E36)=D$10,F36,D$10-SUM(E$17:E36))</f>
        <v>8690465.0613627564</v>
      </c>
      <c r="E37" s="522">
        <f>IF(+I14&lt;F36,I14,D37)</f>
        <v>388543.90476190473</v>
      </c>
      <c r="F37" s="523">
        <f t="shared" si="22"/>
        <v>8301921.1566008516</v>
      </c>
      <c r="G37" s="524">
        <f t="shared" si="19"/>
        <v>1461840.6902742172</v>
      </c>
      <c r="H37" s="491">
        <f t="shared" si="20"/>
        <v>1461840.6902742172</v>
      </c>
      <c r="I37" s="511">
        <f t="shared" si="23"/>
        <v>0</v>
      </c>
      <c r="J37" s="511"/>
      <c r="K37" s="525"/>
      <c r="L37" s="514">
        <f t="shared" si="21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2029</v>
      </c>
      <c r="D38" s="523">
        <f>IF(F37+SUM(E$17:E37)=D$10,F37,D$10-SUM(E$17:E37))</f>
        <v>8301921.1566008516</v>
      </c>
      <c r="E38" s="522">
        <f>IF(+I14&lt;F37,I14,D38)</f>
        <v>388543.90476190473</v>
      </c>
      <c r="F38" s="523">
        <f t="shared" si="22"/>
        <v>7913377.2518389467</v>
      </c>
      <c r="G38" s="524">
        <f t="shared" si="19"/>
        <v>1412757.1867965837</v>
      </c>
      <c r="H38" s="491">
        <f t="shared" si="20"/>
        <v>1412757.1867965837</v>
      </c>
      <c r="I38" s="511">
        <f t="shared" si="23"/>
        <v>0</v>
      </c>
      <c r="J38" s="511"/>
      <c r="K38" s="525"/>
      <c r="L38" s="514">
        <f t="shared" si="21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2030</v>
      </c>
      <c r="D39" s="523">
        <f>IF(F38+SUM(E$17:E38)=D$10,F38,D$10-SUM(E$17:E38))</f>
        <v>7913377.2518389467</v>
      </c>
      <c r="E39" s="522">
        <f>IF(+I14&lt;F38,I14,D39)</f>
        <v>388543.90476190473</v>
      </c>
      <c r="F39" s="523">
        <f t="shared" si="22"/>
        <v>7524833.3470770419</v>
      </c>
      <c r="G39" s="524">
        <f t="shared" si="19"/>
        <v>1363673.6833189502</v>
      </c>
      <c r="H39" s="491">
        <f t="shared" si="20"/>
        <v>1363673.6833189502</v>
      </c>
      <c r="I39" s="511">
        <f t="shared" si="23"/>
        <v>0</v>
      </c>
      <c r="J39" s="511"/>
      <c r="K39" s="525"/>
      <c r="L39" s="514">
        <f t="shared" si="21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2031</v>
      </c>
      <c r="D40" s="523">
        <f>IF(F39+SUM(E$17:E39)=D$10,F39,D$10-SUM(E$17:E39))</f>
        <v>7524833.3470770419</v>
      </c>
      <c r="E40" s="522">
        <f>IF(+I14&lt;F39,I14,D40)</f>
        <v>388543.90476190473</v>
      </c>
      <c r="F40" s="523">
        <f t="shared" si="22"/>
        <v>7136289.442315137</v>
      </c>
      <c r="G40" s="524">
        <f t="shared" si="19"/>
        <v>1314590.1798413165</v>
      </c>
      <c r="H40" s="491">
        <f t="shared" si="20"/>
        <v>1314590.1798413165</v>
      </c>
      <c r="I40" s="511">
        <f t="shared" si="23"/>
        <v>0</v>
      </c>
      <c r="J40" s="511"/>
      <c r="K40" s="525"/>
      <c r="L40" s="514">
        <f t="shared" si="21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2032</v>
      </c>
      <c r="D41" s="523">
        <f>IF(F40+SUM(E$17:E40)=D$10,F40,D$10-SUM(E$17:E40))</f>
        <v>7136289.442315137</v>
      </c>
      <c r="E41" s="522">
        <f>IF(+I14&lt;F40,I14,D41)</f>
        <v>388543.90476190473</v>
      </c>
      <c r="F41" s="523">
        <f t="shared" si="22"/>
        <v>6747745.5375532322</v>
      </c>
      <c r="G41" s="524">
        <f t="shared" si="19"/>
        <v>1265506.6763636828</v>
      </c>
      <c r="H41" s="491">
        <f t="shared" si="20"/>
        <v>1265506.6763636828</v>
      </c>
      <c r="I41" s="511">
        <f t="shared" si="23"/>
        <v>0</v>
      </c>
      <c r="J41" s="511"/>
      <c r="K41" s="525"/>
      <c r="L41" s="514">
        <f t="shared" si="21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2033</v>
      </c>
      <c r="D42" s="523">
        <f>IF(F41+SUM(E$17:E41)=D$10,F41,D$10-SUM(E$17:E41))</f>
        <v>6747745.5375532322</v>
      </c>
      <c r="E42" s="522">
        <f>IF(+I14&lt;F41,I14,D42)</f>
        <v>388543.90476190473</v>
      </c>
      <c r="F42" s="523">
        <f t="shared" si="22"/>
        <v>6359201.6327913273</v>
      </c>
      <c r="G42" s="524">
        <f t="shared" si="19"/>
        <v>1216423.1728860494</v>
      </c>
      <c r="H42" s="491">
        <f t="shared" si="20"/>
        <v>1216423.1728860494</v>
      </c>
      <c r="I42" s="511">
        <f t="shared" si="23"/>
        <v>0</v>
      </c>
      <c r="J42" s="511"/>
      <c r="K42" s="525"/>
      <c r="L42" s="514">
        <f t="shared" si="21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2034</v>
      </c>
      <c r="D43" s="523">
        <f>IF(F42+SUM(E$17:E42)=D$10,F42,D$10-SUM(E$17:E42))</f>
        <v>6359201.6327913273</v>
      </c>
      <c r="E43" s="522">
        <f>IF(+I14&lt;F42,I14,D43)</f>
        <v>388543.90476190473</v>
      </c>
      <c r="F43" s="523">
        <f t="shared" si="22"/>
        <v>5970657.7280294225</v>
      </c>
      <c r="G43" s="524">
        <f t="shared" si="19"/>
        <v>1167339.6694084159</v>
      </c>
      <c r="H43" s="491">
        <f t="shared" si="20"/>
        <v>1167339.6694084159</v>
      </c>
      <c r="I43" s="511">
        <f t="shared" si="23"/>
        <v>0</v>
      </c>
      <c r="J43" s="511"/>
      <c r="K43" s="525"/>
      <c r="L43" s="514">
        <f t="shared" si="21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2035</v>
      </c>
      <c r="D44" s="523">
        <f>IF(F43+SUM(E$17:E43)=D$10,F43,D$10-SUM(E$17:E43))</f>
        <v>5970657.7280294225</v>
      </c>
      <c r="E44" s="522">
        <f>IF(+I14&lt;F43,I14,D44)</f>
        <v>388543.90476190473</v>
      </c>
      <c r="F44" s="523">
        <f t="shared" si="22"/>
        <v>5582113.8232675176</v>
      </c>
      <c r="G44" s="524">
        <f t="shared" si="19"/>
        <v>1118256.1659307824</v>
      </c>
      <c r="H44" s="491">
        <f t="shared" si="20"/>
        <v>1118256.1659307824</v>
      </c>
      <c r="I44" s="511">
        <f t="shared" si="23"/>
        <v>0</v>
      </c>
      <c r="J44" s="511"/>
      <c r="K44" s="525"/>
      <c r="L44" s="514">
        <f t="shared" si="21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2036</v>
      </c>
      <c r="D45" s="523">
        <f>IF(F44+SUM(E$17:E44)=D$10,F44,D$10-SUM(E$17:E44))</f>
        <v>5582113.8232675176</v>
      </c>
      <c r="E45" s="522">
        <f>IF(+I14&lt;F44,I14,D45)</f>
        <v>388543.90476190473</v>
      </c>
      <c r="F45" s="523">
        <f t="shared" si="22"/>
        <v>5193569.9185056128</v>
      </c>
      <c r="G45" s="524">
        <f t="shared" si="19"/>
        <v>1069172.6624531487</v>
      </c>
      <c r="H45" s="491">
        <f t="shared" si="20"/>
        <v>1069172.6624531487</v>
      </c>
      <c r="I45" s="511">
        <f t="shared" si="23"/>
        <v>0</v>
      </c>
      <c r="J45" s="511"/>
      <c r="K45" s="525"/>
      <c r="L45" s="514">
        <f t="shared" si="21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2037</v>
      </c>
      <c r="D46" s="523">
        <f>IF(F45+SUM(E$17:E45)=D$10,F45,D$10-SUM(E$17:E45))</f>
        <v>5193569.9185056128</v>
      </c>
      <c r="E46" s="522">
        <f>IF(+I14&lt;F45,I14,D46)</f>
        <v>388543.90476190473</v>
      </c>
      <c r="F46" s="523">
        <f t="shared" si="22"/>
        <v>4805026.0137437079</v>
      </c>
      <c r="G46" s="524">
        <f t="shared" si="19"/>
        <v>1020089.1589755153</v>
      </c>
      <c r="H46" s="491">
        <f t="shared" si="20"/>
        <v>1020089.1589755153</v>
      </c>
      <c r="I46" s="511">
        <f t="shared" si="23"/>
        <v>0</v>
      </c>
      <c r="J46" s="511"/>
      <c r="K46" s="525"/>
      <c r="L46" s="514">
        <f t="shared" si="21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2038</v>
      </c>
      <c r="D47" s="523">
        <f>IF(F46+SUM(E$17:E46)=D$10,F46,D$10-SUM(E$17:E46))</f>
        <v>4805026.0137437079</v>
      </c>
      <c r="E47" s="522">
        <f>IF(+I14&lt;F46,I14,D47)</f>
        <v>388543.90476190473</v>
      </c>
      <c r="F47" s="523">
        <f t="shared" si="22"/>
        <v>4416482.1089818031</v>
      </c>
      <c r="G47" s="524">
        <f t="shared" si="19"/>
        <v>971005.6554978817</v>
      </c>
      <c r="H47" s="491">
        <f t="shared" si="20"/>
        <v>971005.6554978817</v>
      </c>
      <c r="I47" s="511">
        <f t="shared" si="23"/>
        <v>0</v>
      </c>
      <c r="J47" s="511"/>
      <c r="K47" s="525"/>
      <c r="L47" s="514">
        <f t="shared" si="21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2039</v>
      </c>
      <c r="D48" s="523">
        <f>IF(F47+SUM(E$17:E47)=D$10,F47,D$10-SUM(E$17:E47))</f>
        <v>4416482.1089818031</v>
      </c>
      <c r="E48" s="522">
        <f>IF(+I14&lt;F47,I14,D48)</f>
        <v>388543.90476190473</v>
      </c>
      <c r="F48" s="523">
        <f t="shared" si="22"/>
        <v>4027938.2042198982</v>
      </c>
      <c r="G48" s="524">
        <f t="shared" si="19"/>
        <v>921922.15202024812</v>
      </c>
      <c r="H48" s="491">
        <f t="shared" si="20"/>
        <v>921922.15202024812</v>
      </c>
      <c r="I48" s="511">
        <f t="shared" si="23"/>
        <v>0</v>
      </c>
      <c r="J48" s="511"/>
      <c r="K48" s="525"/>
      <c r="L48" s="514">
        <f t="shared" si="21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2040</v>
      </c>
      <c r="D49" s="523">
        <f>IF(F48+SUM(E$17:E48)=D$10,F48,D$10-SUM(E$17:E48))</f>
        <v>4027938.2042198982</v>
      </c>
      <c r="E49" s="522">
        <f>IF(+I14&lt;F48,I14,D49)</f>
        <v>388543.90476190473</v>
      </c>
      <c r="F49" s="523">
        <f t="shared" si="22"/>
        <v>3639394.2994579934</v>
      </c>
      <c r="G49" s="524">
        <f t="shared" si="19"/>
        <v>872838.64854261465</v>
      </c>
      <c r="H49" s="491">
        <f t="shared" si="20"/>
        <v>872838.64854261465</v>
      </c>
      <c r="I49" s="511">
        <f t="shared" si="23"/>
        <v>0</v>
      </c>
      <c r="J49" s="511"/>
      <c r="K49" s="525"/>
      <c r="L49" s="514">
        <f t="shared" si="21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2041</v>
      </c>
      <c r="D50" s="523">
        <f>IF(F49+SUM(E$17:E49)=D$10,F49,D$10-SUM(E$17:E49))</f>
        <v>3639394.2994579934</v>
      </c>
      <c r="E50" s="522">
        <f>IF(+I14&lt;F49,I14,D50)</f>
        <v>388543.90476190473</v>
      </c>
      <c r="F50" s="523">
        <f t="shared" si="22"/>
        <v>3250850.3946960885</v>
      </c>
      <c r="G50" s="524">
        <f t="shared" si="19"/>
        <v>823755.14506498107</v>
      </c>
      <c r="H50" s="491">
        <f t="shared" si="20"/>
        <v>823755.14506498107</v>
      </c>
      <c r="I50" s="511">
        <f t="shared" si="23"/>
        <v>0</v>
      </c>
      <c r="J50" s="511"/>
      <c r="K50" s="525"/>
      <c r="L50" s="514">
        <f t="shared" si="21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2042</v>
      </c>
      <c r="D51" s="523">
        <f>IF(F50+SUM(E$17:E50)=D$10,F50,D$10-SUM(E$17:E50))</f>
        <v>3250850.3946960885</v>
      </c>
      <c r="E51" s="522">
        <f>IF(+I14&lt;F50,I14,D51)</f>
        <v>388543.90476190473</v>
      </c>
      <c r="F51" s="523">
        <f t="shared" si="22"/>
        <v>2862306.4899341837</v>
      </c>
      <c r="G51" s="524">
        <f t="shared" si="19"/>
        <v>774671.64158734749</v>
      </c>
      <c r="H51" s="491">
        <f t="shared" si="20"/>
        <v>774671.64158734749</v>
      </c>
      <c r="I51" s="511">
        <f t="shared" si="23"/>
        <v>0</v>
      </c>
      <c r="J51" s="511"/>
      <c r="K51" s="525"/>
      <c r="L51" s="514">
        <f t="shared" si="21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2043</v>
      </c>
      <c r="D52" s="523">
        <f>IF(F51+SUM(E$17:E51)=D$10,F51,D$10-SUM(E$17:E51))</f>
        <v>2862306.4899341837</v>
      </c>
      <c r="E52" s="522">
        <f>IF(+I14&lt;F51,I14,D52)</f>
        <v>388543.90476190473</v>
      </c>
      <c r="F52" s="523">
        <f t="shared" si="22"/>
        <v>2473762.5851722788</v>
      </c>
      <c r="G52" s="524">
        <f t="shared" si="19"/>
        <v>725588.13810971403</v>
      </c>
      <c r="H52" s="491">
        <f t="shared" si="20"/>
        <v>725588.13810971403</v>
      </c>
      <c r="I52" s="511">
        <f t="shared" si="23"/>
        <v>0</v>
      </c>
      <c r="J52" s="511"/>
      <c r="K52" s="525"/>
      <c r="L52" s="514">
        <f t="shared" si="21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2044</v>
      </c>
      <c r="D53" s="523">
        <f>IF(F52+SUM(E$17:E52)=D$10,F52,D$10-SUM(E$17:E52))</f>
        <v>2473762.5851722788</v>
      </c>
      <c r="E53" s="522">
        <f>IF(+I14&lt;F52,I14,D53)</f>
        <v>388543.90476190473</v>
      </c>
      <c r="F53" s="523">
        <f t="shared" si="22"/>
        <v>2085218.680410374</v>
      </c>
      <c r="G53" s="524">
        <f t="shared" si="19"/>
        <v>676504.63463208044</v>
      </c>
      <c r="H53" s="491">
        <f t="shared" si="20"/>
        <v>676504.63463208044</v>
      </c>
      <c r="I53" s="511">
        <f t="shared" si="23"/>
        <v>0</v>
      </c>
      <c r="J53" s="511"/>
      <c r="K53" s="525"/>
      <c r="L53" s="514">
        <f t="shared" si="21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2045</v>
      </c>
      <c r="D54" s="523">
        <f>IF(F53+SUM(E$17:E53)=D$10,F53,D$10-SUM(E$17:E53))</f>
        <v>2085218.680410374</v>
      </c>
      <c r="E54" s="522">
        <f>IF(+I14&lt;F53,I14,D54)</f>
        <v>388543.90476190473</v>
      </c>
      <c r="F54" s="523">
        <f t="shared" si="22"/>
        <v>1696674.7756484691</v>
      </c>
      <c r="G54" s="524">
        <f t="shared" si="19"/>
        <v>627421.13115444686</v>
      </c>
      <c r="H54" s="491">
        <f t="shared" si="20"/>
        <v>627421.13115444686</v>
      </c>
      <c r="I54" s="511">
        <f t="shared" si="23"/>
        <v>0</v>
      </c>
      <c r="J54" s="511"/>
      <c r="K54" s="525"/>
      <c r="L54" s="514">
        <f t="shared" si="21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2046</v>
      </c>
      <c r="D55" s="523">
        <f>IF(F54+SUM(E$17:E54)=D$10,F54,D$10-SUM(E$17:E54))</f>
        <v>1696674.7756484691</v>
      </c>
      <c r="E55" s="522">
        <f>IF(+I14&lt;F54,I14,D55)</f>
        <v>388543.90476190473</v>
      </c>
      <c r="F55" s="523">
        <f t="shared" si="22"/>
        <v>1308130.8708865643</v>
      </c>
      <c r="G55" s="524">
        <f t="shared" si="19"/>
        <v>578337.6276768134</v>
      </c>
      <c r="H55" s="491">
        <f t="shared" si="20"/>
        <v>578337.6276768134</v>
      </c>
      <c r="I55" s="511">
        <f t="shared" si="23"/>
        <v>0</v>
      </c>
      <c r="J55" s="511"/>
      <c r="K55" s="525"/>
      <c r="L55" s="514">
        <f t="shared" si="21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2047</v>
      </c>
      <c r="D56" s="523">
        <f>IF(F55+SUM(E$17:E55)=D$10,F55,D$10-SUM(E$17:E55))</f>
        <v>1308130.8708865643</v>
      </c>
      <c r="E56" s="522">
        <f>IF(+I14&lt;F55,I14,D56)</f>
        <v>388543.90476190473</v>
      </c>
      <c r="F56" s="523">
        <f t="shared" si="22"/>
        <v>919586.96612465952</v>
      </c>
      <c r="G56" s="524">
        <f t="shared" si="19"/>
        <v>529254.12419917982</v>
      </c>
      <c r="H56" s="491">
        <f t="shared" si="20"/>
        <v>529254.12419917982</v>
      </c>
      <c r="I56" s="511">
        <f t="shared" si="23"/>
        <v>0</v>
      </c>
      <c r="J56" s="511"/>
      <c r="K56" s="525"/>
      <c r="L56" s="514">
        <f t="shared" si="21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2048</v>
      </c>
      <c r="D57" s="523">
        <f>IF(F56+SUM(E$17:E56)=D$10,F56,D$10-SUM(E$17:E56))</f>
        <v>919586.96612465952</v>
      </c>
      <c r="E57" s="522">
        <f>IF(+I14&lt;F56,I14,D57)</f>
        <v>388543.90476190473</v>
      </c>
      <c r="F57" s="523">
        <f t="shared" si="22"/>
        <v>531043.06136275479</v>
      </c>
      <c r="G57" s="524">
        <f t="shared" si="19"/>
        <v>480170.62072154629</v>
      </c>
      <c r="H57" s="491">
        <f t="shared" si="20"/>
        <v>480170.62072154629</v>
      </c>
      <c r="I57" s="511">
        <f t="shared" si="23"/>
        <v>0</v>
      </c>
      <c r="J57" s="511"/>
      <c r="K57" s="525"/>
      <c r="L57" s="514">
        <f t="shared" si="21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2049</v>
      </c>
      <c r="D58" s="523">
        <f>IF(F57+SUM(E$17:E57)=D$10,F57,D$10-SUM(E$17:E57))</f>
        <v>531043.06136275479</v>
      </c>
      <c r="E58" s="522">
        <f>IF(+I14&lt;F57,I14,D58)</f>
        <v>388543.90476190473</v>
      </c>
      <c r="F58" s="523">
        <f t="shared" si="22"/>
        <v>142499.15660085005</v>
      </c>
      <c r="G58" s="524">
        <f t="shared" si="19"/>
        <v>431087.11724391277</v>
      </c>
      <c r="H58" s="491">
        <f t="shared" si="20"/>
        <v>431087.11724391277</v>
      </c>
      <c r="I58" s="511">
        <f t="shared" si="23"/>
        <v>0</v>
      </c>
      <c r="J58" s="511"/>
      <c r="K58" s="525"/>
      <c r="L58" s="514">
        <f t="shared" si="21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2050</v>
      </c>
      <c r="D59" s="523">
        <f>IF(F58+SUM(E$17:E58)=D$10,F58,D$10-SUM(E$17:E58))</f>
        <v>142499.15660085005</v>
      </c>
      <c r="E59" s="522">
        <f>IF(+I14&lt;F58,I14,D59)</f>
        <v>142499.15660085005</v>
      </c>
      <c r="F59" s="523">
        <f t="shared" si="22"/>
        <v>0</v>
      </c>
      <c r="G59" s="524">
        <f t="shared" si="19"/>
        <v>151499.88697244567</v>
      </c>
      <c r="H59" s="491">
        <f t="shared" si="20"/>
        <v>151499.88697244567</v>
      </c>
      <c r="I59" s="511">
        <f t="shared" si="23"/>
        <v>0</v>
      </c>
      <c r="J59" s="511"/>
      <c r="K59" s="525"/>
      <c r="L59" s="514">
        <f t="shared" si="21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2"/>
        <v>0</v>
      </c>
      <c r="G60" s="524">
        <f t="shared" si="19"/>
        <v>0</v>
      </c>
      <c r="H60" s="491">
        <f t="shared" si="20"/>
        <v>0</v>
      </c>
      <c r="I60" s="511">
        <f t="shared" si="23"/>
        <v>0</v>
      </c>
      <c r="J60" s="511"/>
      <c r="K60" s="525"/>
      <c r="L60" s="514">
        <f t="shared" si="21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2"/>
        <v>0</v>
      </c>
      <c r="G61" s="524">
        <f t="shared" si="19"/>
        <v>0</v>
      </c>
      <c r="H61" s="491">
        <f t="shared" si="20"/>
        <v>0</v>
      </c>
      <c r="I61" s="511">
        <f t="shared" si="23"/>
        <v>0</v>
      </c>
      <c r="J61" s="511"/>
      <c r="K61" s="525"/>
      <c r="L61" s="514">
        <f t="shared" si="21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2"/>
        <v>0</v>
      </c>
      <c r="G62" s="524">
        <f t="shared" si="19"/>
        <v>0</v>
      </c>
      <c r="H62" s="491">
        <f t="shared" si="20"/>
        <v>0</v>
      </c>
      <c r="I62" s="511">
        <f t="shared" si="23"/>
        <v>0</v>
      </c>
      <c r="J62" s="511"/>
      <c r="K62" s="525"/>
      <c r="L62" s="514">
        <f t="shared" si="21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2"/>
        <v>0</v>
      </c>
      <c r="G63" s="524">
        <f t="shared" si="19"/>
        <v>0</v>
      </c>
      <c r="H63" s="491">
        <f t="shared" si="20"/>
        <v>0</v>
      </c>
      <c r="I63" s="511">
        <f t="shared" si="23"/>
        <v>0</v>
      </c>
      <c r="J63" s="511"/>
      <c r="K63" s="525"/>
      <c r="L63" s="514">
        <f t="shared" si="21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2"/>
        <v>0</v>
      </c>
      <c r="G64" s="524">
        <f t="shared" si="19"/>
        <v>0</v>
      </c>
      <c r="H64" s="491">
        <f t="shared" si="20"/>
        <v>0</v>
      </c>
      <c r="I64" s="511">
        <f t="shared" si="23"/>
        <v>0</v>
      </c>
      <c r="J64" s="511"/>
      <c r="K64" s="525"/>
      <c r="L64" s="514">
        <f t="shared" si="21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2"/>
        <v>0</v>
      </c>
      <c r="G65" s="524">
        <f t="shared" si="19"/>
        <v>0</v>
      </c>
      <c r="H65" s="491">
        <f t="shared" si="20"/>
        <v>0</v>
      </c>
      <c r="I65" s="511">
        <f t="shared" si="23"/>
        <v>0</v>
      </c>
      <c r="J65" s="511"/>
      <c r="K65" s="525"/>
      <c r="L65" s="514">
        <f t="shared" si="21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2"/>
        <v>0</v>
      </c>
      <c r="G66" s="524">
        <f t="shared" si="19"/>
        <v>0</v>
      </c>
      <c r="H66" s="491">
        <f t="shared" si="20"/>
        <v>0</v>
      </c>
      <c r="I66" s="511">
        <f t="shared" si="23"/>
        <v>0</v>
      </c>
      <c r="J66" s="511"/>
      <c r="K66" s="525"/>
      <c r="L66" s="514">
        <f t="shared" si="21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2058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2"/>
        <v>0</v>
      </c>
      <c r="G67" s="524">
        <f t="shared" si="19"/>
        <v>0</v>
      </c>
      <c r="H67" s="491">
        <f t="shared" si="20"/>
        <v>0</v>
      </c>
      <c r="I67" s="511">
        <f t="shared" si="23"/>
        <v>0</v>
      </c>
      <c r="J67" s="511"/>
      <c r="K67" s="525"/>
      <c r="L67" s="514">
        <f t="shared" si="21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2059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2"/>
        <v>0</v>
      </c>
      <c r="G68" s="524">
        <f t="shared" si="19"/>
        <v>0</v>
      </c>
      <c r="H68" s="491">
        <f t="shared" si="20"/>
        <v>0</v>
      </c>
      <c r="I68" s="511">
        <f t="shared" si="23"/>
        <v>0</v>
      </c>
      <c r="J68" s="511"/>
      <c r="K68" s="525"/>
      <c r="L68" s="514">
        <f t="shared" si="21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2"/>
        <v>0</v>
      </c>
      <c r="G69" s="524">
        <f t="shared" si="19"/>
        <v>0</v>
      </c>
      <c r="H69" s="491">
        <f t="shared" si="20"/>
        <v>0</v>
      </c>
      <c r="I69" s="511">
        <f t="shared" si="23"/>
        <v>0</v>
      </c>
      <c r="J69" s="511"/>
      <c r="K69" s="525"/>
      <c r="L69" s="514">
        <f t="shared" si="21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2"/>
        <v>0</v>
      </c>
      <c r="G70" s="524">
        <f t="shared" si="19"/>
        <v>0</v>
      </c>
      <c r="H70" s="491">
        <f t="shared" si="20"/>
        <v>0</v>
      </c>
      <c r="I70" s="511">
        <f t="shared" si="23"/>
        <v>0</v>
      </c>
      <c r="J70" s="511"/>
      <c r="K70" s="525"/>
      <c r="L70" s="514">
        <f t="shared" si="21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2"/>
        <v>0</v>
      </c>
      <c r="G71" s="524">
        <f t="shared" si="19"/>
        <v>0</v>
      </c>
      <c r="H71" s="491">
        <f t="shared" si="20"/>
        <v>0</v>
      </c>
      <c r="I71" s="511">
        <f t="shared" si="23"/>
        <v>0</v>
      </c>
      <c r="J71" s="511"/>
      <c r="K71" s="525"/>
      <c r="L71" s="514">
        <f t="shared" si="21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2"/>
        <v>0</v>
      </c>
      <c r="G72" s="524">
        <f t="shared" si="19"/>
        <v>0</v>
      </c>
      <c r="H72" s="491">
        <f t="shared" si="20"/>
        <v>0</v>
      </c>
      <c r="I72" s="531">
        <f t="shared" si="23"/>
        <v>0</v>
      </c>
      <c r="J72" s="511"/>
      <c r="K72" s="532"/>
      <c r="L72" s="533">
        <f t="shared" si="21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16318844</v>
      </c>
      <c r="F73" s="375"/>
      <c r="G73" s="375">
        <f>SUM(G17:G72)</f>
        <v>60535443.735816501</v>
      </c>
      <c r="H73" s="375">
        <f>SUM(H17:H72)</f>
        <v>60535443.735816501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46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1579453.3470366392</v>
      </c>
      <c r="N87" s="546">
        <f>IF(J92&lt;D11,0,VLOOKUP(J92,C17:O72,11))</f>
        <v>1579453.3470366392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1972184.2054114174</v>
      </c>
      <c r="N88" s="550">
        <f>IF(J92&lt;D11,0,VLOOKUP(J92,C99:P154,7))</f>
        <v>1972184.2054114174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TONTITOWN 345KV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392730.85837477818</v>
      </c>
      <c r="N89" s="555">
        <f>+N88-N87</f>
        <v>392730.85837477818</v>
      </c>
      <c r="O89" s="556">
        <f>+O88-O87</f>
        <v>0</v>
      </c>
      <c r="P89" s="269"/>
    </row>
    <row r="90" spans="1:16" ht="13.5" thickBot="1">
      <c r="C90" s="534"/>
      <c r="D90" s="646" t="str">
        <f>S.045!D90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TP2002123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16318844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2008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398020.58536585368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2008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4">IF(L99&lt;&gt;0,+H99-L99,0)</f>
        <v>0</v>
      </c>
      <c r="N99" s="512"/>
      <c r="O99" s="513">
        <f t="shared" ref="O99:O130" si="25">IF(N99&lt;&gt;0,+I99-N99,0)</f>
        <v>0</v>
      </c>
      <c r="P99" s="513">
        <f t="shared" ref="P99:P130" si="26">+O99-M99</f>
        <v>0</v>
      </c>
    </row>
    <row r="100" spans="1:16" ht="12.5">
      <c r="B100" s="195" t="str">
        <f>IF(D100=F99,"","IU")</f>
        <v/>
      </c>
      <c r="C100" s="507">
        <f>IF(D93="","-",+C99+1)</f>
        <v>2009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4"/>
        <v>0</v>
      </c>
      <c r="N100" s="518"/>
      <c r="O100" s="514">
        <f t="shared" si="25"/>
        <v>0</v>
      </c>
      <c r="P100" s="514">
        <f t="shared" si="26"/>
        <v>0</v>
      </c>
    </row>
    <row r="101" spans="1:16" ht="12.5">
      <c r="B101" s="195" t="str">
        <f t="shared" ref="B101:B154" si="27">IF(D101=F100,"","IU")</f>
        <v/>
      </c>
      <c r="C101" s="507">
        <f>IF(D93="","-",+C100+1)</f>
        <v>2010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4"/>
        <v>0</v>
      </c>
      <c r="N101" s="518"/>
      <c r="O101" s="514">
        <f t="shared" si="25"/>
        <v>0</v>
      </c>
      <c r="P101" s="514">
        <f t="shared" si="26"/>
        <v>0</v>
      </c>
    </row>
    <row r="102" spans="1:16" ht="12.5">
      <c r="B102" s="195" t="str">
        <f t="shared" si="27"/>
        <v/>
      </c>
      <c r="C102" s="507">
        <f>IF(D93="","-",+C101+1)</f>
        <v>2011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24"/>
        <v>0</v>
      </c>
      <c r="N102" s="518"/>
      <c r="O102" s="514">
        <f t="shared" si="25"/>
        <v>0</v>
      </c>
      <c r="P102" s="514">
        <f t="shared" si="26"/>
        <v>0</v>
      </c>
    </row>
    <row r="103" spans="1:16" ht="12.5">
      <c r="B103" s="195" t="str">
        <f t="shared" si="27"/>
        <v/>
      </c>
      <c r="C103" s="507">
        <f>IF(D93="","-",+C102+1)</f>
        <v>2012</v>
      </c>
      <c r="D103" s="374"/>
      <c r="E103" s="522"/>
      <c r="F103" s="523"/>
      <c r="G103" s="523"/>
      <c r="H103" s="526"/>
      <c r="I103" s="577"/>
      <c r="J103" s="514"/>
      <c r="K103" s="514"/>
      <c r="L103" s="518"/>
      <c r="M103" s="514">
        <f t="shared" si="24"/>
        <v>0</v>
      </c>
      <c r="N103" s="518"/>
      <c r="O103" s="514">
        <f t="shared" si="25"/>
        <v>0</v>
      </c>
      <c r="P103" s="514">
        <f t="shared" si="26"/>
        <v>0</v>
      </c>
    </row>
    <row r="104" spans="1:16" ht="12.5">
      <c r="B104" s="195" t="str">
        <f t="shared" si="27"/>
        <v/>
      </c>
      <c r="C104" s="507">
        <f>IF(D93="","-",+C103+1)</f>
        <v>2013</v>
      </c>
      <c r="D104" s="374"/>
      <c r="E104" s="522"/>
      <c r="F104" s="523"/>
      <c r="G104" s="523"/>
      <c r="H104" s="526"/>
      <c r="I104" s="577"/>
      <c r="J104" s="514"/>
      <c r="K104" s="514"/>
      <c r="L104" s="518"/>
      <c r="M104" s="514">
        <f t="shared" si="24"/>
        <v>0</v>
      </c>
      <c r="N104" s="518"/>
      <c r="O104" s="514">
        <f t="shared" si="25"/>
        <v>0</v>
      </c>
      <c r="P104" s="514">
        <f t="shared" si="26"/>
        <v>0</v>
      </c>
    </row>
    <row r="105" spans="1:16" ht="12.5">
      <c r="B105" s="195" t="str">
        <f t="shared" si="27"/>
        <v/>
      </c>
      <c r="C105" s="507">
        <f>IF(D93="","-",+C104+1)</f>
        <v>2014</v>
      </c>
      <c r="D105" s="374"/>
      <c r="E105" s="522"/>
      <c r="F105" s="523"/>
      <c r="G105" s="523"/>
      <c r="H105" s="526"/>
      <c r="I105" s="577"/>
      <c r="J105" s="514"/>
      <c r="K105" s="514"/>
      <c r="L105" s="518"/>
      <c r="M105" s="514">
        <f t="shared" si="24"/>
        <v>0</v>
      </c>
      <c r="N105" s="518"/>
      <c r="O105" s="514">
        <f t="shared" si="25"/>
        <v>0</v>
      </c>
      <c r="P105" s="514">
        <f t="shared" si="26"/>
        <v>0</v>
      </c>
    </row>
    <row r="106" spans="1:16" ht="12.5">
      <c r="B106" s="195" t="str">
        <f t="shared" si="27"/>
        <v>IU</v>
      </c>
      <c r="C106" s="507">
        <f>IF(D93="","-",+C105+1)</f>
        <v>2015</v>
      </c>
      <c r="D106" s="629">
        <v>13760929.960317459</v>
      </c>
      <c r="E106" s="630">
        <v>327641.18953136809</v>
      </c>
      <c r="F106" s="631">
        <v>13433288.770786092</v>
      </c>
      <c r="G106" s="631">
        <v>13597109.365551775</v>
      </c>
      <c r="H106" s="633">
        <v>2119317.0329736611</v>
      </c>
      <c r="I106" s="634">
        <v>2119317.0329736611</v>
      </c>
      <c r="J106" s="514">
        <f>+I106-H106</f>
        <v>0</v>
      </c>
      <c r="K106" s="514"/>
      <c r="L106" s="518">
        <f t="shared" ref="L106:L111" si="28">+H106</f>
        <v>2119317.0329736611</v>
      </c>
      <c r="M106" s="514">
        <f t="shared" si="24"/>
        <v>0</v>
      </c>
      <c r="N106" s="518">
        <f t="shared" ref="N106:N111" si="29">+I106</f>
        <v>2119317.0329736611</v>
      </c>
      <c r="O106" s="514">
        <f t="shared" si="25"/>
        <v>0</v>
      </c>
      <c r="P106" s="514">
        <f t="shared" si="26"/>
        <v>0</v>
      </c>
    </row>
    <row r="107" spans="1:16" ht="12.5">
      <c r="B107" s="195" t="str">
        <f t="shared" si="27"/>
        <v>IU</v>
      </c>
      <c r="C107" s="507">
        <f>IF(D93="","-",+C106+1)</f>
        <v>2016</v>
      </c>
      <c r="D107" s="629">
        <v>15991202.810468633</v>
      </c>
      <c r="E107" s="630">
        <v>379508</v>
      </c>
      <c r="F107" s="631">
        <v>15611694.810468633</v>
      </c>
      <c r="G107" s="631">
        <v>15801448.810468633</v>
      </c>
      <c r="H107" s="633">
        <v>2385501.7414281433</v>
      </c>
      <c r="I107" s="634">
        <v>2385501.7414281433</v>
      </c>
      <c r="J107" s="514">
        <f>+I107-H107</f>
        <v>0</v>
      </c>
      <c r="K107" s="514"/>
      <c r="L107" s="518">
        <f t="shared" si="28"/>
        <v>2385501.7414281433</v>
      </c>
      <c r="M107" s="514">
        <f>IF(L107&lt;&gt;0,+H107-L107,0)</f>
        <v>0</v>
      </c>
      <c r="N107" s="518">
        <f t="shared" si="29"/>
        <v>2385501.7414281433</v>
      </c>
      <c r="O107" s="514">
        <f>IF(N107&lt;&gt;0,+I107-N107,0)</f>
        <v>0</v>
      </c>
      <c r="P107" s="514">
        <f>+O107-M107</f>
        <v>0</v>
      </c>
    </row>
    <row r="108" spans="1:16" ht="12.5">
      <c r="B108" s="195" t="str">
        <f t="shared" si="27"/>
        <v/>
      </c>
      <c r="C108" s="507">
        <f>IF(D93="","-",+C107+1)</f>
        <v>2017</v>
      </c>
      <c r="D108" s="629">
        <v>15611694.810468633</v>
      </c>
      <c r="E108" s="630">
        <v>388543.90476190473</v>
      </c>
      <c r="F108" s="631">
        <v>15223150.905706728</v>
      </c>
      <c r="G108" s="631">
        <v>15417422.858087681</v>
      </c>
      <c r="H108" s="633">
        <v>2261320.7330641602</v>
      </c>
      <c r="I108" s="634">
        <v>2261320.7330641602</v>
      </c>
      <c r="J108" s="514">
        <f t="shared" ref="J108:J154" si="30">+I108-H108</f>
        <v>0</v>
      </c>
      <c r="K108" s="514"/>
      <c r="L108" s="518">
        <f t="shared" si="28"/>
        <v>2261320.7330641602</v>
      </c>
      <c r="M108" s="514">
        <f>IF(L108&lt;&gt;0,+H108-L108,0)</f>
        <v>0</v>
      </c>
      <c r="N108" s="518">
        <f t="shared" si="29"/>
        <v>2261320.7330641602</v>
      </c>
      <c r="O108" s="514">
        <f>IF(N108&lt;&gt;0,+I108-N108,0)</f>
        <v>0</v>
      </c>
      <c r="P108" s="514">
        <f>+O108-M108</f>
        <v>0</v>
      </c>
    </row>
    <row r="109" spans="1:16" ht="12.5">
      <c r="B109" s="195" t="str">
        <f t="shared" si="27"/>
        <v/>
      </c>
      <c r="C109" s="507">
        <f>IF(D93="","-",+C108+1)</f>
        <v>2018</v>
      </c>
      <c r="D109" s="629">
        <v>15223150.905706728</v>
      </c>
      <c r="E109" s="630">
        <v>388543.90476190473</v>
      </c>
      <c r="F109" s="631">
        <v>14834607.000944823</v>
      </c>
      <c r="G109" s="631">
        <v>15028878.953325775</v>
      </c>
      <c r="H109" s="633">
        <v>1975662.4419636219</v>
      </c>
      <c r="I109" s="634">
        <v>1975662.4419636219</v>
      </c>
      <c r="J109" s="514">
        <f t="shared" si="30"/>
        <v>0</v>
      </c>
      <c r="K109" s="514"/>
      <c r="L109" s="518">
        <f t="shared" si="28"/>
        <v>1975662.4419636219</v>
      </c>
      <c r="M109" s="514">
        <f>IF(L109&lt;&gt;0,+H109-L109,0)</f>
        <v>0</v>
      </c>
      <c r="N109" s="518">
        <f t="shared" si="29"/>
        <v>1975662.4419636219</v>
      </c>
      <c r="O109" s="514">
        <f>IF(N109&lt;&gt;0,+I109-N109,0)</f>
        <v>0</v>
      </c>
      <c r="P109" s="514">
        <f>+O109-M109</f>
        <v>0</v>
      </c>
    </row>
    <row r="110" spans="1:16" ht="12.5">
      <c r="B110" s="195" t="str">
        <f t="shared" si="27"/>
        <v/>
      </c>
      <c r="C110" s="507">
        <f>IF(D93="","-",+C109+1)</f>
        <v>2019</v>
      </c>
      <c r="D110" s="629">
        <v>14834607.000944823</v>
      </c>
      <c r="E110" s="630">
        <v>379508</v>
      </c>
      <c r="F110" s="631">
        <v>14455099.000944823</v>
      </c>
      <c r="G110" s="631">
        <v>14644853.000944823</v>
      </c>
      <c r="H110" s="633">
        <v>1947101.0692492859</v>
      </c>
      <c r="I110" s="634">
        <v>1947101.0692492859</v>
      </c>
      <c r="J110" s="514">
        <f t="shared" si="30"/>
        <v>0</v>
      </c>
      <c r="K110" s="514"/>
      <c r="L110" s="518">
        <f t="shared" si="28"/>
        <v>1947101.0692492859</v>
      </c>
      <c r="M110" s="514">
        <f>IF(L110&lt;&gt;0,+H110-L110,0)</f>
        <v>0</v>
      </c>
      <c r="N110" s="518">
        <f t="shared" si="29"/>
        <v>1947101.0692492859</v>
      </c>
      <c r="O110" s="514">
        <f t="shared" si="25"/>
        <v>0</v>
      </c>
      <c r="P110" s="514">
        <f t="shared" si="26"/>
        <v>0</v>
      </c>
    </row>
    <row r="111" spans="1:16" ht="12.5">
      <c r="B111" s="195" t="str">
        <f t="shared" si="27"/>
        <v/>
      </c>
      <c r="C111" s="507">
        <f>IF(D93="","-",+C110+1)</f>
        <v>2020</v>
      </c>
      <c r="D111" s="629">
        <v>14455099.000944823</v>
      </c>
      <c r="E111" s="630">
        <v>388543.90476190473</v>
      </c>
      <c r="F111" s="631">
        <v>14066555.096182918</v>
      </c>
      <c r="G111" s="631">
        <v>14260827.048563872</v>
      </c>
      <c r="H111" s="633">
        <v>1922635.7250061021</v>
      </c>
      <c r="I111" s="634">
        <v>1922635.7250061021</v>
      </c>
      <c r="J111" s="514">
        <f t="shared" si="30"/>
        <v>0</v>
      </c>
      <c r="K111" s="514"/>
      <c r="L111" s="518">
        <f t="shared" si="28"/>
        <v>1922635.7250061021</v>
      </c>
      <c r="M111" s="514">
        <f>IF(L111&lt;&gt;0,+H111-L111,0)</f>
        <v>0</v>
      </c>
      <c r="N111" s="518">
        <f t="shared" si="29"/>
        <v>1922635.7250061021</v>
      </c>
      <c r="O111" s="514">
        <f t="shared" si="25"/>
        <v>0</v>
      </c>
      <c r="P111" s="514">
        <f t="shared" si="26"/>
        <v>0</v>
      </c>
    </row>
    <row r="112" spans="1:16" ht="12.5">
      <c r="B112" s="195" t="str">
        <f t="shared" si="27"/>
        <v/>
      </c>
      <c r="C112" s="507">
        <f>IF(D93="","-",+C111+1)</f>
        <v>2021</v>
      </c>
      <c r="D112" s="374">
        <f>IF(F111+SUM(E$99:E111)=D$92,F111,D$92-SUM(E$99:E111))</f>
        <v>14066555.096182918</v>
      </c>
      <c r="E112" s="522">
        <f t="shared" ref="E112:E154" si="31">IF(+$J$96&lt;F111,$J$96,D112)</f>
        <v>398020.58536585368</v>
      </c>
      <c r="F112" s="523">
        <f t="shared" ref="F112:F154" si="32">+D112-E112</f>
        <v>13668534.510817064</v>
      </c>
      <c r="G112" s="523">
        <f t="shared" ref="G112:G154" si="33">+(F112+D112)/2</f>
        <v>13867544.803499991</v>
      </c>
      <c r="H112" s="526">
        <f t="shared" ref="H112:H154" si="34">+J$94*G112+E112</f>
        <v>1972184.2054114174</v>
      </c>
      <c r="I112" s="577">
        <f t="shared" ref="I112:I154" si="35">+J$95*G112+E112</f>
        <v>1972184.2054114174</v>
      </c>
      <c r="J112" s="514">
        <f t="shared" si="30"/>
        <v>0</v>
      </c>
      <c r="K112" s="514"/>
      <c r="L112" s="525"/>
      <c r="M112" s="514">
        <f t="shared" si="24"/>
        <v>0</v>
      </c>
      <c r="N112" s="525"/>
      <c r="O112" s="514">
        <f t="shared" si="25"/>
        <v>0</v>
      </c>
      <c r="P112" s="514">
        <f t="shared" si="26"/>
        <v>0</v>
      </c>
    </row>
    <row r="113" spans="2:16" ht="12.5">
      <c r="B113" s="195" t="str">
        <f t="shared" si="27"/>
        <v/>
      </c>
      <c r="C113" s="507">
        <f>IF(D93="","-",+C112+1)</f>
        <v>2022</v>
      </c>
      <c r="D113" s="374">
        <f>IF(F112+SUM(E$99:E112)=D$92,F112,D$92-SUM(E$99:E112))</f>
        <v>13668534.510817064</v>
      </c>
      <c r="E113" s="522">
        <f t="shared" si="31"/>
        <v>398020.58536585368</v>
      </c>
      <c r="F113" s="523">
        <f t="shared" si="32"/>
        <v>13270513.92545121</v>
      </c>
      <c r="G113" s="523">
        <f t="shared" si="33"/>
        <v>13469524.218134137</v>
      </c>
      <c r="H113" s="526">
        <f t="shared" si="34"/>
        <v>1927003.2065835618</v>
      </c>
      <c r="I113" s="577">
        <f t="shared" si="35"/>
        <v>1927003.2065835618</v>
      </c>
      <c r="J113" s="514">
        <f t="shared" si="30"/>
        <v>0</v>
      </c>
      <c r="K113" s="514"/>
      <c r="L113" s="525"/>
      <c r="M113" s="514">
        <f t="shared" si="24"/>
        <v>0</v>
      </c>
      <c r="N113" s="525"/>
      <c r="O113" s="514">
        <f t="shared" si="25"/>
        <v>0</v>
      </c>
      <c r="P113" s="514">
        <f t="shared" si="26"/>
        <v>0</v>
      </c>
    </row>
    <row r="114" spans="2:16" ht="12.5">
      <c r="B114" s="195" t="str">
        <f t="shared" si="27"/>
        <v/>
      </c>
      <c r="C114" s="507">
        <f>IF(D93="","-",+C113+1)</f>
        <v>2023</v>
      </c>
      <c r="D114" s="374">
        <f>IF(F113+SUM(E$99:E113)=D$92,F113,D$92-SUM(E$99:E113))</f>
        <v>13270513.92545121</v>
      </c>
      <c r="E114" s="522">
        <f t="shared" si="31"/>
        <v>398020.58536585368</v>
      </c>
      <c r="F114" s="523">
        <f t="shared" si="32"/>
        <v>12872493.340085356</v>
      </c>
      <c r="G114" s="523">
        <f t="shared" si="33"/>
        <v>13071503.632768283</v>
      </c>
      <c r="H114" s="526">
        <f t="shared" si="34"/>
        <v>1881822.2077557063</v>
      </c>
      <c r="I114" s="577">
        <f t="shared" si="35"/>
        <v>1881822.2077557063</v>
      </c>
      <c r="J114" s="514">
        <f t="shared" si="30"/>
        <v>0</v>
      </c>
      <c r="K114" s="514"/>
      <c r="L114" s="525"/>
      <c r="M114" s="514">
        <f t="shared" si="24"/>
        <v>0</v>
      </c>
      <c r="N114" s="525"/>
      <c r="O114" s="514">
        <f t="shared" si="25"/>
        <v>0</v>
      </c>
      <c r="P114" s="514">
        <f t="shared" si="26"/>
        <v>0</v>
      </c>
    </row>
    <row r="115" spans="2:16" ht="12.5">
      <c r="B115" s="195" t="str">
        <f t="shared" si="27"/>
        <v/>
      </c>
      <c r="C115" s="507">
        <f>IF(D93="","-",+C114+1)</f>
        <v>2024</v>
      </c>
      <c r="D115" s="374">
        <f>IF(F114+SUM(E$99:E114)=D$92,F114,D$92-SUM(E$99:E114))</f>
        <v>12872493.340085356</v>
      </c>
      <c r="E115" s="522">
        <f t="shared" si="31"/>
        <v>398020.58536585368</v>
      </c>
      <c r="F115" s="523">
        <f t="shared" si="32"/>
        <v>12474472.754719501</v>
      </c>
      <c r="G115" s="523">
        <f t="shared" si="33"/>
        <v>12673483.047402428</v>
      </c>
      <c r="H115" s="526">
        <f t="shared" si="34"/>
        <v>1836641.2089278507</v>
      </c>
      <c r="I115" s="577">
        <f t="shared" si="35"/>
        <v>1836641.2089278507</v>
      </c>
      <c r="J115" s="514">
        <f t="shared" si="30"/>
        <v>0</v>
      </c>
      <c r="K115" s="514"/>
      <c r="L115" s="525"/>
      <c r="M115" s="514">
        <f t="shared" si="24"/>
        <v>0</v>
      </c>
      <c r="N115" s="525"/>
      <c r="O115" s="514">
        <f t="shared" si="25"/>
        <v>0</v>
      </c>
      <c r="P115" s="514">
        <f t="shared" si="26"/>
        <v>0</v>
      </c>
    </row>
    <row r="116" spans="2:16" ht="12.5">
      <c r="B116" s="195" t="str">
        <f t="shared" si="27"/>
        <v/>
      </c>
      <c r="C116" s="507">
        <f>IF(D93="","-",+C115+1)</f>
        <v>2025</v>
      </c>
      <c r="D116" s="374">
        <f>IF(F115+SUM(E$99:E115)=D$92,F115,D$92-SUM(E$99:E115))</f>
        <v>12474472.754719501</v>
      </c>
      <c r="E116" s="522">
        <f t="shared" si="31"/>
        <v>398020.58536585368</v>
      </c>
      <c r="F116" s="523">
        <f t="shared" si="32"/>
        <v>12076452.169353647</v>
      </c>
      <c r="G116" s="523">
        <f t="shared" si="33"/>
        <v>12275462.462036574</v>
      </c>
      <c r="H116" s="526">
        <f t="shared" si="34"/>
        <v>1791460.2100999951</v>
      </c>
      <c r="I116" s="577">
        <f t="shared" si="35"/>
        <v>1791460.2100999951</v>
      </c>
      <c r="J116" s="514">
        <f t="shared" si="30"/>
        <v>0</v>
      </c>
      <c r="K116" s="514"/>
      <c r="L116" s="525"/>
      <c r="M116" s="514">
        <f t="shared" si="24"/>
        <v>0</v>
      </c>
      <c r="N116" s="525"/>
      <c r="O116" s="514">
        <f t="shared" si="25"/>
        <v>0</v>
      </c>
      <c r="P116" s="514">
        <f t="shared" si="26"/>
        <v>0</v>
      </c>
    </row>
    <row r="117" spans="2:16" ht="12.5">
      <c r="B117" s="195" t="str">
        <f t="shared" si="27"/>
        <v/>
      </c>
      <c r="C117" s="507">
        <f>IF(D93="","-",+C116+1)</f>
        <v>2026</v>
      </c>
      <c r="D117" s="374">
        <f>IF(F116+SUM(E$99:E116)=D$92,F116,D$92-SUM(E$99:E116))</f>
        <v>12076452.169353647</v>
      </c>
      <c r="E117" s="522">
        <f t="shared" si="31"/>
        <v>398020.58536585368</v>
      </c>
      <c r="F117" s="523">
        <f t="shared" si="32"/>
        <v>11678431.583987793</v>
      </c>
      <c r="G117" s="523">
        <f t="shared" si="33"/>
        <v>11877441.87667072</v>
      </c>
      <c r="H117" s="526">
        <f t="shared" si="34"/>
        <v>1746279.2112721398</v>
      </c>
      <c r="I117" s="577">
        <f t="shared" si="35"/>
        <v>1746279.2112721398</v>
      </c>
      <c r="J117" s="514">
        <f t="shared" si="30"/>
        <v>0</v>
      </c>
      <c r="K117" s="514"/>
      <c r="L117" s="525"/>
      <c r="M117" s="514">
        <f t="shared" si="24"/>
        <v>0</v>
      </c>
      <c r="N117" s="525"/>
      <c r="O117" s="514">
        <f t="shared" si="25"/>
        <v>0</v>
      </c>
      <c r="P117" s="514">
        <f t="shared" si="26"/>
        <v>0</v>
      </c>
    </row>
    <row r="118" spans="2:16" ht="12.5">
      <c r="B118" s="195" t="str">
        <f t="shared" si="27"/>
        <v/>
      </c>
      <c r="C118" s="507">
        <f>IF(D93="","-",+C117+1)</f>
        <v>2027</v>
      </c>
      <c r="D118" s="374">
        <f>IF(F117+SUM(E$99:E117)=D$92,F117,D$92-SUM(E$99:E117))</f>
        <v>11678431.583987793</v>
      </c>
      <c r="E118" s="522">
        <f t="shared" si="31"/>
        <v>398020.58536585368</v>
      </c>
      <c r="F118" s="523">
        <f t="shared" si="32"/>
        <v>11280410.998621939</v>
      </c>
      <c r="G118" s="523">
        <f t="shared" si="33"/>
        <v>11479421.291304866</v>
      </c>
      <c r="H118" s="526">
        <f t="shared" si="34"/>
        <v>1701098.2124442842</v>
      </c>
      <c r="I118" s="577">
        <f t="shared" si="35"/>
        <v>1701098.2124442842</v>
      </c>
      <c r="J118" s="514">
        <f t="shared" si="30"/>
        <v>0</v>
      </c>
      <c r="K118" s="514"/>
      <c r="L118" s="525"/>
      <c r="M118" s="514">
        <f t="shared" si="24"/>
        <v>0</v>
      </c>
      <c r="N118" s="525"/>
      <c r="O118" s="514">
        <f t="shared" si="25"/>
        <v>0</v>
      </c>
      <c r="P118" s="514">
        <f t="shared" si="26"/>
        <v>0</v>
      </c>
    </row>
    <row r="119" spans="2:16" ht="12.5">
      <c r="B119" s="195" t="str">
        <f t="shared" si="27"/>
        <v/>
      </c>
      <c r="C119" s="507">
        <f>IF(D93="","-",+C118+1)</f>
        <v>2028</v>
      </c>
      <c r="D119" s="374">
        <f>IF(F118+SUM(E$99:E118)=D$92,F118,D$92-SUM(E$99:E118))</f>
        <v>11280410.998621939</v>
      </c>
      <c r="E119" s="522">
        <f t="shared" si="31"/>
        <v>398020.58536585368</v>
      </c>
      <c r="F119" s="523">
        <f t="shared" si="32"/>
        <v>10882390.413256085</v>
      </c>
      <c r="G119" s="523">
        <f t="shared" si="33"/>
        <v>11081400.705939012</v>
      </c>
      <c r="H119" s="526">
        <f t="shared" si="34"/>
        <v>1655917.2136164287</v>
      </c>
      <c r="I119" s="577">
        <f t="shared" si="35"/>
        <v>1655917.2136164287</v>
      </c>
      <c r="J119" s="514">
        <f t="shared" si="30"/>
        <v>0</v>
      </c>
      <c r="K119" s="514"/>
      <c r="L119" s="525"/>
      <c r="M119" s="514">
        <f t="shared" si="24"/>
        <v>0</v>
      </c>
      <c r="N119" s="525"/>
      <c r="O119" s="514">
        <f t="shared" si="25"/>
        <v>0</v>
      </c>
      <c r="P119" s="514">
        <f t="shared" si="26"/>
        <v>0</v>
      </c>
    </row>
    <row r="120" spans="2:16" ht="12.5">
      <c r="B120" s="195" t="str">
        <f t="shared" si="27"/>
        <v/>
      </c>
      <c r="C120" s="507">
        <f>IF(D93="","-",+C119+1)</f>
        <v>2029</v>
      </c>
      <c r="D120" s="374">
        <f>IF(F119+SUM(E$99:E119)=D$92,F119,D$92-SUM(E$99:E119))</f>
        <v>10882390.413256085</v>
      </c>
      <c r="E120" s="522">
        <f t="shared" si="31"/>
        <v>398020.58536585368</v>
      </c>
      <c r="F120" s="523">
        <f t="shared" si="32"/>
        <v>10484369.82789023</v>
      </c>
      <c r="G120" s="523">
        <f t="shared" si="33"/>
        <v>10683380.120573157</v>
      </c>
      <c r="H120" s="526">
        <f t="shared" si="34"/>
        <v>1610736.2147885731</v>
      </c>
      <c r="I120" s="577">
        <f t="shared" si="35"/>
        <v>1610736.2147885731</v>
      </c>
      <c r="J120" s="514">
        <f t="shared" si="30"/>
        <v>0</v>
      </c>
      <c r="K120" s="514"/>
      <c r="L120" s="525"/>
      <c r="M120" s="514">
        <f t="shared" si="24"/>
        <v>0</v>
      </c>
      <c r="N120" s="525"/>
      <c r="O120" s="514">
        <f t="shared" si="25"/>
        <v>0</v>
      </c>
      <c r="P120" s="514">
        <f t="shared" si="26"/>
        <v>0</v>
      </c>
    </row>
    <row r="121" spans="2:16" ht="12.5">
      <c r="B121" s="195" t="str">
        <f t="shared" si="27"/>
        <v/>
      </c>
      <c r="C121" s="507">
        <f>IF(D93="","-",+C120+1)</f>
        <v>2030</v>
      </c>
      <c r="D121" s="374">
        <f>IF(F120+SUM(E$99:E120)=D$92,F120,D$92-SUM(E$99:E120))</f>
        <v>10484369.82789023</v>
      </c>
      <c r="E121" s="522">
        <f t="shared" si="31"/>
        <v>398020.58536585368</v>
      </c>
      <c r="F121" s="523">
        <f t="shared" si="32"/>
        <v>10086349.242524376</v>
      </c>
      <c r="G121" s="523">
        <f t="shared" si="33"/>
        <v>10285359.535207303</v>
      </c>
      <c r="H121" s="526">
        <f t="shared" si="34"/>
        <v>1565555.2159607175</v>
      </c>
      <c r="I121" s="577">
        <f t="shared" si="35"/>
        <v>1565555.2159607175</v>
      </c>
      <c r="J121" s="514">
        <f t="shared" si="30"/>
        <v>0</v>
      </c>
      <c r="K121" s="514"/>
      <c r="L121" s="525"/>
      <c r="M121" s="514">
        <f t="shared" si="24"/>
        <v>0</v>
      </c>
      <c r="N121" s="525"/>
      <c r="O121" s="514">
        <f t="shared" si="25"/>
        <v>0</v>
      </c>
      <c r="P121" s="514">
        <f t="shared" si="26"/>
        <v>0</v>
      </c>
    </row>
    <row r="122" spans="2:16" ht="12.5">
      <c r="B122" s="195" t="str">
        <f t="shared" si="27"/>
        <v/>
      </c>
      <c r="C122" s="507">
        <f>IF(D93="","-",+C121+1)</f>
        <v>2031</v>
      </c>
      <c r="D122" s="374">
        <f>IF(F121+SUM(E$99:E121)=D$92,F121,D$92-SUM(E$99:E121))</f>
        <v>10086349.242524376</v>
      </c>
      <c r="E122" s="522">
        <f t="shared" si="31"/>
        <v>398020.58536585368</v>
      </c>
      <c r="F122" s="523">
        <f t="shared" si="32"/>
        <v>9688328.6571585219</v>
      </c>
      <c r="G122" s="523">
        <f t="shared" si="33"/>
        <v>9887338.949841449</v>
      </c>
      <c r="H122" s="526">
        <f t="shared" si="34"/>
        <v>1520374.217132862</v>
      </c>
      <c r="I122" s="577">
        <f t="shared" si="35"/>
        <v>1520374.217132862</v>
      </c>
      <c r="J122" s="514">
        <f t="shared" si="30"/>
        <v>0</v>
      </c>
      <c r="K122" s="514"/>
      <c r="L122" s="525"/>
      <c r="M122" s="514">
        <f t="shared" si="24"/>
        <v>0</v>
      </c>
      <c r="N122" s="525"/>
      <c r="O122" s="514">
        <f t="shared" si="25"/>
        <v>0</v>
      </c>
      <c r="P122" s="514">
        <f t="shared" si="26"/>
        <v>0</v>
      </c>
    </row>
    <row r="123" spans="2:16" ht="12.5">
      <c r="B123" s="195" t="str">
        <f t="shared" si="27"/>
        <v/>
      </c>
      <c r="C123" s="507">
        <f>IF(D93="","-",+C122+1)</f>
        <v>2032</v>
      </c>
      <c r="D123" s="374">
        <f>IF(F122+SUM(E$99:E122)=D$92,F122,D$92-SUM(E$99:E122))</f>
        <v>9688328.6571585219</v>
      </c>
      <c r="E123" s="522">
        <f t="shared" si="31"/>
        <v>398020.58536585368</v>
      </c>
      <c r="F123" s="523">
        <f t="shared" si="32"/>
        <v>9290308.0717926677</v>
      </c>
      <c r="G123" s="523">
        <f t="shared" si="33"/>
        <v>9489318.3644755948</v>
      </c>
      <c r="H123" s="526">
        <f t="shared" si="34"/>
        <v>1475193.2183050064</v>
      </c>
      <c r="I123" s="577">
        <f t="shared" si="35"/>
        <v>1475193.2183050064</v>
      </c>
      <c r="J123" s="514">
        <f t="shared" si="30"/>
        <v>0</v>
      </c>
      <c r="K123" s="514"/>
      <c r="L123" s="525"/>
      <c r="M123" s="514">
        <f t="shared" si="24"/>
        <v>0</v>
      </c>
      <c r="N123" s="525"/>
      <c r="O123" s="514">
        <f t="shared" si="25"/>
        <v>0</v>
      </c>
      <c r="P123" s="514">
        <f t="shared" si="26"/>
        <v>0</v>
      </c>
    </row>
    <row r="124" spans="2:16" ht="12.5">
      <c r="B124" s="195" t="str">
        <f t="shared" si="27"/>
        <v/>
      </c>
      <c r="C124" s="507">
        <f>IF(D93="","-",+C123+1)</f>
        <v>2033</v>
      </c>
      <c r="D124" s="374">
        <f>IF(F123+SUM(E$99:E123)=D$92,F123,D$92-SUM(E$99:E123))</f>
        <v>9290308.0717926677</v>
      </c>
      <c r="E124" s="522">
        <f t="shared" si="31"/>
        <v>398020.58536585368</v>
      </c>
      <c r="F124" s="523">
        <f t="shared" si="32"/>
        <v>8892287.4864268135</v>
      </c>
      <c r="G124" s="523">
        <f t="shared" si="33"/>
        <v>9091297.7791097406</v>
      </c>
      <c r="H124" s="526">
        <f t="shared" si="34"/>
        <v>1430012.2194771508</v>
      </c>
      <c r="I124" s="577">
        <f t="shared" si="35"/>
        <v>1430012.2194771508</v>
      </c>
      <c r="J124" s="514">
        <f t="shared" si="30"/>
        <v>0</v>
      </c>
      <c r="K124" s="514"/>
      <c r="L124" s="525"/>
      <c r="M124" s="514">
        <f t="shared" si="24"/>
        <v>0</v>
      </c>
      <c r="N124" s="525"/>
      <c r="O124" s="514">
        <f t="shared" si="25"/>
        <v>0</v>
      </c>
      <c r="P124" s="514">
        <f t="shared" si="26"/>
        <v>0</v>
      </c>
    </row>
    <row r="125" spans="2:16" ht="12.5">
      <c r="B125" s="195" t="str">
        <f t="shared" si="27"/>
        <v/>
      </c>
      <c r="C125" s="507">
        <f>IF(D93="","-",+C124+1)</f>
        <v>2034</v>
      </c>
      <c r="D125" s="374">
        <f>IF(F124+SUM(E$99:E124)=D$92,F124,D$92-SUM(E$99:E124))</f>
        <v>8892287.4864268135</v>
      </c>
      <c r="E125" s="522">
        <f t="shared" si="31"/>
        <v>398020.58536585368</v>
      </c>
      <c r="F125" s="523">
        <f t="shared" si="32"/>
        <v>8494266.9010609593</v>
      </c>
      <c r="G125" s="523">
        <f t="shared" si="33"/>
        <v>8693277.1937438864</v>
      </c>
      <c r="H125" s="526">
        <f t="shared" si="34"/>
        <v>1384831.2206492953</v>
      </c>
      <c r="I125" s="577">
        <f t="shared" si="35"/>
        <v>1384831.2206492953</v>
      </c>
      <c r="J125" s="514">
        <f t="shared" si="30"/>
        <v>0</v>
      </c>
      <c r="K125" s="514"/>
      <c r="L125" s="525"/>
      <c r="M125" s="514">
        <f t="shared" si="24"/>
        <v>0</v>
      </c>
      <c r="N125" s="525"/>
      <c r="O125" s="514">
        <f t="shared" si="25"/>
        <v>0</v>
      </c>
      <c r="P125" s="514">
        <f t="shared" si="26"/>
        <v>0</v>
      </c>
    </row>
    <row r="126" spans="2:16" ht="12.5">
      <c r="B126" s="195" t="str">
        <f t="shared" si="27"/>
        <v/>
      </c>
      <c r="C126" s="507">
        <f>IF(D93="","-",+C125+1)</f>
        <v>2035</v>
      </c>
      <c r="D126" s="374">
        <f>IF(F125+SUM(E$99:E125)=D$92,F125,D$92-SUM(E$99:E125))</f>
        <v>8494266.9010609593</v>
      </c>
      <c r="E126" s="522">
        <f t="shared" si="31"/>
        <v>398020.58536585368</v>
      </c>
      <c r="F126" s="523">
        <f t="shared" si="32"/>
        <v>8096246.3156951061</v>
      </c>
      <c r="G126" s="523">
        <f t="shared" si="33"/>
        <v>8295256.6083780322</v>
      </c>
      <c r="H126" s="526">
        <f t="shared" si="34"/>
        <v>1339650.2218214397</v>
      </c>
      <c r="I126" s="577">
        <f t="shared" si="35"/>
        <v>1339650.2218214397</v>
      </c>
      <c r="J126" s="514">
        <f t="shared" si="30"/>
        <v>0</v>
      </c>
      <c r="K126" s="514"/>
      <c r="L126" s="525"/>
      <c r="M126" s="514">
        <f t="shared" si="24"/>
        <v>0</v>
      </c>
      <c r="N126" s="525"/>
      <c r="O126" s="514">
        <f t="shared" si="25"/>
        <v>0</v>
      </c>
      <c r="P126" s="514">
        <f t="shared" si="26"/>
        <v>0</v>
      </c>
    </row>
    <row r="127" spans="2:16" ht="12.5">
      <c r="B127" s="195" t="str">
        <f t="shared" si="27"/>
        <v/>
      </c>
      <c r="C127" s="507">
        <f>IF(D93="","-",+C126+1)</f>
        <v>2036</v>
      </c>
      <c r="D127" s="374">
        <f>IF(F126+SUM(E$99:E126)=D$92,F126,D$92-SUM(E$99:E126))</f>
        <v>8096246.3156951061</v>
      </c>
      <c r="E127" s="522">
        <f t="shared" si="31"/>
        <v>398020.58536585368</v>
      </c>
      <c r="F127" s="523">
        <f t="shared" si="32"/>
        <v>7698225.7303292528</v>
      </c>
      <c r="G127" s="523">
        <f t="shared" si="33"/>
        <v>7897236.0230121799</v>
      </c>
      <c r="H127" s="526">
        <f t="shared" si="34"/>
        <v>1294469.2229935843</v>
      </c>
      <c r="I127" s="577">
        <f t="shared" si="35"/>
        <v>1294469.2229935843</v>
      </c>
      <c r="J127" s="514">
        <f t="shared" si="30"/>
        <v>0</v>
      </c>
      <c r="K127" s="514"/>
      <c r="L127" s="525"/>
      <c r="M127" s="514">
        <f t="shared" si="24"/>
        <v>0</v>
      </c>
      <c r="N127" s="525"/>
      <c r="O127" s="514">
        <f t="shared" si="25"/>
        <v>0</v>
      </c>
      <c r="P127" s="514">
        <f t="shared" si="26"/>
        <v>0</v>
      </c>
    </row>
    <row r="128" spans="2:16" ht="12.5">
      <c r="B128" s="195" t="str">
        <f t="shared" si="27"/>
        <v/>
      </c>
      <c r="C128" s="507">
        <f>IF(D93="","-",+C127+1)</f>
        <v>2037</v>
      </c>
      <c r="D128" s="374">
        <f>IF(F127+SUM(E$99:E127)=D$92,F127,D$92-SUM(E$99:E127))</f>
        <v>7698225.7303292528</v>
      </c>
      <c r="E128" s="522">
        <f t="shared" si="31"/>
        <v>398020.58536585368</v>
      </c>
      <c r="F128" s="523">
        <f t="shared" si="32"/>
        <v>7300205.1449633995</v>
      </c>
      <c r="G128" s="523">
        <f t="shared" si="33"/>
        <v>7499215.4376463257</v>
      </c>
      <c r="H128" s="526">
        <f t="shared" si="34"/>
        <v>1249288.2241657288</v>
      </c>
      <c r="I128" s="577">
        <f t="shared" si="35"/>
        <v>1249288.2241657288</v>
      </c>
      <c r="J128" s="514">
        <f t="shared" si="30"/>
        <v>0</v>
      </c>
      <c r="K128" s="514"/>
      <c r="L128" s="525"/>
      <c r="M128" s="514">
        <f t="shared" si="24"/>
        <v>0</v>
      </c>
      <c r="N128" s="525"/>
      <c r="O128" s="514">
        <f t="shared" si="25"/>
        <v>0</v>
      </c>
      <c r="P128" s="514">
        <f t="shared" si="26"/>
        <v>0</v>
      </c>
    </row>
    <row r="129" spans="2:16" ht="12.5">
      <c r="B129" s="195" t="str">
        <f t="shared" si="27"/>
        <v/>
      </c>
      <c r="C129" s="507">
        <f>IF(D93="","-",+C128+1)</f>
        <v>2038</v>
      </c>
      <c r="D129" s="374">
        <f>IF(F128+SUM(E$99:E128)=D$92,F128,D$92-SUM(E$99:E128))</f>
        <v>7300205.1449633995</v>
      </c>
      <c r="E129" s="522">
        <f t="shared" si="31"/>
        <v>398020.58536585368</v>
      </c>
      <c r="F129" s="523">
        <f t="shared" si="32"/>
        <v>6902184.5595975462</v>
      </c>
      <c r="G129" s="523">
        <f t="shared" si="33"/>
        <v>7101194.8522804733</v>
      </c>
      <c r="H129" s="526">
        <f t="shared" si="34"/>
        <v>1204107.2253378734</v>
      </c>
      <c r="I129" s="577">
        <f t="shared" si="35"/>
        <v>1204107.2253378734</v>
      </c>
      <c r="J129" s="514">
        <f t="shared" si="30"/>
        <v>0</v>
      </c>
      <c r="K129" s="514"/>
      <c r="L129" s="525"/>
      <c r="M129" s="514">
        <f t="shared" si="24"/>
        <v>0</v>
      </c>
      <c r="N129" s="525"/>
      <c r="O129" s="514">
        <f t="shared" si="25"/>
        <v>0</v>
      </c>
      <c r="P129" s="514">
        <f t="shared" si="26"/>
        <v>0</v>
      </c>
    </row>
    <row r="130" spans="2:16" ht="12.5">
      <c r="B130" s="195" t="str">
        <f t="shared" si="27"/>
        <v/>
      </c>
      <c r="C130" s="507">
        <f>IF(D93="","-",+C129+1)</f>
        <v>2039</v>
      </c>
      <c r="D130" s="374">
        <f>IF(F129+SUM(E$99:E129)=D$92,F129,D$92-SUM(E$99:E129))</f>
        <v>6902184.5595975462</v>
      </c>
      <c r="E130" s="522">
        <f t="shared" si="31"/>
        <v>398020.58536585368</v>
      </c>
      <c r="F130" s="523">
        <f t="shared" si="32"/>
        <v>6504163.974231693</v>
      </c>
      <c r="G130" s="523">
        <f t="shared" si="33"/>
        <v>6703174.2669146191</v>
      </c>
      <c r="H130" s="526">
        <f t="shared" si="34"/>
        <v>1158926.2265100179</v>
      </c>
      <c r="I130" s="577">
        <f t="shared" si="35"/>
        <v>1158926.2265100179</v>
      </c>
      <c r="J130" s="514">
        <f t="shared" si="30"/>
        <v>0</v>
      </c>
      <c r="K130" s="514"/>
      <c r="L130" s="525"/>
      <c r="M130" s="514">
        <f t="shared" si="24"/>
        <v>0</v>
      </c>
      <c r="N130" s="525"/>
      <c r="O130" s="514">
        <f t="shared" si="25"/>
        <v>0</v>
      </c>
      <c r="P130" s="514">
        <f t="shared" si="26"/>
        <v>0</v>
      </c>
    </row>
    <row r="131" spans="2:16" ht="12.5">
      <c r="B131" s="195" t="str">
        <f t="shared" si="27"/>
        <v/>
      </c>
      <c r="C131" s="507">
        <f>IF(D93="","-",+C130+1)</f>
        <v>2040</v>
      </c>
      <c r="D131" s="374">
        <f>IF(F130+SUM(E$99:E130)=D$92,F130,D$92-SUM(E$99:E130))</f>
        <v>6504163.974231693</v>
      </c>
      <c r="E131" s="522">
        <f t="shared" si="31"/>
        <v>398020.58536585368</v>
      </c>
      <c r="F131" s="523">
        <f t="shared" si="32"/>
        <v>6106143.3888658397</v>
      </c>
      <c r="G131" s="523">
        <f t="shared" si="33"/>
        <v>6305153.6815487668</v>
      </c>
      <c r="H131" s="526">
        <f t="shared" si="34"/>
        <v>1113745.2276821625</v>
      </c>
      <c r="I131" s="577">
        <f t="shared" si="35"/>
        <v>1113745.2276821625</v>
      </c>
      <c r="J131" s="514">
        <f t="shared" si="30"/>
        <v>0</v>
      </c>
      <c r="K131" s="514"/>
      <c r="L131" s="525"/>
      <c r="M131" s="514">
        <f t="shared" ref="M131:M154" si="36">IF(L541&lt;&gt;0,+H541-L541,0)</f>
        <v>0</v>
      </c>
      <c r="N131" s="525"/>
      <c r="O131" s="514">
        <f t="shared" ref="O131:O154" si="37">IF(N541&lt;&gt;0,+I541-N541,0)</f>
        <v>0</v>
      </c>
      <c r="P131" s="514">
        <f t="shared" ref="P131:P154" si="38">+O541-M541</f>
        <v>0</v>
      </c>
    </row>
    <row r="132" spans="2:16" ht="12.5">
      <c r="B132" s="195" t="str">
        <f t="shared" si="27"/>
        <v/>
      </c>
      <c r="C132" s="507">
        <f>IF(D93="","-",+C131+1)</f>
        <v>2041</v>
      </c>
      <c r="D132" s="374">
        <f>IF(F131+SUM(E$99:E131)=D$92,F131,D$92-SUM(E$99:E131))</f>
        <v>6106143.3888658397</v>
      </c>
      <c r="E132" s="522">
        <f t="shared" si="31"/>
        <v>398020.58536585368</v>
      </c>
      <c r="F132" s="523">
        <f t="shared" si="32"/>
        <v>5708122.8034999864</v>
      </c>
      <c r="G132" s="523">
        <f t="shared" si="33"/>
        <v>5907133.0961829126</v>
      </c>
      <c r="H132" s="526">
        <f t="shared" si="34"/>
        <v>1068564.228854307</v>
      </c>
      <c r="I132" s="577">
        <f t="shared" si="35"/>
        <v>1068564.228854307</v>
      </c>
      <c r="J132" s="514">
        <f t="shared" si="30"/>
        <v>0</v>
      </c>
      <c r="K132" s="514"/>
      <c r="L132" s="525"/>
      <c r="M132" s="514">
        <f t="shared" si="36"/>
        <v>0</v>
      </c>
      <c r="N132" s="525"/>
      <c r="O132" s="514">
        <f t="shared" si="37"/>
        <v>0</v>
      </c>
      <c r="P132" s="514">
        <f t="shared" si="38"/>
        <v>0</v>
      </c>
    </row>
    <row r="133" spans="2:16" ht="12.5">
      <c r="B133" s="195" t="str">
        <f t="shared" si="27"/>
        <v/>
      </c>
      <c r="C133" s="507">
        <f>IF(D93="","-",+C132+1)</f>
        <v>2042</v>
      </c>
      <c r="D133" s="374">
        <f>IF(F132+SUM(E$99:E132)=D$92,F132,D$92-SUM(E$99:E132))</f>
        <v>5708122.8034999864</v>
      </c>
      <c r="E133" s="522">
        <f t="shared" si="31"/>
        <v>398020.58536585368</v>
      </c>
      <c r="F133" s="523">
        <f t="shared" si="32"/>
        <v>5310102.2181341331</v>
      </c>
      <c r="G133" s="523">
        <f t="shared" si="33"/>
        <v>5509112.5108170602</v>
      </c>
      <c r="H133" s="526">
        <f t="shared" si="34"/>
        <v>1023383.2300264516</v>
      </c>
      <c r="I133" s="577">
        <f t="shared" si="35"/>
        <v>1023383.2300264516</v>
      </c>
      <c r="J133" s="514">
        <f t="shared" si="30"/>
        <v>0</v>
      </c>
      <c r="K133" s="514"/>
      <c r="L133" s="525"/>
      <c r="M133" s="514">
        <f t="shared" si="36"/>
        <v>0</v>
      </c>
      <c r="N133" s="525"/>
      <c r="O133" s="514">
        <f t="shared" si="37"/>
        <v>0</v>
      </c>
      <c r="P133" s="514">
        <f t="shared" si="38"/>
        <v>0</v>
      </c>
    </row>
    <row r="134" spans="2:16" ht="12.5">
      <c r="B134" s="195" t="str">
        <f t="shared" si="27"/>
        <v/>
      </c>
      <c r="C134" s="507">
        <f>IF(D93="","-",+C133+1)</f>
        <v>2043</v>
      </c>
      <c r="D134" s="374">
        <f>IF(F133+SUM(E$99:E133)=D$92,F133,D$92-SUM(E$99:E133))</f>
        <v>5310102.2181341331</v>
      </c>
      <c r="E134" s="522">
        <f t="shared" si="31"/>
        <v>398020.58536585368</v>
      </c>
      <c r="F134" s="523">
        <f t="shared" si="32"/>
        <v>4912081.6327682799</v>
      </c>
      <c r="G134" s="523">
        <f t="shared" si="33"/>
        <v>5111091.925451206</v>
      </c>
      <c r="H134" s="526">
        <f t="shared" si="34"/>
        <v>978202.2311985963</v>
      </c>
      <c r="I134" s="577">
        <f t="shared" si="35"/>
        <v>978202.2311985963</v>
      </c>
      <c r="J134" s="514">
        <f t="shared" si="30"/>
        <v>0</v>
      </c>
      <c r="K134" s="514"/>
      <c r="L134" s="525"/>
      <c r="M134" s="514">
        <f t="shared" si="36"/>
        <v>0</v>
      </c>
      <c r="N134" s="525"/>
      <c r="O134" s="514">
        <f t="shared" si="37"/>
        <v>0</v>
      </c>
      <c r="P134" s="514">
        <f t="shared" si="38"/>
        <v>0</v>
      </c>
    </row>
    <row r="135" spans="2:16" ht="12.5">
      <c r="B135" s="195" t="str">
        <f t="shared" si="27"/>
        <v/>
      </c>
      <c r="C135" s="507">
        <f>IF(D93="","-",+C134+1)</f>
        <v>2044</v>
      </c>
      <c r="D135" s="374">
        <f>IF(F134+SUM(E$99:E134)=D$92,F134,D$92-SUM(E$99:E134))</f>
        <v>4912081.6327682799</v>
      </c>
      <c r="E135" s="522">
        <f t="shared" si="31"/>
        <v>398020.58536585368</v>
      </c>
      <c r="F135" s="523">
        <f t="shared" si="32"/>
        <v>4514061.0474024266</v>
      </c>
      <c r="G135" s="523">
        <f t="shared" si="33"/>
        <v>4713071.3400853537</v>
      </c>
      <c r="H135" s="526">
        <f t="shared" si="34"/>
        <v>933021.23237074097</v>
      </c>
      <c r="I135" s="577">
        <f t="shared" si="35"/>
        <v>933021.23237074097</v>
      </c>
      <c r="J135" s="514">
        <f t="shared" si="30"/>
        <v>0</v>
      </c>
      <c r="K135" s="514"/>
      <c r="L135" s="525"/>
      <c r="M135" s="514">
        <f t="shared" si="36"/>
        <v>0</v>
      </c>
      <c r="N135" s="525"/>
      <c r="O135" s="514">
        <f t="shared" si="37"/>
        <v>0</v>
      </c>
      <c r="P135" s="514">
        <f t="shared" si="38"/>
        <v>0</v>
      </c>
    </row>
    <row r="136" spans="2:16" ht="12.5">
      <c r="B136" s="195" t="str">
        <f t="shared" si="27"/>
        <v/>
      </c>
      <c r="C136" s="507">
        <f>IF(D93="","-",+C135+1)</f>
        <v>2045</v>
      </c>
      <c r="D136" s="374">
        <f>IF(F135+SUM(E$99:E135)=D$92,F135,D$92-SUM(E$99:E135))</f>
        <v>4514061.0474024266</v>
      </c>
      <c r="E136" s="522">
        <f t="shared" si="31"/>
        <v>398020.58536585368</v>
      </c>
      <c r="F136" s="523">
        <f t="shared" si="32"/>
        <v>4116040.4620365729</v>
      </c>
      <c r="G136" s="523">
        <f t="shared" si="33"/>
        <v>4315050.7547194995</v>
      </c>
      <c r="H136" s="526">
        <f t="shared" si="34"/>
        <v>887840.2335428854</v>
      </c>
      <c r="I136" s="577">
        <f t="shared" si="35"/>
        <v>887840.2335428854</v>
      </c>
      <c r="J136" s="514">
        <f t="shared" si="30"/>
        <v>0</v>
      </c>
      <c r="K136" s="514"/>
      <c r="L136" s="525"/>
      <c r="M136" s="514">
        <f t="shared" si="36"/>
        <v>0</v>
      </c>
      <c r="N136" s="525"/>
      <c r="O136" s="514">
        <f t="shared" si="37"/>
        <v>0</v>
      </c>
      <c r="P136" s="514">
        <f t="shared" si="38"/>
        <v>0</v>
      </c>
    </row>
    <row r="137" spans="2:16" ht="12.5">
      <c r="B137" s="195" t="str">
        <f t="shared" si="27"/>
        <v/>
      </c>
      <c r="C137" s="507">
        <f>IF(D93="","-",+C136+1)</f>
        <v>2046</v>
      </c>
      <c r="D137" s="374">
        <f>IF(F136+SUM(E$99:E136)=D$92,F136,D$92-SUM(E$99:E136))</f>
        <v>4116040.4620365729</v>
      </c>
      <c r="E137" s="522">
        <f t="shared" si="31"/>
        <v>398020.58536585368</v>
      </c>
      <c r="F137" s="523">
        <f t="shared" si="32"/>
        <v>3718019.8766707191</v>
      </c>
      <c r="G137" s="523">
        <f t="shared" si="33"/>
        <v>3917030.1693536462</v>
      </c>
      <c r="H137" s="526">
        <f t="shared" si="34"/>
        <v>842659.23471502983</v>
      </c>
      <c r="I137" s="577">
        <f t="shared" si="35"/>
        <v>842659.23471502983</v>
      </c>
      <c r="J137" s="514">
        <f t="shared" si="30"/>
        <v>0</v>
      </c>
      <c r="K137" s="514"/>
      <c r="L137" s="525"/>
      <c r="M137" s="514">
        <f t="shared" si="36"/>
        <v>0</v>
      </c>
      <c r="N137" s="525"/>
      <c r="O137" s="514">
        <f t="shared" si="37"/>
        <v>0</v>
      </c>
      <c r="P137" s="514">
        <f t="shared" si="38"/>
        <v>0</v>
      </c>
    </row>
    <row r="138" spans="2:16" ht="12.5">
      <c r="B138" s="195" t="str">
        <f t="shared" si="27"/>
        <v/>
      </c>
      <c r="C138" s="507">
        <f>IF(D93="","-",+C137+1)</f>
        <v>2047</v>
      </c>
      <c r="D138" s="374">
        <f>IF(F137+SUM(E$99:E137)=D$92,F137,D$92-SUM(E$99:E137))</f>
        <v>3718019.8766707191</v>
      </c>
      <c r="E138" s="522">
        <f t="shared" si="31"/>
        <v>398020.58536585368</v>
      </c>
      <c r="F138" s="523">
        <f t="shared" si="32"/>
        <v>3319999.2913048654</v>
      </c>
      <c r="G138" s="523">
        <f t="shared" si="33"/>
        <v>3519009.583987792</v>
      </c>
      <c r="H138" s="526">
        <f t="shared" si="34"/>
        <v>797478.23588717426</v>
      </c>
      <c r="I138" s="577">
        <f t="shared" si="35"/>
        <v>797478.23588717426</v>
      </c>
      <c r="J138" s="514">
        <f t="shared" si="30"/>
        <v>0</v>
      </c>
      <c r="K138" s="514"/>
      <c r="L138" s="525"/>
      <c r="M138" s="514">
        <f t="shared" si="36"/>
        <v>0</v>
      </c>
      <c r="N138" s="525"/>
      <c r="O138" s="514">
        <f t="shared" si="37"/>
        <v>0</v>
      </c>
      <c r="P138" s="514">
        <f t="shared" si="38"/>
        <v>0</v>
      </c>
    </row>
    <row r="139" spans="2:16" ht="12.5">
      <c r="B139" s="195" t="str">
        <f t="shared" si="27"/>
        <v/>
      </c>
      <c r="C139" s="507">
        <f>IF(D93="","-",+C138+1)</f>
        <v>2048</v>
      </c>
      <c r="D139" s="374">
        <f>IF(F138+SUM(E$99:E138)=D$92,F138,D$92-SUM(E$99:E138))</f>
        <v>3319999.2913048654</v>
      </c>
      <c r="E139" s="522">
        <f t="shared" si="31"/>
        <v>398020.58536585368</v>
      </c>
      <c r="F139" s="523">
        <f t="shared" si="32"/>
        <v>2921978.7059390116</v>
      </c>
      <c r="G139" s="523">
        <f t="shared" si="33"/>
        <v>3120988.9986219388</v>
      </c>
      <c r="H139" s="526">
        <f t="shared" si="34"/>
        <v>752297.23705931893</v>
      </c>
      <c r="I139" s="577">
        <f t="shared" si="35"/>
        <v>752297.23705931893</v>
      </c>
      <c r="J139" s="514">
        <f t="shared" si="30"/>
        <v>0</v>
      </c>
      <c r="K139" s="514"/>
      <c r="L139" s="525"/>
      <c r="M139" s="514">
        <f t="shared" si="36"/>
        <v>0</v>
      </c>
      <c r="N139" s="525"/>
      <c r="O139" s="514">
        <f t="shared" si="37"/>
        <v>0</v>
      </c>
      <c r="P139" s="514">
        <f t="shared" si="38"/>
        <v>0</v>
      </c>
    </row>
    <row r="140" spans="2:16" ht="12.5">
      <c r="B140" s="195" t="str">
        <f t="shared" si="27"/>
        <v/>
      </c>
      <c r="C140" s="507">
        <f>IF(D93="","-",+C139+1)</f>
        <v>2049</v>
      </c>
      <c r="D140" s="374">
        <f>IF(F139+SUM(E$99:E139)=D$92,F139,D$92-SUM(E$99:E139))</f>
        <v>2921978.7059390116</v>
      </c>
      <c r="E140" s="522">
        <f t="shared" si="31"/>
        <v>398020.58536585368</v>
      </c>
      <c r="F140" s="523">
        <f t="shared" si="32"/>
        <v>2523958.1205731579</v>
      </c>
      <c r="G140" s="523">
        <f t="shared" si="33"/>
        <v>2722968.4132560845</v>
      </c>
      <c r="H140" s="526">
        <f t="shared" si="34"/>
        <v>707116.23823146336</v>
      </c>
      <c r="I140" s="577">
        <f t="shared" si="35"/>
        <v>707116.23823146336</v>
      </c>
      <c r="J140" s="514">
        <f t="shared" si="30"/>
        <v>0</v>
      </c>
      <c r="K140" s="514"/>
      <c r="L140" s="525"/>
      <c r="M140" s="514">
        <f t="shared" si="36"/>
        <v>0</v>
      </c>
      <c r="N140" s="525"/>
      <c r="O140" s="514">
        <f t="shared" si="37"/>
        <v>0</v>
      </c>
      <c r="P140" s="514">
        <f t="shared" si="38"/>
        <v>0</v>
      </c>
    </row>
    <row r="141" spans="2:16" ht="12.5">
      <c r="B141" s="195" t="str">
        <f t="shared" si="27"/>
        <v/>
      </c>
      <c r="C141" s="507">
        <f>IF(D93="","-",+C140+1)</f>
        <v>2050</v>
      </c>
      <c r="D141" s="374">
        <f>IF(F140+SUM(E$99:E140)=D$92,F140,D$92-SUM(E$99:E140))</f>
        <v>2523958.1205731579</v>
      </c>
      <c r="E141" s="522">
        <f t="shared" si="31"/>
        <v>398020.58536585368</v>
      </c>
      <c r="F141" s="523">
        <f t="shared" si="32"/>
        <v>2125937.5352073042</v>
      </c>
      <c r="G141" s="523">
        <f t="shared" si="33"/>
        <v>2324947.8278902313</v>
      </c>
      <c r="H141" s="526">
        <f t="shared" si="34"/>
        <v>661935.23940360791</v>
      </c>
      <c r="I141" s="577">
        <f t="shared" si="35"/>
        <v>661935.23940360791</v>
      </c>
      <c r="J141" s="514">
        <f t="shared" si="30"/>
        <v>0</v>
      </c>
      <c r="K141" s="514"/>
      <c r="L141" s="525"/>
      <c r="M141" s="514">
        <f t="shared" si="36"/>
        <v>0</v>
      </c>
      <c r="N141" s="525"/>
      <c r="O141" s="514">
        <f t="shared" si="37"/>
        <v>0</v>
      </c>
      <c r="P141" s="514">
        <f t="shared" si="38"/>
        <v>0</v>
      </c>
    </row>
    <row r="142" spans="2:16" ht="12.5">
      <c r="B142" s="195" t="str">
        <f t="shared" si="27"/>
        <v/>
      </c>
      <c r="C142" s="507">
        <f>IF(D93="","-",+C141+1)</f>
        <v>2051</v>
      </c>
      <c r="D142" s="374">
        <f>IF(F141+SUM(E$99:E141)=D$92,F141,D$92-SUM(E$99:E141))</f>
        <v>2125937.5352073042</v>
      </c>
      <c r="E142" s="522">
        <f t="shared" si="31"/>
        <v>398020.58536585368</v>
      </c>
      <c r="F142" s="523">
        <f t="shared" si="32"/>
        <v>1727916.9498414504</v>
      </c>
      <c r="G142" s="523">
        <f t="shared" si="33"/>
        <v>1926927.2425243773</v>
      </c>
      <c r="H142" s="526">
        <f t="shared" si="34"/>
        <v>616754.24057575245</v>
      </c>
      <c r="I142" s="577">
        <f t="shared" si="35"/>
        <v>616754.24057575245</v>
      </c>
      <c r="J142" s="514">
        <f t="shared" si="30"/>
        <v>0</v>
      </c>
      <c r="K142" s="514"/>
      <c r="L142" s="525"/>
      <c r="M142" s="514">
        <f t="shared" si="36"/>
        <v>0</v>
      </c>
      <c r="N142" s="525"/>
      <c r="O142" s="514">
        <f t="shared" si="37"/>
        <v>0</v>
      </c>
      <c r="P142" s="514">
        <f t="shared" si="38"/>
        <v>0</v>
      </c>
    </row>
    <row r="143" spans="2:16" ht="12.5">
      <c r="B143" s="195" t="str">
        <f t="shared" si="27"/>
        <v/>
      </c>
      <c r="C143" s="507">
        <f>IF(D93="","-",+C142+1)</f>
        <v>2052</v>
      </c>
      <c r="D143" s="374">
        <f>IF(F142+SUM(E$99:E142)=D$92,F142,D$92-SUM(E$99:E142))</f>
        <v>1727916.9498414504</v>
      </c>
      <c r="E143" s="522">
        <f t="shared" si="31"/>
        <v>398020.58536585368</v>
      </c>
      <c r="F143" s="523">
        <f t="shared" si="32"/>
        <v>1329896.3644755967</v>
      </c>
      <c r="G143" s="523">
        <f t="shared" si="33"/>
        <v>1528906.6571585236</v>
      </c>
      <c r="H143" s="526">
        <f t="shared" si="34"/>
        <v>571573.24174789689</v>
      </c>
      <c r="I143" s="577">
        <f t="shared" si="35"/>
        <v>571573.24174789689</v>
      </c>
      <c r="J143" s="514">
        <f t="shared" si="30"/>
        <v>0</v>
      </c>
      <c r="K143" s="514"/>
      <c r="L143" s="525"/>
      <c r="M143" s="514">
        <f t="shared" si="36"/>
        <v>0</v>
      </c>
      <c r="N143" s="525"/>
      <c r="O143" s="514">
        <f t="shared" si="37"/>
        <v>0</v>
      </c>
      <c r="P143" s="514">
        <f t="shared" si="38"/>
        <v>0</v>
      </c>
    </row>
    <row r="144" spans="2:16" ht="12.5">
      <c r="B144" s="195" t="str">
        <f t="shared" si="27"/>
        <v/>
      </c>
      <c r="C144" s="507">
        <f>IF(D93="","-",+C143+1)</f>
        <v>2053</v>
      </c>
      <c r="D144" s="374">
        <f>IF(F143+SUM(E$99:E143)=D$92,F143,D$92-SUM(E$99:E143))</f>
        <v>1329896.3644755967</v>
      </c>
      <c r="E144" s="522">
        <f t="shared" si="31"/>
        <v>398020.58536585368</v>
      </c>
      <c r="F144" s="523">
        <f t="shared" si="32"/>
        <v>931875.77910974296</v>
      </c>
      <c r="G144" s="523">
        <f t="shared" si="33"/>
        <v>1130886.0717926698</v>
      </c>
      <c r="H144" s="526">
        <f t="shared" si="34"/>
        <v>526392.24292004143</v>
      </c>
      <c r="I144" s="577">
        <f t="shared" si="35"/>
        <v>526392.24292004143</v>
      </c>
      <c r="J144" s="514">
        <f t="shared" si="30"/>
        <v>0</v>
      </c>
      <c r="K144" s="514"/>
      <c r="L144" s="525"/>
      <c r="M144" s="514">
        <f t="shared" si="36"/>
        <v>0</v>
      </c>
      <c r="N144" s="525"/>
      <c r="O144" s="514">
        <f t="shared" si="37"/>
        <v>0</v>
      </c>
      <c r="P144" s="514">
        <f t="shared" si="38"/>
        <v>0</v>
      </c>
    </row>
    <row r="145" spans="2:16" ht="12.5">
      <c r="B145" s="195" t="str">
        <f t="shared" si="27"/>
        <v/>
      </c>
      <c r="C145" s="507">
        <f>IF(D93="","-",+C144+1)</f>
        <v>2054</v>
      </c>
      <c r="D145" s="374">
        <f>IF(F144+SUM(E$99:E144)=D$92,F144,D$92-SUM(E$99:E144))</f>
        <v>931875.77910974296</v>
      </c>
      <c r="E145" s="522">
        <f t="shared" si="31"/>
        <v>398020.58536585368</v>
      </c>
      <c r="F145" s="523">
        <f t="shared" si="32"/>
        <v>533855.19374388922</v>
      </c>
      <c r="G145" s="523">
        <f t="shared" si="33"/>
        <v>732865.48642681609</v>
      </c>
      <c r="H145" s="526">
        <f t="shared" si="34"/>
        <v>481211.24409218592</v>
      </c>
      <c r="I145" s="577">
        <f t="shared" si="35"/>
        <v>481211.24409218592</v>
      </c>
      <c r="J145" s="514">
        <f t="shared" si="30"/>
        <v>0</v>
      </c>
      <c r="K145" s="514"/>
      <c r="L145" s="525"/>
      <c r="M145" s="514">
        <f t="shared" si="36"/>
        <v>0</v>
      </c>
      <c r="N145" s="525"/>
      <c r="O145" s="514">
        <f t="shared" si="37"/>
        <v>0</v>
      </c>
      <c r="P145" s="514">
        <f t="shared" si="38"/>
        <v>0</v>
      </c>
    </row>
    <row r="146" spans="2:16" ht="12.5">
      <c r="B146" s="195" t="str">
        <f t="shared" si="27"/>
        <v/>
      </c>
      <c r="C146" s="507">
        <f>IF(D93="","-",+C145+1)</f>
        <v>2055</v>
      </c>
      <c r="D146" s="374">
        <f>IF(F145+SUM(E$99:E145)=D$92,F145,D$92-SUM(E$99:E145))</f>
        <v>533855.19374388922</v>
      </c>
      <c r="E146" s="522">
        <f t="shared" si="31"/>
        <v>398020.58536585368</v>
      </c>
      <c r="F146" s="523">
        <f t="shared" si="32"/>
        <v>135834.60837803554</v>
      </c>
      <c r="G146" s="523">
        <f t="shared" si="33"/>
        <v>334844.90106096235</v>
      </c>
      <c r="H146" s="526">
        <f t="shared" si="34"/>
        <v>436030.24526433041</v>
      </c>
      <c r="I146" s="577">
        <f t="shared" si="35"/>
        <v>436030.24526433041</v>
      </c>
      <c r="J146" s="514">
        <f t="shared" si="30"/>
        <v>0</v>
      </c>
      <c r="K146" s="514"/>
      <c r="L146" s="525"/>
      <c r="M146" s="514">
        <f t="shared" si="36"/>
        <v>0</v>
      </c>
      <c r="N146" s="525"/>
      <c r="O146" s="514">
        <f t="shared" si="37"/>
        <v>0</v>
      </c>
      <c r="P146" s="514">
        <f t="shared" si="38"/>
        <v>0</v>
      </c>
    </row>
    <row r="147" spans="2:16" ht="12.5">
      <c r="B147" s="195" t="str">
        <f t="shared" si="27"/>
        <v/>
      </c>
      <c r="C147" s="507">
        <f>IF(D93="","-",+C146+1)</f>
        <v>2056</v>
      </c>
      <c r="D147" s="374">
        <f>IF(F146+SUM(E$99:E146)=D$92,F146,D$92-SUM(E$99:E146))</f>
        <v>135834.60837803554</v>
      </c>
      <c r="E147" s="522">
        <f t="shared" si="31"/>
        <v>135834.60837803554</v>
      </c>
      <c r="F147" s="523">
        <f t="shared" si="32"/>
        <v>0</v>
      </c>
      <c r="G147" s="523">
        <f t="shared" si="33"/>
        <v>67917.30418901777</v>
      </c>
      <c r="H147" s="526">
        <f t="shared" si="34"/>
        <v>143544.18862031004</v>
      </c>
      <c r="I147" s="577">
        <f t="shared" si="35"/>
        <v>143544.18862031004</v>
      </c>
      <c r="J147" s="514">
        <f t="shared" si="30"/>
        <v>0</v>
      </c>
      <c r="K147" s="514"/>
      <c r="L147" s="525"/>
      <c r="M147" s="514">
        <f t="shared" si="36"/>
        <v>0</v>
      </c>
      <c r="N147" s="525"/>
      <c r="O147" s="514">
        <f t="shared" si="37"/>
        <v>0</v>
      </c>
      <c r="P147" s="514">
        <f t="shared" si="38"/>
        <v>0</v>
      </c>
    </row>
    <row r="148" spans="2:16" ht="12.5">
      <c r="B148" s="195" t="str">
        <f t="shared" si="27"/>
        <v/>
      </c>
      <c r="C148" s="507">
        <f>IF(D93="","-",+C147+1)</f>
        <v>2057</v>
      </c>
      <c r="D148" s="374">
        <f>IF(F147+SUM(E$99:E147)=D$92,F147,D$92-SUM(E$99:E147))</f>
        <v>0</v>
      </c>
      <c r="E148" s="522">
        <f t="shared" si="31"/>
        <v>0</v>
      </c>
      <c r="F148" s="523">
        <f t="shared" si="32"/>
        <v>0</v>
      </c>
      <c r="G148" s="523">
        <f t="shared" si="33"/>
        <v>0</v>
      </c>
      <c r="H148" s="526">
        <f t="shared" si="34"/>
        <v>0</v>
      </c>
      <c r="I148" s="577">
        <f t="shared" si="35"/>
        <v>0</v>
      </c>
      <c r="J148" s="514">
        <f t="shared" si="30"/>
        <v>0</v>
      </c>
      <c r="K148" s="514"/>
      <c r="L148" s="525"/>
      <c r="M148" s="514">
        <f t="shared" si="36"/>
        <v>0</v>
      </c>
      <c r="N148" s="525"/>
      <c r="O148" s="514">
        <f t="shared" si="37"/>
        <v>0</v>
      </c>
      <c r="P148" s="514">
        <f t="shared" si="38"/>
        <v>0</v>
      </c>
    </row>
    <row r="149" spans="2:16" ht="12.5">
      <c r="B149" s="195" t="str">
        <f t="shared" si="27"/>
        <v/>
      </c>
      <c r="C149" s="507">
        <f>IF(D93="","-",+C148+1)</f>
        <v>2058</v>
      </c>
      <c r="D149" s="374">
        <f>IF(F148+SUM(E$99:E148)=D$92,F148,D$92-SUM(E$99:E148))</f>
        <v>0</v>
      </c>
      <c r="E149" s="522">
        <f t="shared" si="31"/>
        <v>0</v>
      </c>
      <c r="F149" s="523">
        <f t="shared" si="32"/>
        <v>0</v>
      </c>
      <c r="G149" s="523">
        <f t="shared" si="33"/>
        <v>0</v>
      </c>
      <c r="H149" s="526">
        <f t="shared" si="34"/>
        <v>0</v>
      </c>
      <c r="I149" s="577">
        <f t="shared" si="35"/>
        <v>0</v>
      </c>
      <c r="J149" s="514">
        <f t="shared" si="30"/>
        <v>0</v>
      </c>
      <c r="K149" s="514"/>
      <c r="L149" s="525"/>
      <c r="M149" s="514">
        <f t="shared" si="36"/>
        <v>0</v>
      </c>
      <c r="N149" s="525"/>
      <c r="O149" s="514">
        <f t="shared" si="37"/>
        <v>0</v>
      </c>
      <c r="P149" s="514">
        <f t="shared" si="38"/>
        <v>0</v>
      </c>
    </row>
    <row r="150" spans="2:16" ht="12.5">
      <c r="B150" s="195" t="str">
        <f t="shared" si="27"/>
        <v/>
      </c>
      <c r="C150" s="507">
        <f>IF(D93="","-",+C149+1)</f>
        <v>2059</v>
      </c>
      <c r="D150" s="374">
        <f>IF(F149+SUM(E$99:E149)=D$92,F149,D$92-SUM(E$99:E149))</f>
        <v>0</v>
      </c>
      <c r="E150" s="522">
        <f t="shared" si="31"/>
        <v>0</v>
      </c>
      <c r="F150" s="523">
        <f t="shared" si="32"/>
        <v>0</v>
      </c>
      <c r="G150" s="523">
        <f t="shared" si="33"/>
        <v>0</v>
      </c>
      <c r="H150" s="526">
        <f t="shared" si="34"/>
        <v>0</v>
      </c>
      <c r="I150" s="577">
        <f t="shared" si="35"/>
        <v>0</v>
      </c>
      <c r="J150" s="514">
        <f t="shared" si="30"/>
        <v>0</v>
      </c>
      <c r="K150" s="514"/>
      <c r="L150" s="525"/>
      <c r="M150" s="514">
        <f t="shared" si="36"/>
        <v>0</v>
      </c>
      <c r="N150" s="525"/>
      <c r="O150" s="514">
        <f t="shared" si="37"/>
        <v>0</v>
      </c>
      <c r="P150" s="514">
        <f t="shared" si="38"/>
        <v>0</v>
      </c>
    </row>
    <row r="151" spans="2:16" ht="12.5">
      <c r="B151" s="195" t="str">
        <f t="shared" si="27"/>
        <v/>
      </c>
      <c r="C151" s="507">
        <f>IF(D93="","-",+C150+1)</f>
        <v>2060</v>
      </c>
      <c r="D151" s="374">
        <f>IF(F150+SUM(E$99:E150)=D$92,F150,D$92-SUM(E$99:E150))</f>
        <v>0</v>
      </c>
      <c r="E151" s="522">
        <f t="shared" si="31"/>
        <v>0</v>
      </c>
      <c r="F151" s="523">
        <f t="shared" si="32"/>
        <v>0</v>
      </c>
      <c r="G151" s="523">
        <f t="shared" si="33"/>
        <v>0</v>
      </c>
      <c r="H151" s="526">
        <f t="shared" si="34"/>
        <v>0</v>
      </c>
      <c r="I151" s="577">
        <f t="shared" si="35"/>
        <v>0</v>
      </c>
      <c r="J151" s="514">
        <f t="shared" si="30"/>
        <v>0</v>
      </c>
      <c r="K151" s="514"/>
      <c r="L151" s="525"/>
      <c r="M151" s="514">
        <f t="shared" si="36"/>
        <v>0</v>
      </c>
      <c r="N151" s="525"/>
      <c r="O151" s="514">
        <f t="shared" si="37"/>
        <v>0</v>
      </c>
      <c r="P151" s="514">
        <f t="shared" si="38"/>
        <v>0</v>
      </c>
    </row>
    <row r="152" spans="2:16" ht="12.5">
      <c r="B152" s="195" t="str">
        <f t="shared" si="27"/>
        <v/>
      </c>
      <c r="C152" s="507">
        <f>IF(D93="","-",+C151+1)</f>
        <v>2061</v>
      </c>
      <c r="D152" s="374">
        <f>IF(F151+SUM(E$99:E151)=D$92,F151,D$92-SUM(E$99:E151))</f>
        <v>0</v>
      </c>
      <c r="E152" s="522">
        <f t="shared" si="31"/>
        <v>0</v>
      </c>
      <c r="F152" s="523">
        <f t="shared" si="32"/>
        <v>0</v>
      </c>
      <c r="G152" s="523">
        <f t="shared" si="33"/>
        <v>0</v>
      </c>
      <c r="H152" s="526">
        <f t="shared" si="34"/>
        <v>0</v>
      </c>
      <c r="I152" s="577">
        <f t="shared" si="35"/>
        <v>0</v>
      </c>
      <c r="J152" s="514">
        <f t="shared" si="30"/>
        <v>0</v>
      </c>
      <c r="K152" s="514"/>
      <c r="L152" s="525"/>
      <c r="M152" s="514">
        <f t="shared" si="36"/>
        <v>0</v>
      </c>
      <c r="N152" s="525"/>
      <c r="O152" s="514">
        <f t="shared" si="37"/>
        <v>0</v>
      </c>
      <c r="P152" s="514">
        <f t="shared" si="38"/>
        <v>0</v>
      </c>
    </row>
    <row r="153" spans="2:16" ht="12.5">
      <c r="B153" s="195" t="str">
        <f t="shared" si="27"/>
        <v/>
      </c>
      <c r="C153" s="507">
        <f>IF(D93="","-",+C152+1)</f>
        <v>2062</v>
      </c>
      <c r="D153" s="374">
        <f>IF(F152+SUM(E$99:E152)=D$92,F152,D$92-SUM(E$99:E152))</f>
        <v>0</v>
      </c>
      <c r="E153" s="522">
        <f t="shared" si="31"/>
        <v>0</v>
      </c>
      <c r="F153" s="523">
        <f t="shared" si="32"/>
        <v>0</v>
      </c>
      <c r="G153" s="523">
        <f t="shared" si="33"/>
        <v>0</v>
      </c>
      <c r="H153" s="526">
        <f t="shared" si="34"/>
        <v>0</v>
      </c>
      <c r="I153" s="577">
        <f t="shared" si="35"/>
        <v>0</v>
      </c>
      <c r="J153" s="514">
        <f t="shared" si="30"/>
        <v>0</v>
      </c>
      <c r="K153" s="514"/>
      <c r="L153" s="525"/>
      <c r="M153" s="514">
        <f t="shared" si="36"/>
        <v>0</v>
      </c>
      <c r="N153" s="525"/>
      <c r="O153" s="514">
        <f t="shared" si="37"/>
        <v>0</v>
      </c>
      <c r="P153" s="514">
        <f t="shared" si="38"/>
        <v>0</v>
      </c>
    </row>
    <row r="154" spans="2:16" ht="13" thickBot="1">
      <c r="B154" s="195" t="str">
        <f t="shared" si="27"/>
        <v/>
      </c>
      <c r="C154" s="527">
        <f>IF(D93="","-",+C153+1)</f>
        <v>2063</v>
      </c>
      <c r="D154" s="374">
        <f>IF(F153+SUM(E$99:E153)=D$92,F153,D$92-SUM(E$99:E153))</f>
        <v>0</v>
      </c>
      <c r="E154" s="522">
        <f t="shared" si="31"/>
        <v>0</v>
      </c>
      <c r="F154" s="523">
        <f t="shared" si="32"/>
        <v>0</v>
      </c>
      <c r="G154" s="523">
        <f t="shared" si="33"/>
        <v>0</v>
      </c>
      <c r="H154" s="526">
        <f t="shared" si="34"/>
        <v>0</v>
      </c>
      <c r="I154" s="577">
        <f t="shared" si="35"/>
        <v>0</v>
      </c>
      <c r="J154" s="514">
        <f t="shared" si="30"/>
        <v>0</v>
      </c>
      <c r="K154" s="514"/>
      <c r="L154" s="532"/>
      <c r="M154" s="533">
        <f t="shared" si="36"/>
        <v>0</v>
      </c>
      <c r="N154" s="532"/>
      <c r="O154" s="533">
        <f t="shared" si="37"/>
        <v>0</v>
      </c>
      <c r="P154" s="533">
        <f t="shared" si="38"/>
        <v>0</v>
      </c>
    </row>
    <row r="155" spans="2:16" ht="12.5">
      <c r="C155" s="374" t="s">
        <v>78</v>
      </c>
      <c r="D155" s="375"/>
      <c r="E155" s="375">
        <f>SUM(E99:E154)</f>
        <v>16318844.000000004</v>
      </c>
      <c r="F155" s="375"/>
      <c r="G155" s="375"/>
      <c r="H155" s="375">
        <f>SUM(H99:H154)</f>
        <v>54898835.81913086</v>
      </c>
      <c r="I155" s="375">
        <f>SUM(I99:I154)</f>
        <v>54898835.81913086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8" priority="1" stopIfTrue="1" operator="equal">
      <formula>$I$10</formula>
    </cfRule>
  </conditionalFormatting>
  <conditionalFormatting sqref="C99:C154">
    <cfRule type="cellIs" dxfId="6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0"/>
  <dimension ref="A1:Q162"/>
  <sheetViews>
    <sheetView view="pageBreakPreview" zoomScale="82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2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878326.3176604046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878326.3176604046</v>
      </c>
      <c r="O6" s="269"/>
      <c r="P6" s="269"/>
    </row>
    <row r="7" spans="1:17" ht="13.5" thickBot="1">
      <c r="C7" s="467" t="s">
        <v>48</v>
      </c>
      <c r="D7" s="468" t="s">
        <v>226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141</v>
      </c>
      <c r="E9" s="666" t="s">
        <v>472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8402687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200063.97619047618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11979500</v>
      </c>
      <c r="E17" s="509">
        <v>296789</v>
      </c>
      <c r="F17" s="508">
        <v>11682711</v>
      </c>
      <c r="G17" s="509">
        <v>2087310</v>
      </c>
      <c r="H17" s="510">
        <v>2087310</v>
      </c>
      <c r="I17" s="511">
        <f>H17-G17</f>
        <v>0</v>
      </c>
      <c r="J17" s="511"/>
      <c r="K17" s="512">
        <v>2087310</v>
      </c>
      <c r="L17" s="513">
        <f t="shared" ref="L17:L48" si="0">IF(K17&lt;&gt;0,+G17-K17,0)</f>
        <v>0</v>
      </c>
      <c r="M17" s="512">
        <v>2087310</v>
      </c>
      <c r="N17" s="513">
        <f t="shared" ref="N17:N48" si="1">IF(M17&lt;&gt;0,+H17-M17,0)</f>
        <v>0</v>
      </c>
      <c r="O17" s="514">
        <f t="shared" ref="O17:O48" si="2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8105898</v>
      </c>
      <c r="E18" s="516">
        <v>221123</v>
      </c>
      <c r="F18" s="515">
        <v>7884775</v>
      </c>
      <c r="G18" s="516">
        <v>1354678</v>
      </c>
      <c r="H18" s="510">
        <v>1354678</v>
      </c>
      <c r="I18" s="517">
        <v>0</v>
      </c>
      <c r="J18" s="511"/>
      <c r="K18" s="518">
        <f t="shared" ref="K18:K23" si="3">G18</f>
        <v>1354678</v>
      </c>
      <c r="L18" s="519">
        <f t="shared" si="0"/>
        <v>0</v>
      </c>
      <c r="M18" s="518">
        <f t="shared" ref="M18:M23" si="4">H18</f>
        <v>1354678</v>
      </c>
      <c r="N18" s="514">
        <f t="shared" si="1"/>
        <v>0</v>
      </c>
      <c r="O18" s="514">
        <f t="shared" si="2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7884775.4800000004</v>
      </c>
      <c r="E19" s="516">
        <v>204943.59707317073</v>
      </c>
      <c r="F19" s="515">
        <v>7679831.8829268301</v>
      </c>
      <c r="G19" s="516">
        <v>1404473.3146370691</v>
      </c>
      <c r="H19" s="510">
        <v>1404473.3146370691</v>
      </c>
      <c r="I19" s="517">
        <v>0</v>
      </c>
      <c r="J19" s="511"/>
      <c r="K19" s="518">
        <f t="shared" si="3"/>
        <v>1404473.3146370691</v>
      </c>
      <c r="L19" s="519">
        <f t="shared" si="0"/>
        <v>0</v>
      </c>
      <c r="M19" s="518">
        <f t="shared" si="4"/>
        <v>1404473.3146370691</v>
      </c>
      <c r="N19" s="514">
        <f t="shared" si="1"/>
        <v>0</v>
      </c>
      <c r="O19" s="514">
        <f t="shared" si="2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2012</v>
      </c>
      <c r="D20" s="515">
        <v>7679831.8829268301</v>
      </c>
      <c r="E20" s="520">
        <v>200063.98761904764</v>
      </c>
      <c r="F20" s="515">
        <v>7479767.8953077821</v>
      </c>
      <c r="G20" s="516">
        <v>1312456.1166807273</v>
      </c>
      <c r="H20" s="510">
        <v>1312456.1166807273</v>
      </c>
      <c r="I20" s="517">
        <v>0</v>
      </c>
      <c r="J20" s="511"/>
      <c r="K20" s="518">
        <f t="shared" si="3"/>
        <v>1312456.1166807273</v>
      </c>
      <c r="L20" s="519">
        <f t="shared" si="0"/>
        <v>0</v>
      </c>
      <c r="M20" s="518">
        <f t="shared" si="4"/>
        <v>1312456.1166807273</v>
      </c>
      <c r="N20" s="514">
        <f t="shared" si="1"/>
        <v>0</v>
      </c>
      <c r="O20" s="514">
        <f t="shared" si="2"/>
        <v>0</v>
      </c>
      <c r="P20" s="272"/>
    </row>
    <row r="21" spans="2:16" ht="12.5">
      <c r="B21" s="195" t="str">
        <f t="shared" si="5"/>
        <v/>
      </c>
      <c r="C21" s="507">
        <f t="shared" ref="C21:C72" si="6">IF(D12="","-",+C20+1)</f>
        <v>2013</v>
      </c>
      <c r="D21" s="515">
        <v>7479767.8953077821</v>
      </c>
      <c r="E21" s="520">
        <v>200063.98761904764</v>
      </c>
      <c r="F21" s="515">
        <v>7279703.9076887341</v>
      </c>
      <c r="G21" s="516">
        <v>1219128.4960322082</v>
      </c>
      <c r="H21" s="510">
        <v>1219128.4960322082</v>
      </c>
      <c r="I21" s="511">
        <f t="shared" ref="I21:I72" si="7">H21-G21</f>
        <v>0</v>
      </c>
      <c r="J21" s="511"/>
      <c r="K21" s="518">
        <f t="shared" si="3"/>
        <v>1219128.4960322082</v>
      </c>
      <c r="L21" s="519">
        <f t="shared" ref="L21:L26" si="8">IF(K21&lt;&gt;0,+G21-K21,0)</f>
        <v>0</v>
      </c>
      <c r="M21" s="518">
        <f t="shared" si="4"/>
        <v>1219128.4960322082</v>
      </c>
      <c r="N21" s="514">
        <f t="shared" ref="N21:N26" si="9">IF(M21&lt;&gt;0,+H21-M21,0)</f>
        <v>0</v>
      </c>
      <c r="O21" s="514">
        <f t="shared" ref="O21:O26" si="10">+N21-L21</f>
        <v>0</v>
      </c>
      <c r="P21" s="272"/>
    </row>
    <row r="22" spans="2:16" ht="12.5">
      <c r="B22" s="195" t="str">
        <f t="shared" si="5"/>
        <v/>
      </c>
      <c r="C22" s="507">
        <f t="shared" si="6"/>
        <v>2014</v>
      </c>
      <c r="D22" s="515">
        <v>7279703.9076887341</v>
      </c>
      <c r="E22" s="520">
        <v>200063.98761904764</v>
      </c>
      <c r="F22" s="515">
        <v>7079639.9200696861</v>
      </c>
      <c r="G22" s="516">
        <v>1155181.8074626003</v>
      </c>
      <c r="H22" s="510">
        <v>1155181.8074626003</v>
      </c>
      <c r="I22" s="511">
        <v>0</v>
      </c>
      <c r="J22" s="511"/>
      <c r="K22" s="518">
        <f t="shared" si="3"/>
        <v>1155181.8074626003</v>
      </c>
      <c r="L22" s="519">
        <f t="shared" si="8"/>
        <v>0</v>
      </c>
      <c r="M22" s="518">
        <f t="shared" si="4"/>
        <v>1155181.8074626003</v>
      </c>
      <c r="N22" s="514">
        <f t="shared" si="9"/>
        <v>0</v>
      </c>
      <c r="O22" s="514">
        <f t="shared" si="10"/>
        <v>0</v>
      </c>
      <c r="P22" s="272"/>
    </row>
    <row r="23" spans="2:16" ht="12.5">
      <c r="B23" s="195" t="str">
        <f t="shared" si="5"/>
        <v/>
      </c>
      <c r="C23" s="507">
        <f t="shared" si="6"/>
        <v>2015</v>
      </c>
      <c r="D23" s="515">
        <v>7079639.9200696861</v>
      </c>
      <c r="E23" s="520">
        <v>200063.98761904764</v>
      </c>
      <c r="F23" s="515">
        <v>6879575.9324506382</v>
      </c>
      <c r="G23" s="516">
        <v>1106137.1665956248</v>
      </c>
      <c r="H23" s="510">
        <v>1106137.1665956248</v>
      </c>
      <c r="I23" s="511">
        <v>0</v>
      </c>
      <c r="J23" s="511"/>
      <c r="K23" s="518">
        <f t="shared" si="3"/>
        <v>1106137.1665956248</v>
      </c>
      <c r="L23" s="519">
        <f t="shared" si="8"/>
        <v>0</v>
      </c>
      <c r="M23" s="518">
        <f t="shared" si="4"/>
        <v>1106137.1665956248</v>
      </c>
      <c r="N23" s="514">
        <f t="shared" si="9"/>
        <v>0</v>
      </c>
      <c r="O23" s="514">
        <f t="shared" si="10"/>
        <v>0</v>
      </c>
      <c r="P23" s="272"/>
    </row>
    <row r="24" spans="2:16" ht="12.5">
      <c r="B24" s="195" t="str">
        <f t="shared" si="5"/>
        <v/>
      </c>
      <c r="C24" s="507">
        <f t="shared" si="6"/>
        <v>2016</v>
      </c>
      <c r="D24" s="515">
        <v>6879575.9324506382</v>
      </c>
      <c r="E24" s="520">
        <v>200063.98761904764</v>
      </c>
      <c r="F24" s="515">
        <v>6679511.9448315902</v>
      </c>
      <c r="G24" s="516">
        <v>1068934.7345413081</v>
      </c>
      <c r="H24" s="510">
        <v>1068934.7345413081</v>
      </c>
      <c r="I24" s="511">
        <f t="shared" si="7"/>
        <v>0</v>
      </c>
      <c r="J24" s="511"/>
      <c r="K24" s="518">
        <f t="shared" ref="K24:K29" si="11">G24</f>
        <v>1068934.7345413081</v>
      </c>
      <c r="L24" s="519">
        <f t="shared" si="8"/>
        <v>0</v>
      </c>
      <c r="M24" s="518">
        <f t="shared" ref="M24:M29" si="12">H24</f>
        <v>1068934.7345413081</v>
      </c>
      <c r="N24" s="514">
        <f t="shared" si="9"/>
        <v>0</v>
      </c>
      <c r="O24" s="514">
        <f t="shared" si="10"/>
        <v>0</v>
      </c>
      <c r="P24" s="272"/>
    </row>
    <row r="25" spans="2:16" ht="12.5">
      <c r="B25" s="195" t="str">
        <f t="shared" si="5"/>
        <v/>
      </c>
      <c r="C25" s="507">
        <f t="shared" si="6"/>
        <v>2017</v>
      </c>
      <c r="D25" s="515">
        <v>6679511.9448315902</v>
      </c>
      <c r="E25" s="520">
        <v>195411.33674418606</v>
      </c>
      <c r="F25" s="515">
        <v>6484100.6080874037</v>
      </c>
      <c r="G25" s="516">
        <v>1010847.9921071748</v>
      </c>
      <c r="H25" s="510">
        <v>1010847.9921071748</v>
      </c>
      <c r="I25" s="511">
        <f t="shared" si="7"/>
        <v>0</v>
      </c>
      <c r="J25" s="511"/>
      <c r="K25" s="518">
        <f t="shared" si="11"/>
        <v>1010847.9921071748</v>
      </c>
      <c r="L25" s="519">
        <f t="shared" si="8"/>
        <v>0</v>
      </c>
      <c r="M25" s="518">
        <f t="shared" si="12"/>
        <v>1010847.9921071748</v>
      </c>
      <c r="N25" s="514">
        <f t="shared" si="9"/>
        <v>0</v>
      </c>
      <c r="O25" s="514">
        <f t="shared" si="10"/>
        <v>0</v>
      </c>
      <c r="P25" s="272"/>
    </row>
    <row r="26" spans="2:16" ht="12.5">
      <c r="B26" s="195" t="str">
        <f t="shared" si="5"/>
        <v/>
      </c>
      <c r="C26" s="507">
        <f t="shared" si="6"/>
        <v>2018</v>
      </c>
      <c r="D26" s="515">
        <v>6484100.6080874037</v>
      </c>
      <c r="E26" s="520">
        <v>204943.59707317073</v>
      </c>
      <c r="F26" s="515">
        <v>6279157.0110142333</v>
      </c>
      <c r="G26" s="516">
        <v>1016010.9603176524</v>
      </c>
      <c r="H26" s="510">
        <v>1016010.9603176524</v>
      </c>
      <c r="I26" s="511">
        <f t="shared" si="7"/>
        <v>0</v>
      </c>
      <c r="J26" s="511"/>
      <c r="K26" s="518">
        <f t="shared" si="11"/>
        <v>1016010.9603176524</v>
      </c>
      <c r="L26" s="519">
        <f t="shared" si="8"/>
        <v>0</v>
      </c>
      <c r="M26" s="518">
        <f t="shared" si="12"/>
        <v>1016010.9603176524</v>
      </c>
      <c r="N26" s="514">
        <f t="shared" si="9"/>
        <v>0</v>
      </c>
      <c r="O26" s="514">
        <f t="shared" si="10"/>
        <v>0</v>
      </c>
      <c r="P26" s="272"/>
    </row>
    <row r="27" spans="2:16" ht="12.5">
      <c r="B27" s="195" t="str">
        <f t="shared" si="5"/>
        <v/>
      </c>
      <c r="C27" s="507">
        <f t="shared" si="6"/>
        <v>2019</v>
      </c>
      <c r="D27" s="515">
        <v>6279157.0110142333</v>
      </c>
      <c r="E27" s="520">
        <v>204943.59707317073</v>
      </c>
      <c r="F27" s="515">
        <v>6074213.413941063</v>
      </c>
      <c r="G27" s="516">
        <v>989963.83851652173</v>
      </c>
      <c r="H27" s="510">
        <v>989963.83851652173</v>
      </c>
      <c r="I27" s="511">
        <f t="shared" si="7"/>
        <v>0</v>
      </c>
      <c r="J27" s="511"/>
      <c r="K27" s="518">
        <f t="shared" si="11"/>
        <v>989963.83851652173</v>
      </c>
      <c r="L27" s="519">
        <f t="shared" ref="L27" si="13">IF(K27&lt;&gt;0,+G27-K27,0)</f>
        <v>0</v>
      </c>
      <c r="M27" s="518">
        <f t="shared" si="12"/>
        <v>989963.83851652173</v>
      </c>
      <c r="N27" s="514">
        <f t="shared" si="1"/>
        <v>0</v>
      </c>
      <c r="O27" s="514">
        <f t="shared" si="2"/>
        <v>0</v>
      </c>
      <c r="P27" s="272"/>
    </row>
    <row r="28" spans="2:16" ht="12.5">
      <c r="B28" s="195" t="str">
        <f t="shared" si="5"/>
        <v/>
      </c>
      <c r="C28" s="507">
        <f t="shared" si="6"/>
        <v>2020</v>
      </c>
      <c r="D28" s="515">
        <v>6074213.413941063</v>
      </c>
      <c r="E28" s="520">
        <v>204943.59707317073</v>
      </c>
      <c r="F28" s="515">
        <v>5869269.8168678926</v>
      </c>
      <c r="G28" s="516">
        <v>816064.49414072814</v>
      </c>
      <c r="H28" s="510">
        <v>816064.49414072814</v>
      </c>
      <c r="I28" s="511">
        <f t="shared" si="7"/>
        <v>0</v>
      </c>
      <c r="J28" s="511"/>
      <c r="K28" s="518">
        <f t="shared" si="11"/>
        <v>816064.49414072814</v>
      </c>
      <c r="L28" s="519">
        <f t="shared" ref="L28" si="14">IF(K28&lt;&gt;0,+G28-K28,0)</f>
        <v>0</v>
      </c>
      <c r="M28" s="518">
        <f t="shared" si="12"/>
        <v>816064.49414072814</v>
      </c>
      <c r="N28" s="514">
        <f t="shared" si="1"/>
        <v>0</v>
      </c>
      <c r="O28" s="514">
        <f t="shared" si="2"/>
        <v>0</v>
      </c>
      <c r="P28" s="272"/>
    </row>
    <row r="29" spans="2:16" ht="12.5">
      <c r="B29" s="195" t="str">
        <f t="shared" si="5"/>
        <v>IU</v>
      </c>
      <c r="C29" s="507">
        <f t="shared" si="6"/>
        <v>2021</v>
      </c>
      <c r="D29" s="515">
        <v>5878802.0771968784</v>
      </c>
      <c r="E29" s="520">
        <v>200063.98761904764</v>
      </c>
      <c r="F29" s="515">
        <v>5678738.0895778304</v>
      </c>
      <c r="G29" s="516">
        <v>812639.88121443952</v>
      </c>
      <c r="H29" s="510">
        <v>812639.88121443952</v>
      </c>
      <c r="I29" s="511">
        <f t="shared" si="7"/>
        <v>0</v>
      </c>
      <c r="J29" s="511"/>
      <c r="K29" s="518">
        <f t="shared" si="11"/>
        <v>812639.88121443952</v>
      </c>
      <c r="L29" s="519">
        <f t="shared" ref="L29" si="15">IF(K29&lt;&gt;0,+G29-K29,0)</f>
        <v>0</v>
      </c>
      <c r="M29" s="518">
        <f t="shared" si="12"/>
        <v>812639.88121443952</v>
      </c>
      <c r="N29" s="514">
        <f t="shared" si="1"/>
        <v>0</v>
      </c>
      <c r="O29" s="514">
        <f t="shared" si="2"/>
        <v>0</v>
      </c>
      <c r="P29" s="272"/>
    </row>
    <row r="30" spans="2:16" ht="12.5">
      <c r="B30" s="195" t="str">
        <f t="shared" si="5"/>
        <v>IU</v>
      </c>
      <c r="C30" s="507">
        <f t="shared" si="6"/>
        <v>2022</v>
      </c>
      <c r="D30" s="515">
        <v>5669205.8292488456</v>
      </c>
      <c r="E30" s="520">
        <v>200063.98761904764</v>
      </c>
      <c r="F30" s="515">
        <v>5469141.8416297976</v>
      </c>
      <c r="G30" s="516">
        <v>826284.70992984762</v>
      </c>
      <c r="H30" s="510">
        <v>826284.70992984762</v>
      </c>
      <c r="I30" s="511">
        <f t="shared" si="7"/>
        <v>0</v>
      </c>
      <c r="J30" s="511"/>
      <c r="K30" s="518">
        <f t="shared" ref="K30" si="16">G30</f>
        <v>826284.70992984762</v>
      </c>
      <c r="L30" s="519">
        <f t="shared" ref="L30" si="17">IF(K30&lt;&gt;0,+G30-K30,0)</f>
        <v>0</v>
      </c>
      <c r="M30" s="518">
        <f t="shared" ref="M30" si="18">H30</f>
        <v>826284.70992984762</v>
      </c>
      <c r="N30" s="514">
        <f t="shared" si="1"/>
        <v>0</v>
      </c>
      <c r="O30" s="514">
        <f t="shared" si="2"/>
        <v>0</v>
      </c>
      <c r="P30" s="272"/>
    </row>
    <row r="31" spans="2:16" ht="12.5">
      <c r="B31" s="195"/>
      <c r="C31" s="507">
        <f t="shared" si="6"/>
        <v>2023</v>
      </c>
      <c r="D31" s="523">
        <f>IF(F30+SUM(E$17:E30)=D$10,F30,D$10-SUM(E$17:E30))</f>
        <v>5469141.3616297981</v>
      </c>
      <c r="E31" s="522">
        <f t="shared" ref="E31:E72" si="19">IF(+I$14&lt;F30,I$14,D31)</f>
        <v>200063.97619047618</v>
      </c>
      <c r="F31" s="523">
        <f t="shared" ref="F31:F72" si="20">+D31-E31</f>
        <v>5269077.3854393223</v>
      </c>
      <c r="G31" s="524">
        <f t="shared" ref="G31:G72" si="21">+I$12*((D31+F31)/2)+E31</f>
        <v>878326.3176604046</v>
      </c>
      <c r="H31" s="491">
        <f t="shared" ref="H31:H72" si="22">+I$13*((D31+F31)/2)+E31</f>
        <v>878326.3176604046</v>
      </c>
      <c r="I31" s="511">
        <f t="shared" si="7"/>
        <v>0</v>
      </c>
      <c r="J31" s="511"/>
      <c r="K31" s="525"/>
      <c r="L31" s="514">
        <f t="shared" si="0"/>
        <v>0</v>
      </c>
      <c r="M31" s="525"/>
      <c r="N31" s="514">
        <f t="shared" si="1"/>
        <v>0</v>
      </c>
      <c r="O31" s="514">
        <f t="shared" si="2"/>
        <v>0</v>
      </c>
      <c r="P31" s="272"/>
    </row>
    <row r="32" spans="2:16" ht="12.5">
      <c r="B32" s="582" t="str">
        <f t="shared" si="5"/>
        <v/>
      </c>
      <c r="C32" s="507">
        <f t="shared" si="6"/>
        <v>2024</v>
      </c>
      <c r="D32" s="523">
        <f>IF(F31+SUM(E$17:E31)=D$10,F31,D$10-SUM(E$17:E31))</f>
        <v>5269077.3854393223</v>
      </c>
      <c r="E32" s="522">
        <f t="shared" si="19"/>
        <v>200063.97619047618</v>
      </c>
      <c r="F32" s="523">
        <f t="shared" si="20"/>
        <v>5069013.4092488466</v>
      </c>
      <c r="G32" s="524">
        <f t="shared" si="21"/>
        <v>853052.87815782928</v>
      </c>
      <c r="H32" s="491">
        <f t="shared" si="22"/>
        <v>853052.87815782928</v>
      </c>
      <c r="I32" s="511">
        <f t="shared" si="7"/>
        <v>0</v>
      </c>
      <c r="J32" s="511"/>
      <c r="K32" s="525"/>
      <c r="L32" s="514">
        <f t="shared" si="0"/>
        <v>0</v>
      </c>
      <c r="M32" s="525"/>
      <c r="N32" s="514">
        <f t="shared" si="1"/>
        <v>0</v>
      </c>
      <c r="O32" s="514">
        <f t="shared" si="2"/>
        <v>0</v>
      </c>
      <c r="P32" s="272"/>
    </row>
    <row r="33" spans="2:16" ht="12.5">
      <c r="B33" s="195" t="str">
        <f t="shared" si="5"/>
        <v/>
      </c>
      <c r="C33" s="507">
        <f t="shared" si="6"/>
        <v>2025</v>
      </c>
      <c r="D33" s="523">
        <f>IF(F32+SUM(E$17:E32)=D$10,F32,D$10-SUM(E$17:E32))</f>
        <v>5069013.4092488466</v>
      </c>
      <c r="E33" s="522">
        <f t="shared" si="19"/>
        <v>200063.97619047618</v>
      </c>
      <c r="F33" s="523">
        <f t="shared" si="20"/>
        <v>4868949.4330583708</v>
      </c>
      <c r="G33" s="524">
        <f t="shared" si="21"/>
        <v>827779.43865525385</v>
      </c>
      <c r="H33" s="491">
        <f t="shared" si="22"/>
        <v>827779.43865525385</v>
      </c>
      <c r="I33" s="511">
        <f t="shared" si="7"/>
        <v>0</v>
      </c>
      <c r="J33" s="511"/>
      <c r="K33" s="525"/>
      <c r="L33" s="514">
        <f t="shared" si="0"/>
        <v>0</v>
      </c>
      <c r="M33" s="525"/>
      <c r="N33" s="514">
        <f t="shared" si="1"/>
        <v>0</v>
      </c>
      <c r="O33" s="514">
        <f t="shared" si="2"/>
        <v>0</v>
      </c>
      <c r="P33" s="272"/>
    </row>
    <row r="34" spans="2:16" ht="12.5">
      <c r="B34" s="195" t="str">
        <f t="shared" si="5"/>
        <v/>
      </c>
      <c r="C34" s="507">
        <f t="shared" si="6"/>
        <v>2026</v>
      </c>
      <c r="D34" s="523">
        <f>IF(F33+SUM(E$17:E33)=D$10,F33,D$10-SUM(E$17:E33))</f>
        <v>4868949.4330583708</v>
      </c>
      <c r="E34" s="522">
        <f t="shared" si="19"/>
        <v>200063.97619047618</v>
      </c>
      <c r="F34" s="523">
        <f t="shared" si="20"/>
        <v>4668885.4568678951</v>
      </c>
      <c r="G34" s="524">
        <f t="shared" si="21"/>
        <v>802505.99915267853</v>
      </c>
      <c r="H34" s="491">
        <f t="shared" si="22"/>
        <v>802505.99915267853</v>
      </c>
      <c r="I34" s="511">
        <f t="shared" si="7"/>
        <v>0</v>
      </c>
      <c r="J34" s="511"/>
      <c r="K34" s="525"/>
      <c r="L34" s="514">
        <f t="shared" si="0"/>
        <v>0</v>
      </c>
      <c r="M34" s="525"/>
      <c r="N34" s="514">
        <f t="shared" si="1"/>
        <v>0</v>
      </c>
      <c r="O34" s="514">
        <f t="shared" si="2"/>
        <v>0</v>
      </c>
      <c r="P34" s="272"/>
    </row>
    <row r="35" spans="2:16" ht="12.5">
      <c r="B35" s="195" t="str">
        <f t="shared" si="5"/>
        <v/>
      </c>
      <c r="C35" s="507">
        <f t="shared" si="6"/>
        <v>2027</v>
      </c>
      <c r="D35" s="523">
        <f>IF(F34+SUM(E$17:E34)=D$10,F34,D$10-SUM(E$17:E34))</f>
        <v>4668885.4568678951</v>
      </c>
      <c r="E35" s="522">
        <f t="shared" si="19"/>
        <v>200063.97619047618</v>
      </c>
      <c r="F35" s="523">
        <f t="shared" si="20"/>
        <v>4468821.4806774193</v>
      </c>
      <c r="G35" s="524">
        <f t="shared" si="21"/>
        <v>777232.5596501031</v>
      </c>
      <c r="H35" s="491">
        <f t="shared" si="22"/>
        <v>777232.5596501031</v>
      </c>
      <c r="I35" s="511">
        <f t="shared" si="7"/>
        <v>0</v>
      </c>
      <c r="J35" s="511"/>
      <c r="K35" s="525"/>
      <c r="L35" s="514">
        <f t="shared" si="0"/>
        <v>0</v>
      </c>
      <c r="M35" s="525"/>
      <c r="N35" s="514">
        <f t="shared" si="1"/>
        <v>0</v>
      </c>
      <c r="O35" s="514">
        <f t="shared" si="2"/>
        <v>0</v>
      </c>
      <c r="P35" s="272"/>
    </row>
    <row r="36" spans="2:16" ht="12.5">
      <c r="B36" s="195" t="str">
        <f t="shared" si="5"/>
        <v/>
      </c>
      <c r="C36" s="507">
        <f t="shared" si="6"/>
        <v>2028</v>
      </c>
      <c r="D36" s="523">
        <f>IF(F35+SUM(E$17:E35)=D$10,F35,D$10-SUM(E$17:E35))</f>
        <v>4468821.4806774193</v>
      </c>
      <c r="E36" s="522">
        <f t="shared" si="19"/>
        <v>200063.97619047618</v>
      </c>
      <c r="F36" s="523">
        <f t="shared" si="20"/>
        <v>4268757.5044869436</v>
      </c>
      <c r="G36" s="524">
        <f t="shared" si="21"/>
        <v>751959.12014752778</v>
      </c>
      <c r="H36" s="491">
        <f t="shared" si="22"/>
        <v>751959.12014752778</v>
      </c>
      <c r="I36" s="511">
        <f t="shared" si="7"/>
        <v>0</v>
      </c>
      <c r="J36" s="511"/>
      <c r="K36" s="525"/>
      <c r="L36" s="514">
        <f t="shared" si="0"/>
        <v>0</v>
      </c>
      <c r="M36" s="525"/>
      <c r="N36" s="514">
        <f t="shared" si="1"/>
        <v>0</v>
      </c>
      <c r="O36" s="514">
        <f t="shared" si="2"/>
        <v>0</v>
      </c>
      <c r="P36" s="272"/>
    </row>
    <row r="37" spans="2:16" ht="12.5">
      <c r="B37" s="195" t="str">
        <f t="shared" si="5"/>
        <v/>
      </c>
      <c r="C37" s="507">
        <f t="shared" si="6"/>
        <v>2029</v>
      </c>
      <c r="D37" s="523">
        <f>IF(F36+SUM(E$17:E36)=D$10,F36,D$10-SUM(E$17:E36))</f>
        <v>4268757.5044869436</v>
      </c>
      <c r="E37" s="522">
        <f t="shared" si="19"/>
        <v>200063.97619047618</v>
      </c>
      <c r="F37" s="523">
        <f t="shared" si="20"/>
        <v>4068693.5282964674</v>
      </c>
      <c r="G37" s="524">
        <f t="shared" si="21"/>
        <v>726685.68064495234</v>
      </c>
      <c r="H37" s="491">
        <f t="shared" si="22"/>
        <v>726685.68064495234</v>
      </c>
      <c r="I37" s="511">
        <f t="shared" si="7"/>
        <v>0</v>
      </c>
      <c r="J37" s="511"/>
      <c r="K37" s="525"/>
      <c r="L37" s="514">
        <f t="shared" si="0"/>
        <v>0</v>
      </c>
      <c r="M37" s="525"/>
      <c r="N37" s="514">
        <f t="shared" si="1"/>
        <v>0</v>
      </c>
      <c r="O37" s="514">
        <f t="shared" si="2"/>
        <v>0</v>
      </c>
      <c r="P37" s="272"/>
    </row>
    <row r="38" spans="2:16" ht="12.5">
      <c r="B38" s="195" t="str">
        <f t="shared" si="5"/>
        <v/>
      </c>
      <c r="C38" s="507">
        <f t="shared" si="6"/>
        <v>2030</v>
      </c>
      <c r="D38" s="523">
        <f>IF(F37+SUM(E$17:E37)=D$10,F37,D$10-SUM(E$17:E37))</f>
        <v>4068693.5282964674</v>
      </c>
      <c r="E38" s="522">
        <f t="shared" si="19"/>
        <v>200063.97619047618</v>
      </c>
      <c r="F38" s="523">
        <f t="shared" si="20"/>
        <v>3868629.5521059912</v>
      </c>
      <c r="G38" s="524">
        <f t="shared" si="21"/>
        <v>701412.24114237679</v>
      </c>
      <c r="H38" s="491">
        <f t="shared" si="22"/>
        <v>701412.24114237679</v>
      </c>
      <c r="I38" s="511">
        <f t="shared" si="7"/>
        <v>0</v>
      </c>
      <c r="J38" s="511"/>
      <c r="K38" s="525"/>
      <c r="L38" s="514">
        <f t="shared" si="0"/>
        <v>0</v>
      </c>
      <c r="M38" s="525"/>
      <c r="N38" s="514">
        <f t="shared" si="1"/>
        <v>0</v>
      </c>
      <c r="O38" s="514">
        <f t="shared" si="2"/>
        <v>0</v>
      </c>
      <c r="P38" s="272"/>
    </row>
    <row r="39" spans="2:16" ht="12.5">
      <c r="B39" s="195" t="str">
        <f t="shared" si="5"/>
        <v/>
      </c>
      <c r="C39" s="507">
        <f t="shared" si="6"/>
        <v>2031</v>
      </c>
      <c r="D39" s="523">
        <f>IF(F38+SUM(E$17:E38)=D$10,F38,D$10-SUM(E$17:E38))</f>
        <v>3868629.5521059912</v>
      </c>
      <c r="E39" s="522">
        <f t="shared" si="19"/>
        <v>200063.97619047618</v>
      </c>
      <c r="F39" s="523">
        <f t="shared" si="20"/>
        <v>3668565.575915515</v>
      </c>
      <c r="G39" s="524">
        <f t="shared" si="21"/>
        <v>676138.80163980147</v>
      </c>
      <c r="H39" s="491">
        <f t="shared" si="22"/>
        <v>676138.80163980147</v>
      </c>
      <c r="I39" s="511">
        <f t="shared" si="7"/>
        <v>0</v>
      </c>
      <c r="J39" s="511"/>
      <c r="K39" s="525"/>
      <c r="L39" s="514">
        <f t="shared" si="0"/>
        <v>0</v>
      </c>
      <c r="M39" s="525"/>
      <c r="N39" s="514">
        <f t="shared" si="1"/>
        <v>0</v>
      </c>
      <c r="O39" s="514">
        <f t="shared" si="2"/>
        <v>0</v>
      </c>
      <c r="P39" s="272"/>
    </row>
    <row r="40" spans="2:16" ht="12.5">
      <c r="B40" s="195" t="str">
        <f t="shared" si="5"/>
        <v/>
      </c>
      <c r="C40" s="507">
        <f t="shared" si="6"/>
        <v>2032</v>
      </c>
      <c r="D40" s="523">
        <f>IF(F39+SUM(E$17:E39)=D$10,F39,D$10-SUM(E$17:E39))</f>
        <v>3668565.575915515</v>
      </c>
      <c r="E40" s="522">
        <f t="shared" si="19"/>
        <v>200063.97619047618</v>
      </c>
      <c r="F40" s="523">
        <f t="shared" si="20"/>
        <v>3468501.5997250387</v>
      </c>
      <c r="G40" s="524">
        <f t="shared" si="21"/>
        <v>650865.36213722592</v>
      </c>
      <c r="H40" s="491">
        <f t="shared" si="22"/>
        <v>650865.36213722592</v>
      </c>
      <c r="I40" s="511">
        <f t="shared" si="7"/>
        <v>0</v>
      </c>
      <c r="J40" s="511"/>
      <c r="K40" s="525"/>
      <c r="L40" s="514">
        <f t="shared" si="0"/>
        <v>0</v>
      </c>
      <c r="M40" s="525"/>
      <c r="N40" s="514">
        <f t="shared" si="1"/>
        <v>0</v>
      </c>
      <c r="O40" s="514">
        <f t="shared" si="2"/>
        <v>0</v>
      </c>
      <c r="P40" s="272"/>
    </row>
    <row r="41" spans="2:16" ht="12.5">
      <c r="B41" s="195" t="str">
        <f t="shared" si="5"/>
        <v/>
      </c>
      <c r="C41" s="507">
        <f t="shared" si="6"/>
        <v>2033</v>
      </c>
      <c r="D41" s="523">
        <f>IF(F40+SUM(E$17:E40)=D$10,F40,D$10-SUM(E$17:E40))</f>
        <v>3468501.5997250387</v>
      </c>
      <c r="E41" s="522">
        <f t="shared" si="19"/>
        <v>200063.97619047618</v>
      </c>
      <c r="F41" s="523">
        <f t="shared" si="20"/>
        <v>3268437.6235345625</v>
      </c>
      <c r="G41" s="524">
        <f t="shared" si="21"/>
        <v>625591.9226346506</v>
      </c>
      <c r="H41" s="491">
        <f t="shared" si="22"/>
        <v>625591.9226346506</v>
      </c>
      <c r="I41" s="511">
        <f t="shared" si="7"/>
        <v>0</v>
      </c>
      <c r="J41" s="511"/>
      <c r="K41" s="525"/>
      <c r="L41" s="514">
        <f t="shared" si="0"/>
        <v>0</v>
      </c>
      <c r="M41" s="525"/>
      <c r="N41" s="514">
        <f t="shared" si="1"/>
        <v>0</v>
      </c>
      <c r="O41" s="514">
        <f t="shared" si="2"/>
        <v>0</v>
      </c>
      <c r="P41" s="272"/>
    </row>
    <row r="42" spans="2:16" ht="12.5">
      <c r="B42" s="195" t="str">
        <f t="shared" si="5"/>
        <v/>
      </c>
      <c r="C42" s="507">
        <f t="shared" si="6"/>
        <v>2034</v>
      </c>
      <c r="D42" s="523">
        <f>IF(F41+SUM(E$17:E41)=D$10,F41,D$10-SUM(E$17:E41))</f>
        <v>3268437.6235345625</v>
      </c>
      <c r="E42" s="522">
        <f t="shared" si="19"/>
        <v>200063.97619047618</v>
      </c>
      <c r="F42" s="523">
        <f t="shared" si="20"/>
        <v>3068373.6473440863</v>
      </c>
      <c r="G42" s="524">
        <f t="shared" si="21"/>
        <v>600318.48313207505</v>
      </c>
      <c r="H42" s="491">
        <f t="shared" si="22"/>
        <v>600318.48313207505</v>
      </c>
      <c r="I42" s="511">
        <f t="shared" si="7"/>
        <v>0</v>
      </c>
      <c r="J42" s="511"/>
      <c r="K42" s="525"/>
      <c r="L42" s="514">
        <f t="shared" si="0"/>
        <v>0</v>
      </c>
      <c r="M42" s="525"/>
      <c r="N42" s="514">
        <f t="shared" si="1"/>
        <v>0</v>
      </c>
      <c r="O42" s="514">
        <f t="shared" si="2"/>
        <v>0</v>
      </c>
      <c r="P42" s="272"/>
    </row>
    <row r="43" spans="2:16" ht="12.5">
      <c r="B43" s="195" t="str">
        <f t="shared" si="5"/>
        <v/>
      </c>
      <c r="C43" s="507">
        <f t="shared" si="6"/>
        <v>2035</v>
      </c>
      <c r="D43" s="523">
        <f>IF(F42+SUM(E$17:E42)=D$10,F42,D$10-SUM(E$17:E42))</f>
        <v>3068373.6473440863</v>
      </c>
      <c r="E43" s="522">
        <f t="shared" si="19"/>
        <v>200063.97619047618</v>
      </c>
      <c r="F43" s="523">
        <f t="shared" si="20"/>
        <v>2868309.6711536101</v>
      </c>
      <c r="G43" s="524">
        <f t="shared" si="21"/>
        <v>575045.04362949973</v>
      </c>
      <c r="H43" s="491">
        <f t="shared" si="22"/>
        <v>575045.04362949973</v>
      </c>
      <c r="I43" s="511">
        <f t="shared" si="7"/>
        <v>0</v>
      </c>
      <c r="J43" s="511"/>
      <c r="K43" s="525"/>
      <c r="L43" s="514">
        <f t="shared" si="0"/>
        <v>0</v>
      </c>
      <c r="M43" s="525"/>
      <c r="N43" s="514">
        <f t="shared" si="1"/>
        <v>0</v>
      </c>
      <c r="O43" s="514">
        <f t="shared" si="2"/>
        <v>0</v>
      </c>
      <c r="P43" s="272"/>
    </row>
    <row r="44" spans="2:16" ht="12.5">
      <c r="B44" s="195" t="str">
        <f t="shared" si="5"/>
        <v/>
      </c>
      <c r="C44" s="507">
        <f t="shared" si="6"/>
        <v>2036</v>
      </c>
      <c r="D44" s="523">
        <f>IF(F43+SUM(E$17:E43)=D$10,F43,D$10-SUM(E$17:E43))</f>
        <v>2868309.6711536101</v>
      </c>
      <c r="E44" s="522">
        <f t="shared" si="19"/>
        <v>200063.97619047618</v>
      </c>
      <c r="F44" s="523">
        <f t="shared" si="20"/>
        <v>2668245.6949631339</v>
      </c>
      <c r="G44" s="524">
        <f t="shared" si="21"/>
        <v>549771.60412692418</v>
      </c>
      <c r="H44" s="491">
        <f t="shared" si="22"/>
        <v>549771.60412692418</v>
      </c>
      <c r="I44" s="511">
        <f t="shared" si="7"/>
        <v>0</v>
      </c>
      <c r="J44" s="511"/>
      <c r="K44" s="525"/>
      <c r="L44" s="514">
        <f t="shared" si="0"/>
        <v>0</v>
      </c>
      <c r="M44" s="525"/>
      <c r="N44" s="514">
        <f t="shared" si="1"/>
        <v>0</v>
      </c>
      <c r="O44" s="514">
        <f t="shared" si="2"/>
        <v>0</v>
      </c>
      <c r="P44" s="272"/>
    </row>
    <row r="45" spans="2:16" ht="12.5">
      <c r="B45" s="195" t="str">
        <f t="shared" si="5"/>
        <v/>
      </c>
      <c r="C45" s="507">
        <f t="shared" si="6"/>
        <v>2037</v>
      </c>
      <c r="D45" s="523">
        <f>IF(F44+SUM(E$17:E44)=D$10,F44,D$10-SUM(E$17:E44))</f>
        <v>2668245.6949631339</v>
      </c>
      <c r="E45" s="522">
        <f t="shared" si="19"/>
        <v>200063.97619047618</v>
      </c>
      <c r="F45" s="523">
        <f t="shared" si="20"/>
        <v>2468181.7187726577</v>
      </c>
      <c r="G45" s="524">
        <f t="shared" si="21"/>
        <v>524498.16462434886</v>
      </c>
      <c r="H45" s="491">
        <f t="shared" si="22"/>
        <v>524498.16462434886</v>
      </c>
      <c r="I45" s="511">
        <f t="shared" si="7"/>
        <v>0</v>
      </c>
      <c r="J45" s="511"/>
      <c r="K45" s="525"/>
      <c r="L45" s="514">
        <f t="shared" si="0"/>
        <v>0</v>
      </c>
      <c r="M45" s="525"/>
      <c r="N45" s="514">
        <f t="shared" si="1"/>
        <v>0</v>
      </c>
      <c r="O45" s="514">
        <f t="shared" si="2"/>
        <v>0</v>
      </c>
      <c r="P45" s="272"/>
    </row>
    <row r="46" spans="2:16" ht="12.5">
      <c r="B46" s="195" t="str">
        <f t="shared" si="5"/>
        <v/>
      </c>
      <c r="C46" s="507">
        <f t="shared" si="6"/>
        <v>2038</v>
      </c>
      <c r="D46" s="523">
        <f>IF(F45+SUM(E$17:E45)=D$10,F45,D$10-SUM(E$17:E45))</f>
        <v>2468181.7187726577</v>
      </c>
      <c r="E46" s="522">
        <f t="shared" si="19"/>
        <v>200063.97619047618</v>
      </c>
      <c r="F46" s="523">
        <f t="shared" si="20"/>
        <v>2268117.7425821815</v>
      </c>
      <c r="G46" s="524">
        <f t="shared" si="21"/>
        <v>499224.72512177331</v>
      </c>
      <c r="H46" s="491">
        <f t="shared" si="22"/>
        <v>499224.72512177331</v>
      </c>
      <c r="I46" s="511">
        <f t="shared" si="7"/>
        <v>0</v>
      </c>
      <c r="J46" s="511"/>
      <c r="K46" s="525"/>
      <c r="L46" s="514">
        <f t="shared" si="0"/>
        <v>0</v>
      </c>
      <c r="M46" s="525"/>
      <c r="N46" s="514">
        <f t="shared" si="1"/>
        <v>0</v>
      </c>
      <c r="O46" s="514">
        <f t="shared" si="2"/>
        <v>0</v>
      </c>
      <c r="P46" s="272"/>
    </row>
    <row r="47" spans="2:16" ht="12.5">
      <c r="B47" s="195" t="str">
        <f t="shared" si="5"/>
        <v/>
      </c>
      <c r="C47" s="507">
        <f t="shared" si="6"/>
        <v>2039</v>
      </c>
      <c r="D47" s="523">
        <f>IF(F46+SUM(E$17:E46)=D$10,F46,D$10-SUM(E$17:E46))</f>
        <v>2268117.7425821815</v>
      </c>
      <c r="E47" s="522">
        <f t="shared" si="19"/>
        <v>200063.97619047618</v>
      </c>
      <c r="F47" s="523">
        <f t="shared" si="20"/>
        <v>2068053.7663917053</v>
      </c>
      <c r="G47" s="524">
        <f t="shared" si="21"/>
        <v>473951.285619198</v>
      </c>
      <c r="H47" s="491">
        <f t="shared" si="22"/>
        <v>473951.285619198</v>
      </c>
      <c r="I47" s="511">
        <f t="shared" si="7"/>
        <v>0</v>
      </c>
      <c r="J47" s="511"/>
      <c r="K47" s="525"/>
      <c r="L47" s="514">
        <f t="shared" si="0"/>
        <v>0</v>
      </c>
      <c r="M47" s="525"/>
      <c r="N47" s="514">
        <f t="shared" si="1"/>
        <v>0</v>
      </c>
      <c r="O47" s="514">
        <f t="shared" si="2"/>
        <v>0</v>
      </c>
      <c r="P47" s="272"/>
    </row>
    <row r="48" spans="2:16" ht="12.5">
      <c r="B48" s="195" t="str">
        <f t="shared" si="5"/>
        <v/>
      </c>
      <c r="C48" s="507">
        <f t="shared" si="6"/>
        <v>2040</v>
      </c>
      <c r="D48" s="523">
        <f>IF(F47+SUM(E$17:E47)=D$10,F47,D$10-SUM(E$17:E47))</f>
        <v>2068053.7663917053</v>
      </c>
      <c r="E48" s="522">
        <f t="shared" si="19"/>
        <v>200063.97619047618</v>
      </c>
      <c r="F48" s="523">
        <f t="shared" si="20"/>
        <v>1867989.790201229</v>
      </c>
      <c r="G48" s="524">
        <f t="shared" si="21"/>
        <v>448677.8461166225</v>
      </c>
      <c r="H48" s="491">
        <f t="shared" si="22"/>
        <v>448677.8461166225</v>
      </c>
      <c r="I48" s="511">
        <f t="shared" si="7"/>
        <v>0</v>
      </c>
      <c r="J48" s="511"/>
      <c r="K48" s="525"/>
      <c r="L48" s="514">
        <f t="shared" si="0"/>
        <v>0</v>
      </c>
      <c r="M48" s="525"/>
      <c r="N48" s="514">
        <f t="shared" si="1"/>
        <v>0</v>
      </c>
      <c r="O48" s="514">
        <f t="shared" si="2"/>
        <v>0</v>
      </c>
      <c r="P48" s="272"/>
    </row>
    <row r="49" spans="2:17" ht="12.5">
      <c r="B49" s="195" t="str">
        <f t="shared" si="5"/>
        <v/>
      </c>
      <c r="C49" s="507">
        <f t="shared" si="6"/>
        <v>2041</v>
      </c>
      <c r="D49" s="523">
        <f>IF(F48+SUM(E$17:E48)=D$10,F48,D$10-SUM(E$17:E48))</f>
        <v>1867989.790201229</v>
      </c>
      <c r="E49" s="522">
        <f t="shared" si="19"/>
        <v>200063.97619047618</v>
      </c>
      <c r="F49" s="523">
        <f t="shared" si="20"/>
        <v>1667925.8140107528</v>
      </c>
      <c r="G49" s="524">
        <f t="shared" si="21"/>
        <v>423404.40661404707</v>
      </c>
      <c r="H49" s="491">
        <f t="shared" si="22"/>
        <v>423404.40661404707</v>
      </c>
      <c r="I49" s="511">
        <f t="shared" si="7"/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 ht="12.5">
      <c r="B50" s="195" t="str">
        <f t="shared" si="5"/>
        <v/>
      </c>
      <c r="C50" s="507">
        <f t="shared" si="6"/>
        <v>2042</v>
      </c>
      <c r="D50" s="523">
        <f>IF(F49+SUM(E$17:E49)=D$10,F49,D$10-SUM(E$17:E49))</f>
        <v>1667925.8140107528</v>
      </c>
      <c r="E50" s="522">
        <f t="shared" si="19"/>
        <v>200063.97619047618</v>
      </c>
      <c r="F50" s="523">
        <f t="shared" si="20"/>
        <v>1467861.8378202766</v>
      </c>
      <c r="G50" s="524">
        <f t="shared" si="21"/>
        <v>398130.96711147163</v>
      </c>
      <c r="H50" s="491">
        <f t="shared" si="22"/>
        <v>398130.96711147163</v>
      </c>
      <c r="I50" s="511">
        <f t="shared" si="7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 ht="12.5">
      <c r="B51" s="195" t="str">
        <f t="shared" si="5"/>
        <v/>
      </c>
      <c r="C51" s="507">
        <f t="shared" si="6"/>
        <v>2043</v>
      </c>
      <c r="D51" s="523">
        <f>IF(F50+SUM(E$17:E50)=D$10,F50,D$10-SUM(E$17:E50))</f>
        <v>1467861.8378202766</v>
      </c>
      <c r="E51" s="522">
        <f t="shared" si="19"/>
        <v>200063.97619047618</v>
      </c>
      <c r="F51" s="523">
        <f t="shared" si="20"/>
        <v>1267797.8616298004</v>
      </c>
      <c r="G51" s="524">
        <f t="shared" si="21"/>
        <v>372857.5276088962</v>
      </c>
      <c r="H51" s="491">
        <f t="shared" si="22"/>
        <v>372857.5276088962</v>
      </c>
      <c r="I51" s="511">
        <f t="shared" si="7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 ht="12.5">
      <c r="B52" s="195" t="str">
        <f t="shared" si="5"/>
        <v/>
      </c>
      <c r="C52" s="507">
        <f t="shared" si="6"/>
        <v>2044</v>
      </c>
      <c r="D52" s="523">
        <f>IF(F51+SUM(E$17:E51)=D$10,F51,D$10-SUM(E$17:E51))</f>
        <v>1267797.8616298004</v>
      </c>
      <c r="E52" s="522">
        <f t="shared" si="19"/>
        <v>200063.97619047618</v>
      </c>
      <c r="F52" s="523">
        <f t="shared" si="20"/>
        <v>1067733.8854393242</v>
      </c>
      <c r="G52" s="524">
        <f t="shared" si="21"/>
        <v>347584.08810632076</v>
      </c>
      <c r="H52" s="491">
        <f t="shared" si="22"/>
        <v>347584.08810632076</v>
      </c>
      <c r="I52" s="511">
        <f t="shared" si="7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 ht="12.5">
      <c r="B53" s="195" t="str">
        <f t="shared" si="5"/>
        <v/>
      </c>
      <c r="C53" s="507">
        <f t="shared" si="6"/>
        <v>2045</v>
      </c>
      <c r="D53" s="523">
        <f>IF(F52+SUM(E$17:E52)=D$10,F52,D$10-SUM(E$17:E52))</f>
        <v>1067733.8854393242</v>
      </c>
      <c r="E53" s="522">
        <f t="shared" si="19"/>
        <v>200063.97619047618</v>
      </c>
      <c r="F53" s="523">
        <f t="shared" si="20"/>
        <v>867669.90924884798</v>
      </c>
      <c r="G53" s="524">
        <f t="shared" si="21"/>
        <v>322310.64860374533</v>
      </c>
      <c r="H53" s="491">
        <f t="shared" si="22"/>
        <v>322310.64860374533</v>
      </c>
      <c r="I53" s="511">
        <f t="shared" si="7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 ht="12.5">
      <c r="B54" s="582" t="str">
        <f t="shared" si="5"/>
        <v>IU</v>
      </c>
      <c r="C54" s="507">
        <f t="shared" si="6"/>
        <v>2046</v>
      </c>
      <c r="D54" s="523">
        <f>IF(F53+SUM(E$17:E53)=D$10,F53,D$10-SUM(E$17:E53))</f>
        <v>867669.9092488531</v>
      </c>
      <c r="E54" s="522">
        <f t="shared" si="19"/>
        <v>200063.97619047618</v>
      </c>
      <c r="F54" s="523">
        <f t="shared" si="20"/>
        <v>667605.93305837689</v>
      </c>
      <c r="G54" s="524">
        <f t="shared" si="21"/>
        <v>297037.20910117053</v>
      </c>
      <c r="H54" s="491">
        <f t="shared" si="22"/>
        <v>297037.20910117053</v>
      </c>
      <c r="I54" s="511">
        <f t="shared" si="7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 ht="12.5">
      <c r="B55" s="195" t="str">
        <f t="shared" si="5"/>
        <v/>
      </c>
      <c r="C55" s="507">
        <f t="shared" si="6"/>
        <v>2047</v>
      </c>
      <c r="D55" s="523">
        <f>IF(F54+SUM(E$17:E54)=D$10,F54,D$10-SUM(E$17:E54))</f>
        <v>667605.93305837689</v>
      </c>
      <c r="E55" s="522">
        <f t="shared" si="19"/>
        <v>200063.97619047618</v>
      </c>
      <c r="F55" s="523">
        <f t="shared" si="20"/>
        <v>467541.95686790068</v>
      </c>
      <c r="G55" s="524">
        <f t="shared" si="21"/>
        <v>271763.7695985951</v>
      </c>
      <c r="H55" s="491">
        <f t="shared" si="22"/>
        <v>271763.7695985951</v>
      </c>
      <c r="I55" s="511">
        <f t="shared" si="7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 ht="12.5">
      <c r="B56" s="195" t="str">
        <f t="shared" si="5"/>
        <v/>
      </c>
      <c r="C56" s="507">
        <f t="shared" si="6"/>
        <v>2048</v>
      </c>
      <c r="D56" s="523">
        <f>IF(F55+SUM(E$17:E55)=D$10,F55,D$10-SUM(E$17:E55))</f>
        <v>467541.95686790068</v>
      </c>
      <c r="E56" s="522">
        <f t="shared" si="19"/>
        <v>200063.97619047618</v>
      </c>
      <c r="F56" s="523">
        <f t="shared" si="20"/>
        <v>267477.98067742446</v>
      </c>
      <c r="G56" s="524">
        <f t="shared" si="21"/>
        <v>246490.33009601966</v>
      </c>
      <c r="H56" s="491">
        <f t="shared" si="22"/>
        <v>246490.33009601966</v>
      </c>
      <c r="I56" s="511">
        <f t="shared" si="7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 ht="12.5">
      <c r="B57" s="195" t="str">
        <f t="shared" si="5"/>
        <v/>
      </c>
      <c r="C57" s="507">
        <f t="shared" si="6"/>
        <v>2049</v>
      </c>
      <c r="D57" s="523">
        <f>IF(F56+SUM(E$17:E56)=D$10,F56,D$10-SUM(E$17:E56))</f>
        <v>267477.98067742446</v>
      </c>
      <c r="E57" s="522">
        <f t="shared" si="19"/>
        <v>200063.97619047618</v>
      </c>
      <c r="F57" s="523">
        <f t="shared" si="20"/>
        <v>67414.004486948281</v>
      </c>
      <c r="G57" s="524">
        <f t="shared" si="21"/>
        <v>221216.89059344423</v>
      </c>
      <c r="H57" s="491">
        <f t="shared" si="22"/>
        <v>221216.89059344423</v>
      </c>
      <c r="I57" s="511">
        <f t="shared" si="7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 ht="12.5">
      <c r="B58" s="195" t="str">
        <f t="shared" si="5"/>
        <v/>
      </c>
      <c r="C58" s="507">
        <f t="shared" si="6"/>
        <v>2050</v>
      </c>
      <c r="D58" s="523">
        <f>IF(F57+SUM(E$17:E57)=D$10,F57,D$10-SUM(E$17:E57))</f>
        <v>67414.004486948281</v>
      </c>
      <c r="E58" s="522">
        <f t="shared" si="19"/>
        <v>67414.004486948281</v>
      </c>
      <c r="F58" s="523">
        <f t="shared" si="20"/>
        <v>0</v>
      </c>
      <c r="G58" s="524">
        <f t="shared" si="21"/>
        <v>71672.101812788445</v>
      </c>
      <c r="H58" s="491">
        <f t="shared" si="22"/>
        <v>71672.101812788445</v>
      </c>
      <c r="I58" s="511">
        <f t="shared" si="7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5"/>
        <v/>
      </c>
      <c r="C59" s="507">
        <f t="shared" si="6"/>
        <v>2051</v>
      </c>
      <c r="D59" s="523">
        <f>IF(F58+SUM(E$17:E58)=D$10,F58,D$10-SUM(E$17:E58))</f>
        <v>0</v>
      </c>
      <c r="E59" s="522">
        <f t="shared" si="19"/>
        <v>0</v>
      </c>
      <c r="F59" s="523">
        <f t="shared" si="20"/>
        <v>0</v>
      </c>
      <c r="G59" s="524">
        <f t="shared" si="21"/>
        <v>0</v>
      </c>
      <c r="H59" s="491">
        <f t="shared" si="22"/>
        <v>0</v>
      </c>
      <c r="I59" s="511">
        <f t="shared" si="7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 ht="12.5">
      <c r="B60" s="195" t="str">
        <f t="shared" si="5"/>
        <v/>
      </c>
      <c r="C60" s="507">
        <f t="shared" si="6"/>
        <v>2052</v>
      </c>
      <c r="D60" s="523">
        <f>IF(F59+SUM(E$17:E59)=D$10,F59,D$10-SUM(E$17:E59))</f>
        <v>0</v>
      </c>
      <c r="E60" s="522">
        <f t="shared" si="19"/>
        <v>0</v>
      </c>
      <c r="F60" s="523">
        <f t="shared" si="20"/>
        <v>0</v>
      </c>
      <c r="G60" s="524">
        <f t="shared" si="21"/>
        <v>0</v>
      </c>
      <c r="H60" s="491">
        <f t="shared" si="22"/>
        <v>0</v>
      </c>
      <c r="I60" s="511">
        <f t="shared" si="7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 ht="12.5">
      <c r="B61" s="195" t="str">
        <f t="shared" si="5"/>
        <v/>
      </c>
      <c r="C61" s="507">
        <f t="shared" si="6"/>
        <v>2053</v>
      </c>
      <c r="D61" s="523">
        <f>IF(F60+SUM(E$17:E60)=D$10,F60,D$10-SUM(E$17:E60))</f>
        <v>0</v>
      </c>
      <c r="E61" s="522">
        <f t="shared" si="19"/>
        <v>0</v>
      </c>
      <c r="F61" s="523">
        <f t="shared" si="20"/>
        <v>0</v>
      </c>
      <c r="G61" s="526">
        <f t="shared" si="21"/>
        <v>0</v>
      </c>
      <c r="H61" s="491">
        <f t="shared" si="22"/>
        <v>0</v>
      </c>
      <c r="I61" s="511">
        <f t="shared" si="7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 ht="12.5">
      <c r="B62" s="195" t="str">
        <f t="shared" si="5"/>
        <v/>
      </c>
      <c r="C62" s="507">
        <f t="shared" si="6"/>
        <v>2054</v>
      </c>
      <c r="D62" s="523">
        <f>IF(F61+SUM(E$17:E61)=D$10,F61,D$10-SUM(E$17:E61))</f>
        <v>0</v>
      </c>
      <c r="E62" s="522">
        <f t="shared" si="19"/>
        <v>0</v>
      </c>
      <c r="F62" s="523">
        <f t="shared" si="20"/>
        <v>0</v>
      </c>
      <c r="G62" s="526">
        <f t="shared" si="21"/>
        <v>0</v>
      </c>
      <c r="H62" s="491">
        <f t="shared" si="22"/>
        <v>0</v>
      </c>
      <c r="I62" s="511">
        <f t="shared" si="7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 ht="12.5">
      <c r="B63" s="195" t="str">
        <f t="shared" si="5"/>
        <v/>
      </c>
      <c r="C63" s="507">
        <f t="shared" si="6"/>
        <v>2055</v>
      </c>
      <c r="D63" s="523">
        <f>IF(F62+SUM(E$17:E62)=D$10,F62,D$10-SUM(E$17:E62))</f>
        <v>0</v>
      </c>
      <c r="E63" s="522">
        <f t="shared" si="19"/>
        <v>0</v>
      </c>
      <c r="F63" s="523">
        <f t="shared" si="20"/>
        <v>0</v>
      </c>
      <c r="G63" s="526">
        <f t="shared" si="21"/>
        <v>0</v>
      </c>
      <c r="H63" s="491">
        <f t="shared" si="22"/>
        <v>0</v>
      </c>
      <c r="I63" s="511">
        <f t="shared" si="7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 ht="12.5">
      <c r="B64" s="195" t="str">
        <f t="shared" si="5"/>
        <v/>
      </c>
      <c r="C64" s="507">
        <f t="shared" si="6"/>
        <v>2056</v>
      </c>
      <c r="D64" s="523">
        <f>IF(F63+SUM(E$17:E63)=D$10,F63,D$10-SUM(E$17:E63))</f>
        <v>0</v>
      </c>
      <c r="E64" s="522">
        <f t="shared" si="19"/>
        <v>0</v>
      </c>
      <c r="F64" s="523">
        <f t="shared" si="20"/>
        <v>0</v>
      </c>
      <c r="G64" s="526">
        <f t="shared" si="21"/>
        <v>0</v>
      </c>
      <c r="H64" s="491">
        <f t="shared" si="22"/>
        <v>0</v>
      </c>
      <c r="I64" s="511">
        <f t="shared" si="7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 ht="12.5">
      <c r="B65" s="195" t="str">
        <f t="shared" si="5"/>
        <v/>
      </c>
      <c r="C65" s="507">
        <f t="shared" si="6"/>
        <v>2057</v>
      </c>
      <c r="D65" s="523">
        <f>IF(F64+SUM(E$17:E64)=D$10,F64,D$10-SUM(E$17:E64))</f>
        <v>0</v>
      </c>
      <c r="E65" s="522">
        <f t="shared" si="19"/>
        <v>0</v>
      </c>
      <c r="F65" s="523">
        <f t="shared" si="20"/>
        <v>0</v>
      </c>
      <c r="G65" s="526">
        <f t="shared" si="21"/>
        <v>0</v>
      </c>
      <c r="H65" s="491">
        <f t="shared" si="22"/>
        <v>0</v>
      </c>
      <c r="I65" s="511">
        <f t="shared" si="7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 ht="12.5">
      <c r="B66" s="195" t="str">
        <f t="shared" si="5"/>
        <v/>
      </c>
      <c r="C66" s="507">
        <f t="shared" si="6"/>
        <v>2058</v>
      </c>
      <c r="D66" s="523">
        <f>IF(F65+SUM(E$17:E65)=D$10,F65,D$10-SUM(E$17:E65))</f>
        <v>0</v>
      </c>
      <c r="E66" s="522">
        <f t="shared" si="19"/>
        <v>0</v>
      </c>
      <c r="F66" s="523">
        <f t="shared" si="20"/>
        <v>0</v>
      </c>
      <c r="G66" s="526">
        <f t="shared" si="21"/>
        <v>0</v>
      </c>
      <c r="H66" s="491">
        <f t="shared" si="22"/>
        <v>0</v>
      </c>
      <c r="I66" s="511">
        <f t="shared" si="7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 ht="12.5">
      <c r="B67" s="195" t="str">
        <f t="shared" si="5"/>
        <v/>
      </c>
      <c r="C67" s="507">
        <f t="shared" si="6"/>
        <v>2059</v>
      </c>
      <c r="D67" s="523">
        <f>IF(F66+SUM(E$17:E66)=D$10,F66,D$10-SUM(E$17:E66))</f>
        <v>0</v>
      </c>
      <c r="E67" s="522">
        <f t="shared" si="19"/>
        <v>0</v>
      </c>
      <c r="F67" s="523">
        <f t="shared" si="20"/>
        <v>0</v>
      </c>
      <c r="G67" s="526">
        <f t="shared" si="21"/>
        <v>0</v>
      </c>
      <c r="H67" s="491">
        <f t="shared" si="22"/>
        <v>0</v>
      </c>
      <c r="I67" s="511">
        <f t="shared" si="7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 ht="12.5">
      <c r="B68" s="195" t="str">
        <f t="shared" si="5"/>
        <v/>
      </c>
      <c r="C68" s="507">
        <f t="shared" si="6"/>
        <v>2060</v>
      </c>
      <c r="D68" s="523">
        <f>IF(F67+SUM(E$17:E67)=D$10,F67,D$10-SUM(E$17:E67))</f>
        <v>0</v>
      </c>
      <c r="E68" s="522">
        <f t="shared" si="19"/>
        <v>0</v>
      </c>
      <c r="F68" s="523">
        <f t="shared" si="20"/>
        <v>0</v>
      </c>
      <c r="G68" s="526">
        <f t="shared" si="21"/>
        <v>0</v>
      </c>
      <c r="H68" s="491">
        <f t="shared" si="22"/>
        <v>0</v>
      </c>
      <c r="I68" s="511">
        <f t="shared" si="7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 ht="12.5">
      <c r="B69" s="195" t="str">
        <f t="shared" si="5"/>
        <v/>
      </c>
      <c r="C69" s="507">
        <f t="shared" si="6"/>
        <v>2061</v>
      </c>
      <c r="D69" s="523">
        <f>IF(F68+SUM(E$17:E68)=D$10,F68,D$10-SUM(E$17:E68))</f>
        <v>0</v>
      </c>
      <c r="E69" s="522">
        <f t="shared" si="19"/>
        <v>0</v>
      </c>
      <c r="F69" s="523">
        <f t="shared" si="20"/>
        <v>0</v>
      </c>
      <c r="G69" s="526">
        <f t="shared" si="21"/>
        <v>0</v>
      </c>
      <c r="H69" s="491">
        <f t="shared" si="22"/>
        <v>0</v>
      </c>
      <c r="I69" s="511">
        <f t="shared" si="7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 ht="12.5">
      <c r="B70" s="195" t="str">
        <f t="shared" si="5"/>
        <v/>
      </c>
      <c r="C70" s="507">
        <f t="shared" si="6"/>
        <v>2062</v>
      </c>
      <c r="D70" s="523">
        <f>IF(F69+SUM(E$17:E69)=D$10,F69,D$10-SUM(E$17:E69))</f>
        <v>0</v>
      </c>
      <c r="E70" s="522">
        <f t="shared" si="19"/>
        <v>0</v>
      </c>
      <c r="F70" s="523">
        <f t="shared" si="20"/>
        <v>0</v>
      </c>
      <c r="G70" s="526">
        <f t="shared" si="21"/>
        <v>0</v>
      </c>
      <c r="H70" s="491">
        <f t="shared" si="22"/>
        <v>0</v>
      </c>
      <c r="I70" s="511">
        <f t="shared" si="7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 ht="12.5">
      <c r="B71" s="195" t="str">
        <f t="shared" si="5"/>
        <v/>
      </c>
      <c r="C71" s="507">
        <f t="shared" si="6"/>
        <v>2063</v>
      </c>
      <c r="D71" s="523">
        <f>IF(F70+SUM(E$17:E70)=D$10,F70,D$10-SUM(E$17:E70))</f>
        <v>0</v>
      </c>
      <c r="E71" s="522">
        <f t="shared" si="19"/>
        <v>0</v>
      </c>
      <c r="F71" s="523">
        <f t="shared" si="20"/>
        <v>0</v>
      </c>
      <c r="G71" s="526">
        <f t="shared" si="21"/>
        <v>0</v>
      </c>
      <c r="H71" s="491">
        <f t="shared" si="22"/>
        <v>0</v>
      </c>
      <c r="I71" s="511">
        <f t="shared" si="7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" thickBot="1">
      <c r="B72" s="195" t="str">
        <f t="shared" si="5"/>
        <v/>
      </c>
      <c r="C72" s="527">
        <f t="shared" si="6"/>
        <v>2064</v>
      </c>
      <c r="D72" s="528">
        <f>IF(F71+SUM(E$17:E71)=D$10,F71,D$10-SUM(E$17:E71))</f>
        <v>0</v>
      </c>
      <c r="E72" s="529">
        <f t="shared" si="19"/>
        <v>0</v>
      </c>
      <c r="F72" s="528">
        <f t="shared" si="20"/>
        <v>0</v>
      </c>
      <c r="G72" s="530">
        <f t="shared" si="21"/>
        <v>0</v>
      </c>
      <c r="H72" s="471">
        <f t="shared" si="22"/>
        <v>0</v>
      </c>
      <c r="I72" s="531">
        <f t="shared" si="7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 ht="12.5">
      <c r="C73" s="374" t="s">
        <v>78</v>
      </c>
      <c r="D73" s="375"/>
      <c r="E73" s="375">
        <f>SUM(E17:E72)</f>
        <v>8402686.9999999981</v>
      </c>
      <c r="F73" s="375"/>
      <c r="G73" s="375">
        <f>SUM(G17:G72)</f>
        <v>31095616.925415646</v>
      </c>
      <c r="H73" s="375">
        <f>SUM(H17:H72)</f>
        <v>31095616.925415646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2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812639.88121443952</v>
      </c>
      <c r="N87" s="546">
        <f>IF(J92&lt;D11,0,VLOOKUP(J92,C17:O72,11))</f>
        <v>812639.88121443952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874818.46170823427</v>
      </c>
      <c r="N88" s="550">
        <f>IF(J92&lt;D11,0,VLOOKUP(J92,C99:P154,7))</f>
        <v>874818.46170823427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SW Shreveport (sub work &amp; tap)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62178.580493794754</v>
      </c>
      <c r="N89" s="555">
        <f>+N88-N87</f>
        <v>62178.580493794754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TP2007060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8402687.4800000004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204943.59707317073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202696</v>
      </c>
      <c r="F99" s="515">
        <v>8199991</v>
      </c>
      <c r="G99" s="574">
        <v>4099995</v>
      </c>
      <c r="H99" s="575">
        <v>796120</v>
      </c>
      <c r="I99" s="576">
        <v>796120</v>
      </c>
      <c r="J99" s="514">
        <f t="shared" ref="J99:J130" si="26">+I99-H99</f>
        <v>0</v>
      </c>
      <c r="K99" s="514"/>
      <c r="L99" s="512">
        <f t="shared" ref="L99:L104" si="27">H99</f>
        <v>796120</v>
      </c>
      <c r="M99" s="513">
        <f t="shared" ref="M99:M130" si="28">IF(L99&lt;&gt;0,+H99-L99,0)</f>
        <v>0</v>
      </c>
      <c r="N99" s="512">
        <f t="shared" ref="N99:N104" si="29">I99</f>
        <v>796120</v>
      </c>
      <c r="O99" s="513">
        <f t="shared" ref="O99:O130" si="30">IF(N99&lt;&gt;0,+I99-N99,0)</f>
        <v>0</v>
      </c>
      <c r="P99" s="513">
        <f t="shared" ref="P99:P130" si="31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8199991.4800000004</v>
      </c>
      <c r="E100" s="516">
        <v>204943.59707317073</v>
      </c>
      <c r="F100" s="515">
        <v>7995047.8829268301</v>
      </c>
      <c r="G100" s="515">
        <v>8097519.6814634148</v>
      </c>
      <c r="H100" s="516">
        <v>1541731.3961161568</v>
      </c>
      <c r="I100" s="510">
        <v>1541731.3961161568</v>
      </c>
      <c r="J100" s="514">
        <f t="shared" si="26"/>
        <v>0</v>
      </c>
      <c r="K100" s="514"/>
      <c r="L100" s="518">
        <f t="shared" si="27"/>
        <v>1541731.3961161568</v>
      </c>
      <c r="M100" s="519">
        <f t="shared" si="28"/>
        <v>0</v>
      </c>
      <c r="N100" s="518">
        <f t="shared" si="29"/>
        <v>1541731.3961161568</v>
      </c>
      <c r="O100" s="514">
        <f t="shared" si="30"/>
        <v>0</v>
      </c>
      <c r="P100" s="514">
        <f t="shared" si="31"/>
        <v>0</v>
      </c>
      <c r="Q100" s="269"/>
    </row>
    <row r="101" spans="1:17" ht="12.5">
      <c r="B101" s="195" t="str">
        <f t="shared" ref="B101:B154" si="32">IF(D101=F100,"","IU")</f>
        <v/>
      </c>
      <c r="C101" s="507">
        <f>IF(D93="","-",+C100+1)</f>
        <v>2011</v>
      </c>
      <c r="D101" s="508">
        <v>7995047.8829268301</v>
      </c>
      <c r="E101" s="520">
        <v>200063.98761904764</v>
      </c>
      <c r="F101" s="515">
        <v>7794983.8953077821</v>
      </c>
      <c r="G101" s="515">
        <v>7895015.8891173061</v>
      </c>
      <c r="H101" s="516">
        <v>1387315.6975317788</v>
      </c>
      <c r="I101" s="510">
        <v>1387315.6975317788</v>
      </c>
      <c r="J101" s="514">
        <f t="shared" si="26"/>
        <v>0</v>
      </c>
      <c r="K101" s="514"/>
      <c r="L101" s="518">
        <f t="shared" si="27"/>
        <v>1387315.6975317788</v>
      </c>
      <c r="M101" s="519">
        <f t="shared" si="28"/>
        <v>0</v>
      </c>
      <c r="N101" s="518">
        <f t="shared" si="29"/>
        <v>1387315.6975317788</v>
      </c>
      <c r="O101" s="514">
        <f t="shared" si="30"/>
        <v>0</v>
      </c>
      <c r="P101" s="514">
        <f t="shared" si="31"/>
        <v>0</v>
      </c>
      <c r="Q101" s="269"/>
    </row>
    <row r="102" spans="1:17" ht="12.5">
      <c r="B102" s="195" t="str">
        <f t="shared" si="32"/>
        <v/>
      </c>
      <c r="C102" s="507">
        <f>IF(D93="","-",+C101+1)</f>
        <v>2012</v>
      </c>
      <c r="D102" s="508">
        <v>7794983.8953077821</v>
      </c>
      <c r="E102" s="516">
        <v>200063.98761904764</v>
      </c>
      <c r="F102" s="515">
        <v>7594919.9076887341</v>
      </c>
      <c r="G102" s="515">
        <v>7694951.9014982581</v>
      </c>
      <c r="H102" s="516">
        <v>1332406.4149067886</v>
      </c>
      <c r="I102" s="510">
        <v>1332406.4149067886</v>
      </c>
      <c r="J102" s="514">
        <f t="shared" si="26"/>
        <v>0</v>
      </c>
      <c r="K102" s="514"/>
      <c r="L102" s="518">
        <f t="shared" si="27"/>
        <v>1332406.4149067886</v>
      </c>
      <c r="M102" s="519">
        <f t="shared" si="28"/>
        <v>0</v>
      </c>
      <c r="N102" s="518">
        <f t="shared" si="29"/>
        <v>1332406.4149067886</v>
      </c>
      <c r="O102" s="514">
        <f t="shared" si="30"/>
        <v>0</v>
      </c>
      <c r="P102" s="514">
        <f t="shared" si="31"/>
        <v>0</v>
      </c>
      <c r="Q102" s="269"/>
    </row>
    <row r="103" spans="1:17" ht="12.5">
      <c r="B103" s="195" t="str">
        <f t="shared" si="32"/>
        <v/>
      </c>
      <c r="C103" s="507">
        <f>IF(D93="","-",+C102+1)</f>
        <v>2013</v>
      </c>
      <c r="D103" s="508">
        <v>7594919.9076887341</v>
      </c>
      <c r="E103" s="516">
        <v>200063.98761904764</v>
      </c>
      <c r="F103" s="515">
        <v>7394855.9200696861</v>
      </c>
      <c r="G103" s="515">
        <v>7494887.9138792101</v>
      </c>
      <c r="H103" s="516">
        <v>1214060.1321062704</v>
      </c>
      <c r="I103" s="510">
        <v>1214060.1321062704</v>
      </c>
      <c r="J103" s="514">
        <v>0</v>
      </c>
      <c r="K103" s="514"/>
      <c r="L103" s="518">
        <f t="shared" si="27"/>
        <v>1214060.1321062704</v>
      </c>
      <c r="M103" s="519">
        <f t="shared" ref="M103:M108" si="33">IF(L103&lt;&gt;0,+H103-L103,0)</f>
        <v>0</v>
      </c>
      <c r="N103" s="518">
        <f t="shared" si="29"/>
        <v>1214060.1321062704</v>
      </c>
      <c r="O103" s="514">
        <f t="shared" ref="O103:O108" si="34">IF(N103&lt;&gt;0,+I103-N103,0)</f>
        <v>0</v>
      </c>
      <c r="P103" s="514">
        <f t="shared" ref="P103:P108" si="35">+O103-M103</f>
        <v>0</v>
      </c>
      <c r="Q103" s="269"/>
    </row>
    <row r="104" spans="1:17" ht="12.5">
      <c r="B104" s="195" t="str">
        <f t="shared" si="32"/>
        <v/>
      </c>
      <c r="C104" s="507">
        <f>IF(D93="","-",+C103+1)</f>
        <v>2014</v>
      </c>
      <c r="D104" s="508">
        <v>7394855.9200696861</v>
      </c>
      <c r="E104" s="516">
        <v>200063.98761904764</v>
      </c>
      <c r="F104" s="515">
        <v>7194791.9324506382</v>
      </c>
      <c r="G104" s="515">
        <v>7294823.9262601621</v>
      </c>
      <c r="H104" s="516">
        <v>1191601.6940490135</v>
      </c>
      <c r="I104" s="510">
        <v>1191601.6940490135</v>
      </c>
      <c r="J104" s="514">
        <v>0</v>
      </c>
      <c r="K104" s="514"/>
      <c r="L104" s="518">
        <f t="shared" si="27"/>
        <v>1191601.6940490135</v>
      </c>
      <c r="M104" s="519">
        <f t="shared" si="33"/>
        <v>0</v>
      </c>
      <c r="N104" s="518">
        <f t="shared" si="29"/>
        <v>1191601.6940490135</v>
      </c>
      <c r="O104" s="514">
        <f t="shared" si="34"/>
        <v>0</v>
      </c>
      <c r="P104" s="514">
        <f t="shared" si="35"/>
        <v>0</v>
      </c>
      <c r="Q104" s="269"/>
    </row>
    <row r="105" spans="1:17" ht="12.5">
      <c r="B105" s="195" t="str">
        <f t="shared" si="32"/>
        <v/>
      </c>
      <c r="C105" s="507">
        <f>IF(D93="","-",+C104+1)</f>
        <v>2015</v>
      </c>
      <c r="D105" s="508">
        <v>7194791.9324506382</v>
      </c>
      <c r="E105" s="516">
        <v>200063.98761904764</v>
      </c>
      <c r="F105" s="515">
        <v>6994727.9448315902</v>
      </c>
      <c r="G105" s="515">
        <v>7094759.9386411142</v>
      </c>
      <c r="H105" s="516">
        <v>1134932.5435262297</v>
      </c>
      <c r="I105" s="510">
        <v>1134932.5435262297</v>
      </c>
      <c r="J105" s="514">
        <f t="shared" si="26"/>
        <v>0</v>
      </c>
      <c r="K105" s="514"/>
      <c r="L105" s="518">
        <f t="shared" ref="L105:L110" si="36">H105</f>
        <v>1134932.5435262297</v>
      </c>
      <c r="M105" s="519">
        <f t="shared" si="33"/>
        <v>0</v>
      </c>
      <c r="N105" s="518">
        <f t="shared" ref="N105:N110" si="37">I105</f>
        <v>1134932.5435262297</v>
      </c>
      <c r="O105" s="514">
        <f t="shared" si="34"/>
        <v>0</v>
      </c>
      <c r="P105" s="514">
        <f t="shared" si="35"/>
        <v>0</v>
      </c>
      <c r="Q105" s="269"/>
    </row>
    <row r="106" spans="1:17" ht="12.5">
      <c r="B106" s="195" t="str">
        <f t="shared" si="32"/>
        <v/>
      </c>
      <c r="C106" s="507">
        <f>IF(D93="","-",+C105+1)</f>
        <v>2016</v>
      </c>
      <c r="D106" s="508">
        <v>6994727.9448315902</v>
      </c>
      <c r="E106" s="516">
        <v>195411.33674418606</v>
      </c>
      <c r="F106" s="515">
        <v>6799316.6080874037</v>
      </c>
      <c r="G106" s="515">
        <v>6897022.2764594965</v>
      </c>
      <c r="H106" s="516">
        <v>1070988.2339652905</v>
      </c>
      <c r="I106" s="510">
        <v>1070988.2339652905</v>
      </c>
      <c r="J106" s="514">
        <f t="shared" si="26"/>
        <v>0</v>
      </c>
      <c r="K106" s="514"/>
      <c r="L106" s="518">
        <f t="shared" si="36"/>
        <v>1070988.2339652905</v>
      </c>
      <c r="M106" s="519">
        <f t="shared" si="33"/>
        <v>0</v>
      </c>
      <c r="N106" s="518">
        <f t="shared" si="37"/>
        <v>1070988.2339652905</v>
      </c>
      <c r="O106" s="514">
        <f t="shared" si="34"/>
        <v>0</v>
      </c>
      <c r="P106" s="514">
        <f t="shared" si="35"/>
        <v>0</v>
      </c>
      <c r="Q106" s="269"/>
    </row>
    <row r="107" spans="1:17" ht="12.5">
      <c r="B107" s="195" t="str">
        <f t="shared" si="32"/>
        <v/>
      </c>
      <c r="C107" s="507">
        <f>IF(D93="","-",+C106+1)</f>
        <v>2017</v>
      </c>
      <c r="D107" s="508">
        <v>6799316.6080874037</v>
      </c>
      <c r="E107" s="516">
        <v>200063.98761904764</v>
      </c>
      <c r="F107" s="515">
        <v>6599252.6204683557</v>
      </c>
      <c r="G107" s="515">
        <v>6699284.6142778797</v>
      </c>
      <c r="H107" s="516">
        <v>1013835.8551552552</v>
      </c>
      <c r="I107" s="510">
        <v>1013835.8551552552</v>
      </c>
      <c r="J107" s="514">
        <f t="shared" si="26"/>
        <v>0</v>
      </c>
      <c r="K107" s="514"/>
      <c r="L107" s="518">
        <f t="shared" si="36"/>
        <v>1013835.8551552552</v>
      </c>
      <c r="M107" s="519">
        <f t="shared" si="33"/>
        <v>0</v>
      </c>
      <c r="N107" s="518">
        <f t="shared" si="37"/>
        <v>1013835.8551552552</v>
      </c>
      <c r="O107" s="514">
        <f t="shared" si="34"/>
        <v>0</v>
      </c>
      <c r="P107" s="514">
        <f t="shared" si="35"/>
        <v>0</v>
      </c>
      <c r="Q107" s="269"/>
    </row>
    <row r="108" spans="1:17" ht="12.5">
      <c r="B108" s="195" t="str">
        <f t="shared" si="32"/>
        <v/>
      </c>
      <c r="C108" s="507">
        <f>IF(D93="","-",+C107+1)</f>
        <v>2018</v>
      </c>
      <c r="D108" s="508">
        <v>6599252.6204683557</v>
      </c>
      <c r="E108" s="516">
        <v>200063.98761904764</v>
      </c>
      <c r="F108" s="515">
        <v>6399188.6328493077</v>
      </c>
      <c r="G108" s="515">
        <v>6499220.6266588317</v>
      </c>
      <c r="H108" s="516">
        <v>886411.49004878511</v>
      </c>
      <c r="I108" s="510">
        <v>886411.49004878511</v>
      </c>
      <c r="J108" s="514">
        <f t="shared" si="26"/>
        <v>0</v>
      </c>
      <c r="K108" s="514"/>
      <c r="L108" s="518">
        <f t="shared" si="36"/>
        <v>886411.49004878511</v>
      </c>
      <c r="M108" s="519">
        <f t="shared" si="33"/>
        <v>0</v>
      </c>
      <c r="N108" s="518">
        <f t="shared" si="37"/>
        <v>886411.49004878511</v>
      </c>
      <c r="O108" s="514">
        <f t="shared" si="34"/>
        <v>0</v>
      </c>
      <c r="P108" s="514">
        <f t="shared" si="35"/>
        <v>0</v>
      </c>
      <c r="Q108" s="269"/>
    </row>
    <row r="109" spans="1:17" ht="12.5">
      <c r="B109" s="195" t="str">
        <f t="shared" si="32"/>
        <v/>
      </c>
      <c r="C109" s="507">
        <f>IF(D93="","-",+C108+1)</f>
        <v>2019</v>
      </c>
      <c r="D109" s="508">
        <v>6399188.6328493077</v>
      </c>
      <c r="E109" s="516">
        <v>195411.33674418606</v>
      </c>
      <c r="F109" s="515">
        <v>6203777.2961051213</v>
      </c>
      <c r="G109" s="515">
        <v>6301482.964477215</v>
      </c>
      <c r="H109" s="516">
        <v>869925.51728731813</v>
      </c>
      <c r="I109" s="510">
        <v>869925.51728731813</v>
      </c>
      <c r="J109" s="514">
        <f t="shared" si="26"/>
        <v>0</v>
      </c>
      <c r="K109" s="514"/>
      <c r="L109" s="518">
        <f t="shared" si="36"/>
        <v>869925.51728731813</v>
      </c>
      <c r="M109" s="519">
        <f t="shared" ref="M109:M110" si="38">IF(L109&lt;&gt;0,+H109-L109,0)</f>
        <v>0</v>
      </c>
      <c r="N109" s="518">
        <f t="shared" si="37"/>
        <v>869925.51728731813</v>
      </c>
      <c r="O109" s="514">
        <f t="shared" si="30"/>
        <v>0</v>
      </c>
      <c r="P109" s="514">
        <f t="shared" si="31"/>
        <v>0</v>
      </c>
      <c r="Q109" s="269"/>
    </row>
    <row r="110" spans="1:17" ht="12.5">
      <c r="B110" s="195" t="str">
        <f t="shared" si="32"/>
        <v/>
      </c>
      <c r="C110" s="507">
        <f>IF(D93="","-",+C109+1)</f>
        <v>2020</v>
      </c>
      <c r="D110" s="508">
        <v>6203777.2961051213</v>
      </c>
      <c r="E110" s="516">
        <v>200063.98761904764</v>
      </c>
      <c r="F110" s="515">
        <v>6003713.3084860733</v>
      </c>
      <c r="G110" s="515">
        <v>6103745.3022955973</v>
      </c>
      <c r="H110" s="516">
        <v>856667.26239535783</v>
      </c>
      <c r="I110" s="510">
        <v>856667.26239535783</v>
      </c>
      <c r="J110" s="514">
        <f t="shared" si="26"/>
        <v>0</v>
      </c>
      <c r="K110" s="514"/>
      <c r="L110" s="518">
        <f t="shared" si="36"/>
        <v>856667.26239535783</v>
      </c>
      <c r="M110" s="519">
        <f t="shared" si="38"/>
        <v>0</v>
      </c>
      <c r="N110" s="518">
        <f t="shared" si="37"/>
        <v>856667.26239535783</v>
      </c>
      <c r="O110" s="514">
        <f t="shared" si="30"/>
        <v>0</v>
      </c>
      <c r="P110" s="514">
        <f t="shared" si="31"/>
        <v>0</v>
      </c>
      <c r="Q110" s="269"/>
    </row>
    <row r="111" spans="1:17" ht="12.5">
      <c r="B111" s="195" t="str">
        <f t="shared" si="32"/>
        <v/>
      </c>
      <c r="C111" s="507">
        <f>IF(D93="","-",+C110+1)</f>
        <v>2021</v>
      </c>
      <c r="D111" s="374">
        <f>IF(F110+SUM(E$99:E110)=D$92,F110,D$92-SUM(E$99:E110))</f>
        <v>6003713.3084860733</v>
      </c>
      <c r="E111" s="522">
        <f>IF(+J96&lt;F110,J96,D111)</f>
        <v>204943.59707317073</v>
      </c>
      <c r="F111" s="523">
        <f t="shared" ref="F111:F130" si="39">+D111-E111</f>
        <v>5798769.7114129029</v>
      </c>
      <c r="G111" s="523">
        <f t="shared" ref="G111:G130" si="40">+(F111+D111)/2</f>
        <v>5901241.5099494886</v>
      </c>
      <c r="H111" s="526">
        <f>+J$94*G111+E111</f>
        <v>874818.46170823427</v>
      </c>
      <c r="I111" s="577">
        <f>+J$95*G111+E111</f>
        <v>874818.46170823427</v>
      </c>
      <c r="J111" s="514">
        <f t="shared" si="26"/>
        <v>0</v>
      </c>
      <c r="K111" s="514"/>
      <c r="L111" s="525"/>
      <c r="M111" s="514">
        <f t="shared" si="28"/>
        <v>0</v>
      </c>
      <c r="N111" s="525"/>
      <c r="O111" s="514">
        <f t="shared" si="30"/>
        <v>0</v>
      </c>
      <c r="P111" s="514">
        <f t="shared" si="31"/>
        <v>0</v>
      </c>
      <c r="Q111" s="269"/>
    </row>
    <row r="112" spans="1:17" ht="12.5">
      <c r="B112" s="195"/>
      <c r="C112" s="507">
        <f>IF(D93="","-",+C111+1)</f>
        <v>2022</v>
      </c>
      <c r="D112" s="374">
        <f>IF(F111+SUM(E$99:E111)=D$92,F111,D$92-SUM(E$99:E111))</f>
        <v>5798769.7114129029</v>
      </c>
      <c r="E112" s="522">
        <f>IF(+J96&lt;F111,J96,D112)</f>
        <v>204943.59707317073</v>
      </c>
      <c r="F112" s="523">
        <f t="shared" si="39"/>
        <v>5593826.1143397326</v>
      </c>
      <c r="G112" s="523">
        <f t="shared" si="40"/>
        <v>5696297.9128763173</v>
      </c>
      <c r="H112" s="526">
        <f>+J$94*G112+E112</f>
        <v>851554.44783661945</v>
      </c>
      <c r="I112" s="577">
        <f>+J$95*G112+E112</f>
        <v>851554.44783661945</v>
      </c>
      <c r="J112" s="514">
        <f t="shared" si="26"/>
        <v>0</v>
      </c>
      <c r="K112" s="514"/>
      <c r="L112" s="525"/>
      <c r="M112" s="514">
        <f t="shared" si="28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 ht="12.5">
      <c r="B113" s="195" t="str">
        <f t="shared" si="32"/>
        <v/>
      </c>
      <c r="C113" s="507">
        <f>IF(D93="","-",+C112+1)</f>
        <v>2023</v>
      </c>
      <c r="D113" s="374">
        <f>IF(F112+SUM(E$99:E112)=D$92,F112,D$92-SUM(E$99:E112))</f>
        <v>5593826.1143397326</v>
      </c>
      <c r="E113" s="522">
        <f>IF(+J96&lt;F112,J96,D113)</f>
        <v>204943.59707317073</v>
      </c>
      <c r="F113" s="523">
        <f t="shared" si="39"/>
        <v>5388882.5172665622</v>
      </c>
      <c r="G113" s="523">
        <f t="shared" si="40"/>
        <v>5491354.3158031479</v>
      </c>
      <c r="H113" s="526">
        <f t="shared" ref="H113:H154" si="41">+J$94*G113+E113</f>
        <v>828290.43396500498</v>
      </c>
      <c r="I113" s="577">
        <f t="shared" ref="I113:I154" si="42">+J$95*G113+E113</f>
        <v>828290.43396500498</v>
      </c>
      <c r="J113" s="514">
        <f t="shared" si="26"/>
        <v>0</v>
      </c>
      <c r="K113" s="514"/>
      <c r="L113" s="525"/>
      <c r="M113" s="514">
        <f t="shared" si="28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 ht="12.5">
      <c r="B114" s="195" t="str">
        <f t="shared" si="32"/>
        <v/>
      </c>
      <c r="C114" s="507">
        <f>IF(D93="","-",+C113+1)</f>
        <v>2024</v>
      </c>
      <c r="D114" s="374">
        <f>IF(F113+SUM(E$99:E113)=D$92,F113,D$92-SUM(E$99:E113))</f>
        <v>5388882.5172665622</v>
      </c>
      <c r="E114" s="522">
        <f>IF(+J96&lt;F113,J96,D114)</f>
        <v>204943.59707317073</v>
      </c>
      <c r="F114" s="523">
        <f t="shared" si="39"/>
        <v>5183938.9201933919</v>
      </c>
      <c r="G114" s="523">
        <f t="shared" si="40"/>
        <v>5286410.7187299766</v>
      </c>
      <c r="H114" s="526">
        <f t="shared" si="41"/>
        <v>805026.42009339028</v>
      </c>
      <c r="I114" s="577">
        <f t="shared" si="42"/>
        <v>805026.42009339028</v>
      </c>
      <c r="J114" s="514">
        <f t="shared" si="26"/>
        <v>0</v>
      </c>
      <c r="K114" s="514"/>
      <c r="L114" s="525"/>
      <c r="M114" s="514">
        <f t="shared" si="28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 ht="12.5">
      <c r="B115" s="195" t="str">
        <f t="shared" si="32"/>
        <v/>
      </c>
      <c r="C115" s="507">
        <f>IF(D93="","-",+C114+1)</f>
        <v>2025</v>
      </c>
      <c r="D115" s="374">
        <f>IF(F114+SUM(E$99:E114)=D$92,F114,D$92-SUM(E$99:E114))</f>
        <v>5183938.9201933919</v>
      </c>
      <c r="E115" s="522">
        <f>IF(+J96&lt;F114,J96,D115)</f>
        <v>204943.59707317073</v>
      </c>
      <c r="F115" s="523">
        <f t="shared" si="39"/>
        <v>4978995.3231202215</v>
      </c>
      <c r="G115" s="523">
        <f t="shared" si="40"/>
        <v>5081467.1216568071</v>
      </c>
      <c r="H115" s="526">
        <f t="shared" si="41"/>
        <v>781762.40622177569</v>
      </c>
      <c r="I115" s="577">
        <f t="shared" si="42"/>
        <v>781762.40622177569</v>
      </c>
      <c r="J115" s="514">
        <f t="shared" si="26"/>
        <v>0</v>
      </c>
      <c r="K115" s="514"/>
      <c r="L115" s="525"/>
      <c r="M115" s="514">
        <f t="shared" si="28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 ht="12.5">
      <c r="B116" s="195" t="str">
        <f t="shared" si="32"/>
        <v/>
      </c>
      <c r="C116" s="507">
        <f>IF(D93="","-",+C115+1)</f>
        <v>2026</v>
      </c>
      <c r="D116" s="374">
        <f>IF(F115+SUM(E$99:E115)=D$92,F115,D$92-SUM(E$99:E115))</f>
        <v>4978995.3231202215</v>
      </c>
      <c r="E116" s="522">
        <f>IF(+J96&lt;F115,J96,D116)</f>
        <v>204943.59707317073</v>
      </c>
      <c r="F116" s="523">
        <f t="shared" si="39"/>
        <v>4774051.7260470511</v>
      </c>
      <c r="G116" s="523">
        <f t="shared" si="40"/>
        <v>4876523.5245836359</v>
      </c>
      <c r="H116" s="526">
        <f t="shared" si="41"/>
        <v>758498.39235016098</v>
      </c>
      <c r="I116" s="577">
        <f t="shared" si="42"/>
        <v>758498.39235016098</v>
      </c>
      <c r="J116" s="514">
        <f t="shared" si="26"/>
        <v>0</v>
      </c>
      <c r="K116" s="514"/>
      <c r="L116" s="525"/>
      <c r="M116" s="514">
        <f t="shared" si="28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 ht="12.5">
      <c r="B117" s="195" t="str">
        <f t="shared" si="32"/>
        <v/>
      </c>
      <c r="C117" s="507">
        <f>IF(D93="","-",+C116+1)</f>
        <v>2027</v>
      </c>
      <c r="D117" s="374">
        <f>IF(F116+SUM(E$99:E116)=D$92,F116,D$92-SUM(E$99:E116))</f>
        <v>4774051.7260470511</v>
      </c>
      <c r="E117" s="522">
        <f>IF(+J96&lt;F116,J96,D117)</f>
        <v>204943.59707317073</v>
      </c>
      <c r="F117" s="523">
        <f t="shared" si="39"/>
        <v>4569108.1289738808</v>
      </c>
      <c r="G117" s="523">
        <f t="shared" si="40"/>
        <v>4671579.9275104664</v>
      </c>
      <c r="H117" s="526">
        <f t="shared" si="41"/>
        <v>735234.37847854639</v>
      </c>
      <c r="I117" s="577">
        <f t="shared" si="42"/>
        <v>735234.37847854639</v>
      </c>
      <c r="J117" s="514">
        <f t="shared" si="26"/>
        <v>0</v>
      </c>
      <c r="K117" s="514"/>
      <c r="L117" s="525"/>
      <c r="M117" s="514">
        <f t="shared" si="28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 ht="12.5">
      <c r="B118" s="195" t="str">
        <f t="shared" si="32"/>
        <v/>
      </c>
      <c r="C118" s="507">
        <f>IF(D93="","-",+C117+1)</f>
        <v>2028</v>
      </c>
      <c r="D118" s="374">
        <f>IF(F117+SUM(E$99:E117)=D$92,F117,D$92-SUM(E$99:E117))</f>
        <v>4569108.1289738808</v>
      </c>
      <c r="E118" s="522">
        <f>IF(+J96&lt;F117,J96,D118)</f>
        <v>204943.59707317073</v>
      </c>
      <c r="F118" s="523">
        <f t="shared" si="39"/>
        <v>4364164.5319007104</v>
      </c>
      <c r="G118" s="523">
        <f t="shared" si="40"/>
        <v>4466636.3304372951</v>
      </c>
      <c r="H118" s="526">
        <f t="shared" si="41"/>
        <v>711970.36460693169</v>
      </c>
      <c r="I118" s="577">
        <f t="shared" si="42"/>
        <v>711970.36460693169</v>
      </c>
      <c r="J118" s="514">
        <f t="shared" si="26"/>
        <v>0</v>
      </c>
      <c r="K118" s="514"/>
      <c r="L118" s="525"/>
      <c r="M118" s="514">
        <f t="shared" si="28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 ht="12.5">
      <c r="B119" s="195" t="str">
        <f t="shared" si="32"/>
        <v/>
      </c>
      <c r="C119" s="507">
        <f>IF(D93="","-",+C118+1)</f>
        <v>2029</v>
      </c>
      <c r="D119" s="374">
        <f>IF(F118+SUM(E$99:E118)=D$92,F118,D$92-SUM(E$99:E118))</f>
        <v>4364164.5319007104</v>
      </c>
      <c r="E119" s="522">
        <f>IF(+J96&lt;F118,J96,D119)</f>
        <v>204943.59707317073</v>
      </c>
      <c r="F119" s="523">
        <f t="shared" si="39"/>
        <v>4159220.9348275396</v>
      </c>
      <c r="G119" s="523">
        <f t="shared" si="40"/>
        <v>4261692.7333641248</v>
      </c>
      <c r="H119" s="526">
        <f t="shared" si="41"/>
        <v>688706.3507353171</v>
      </c>
      <c r="I119" s="577">
        <f t="shared" si="42"/>
        <v>688706.3507353171</v>
      </c>
      <c r="J119" s="514">
        <f t="shared" si="26"/>
        <v>0</v>
      </c>
      <c r="K119" s="514"/>
      <c r="L119" s="525"/>
      <c r="M119" s="514">
        <f t="shared" si="28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 ht="12.5">
      <c r="B120" s="195" t="str">
        <f t="shared" si="32"/>
        <v/>
      </c>
      <c r="C120" s="507">
        <f>IF(D93="","-",+C119+1)</f>
        <v>2030</v>
      </c>
      <c r="D120" s="374">
        <f>IF(F119+SUM(E$99:E119)=D$92,F119,D$92-SUM(E$99:E119))</f>
        <v>4159220.9348275396</v>
      </c>
      <c r="E120" s="522">
        <f>IF(+J96&lt;F119,J96,D120)</f>
        <v>204943.59707317073</v>
      </c>
      <c r="F120" s="523">
        <f t="shared" si="39"/>
        <v>3954277.3377543688</v>
      </c>
      <c r="G120" s="523">
        <f t="shared" si="40"/>
        <v>4056749.1362909544</v>
      </c>
      <c r="H120" s="526">
        <f t="shared" si="41"/>
        <v>665442.3368637024</v>
      </c>
      <c r="I120" s="577">
        <f t="shared" si="42"/>
        <v>665442.3368637024</v>
      </c>
      <c r="J120" s="514">
        <f t="shared" si="26"/>
        <v>0</v>
      </c>
      <c r="K120" s="514"/>
      <c r="L120" s="525"/>
      <c r="M120" s="514">
        <f t="shared" si="28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 ht="12.5">
      <c r="B121" s="195" t="str">
        <f t="shared" si="32"/>
        <v/>
      </c>
      <c r="C121" s="507">
        <f>IF(D93="","-",+C120+1)</f>
        <v>2031</v>
      </c>
      <c r="D121" s="374">
        <f>IF(F120+SUM(E$99:E120)=D$92,F120,D$92-SUM(E$99:E120))</f>
        <v>3954277.3377543688</v>
      </c>
      <c r="E121" s="522">
        <f>IF(+J96&lt;F120,J96,D121)</f>
        <v>204943.59707317073</v>
      </c>
      <c r="F121" s="523">
        <f t="shared" si="39"/>
        <v>3749333.740681198</v>
      </c>
      <c r="G121" s="523">
        <f t="shared" si="40"/>
        <v>3851805.5392177831</v>
      </c>
      <c r="H121" s="526">
        <f t="shared" si="41"/>
        <v>642178.32299208769</v>
      </c>
      <c r="I121" s="577">
        <f t="shared" si="42"/>
        <v>642178.32299208769</v>
      </c>
      <c r="J121" s="514">
        <f t="shared" si="26"/>
        <v>0</v>
      </c>
      <c r="K121" s="514"/>
      <c r="L121" s="525"/>
      <c r="M121" s="514">
        <f t="shared" si="28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 ht="12.5">
      <c r="B122" s="195" t="str">
        <f t="shared" si="32"/>
        <v/>
      </c>
      <c r="C122" s="507">
        <f>IF(D93="","-",+C121+1)</f>
        <v>2032</v>
      </c>
      <c r="D122" s="374">
        <f>IF(F121+SUM(E$99:E121)=D$92,F121,D$92-SUM(E$99:E121))</f>
        <v>3749333.740681198</v>
      </c>
      <c r="E122" s="522">
        <f>IF(+J96&lt;F121,J96,D122)</f>
        <v>204943.59707317073</v>
      </c>
      <c r="F122" s="523">
        <f t="shared" si="39"/>
        <v>3544390.1436080271</v>
      </c>
      <c r="G122" s="523">
        <f t="shared" si="40"/>
        <v>3646861.9421446128</v>
      </c>
      <c r="H122" s="526">
        <f t="shared" si="41"/>
        <v>618914.3091204731</v>
      </c>
      <c r="I122" s="577">
        <f t="shared" si="42"/>
        <v>618914.3091204731</v>
      </c>
      <c r="J122" s="514">
        <f t="shared" si="26"/>
        <v>0</v>
      </c>
      <c r="K122" s="514"/>
      <c r="L122" s="525"/>
      <c r="M122" s="514">
        <f t="shared" si="28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 ht="12.5">
      <c r="B123" s="195" t="str">
        <f t="shared" si="32"/>
        <v/>
      </c>
      <c r="C123" s="507">
        <f>IF(D93="","-",+C122+1)</f>
        <v>2033</v>
      </c>
      <c r="D123" s="374">
        <f>IF(F122+SUM(E$99:E122)=D$92,F122,D$92-SUM(E$99:E122))</f>
        <v>3544390.1436080271</v>
      </c>
      <c r="E123" s="522">
        <f>IF(+J96&lt;F122,J96,D123)</f>
        <v>204943.59707317073</v>
      </c>
      <c r="F123" s="523">
        <f t="shared" si="39"/>
        <v>3339446.5465348563</v>
      </c>
      <c r="G123" s="523">
        <f t="shared" si="40"/>
        <v>3441918.3450714415</v>
      </c>
      <c r="H123" s="526">
        <f t="shared" si="41"/>
        <v>595650.29524885828</v>
      </c>
      <c r="I123" s="577">
        <f t="shared" si="42"/>
        <v>595650.29524885828</v>
      </c>
      <c r="J123" s="514">
        <f t="shared" si="26"/>
        <v>0</v>
      </c>
      <c r="K123" s="514"/>
      <c r="L123" s="525"/>
      <c r="M123" s="514">
        <f t="shared" si="28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 ht="12.5">
      <c r="B124" s="195" t="str">
        <f t="shared" si="32"/>
        <v/>
      </c>
      <c r="C124" s="507">
        <f>IF(D93="","-",+C123+1)</f>
        <v>2034</v>
      </c>
      <c r="D124" s="374">
        <f>IF(F123+SUM(E$99:E123)=D$92,F123,D$92-SUM(E$99:E123))</f>
        <v>3339446.5465348563</v>
      </c>
      <c r="E124" s="522">
        <f>IF(+J96&lt;F123,J96,D124)</f>
        <v>204943.59707317073</v>
      </c>
      <c r="F124" s="523">
        <f t="shared" si="39"/>
        <v>3134502.9494616855</v>
      </c>
      <c r="G124" s="523">
        <f t="shared" si="40"/>
        <v>3236974.7479982711</v>
      </c>
      <c r="H124" s="526">
        <f t="shared" si="41"/>
        <v>572386.28137724369</v>
      </c>
      <c r="I124" s="577">
        <f t="shared" si="42"/>
        <v>572386.28137724369</v>
      </c>
      <c r="J124" s="514">
        <f t="shared" si="26"/>
        <v>0</v>
      </c>
      <c r="K124" s="514"/>
      <c r="L124" s="525"/>
      <c r="M124" s="514">
        <f t="shared" si="28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 ht="12.5">
      <c r="B125" s="195" t="str">
        <f t="shared" si="32"/>
        <v/>
      </c>
      <c r="C125" s="507">
        <f>IF(D93="","-",+C124+1)</f>
        <v>2035</v>
      </c>
      <c r="D125" s="374">
        <f>IF(F124+SUM(E$99:E124)=D$92,F124,D$92-SUM(E$99:E124))</f>
        <v>3134502.9494616855</v>
      </c>
      <c r="E125" s="522">
        <f>IF(+J96&lt;F124,J96,D125)</f>
        <v>204943.59707317073</v>
      </c>
      <c r="F125" s="523">
        <f t="shared" si="39"/>
        <v>2929559.3523885147</v>
      </c>
      <c r="G125" s="523">
        <f t="shared" si="40"/>
        <v>3032031.1509250998</v>
      </c>
      <c r="H125" s="526">
        <f t="shared" si="41"/>
        <v>549122.26750562899</v>
      </c>
      <c r="I125" s="577">
        <f t="shared" si="42"/>
        <v>549122.26750562899</v>
      </c>
      <c r="J125" s="514">
        <f t="shared" si="26"/>
        <v>0</v>
      </c>
      <c r="K125" s="514"/>
      <c r="L125" s="525"/>
      <c r="M125" s="514">
        <f t="shared" si="28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 ht="12.5">
      <c r="B126" s="195" t="str">
        <f t="shared" si="32"/>
        <v/>
      </c>
      <c r="C126" s="507">
        <f>IF(D93="","-",+C125+1)</f>
        <v>2036</v>
      </c>
      <c r="D126" s="374">
        <f>IF(F125+SUM(E$99:E125)=D$92,F125,D$92-SUM(E$99:E125))</f>
        <v>2929559.3523885147</v>
      </c>
      <c r="E126" s="522">
        <f>IF(+J96&lt;F125,J96,D126)</f>
        <v>204943.59707317073</v>
      </c>
      <c r="F126" s="523">
        <f t="shared" si="39"/>
        <v>2724615.7553153438</v>
      </c>
      <c r="G126" s="523">
        <f t="shared" si="40"/>
        <v>2827087.5538519295</v>
      </c>
      <c r="H126" s="526">
        <f t="shared" si="41"/>
        <v>525858.25363401428</v>
      </c>
      <c r="I126" s="577">
        <f t="shared" si="42"/>
        <v>525858.25363401428</v>
      </c>
      <c r="J126" s="514">
        <f t="shared" si="26"/>
        <v>0</v>
      </c>
      <c r="K126" s="514"/>
      <c r="L126" s="525"/>
      <c r="M126" s="514">
        <f t="shared" si="28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 ht="12.5">
      <c r="B127" s="195" t="str">
        <f t="shared" si="32"/>
        <v/>
      </c>
      <c r="C127" s="507">
        <f>IF(D93="","-",+C126+1)</f>
        <v>2037</v>
      </c>
      <c r="D127" s="374">
        <f>IF(F126+SUM(E$99:E126)=D$92,F126,D$92-SUM(E$99:E126))</f>
        <v>2724615.7553153438</v>
      </c>
      <c r="E127" s="522">
        <f>IF(+J96&lt;F126,J96,D127)</f>
        <v>204943.59707317073</v>
      </c>
      <c r="F127" s="523">
        <f t="shared" si="39"/>
        <v>2519672.158242173</v>
      </c>
      <c r="G127" s="523">
        <f t="shared" si="40"/>
        <v>2622143.9567787582</v>
      </c>
      <c r="H127" s="526">
        <f t="shared" si="41"/>
        <v>502594.23976239958</v>
      </c>
      <c r="I127" s="577">
        <f t="shared" si="42"/>
        <v>502594.23976239958</v>
      </c>
      <c r="J127" s="514">
        <f t="shared" si="26"/>
        <v>0</v>
      </c>
      <c r="K127" s="514"/>
      <c r="L127" s="525"/>
      <c r="M127" s="514">
        <f t="shared" si="28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 ht="12.5">
      <c r="B128" s="195" t="str">
        <f t="shared" si="32"/>
        <v/>
      </c>
      <c r="C128" s="507">
        <f>IF(D93="","-",+C127+1)</f>
        <v>2038</v>
      </c>
      <c r="D128" s="374">
        <f>IF(F127+SUM(E$99:E127)=D$92,F127,D$92-SUM(E$99:E127))</f>
        <v>2519672.158242173</v>
      </c>
      <c r="E128" s="522">
        <f>IF(+J96&lt;F127,J96,D128)</f>
        <v>204943.59707317073</v>
      </c>
      <c r="F128" s="523">
        <f t="shared" si="39"/>
        <v>2314728.5611690022</v>
      </c>
      <c r="G128" s="523">
        <f t="shared" si="40"/>
        <v>2417200.3597055878</v>
      </c>
      <c r="H128" s="526">
        <f t="shared" si="41"/>
        <v>479330.22589078499</v>
      </c>
      <c r="I128" s="577">
        <f t="shared" si="42"/>
        <v>479330.22589078499</v>
      </c>
      <c r="J128" s="514">
        <f t="shared" si="26"/>
        <v>0</v>
      </c>
      <c r="K128" s="514"/>
      <c r="L128" s="525"/>
      <c r="M128" s="514">
        <f t="shared" si="28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 ht="12.5">
      <c r="B129" s="195" t="str">
        <f t="shared" si="32"/>
        <v/>
      </c>
      <c r="C129" s="507">
        <f>IF(D93="","-",+C128+1)</f>
        <v>2039</v>
      </c>
      <c r="D129" s="374">
        <f>IF(F128+SUM(E$99:E128)=D$92,F128,D$92-SUM(E$99:E128))</f>
        <v>2314728.5611690022</v>
      </c>
      <c r="E129" s="522">
        <f>IF(+J96&lt;F128,J96,D129)</f>
        <v>204943.59707317073</v>
      </c>
      <c r="F129" s="523">
        <f t="shared" si="39"/>
        <v>2109784.9640958314</v>
      </c>
      <c r="G129" s="523">
        <f t="shared" si="40"/>
        <v>2212256.7626324166</v>
      </c>
      <c r="H129" s="526">
        <f t="shared" si="41"/>
        <v>456066.21201917017</v>
      </c>
      <c r="I129" s="577">
        <f t="shared" si="42"/>
        <v>456066.21201917017</v>
      </c>
      <c r="J129" s="514">
        <f t="shared" si="26"/>
        <v>0</v>
      </c>
      <c r="K129" s="514"/>
      <c r="L129" s="525"/>
      <c r="M129" s="514">
        <f t="shared" si="28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 ht="12.5">
      <c r="B130" s="195" t="str">
        <f t="shared" si="32"/>
        <v>IU</v>
      </c>
      <c r="C130" s="507">
        <f>IF(D93="","-",+C129+1)</f>
        <v>2040</v>
      </c>
      <c r="D130" s="374">
        <f>IF(F129+SUM(E$99:E129)=D$92,F129,D$92-SUM(E$99:E129))</f>
        <v>2109784.9640958365</v>
      </c>
      <c r="E130" s="522">
        <f>IF(+J96&lt;F129,J96,D130)</f>
        <v>204943.59707317073</v>
      </c>
      <c r="F130" s="523">
        <f t="shared" si="39"/>
        <v>1904841.3670226657</v>
      </c>
      <c r="G130" s="523">
        <f t="shared" si="40"/>
        <v>2007313.1655592511</v>
      </c>
      <c r="H130" s="526">
        <f t="shared" si="41"/>
        <v>432802.19814755616</v>
      </c>
      <c r="I130" s="577">
        <f t="shared" si="42"/>
        <v>432802.19814755616</v>
      </c>
      <c r="J130" s="514">
        <f t="shared" si="26"/>
        <v>0</v>
      </c>
      <c r="K130" s="514"/>
      <c r="L130" s="525"/>
      <c r="M130" s="514">
        <f t="shared" si="28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 ht="12.5">
      <c r="B131" s="195" t="str">
        <f t="shared" si="32"/>
        <v/>
      </c>
      <c r="C131" s="507">
        <f>IF(D93="","-",+C130+1)</f>
        <v>2041</v>
      </c>
      <c r="D131" s="374">
        <f>IF(F130+SUM(E$99:E130)=D$92,F130,D$92-SUM(E$99:E130))</f>
        <v>1904841.3670226657</v>
      </c>
      <c r="E131" s="522">
        <f>IF(+J96&lt;F130,J96,D131)</f>
        <v>204943.59707317073</v>
      </c>
      <c r="F131" s="523">
        <f t="shared" ref="F131:F154" si="43">+D131-E131</f>
        <v>1699897.7699494949</v>
      </c>
      <c r="G131" s="523">
        <f t="shared" ref="G131:G154" si="44">+(F131+D131)/2</f>
        <v>1802369.5684860803</v>
      </c>
      <c r="H131" s="526">
        <f t="shared" si="41"/>
        <v>409538.18427594146</v>
      </c>
      <c r="I131" s="577">
        <f t="shared" si="42"/>
        <v>409538.18427594146</v>
      </c>
      <c r="J131" s="514">
        <f t="shared" ref="J131:J154" si="45">+I131-H131</f>
        <v>0</v>
      </c>
      <c r="K131" s="514"/>
      <c r="L131" s="525"/>
      <c r="M131" s="514">
        <f t="shared" ref="M131:M154" si="46">IF(L131&lt;&gt;0,+H131-L131,0)</f>
        <v>0</v>
      </c>
      <c r="N131" s="525"/>
      <c r="O131" s="514">
        <f t="shared" ref="O131:O154" si="47">IF(N131&lt;&gt;0,+I131-N131,0)</f>
        <v>0</v>
      </c>
      <c r="P131" s="514">
        <f t="shared" ref="P131:P154" si="48">+O131-M131</f>
        <v>0</v>
      </c>
      <c r="Q131" s="269"/>
    </row>
    <row r="132" spans="2:17" ht="12.5">
      <c r="B132" s="195" t="str">
        <f t="shared" si="32"/>
        <v/>
      </c>
      <c r="C132" s="507">
        <f>IF(D93="","-",+C131+1)</f>
        <v>2042</v>
      </c>
      <c r="D132" s="374">
        <f>IF(F131+SUM(E$99:E131)=D$92,F131,D$92-SUM(E$99:E131))</f>
        <v>1699897.7699494949</v>
      </c>
      <c r="E132" s="522">
        <f>IF(+J96&lt;F131,J96,D132)</f>
        <v>204943.59707317073</v>
      </c>
      <c r="F132" s="523">
        <f t="shared" si="43"/>
        <v>1494954.172876324</v>
      </c>
      <c r="G132" s="523">
        <f t="shared" si="44"/>
        <v>1597425.9714129095</v>
      </c>
      <c r="H132" s="526">
        <f t="shared" si="41"/>
        <v>386274.17040432675</v>
      </c>
      <c r="I132" s="577">
        <f t="shared" si="42"/>
        <v>386274.17040432675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  <c r="Q132" s="269"/>
    </row>
    <row r="133" spans="2:17" ht="12.5">
      <c r="B133" s="195" t="str">
        <f t="shared" si="32"/>
        <v/>
      </c>
      <c r="C133" s="507">
        <f>IF(D93="","-",+C132+1)</f>
        <v>2043</v>
      </c>
      <c r="D133" s="374">
        <f>IF(F132+SUM(E$99:E132)=D$92,F132,D$92-SUM(E$99:E132))</f>
        <v>1494954.172876324</v>
      </c>
      <c r="E133" s="522">
        <f>IF(+J96&lt;F132,J96,D133)</f>
        <v>204943.59707317073</v>
      </c>
      <c r="F133" s="523">
        <f t="shared" si="43"/>
        <v>1290010.5758031532</v>
      </c>
      <c r="G133" s="523">
        <f t="shared" si="44"/>
        <v>1392482.3743397386</v>
      </c>
      <c r="H133" s="526">
        <f t="shared" si="41"/>
        <v>363010.15653271205</v>
      </c>
      <c r="I133" s="577">
        <f t="shared" si="42"/>
        <v>363010.15653271205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  <c r="Q133" s="269"/>
    </row>
    <row r="134" spans="2:17" ht="12.5">
      <c r="B134" s="195" t="str">
        <f t="shared" si="32"/>
        <v/>
      </c>
      <c r="C134" s="507">
        <f>IF(D93="","-",+C133+1)</f>
        <v>2044</v>
      </c>
      <c r="D134" s="374">
        <f>IF(F133+SUM(E$99:E133)=D$92,F133,D$92-SUM(E$99:E133))</f>
        <v>1290010.5758031532</v>
      </c>
      <c r="E134" s="522">
        <f>IF(+J96&lt;F133,J96,D134)</f>
        <v>204943.59707317073</v>
      </c>
      <c r="F134" s="523">
        <f t="shared" si="43"/>
        <v>1085066.9787299824</v>
      </c>
      <c r="G134" s="523">
        <f t="shared" si="44"/>
        <v>1187538.7772665678</v>
      </c>
      <c r="H134" s="526">
        <f t="shared" si="41"/>
        <v>339746.14266109734</v>
      </c>
      <c r="I134" s="577">
        <f t="shared" si="42"/>
        <v>339746.14266109734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  <c r="Q134" s="269"/>
    </row>
    <row r="135" spans="2:17" ht="12.5">
      <c r="B135" s="195" t="str">
        <f t="shared" si="32"/>
        <v/>
      </c>
      <c r="C135" s="507">
        <f>IF(D93="","-",+C134+1)</f>
        <v>2045</v>
      </c>
      <c r="D135" s="374">
        <f>IF(F134+SUM(E$99:E134)=D$92,F134,D$92-SUM(E$99:E134))</f>
        <v>1085066.9787299824</v>
      </c>
      <c r="E135" s="522">
        <f>IF(+J96&lt;F134,J96,D135)</f>
        <v>204943.59707317073</v>
      </c>
      <c r="F135" s="523">
        <f t="shared" si="43"/>
        <v>880123.38165681169</v>
      </c>
      <c r="G135" s="523">
        <f t="shared" si="44"/>
        <v>982595.18019339698</v>
      </c>
      <c r="H135" s="526">
        <f t="shared" si="41"/>
        <v>316482.1287894827</v>
      </c>
      <c r="I135" s="577">
        <f t="shared" si="42"/>
        <v>316482.1287894827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  <c r="Q135" s="269"/>
    </row>
    <row r="136" spans="2:17" ht="12.5">
      <c r="B136" s="195"/>
      <c r="C136" s="507">
        <f>IF(D93="","-",+C135+1)</f>
        <v>2046</v>
      </c>
      <c r="D136" s="374">
        <f>IF(F135+SUM(E$99:E135)=D$92,F135,D$92-SUM(E$99:E135))</f>
        <v>880123.38165681169</v>
      </c>
      <c r="E136" s="522">
        <f>IF(+J96&lt;F135,J96,D136)</f>
        <v>204943.59707317073</v>
      </c>
      <c r="F136" s="523">
        <f t="shared" si="43"/>
        <v>675179.78458364098</v>
      </c>
      <c r="G136" s="523">
        <f t="shared" si="44"/>
        <v>777651.58312022639</v>
      </c>
      <c r="H136" s="526">
        <f t="shared" si="41"/>
        <v>293218.11491786805</v>
      </c>
      <c r="I136" s="577">
        <f t="shared" si="42"/>
        <v>293218.11491786805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  <c r="Q136" s="269"/>
    </row>
    <row r="137" spans="2:17" ht="12.5">
      <c r="B137" s="195" t="str">
        <f t="shared" si="32"/>
        <v/>
      </c>
      <c r="C137" s="507">
        <f>IF(D93="","-",+C136+1)</f>
        <v>2047</v>
      </c>
      <c r="D137" s="374">
        <f>IF(F136+SUM(E$99:E136)=D$92,F136,D$92-SUM(E$99:E136))</f>
        <v>675179.78458364098</v>
      </c>
      <c r="E137" s="522">
        <f>IF(+J96&lt;F136,J96,D137)</f>
        <v>204943.59707317073</v>
      </c>
      <c r="F137" s="523">
        <f t="shared" si="43"/>
        <v>470236.18751047028</v>
      </c>
      <c r="G137" s="523">
        <f t="shared" si="44"/>
        <v>572707.98604705557</v>
      </c>
      <c r="H137" s="526">
        <f t="shared" si="41"/>
        <v>269954.10104625334</v>
      </c>
      <c r="I137" s="577">
        <f t="shared" si="42"/>
        <v>269954.10104625334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  <c r="Q137" s="269"/>
    </row>
    <row r="138" spans="2:17" ht="12.5">
      <c r="B138" s="195" t="str">
        <f t="shared" si="32"/>
        <v/>
      </c>
      <c r="C138" s="507">
        <f>IF(D93="","-",+C137+1)</f>
        <v>2048</v>
      </c>
      <c r="D138" s="374">
        <f>IF(F137+SUM(E$99:E137)=D$92,F137,D$92-SUM(E$99:E137))</f>
        <v>470236.18751047028</v>
      </c>
      <c r="E138" s="522">
        <f>IF(+J96&lt;F137,J96,D138)</f>
        <v>204943.59707317073</v>
      </c>
      <c r="F138" s="523">
        <f t="shared" si="43"/>
        <v>265292.59043729957</v>
      </c>
      <c r="G138" s="523">
        <f t="shared" si="44"/>
        <v>367764.38897388492</v>
      </c>
      <c r="H138" s="526">
        <f t="shared" si="41"/>
        <v>246690.08717463867</v>
      </c>
      <c r="I138" s="577">
        <f t="shared" si="42"/>
        <v>246690.08717463867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  <c r="Q138" s="269"/>
    </row>
    <row r="139" spans="2:17" ht="12.5">
      <c r="B139" s="195" t="str">
        <f t="shared" si="32"/>
        <v/>
      </c>
      <c r="C139" s="507">
        <f>IF(D93="","-",+C138+1)</f>
        <v>2049</v>
      </c>
      <c r="D139" s="374">
        <f>IF(F138+SUM(E$99:E138)=D$92,F138,D$92-SUM(E$99:E138))</f>
        <v>265292.59043729957</v>
      </c>
      <c r="E139" s="522">
        <f>IF(+J96&lt;F138,J96,D139)</f>
        <v>204943.59707317073</v>
      </c>
      <c r="F139" s="523">
        <f t="shared" si="43"/>
        <v>60348.993364128837</v>
      </c>
      <c r="G139" s="523">
        <f t="shared" si="44"/>
        <v>162820.79190071422</v>
      </c>
      <c r="H139" s="526">
        <f t="shared" si="41"/>
        <v>223426.07330302399</v>
      </c>
      <c r="I139" s="577">
        <f t="shared" si="42"/>
        <v>223426.07330302399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  <c r="Q139" s="269"/>
    </row>
    <row r="140" spans="2:17" ht="12.5">
      <c r="B140" s="195" t="str">
        <f t="shared" si="32"/>
        <v/>
      </c>
      <c r="C140" s="507">
        <f>IF(D93="","-",+C139+1)</f>
        <v>2050</v>
      </c>
      <c r="D140" s="374">
        <f>IF(F139+SUM(E$99:E139)=D$92,F139,D$92-SUM(E$99:E139))</f>
        <v>60348.993364128837</v>
      </c>
      <c r="E140" s="522">
        <f>IF(+J96&lt;F139,J96,D140)</f>
        <v>60348.993364128837</v>
      </c>
      <c r="F140" s="523">
        <f t="shared" si="43"/>
        <v>0</v>
      </c>
      <c r="G140" s="523">
        <f t="shared" si="44"/>
        <v>30174.496682064419</v>
      </c>
      <c r="H140" s="526">
        <f t="shared" si="41"/>
        <v>63774.228011151798</v>
      </c>
      <c r="I140" s="577">
        <f t="shared" si="42"/>
        <v>63774.228011151798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  <c r="Q140" s="269"/>
    </row>
    <row r="141" spans="2:17" ht="12.5">
      <c r="B141" s="195" t="str">
        <f t="shared" si="32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3"/>
        <v>0</v>
      </c>
      <c r="G141" s="523">
        <f t="shared" si="44"/>
        <v>0</v>
      </c>
      <c r="H141" s="526">
        <f t="shared" si="41"/>
        <v>0</v>
      </c>
      <c r="I141" s="577">
        <f t="shared" si="42"/>
        <v>0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  <c r="Q141" s="269"/>
    </row>
    <row r="142" spans="2:17" ht="12.5">
      <c r="B142" s="195" t="str">
        <f t="shared" si="32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3"/>
        <v>0</v>
      </c>
      <c r="G142" s="523">
        <f t="shared" si="44"/>
        <v>0</v>
      </c>
      <c r="H142" s="526">
        <f t="shared" si="41"/>
        <v>0</v>
      </c>
      <c r="I142" s="577">
        <f t="shared" si="42"/>
        <v>0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  <c r="Q142" s="269"/>
    </row>
    <row r="143" spans="2:17" ht="12.5">
      <c r="B143" s="195" t="str">
        <f t="shared" si="32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3"/>
        <v>0</v>
      </c>
      <c r="G143" s="523">
        <f t="shared" si="44"/>
        <v>0</v>
      </c>
      <c r="H143" s="526">
        <f t="shared" si="41"/>
        <v>0</v>
      </c>
      <c r="I143" s="577">
        <f t="shared" si="42"/>
        <v>0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  <c r="Q143" s="269"/>
    </row>
    <row r="144" spans="2:17" ht="12.5">
      <c r="B144" s="195" t="str">
        <f t="shared" si="32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3"/>
        <v>0</v>
      </c>
      <c r="G144" s="523">
        <f t="shared" si="44"/>
        <v>0</v>
      </c>
      <c r="H144" s="526">
        <f t="shared" si="41"/>
        <v>0</v>
      </c>
      <c r="I144" s="577">
        <f t="shared" si="42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  <c r="Q144" s="269"/>
    </row>
    <row r="145" spans="2:17" ht="12.5">
      <c r="B145" s="195" t="str">
        <f t="shared" si="32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3"/>
        <v>0</v>
      </c>
      <c r="G145" s="523">
        <f t="shared" si="44"/>
        <v>0</v>
      </c>
      <c r="H145" s="526">
        <f t="shared" si="41"/>
        <v>0</v>
      </c>
      <c r="I145" s="577">
        <f t="shared" si="42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  <c r="Q145" s="269"/>
    </row>
    <row r="146" spans="2:17" ht="12.5">
      <c r="B146" s="195" t="str">
        <f t="shared" si="32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3"/>
        <v>0</v>
      </c>
      <c r="G146" s="523">
        <f t="shared" si="44"/>
        <v>0</v>
      </c>
      <c r="H146" s="526">
        <f t="shared" si="41"/>
        <v>0</v>
      </c>
      <c r="I146" s="577">
        <f t="shared" si="42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  <c r="Q146" s="269"/>
    </row>
    <row r="147" spans="2:17" ht="12.5">
      <c r="B147" s="195" t="str">
        <f t="shared" si="32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3"/>
        <v>0</v>
      </c>
      <c r="G147" s="523">
        <f t="shared" si="44"/>
        <v>0</v>
      </c>
      <c r="H147" s="526">
        <f t="shared" si="41"/>
        <v>0</v>
      </c>
      <c r="I147" s="577">
        <f t="shared" si="42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  <c r="Q147" s="269"/>
    </row>
    <row r="148" spans="2:17" ht="12.5">
      <c r="B148" s="195" t="str">
        <f t="shared" si="32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3"/>
        <v>0</v>
      </c>
      <c r="G148" s="523">
        <f t="shared" si="44"/>
        <v>0</v>
      </c>
      <c r="H148" s="526">
        <f t="shared" si="41"/>
        <v>0</v>
      </c>
      <c r="I148" s="577">
        <f t="shared" si="42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  <c r="Q148" s="269"/>
    </row>
    <row r="149" spans="2:17" ht="12.5">
      <c r="B149" s="195" t="str">
        <f t="shared" si="32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3"/>
        <v>0</v>
      </c>
      <c r="G149" s="523">
        <f t="shared" si="44"/>
        <v>0</v>
      </c>
      <c r="H149" s="526">
        <f t="shared" si="41"/>
        <v>0</v>
      </c>
      <c r="I149" s="577">
        <f t="shared" si="42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  <c r="Q149" s="269"/>
    </row>
    <row r="150" spans="2:17" ht="12.5">
      <c r="B150" s="195" t="str">
        <f t="shared" si="32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3"/>
        <v>0</v>
      </c>
      <c r="G150" s="523">
        <f t="shared" si="44"/>
        <v>0</v>
      </c>
      <c r="H150" s="526">
        <f t="shared" si="41"/>
        <v>0</v>
      </c>
      <c r="I150" s="577">
        <f t="shared" si="42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  <c r="Q150" s="269"/>
    </row>
    <row r="151" spans="2:17" ht="12.5">
      <c r="B151" s="195" t="str">
        <f t="shared" si="32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3"/>
        <v>0</v>
      </c>
      <c r="G151" s="523">
        <f t="shared" si="44"/>
        <v>0</v>
      </c>
      <c r="H151" s="526">
        <f t="shared" si="41"/>
        <v>0</v>
      </c>
      <c r="I151" s="577">
        <f t="shared" si="42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  <c r="Q151" s="269"/>
    </row>
    <row r="152" spans="2:17" ht="12.5">
      <c r="B152" s="195" t="str">
        <f t="shared" si="32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3"/>
        <v>0</v>
      </c>
      <c r="G152" s="523">
        <f t="shared" si="44"/>
        <v>0</v>
      </c>
      <c r="H152" s="526">
        <f t="shared" si="41"/>
        <v>0</v>
      </c>
      <c r="I152" s="577">
        <f t="shared" si="42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  <c r="Q152" s="269"/>
    </row>
    <row r="153" spans="2:17" ht="12.5">
      <c r="B153" s="195" t="str">
        <f t="shared" si="32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3"/>
        <v>0</v>
      </c>
      <c r="G153" s="523">
        <f t="shared" si="44"/>
        <v>0</v>
      </c>
      <c r="H153" s="526">
        <f t="shared" si="41"/>
        <v>0</v>
      </c>
      <c r="I153" s="577">
        <f t="shared" si="42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  <c r="Q153" s="269"/>
    </row>
    <row r="154" spans="2:17" ht="13" thickBot="1">
      <c r="B154" s="195" t="str">
        <f t="shared" si="32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3"/>
        <v>0</v>
      </c>
      <c r="G154" s="528">
        <f t="shared" si="44"/>
        <v>0</v>
      </c>
      <c r="H154" s="530">
        <f t="shared" si="41"/>
        <v>0</v>
      </c>
      <c r="I154" s="579">
        <f t="shared" si="42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  <c r="Q154" s="269"/>
    </row>
    <row r="155" spans="2:17" ht="12.5">
      <c r="C155" s="374" t="s">
        <v>78</v>
      </c>
      <c r="D155" s="375"/>
      <c r="E155" s="375">
        <f>SUM(E99:E154)</f>
        <v>8402687.4799999967</v>
      </c>
      <c r="F155" s="375"/>
      <c r="G155" s="375"/>
      <c r="H155" s="375">
        <f>SUM(H99:H154)</f>
        <v>29284316.222762652</v>
      </c>
      <c r="I155" s="375">
        <f>SUM(I99:I154)</f>
        <v>29284316.222762652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7" priority="1" stopIfTrue="1" operator="equal">
      <formula>$I$10</formula>
    </cfRule>
  </conditionalFormatting>
  <conditionalFormatting sqref="C99:C154">
    <cfRule type="cellIs" dxfId="15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96">
    <tabColor theme="9" tint="-0.249977111117893"/>
  </sheetPr>
  <dimension ref="A1:P162"/>
  <sheetViews>
    <sheetView view="pageBreakPreview" zoomScale="82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47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91313.71449184035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91313.71449184035</v>
      </c>
      <c r="O6" s="269"/>
      <c r="P6" s="269"/>
    </row>
    <row r="7" spans="1:16" ht="13.5" thickBot="1">
      <c r="C7" s="467" t="s">
        <v>48</v>
      </c>
      <c r="D7" s="624" t="s">
        <v>333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248</v>
      </c>
      <c r="E9" s="637" t="s">
        <v>395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787880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2012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2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18759.047619047618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2012</v>
      </c>
      <c r="D17" s="629">
        <v>787880</v>
      </c>
      <c r="E17" s="638">
        <v>15632.539682539682</v>
      </c>
      <c r="F17" s="629">
        <v>772247.46031746035</v>
      </c>
      <c r="G17" s="638">
        <v>119816.83704873582</v>
      </c>
      <c r="H17" s="639">
        <v>119816.83704873582</v>
      </c>
      <c r="I17" s="511">
        <v>0</v>
      </c>
      <c r="J17" s="511"/>
      <c r="K17" s="512">
        <f t="shared" ref="K17:K22" si="0">G17</f>
        <v>119816.83704873582</v>
      </c>
      <c r="L17" s="597">
        <f t="shared" ref="L17:L22" si="1">IF(K17&lt;&gt;0,+G17-K17,0)</f>
        <v>0</v>
      </c>
      <c r="M17" s="512">
        <f t="shared" ref="M17:M22" si="2">H17</f>
        <v>119816.83704873582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2013</v>
      </c>
      <c r="D18" s="631">
        <v>772247.46031746035</v>
      </c>
      <c r="E18" s="630">
        <v>18759.047619047618</v>
      </c>
      <c r="F18" s="631">
        <v>753488.41269841278</v>
      </c>
      <c r="G18" s="630">
        <v>120412.55233667219</v>
      </c>
      <c r="H18" s="639">
        <v>120412.55233667219</v>
      </c>
      <c r="I18" s="511">
        <v>0</v>
      </c>
      <c r="J18" s="511"/>
      <c r="K18" s="518">
        <f t="shared" si="0"/>
        <v>120412.55233667219</v>
      </c>
      <c r="L18" s="519">
        <f t="shared" si="1"/>
        <v>0</v>
      </c>
      <c r="M18" s="518">
        <f t="shared" si="2"/>
        <v>120412.55233667219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2014</v>
      </c>
      <c r="D19" s="631">
        <v>753488.41269841278</v>
      </c>
      <c r="E19" s="630">
        <v>18759.047619047618</v>
      </c>
      <c r="F19" s="631">
        <v>734729.36507936521</v>
      </c>
      <c r="G19" s="630">
        <v>117881.75968810063</v>
      </c>
      <c r="H19" s="639">
        <v>117881.75968810063</v>
      </c>
      <c r="I19" s="511">
        <v>0</v>
      </c>
      <c r="J19" s="511"/>
      <c r="K19" s="518">
        <f t="shared" si="0"/>
        <v>117881.75968810063</v>
      </c>
      <c r="L19" s="519">
        <f t="shared" si="1"/>
        <v>0</v>
      </c>
      <c r="M19" s="518">
        <f t="shared" si="2"/>
        <v>117881.75968810063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2015</v>
      </c>
      <c r="D20" s="631">
        <v>734729.36507936521</v>
      </c>
      <c r="E20" s="630">
        <v>18759.047619047618</v>
      </c>
      <c r="F20" s="631">
        <v>715970.31746031763</v>
      </c>
      <c r="G20" s="630">
        <v>113055.77578424601</v>
      </c>
      <c r="H20" s="639">
        <v>113055.77578424601</v>
      </c>
      <c r="I20" s="511">
        <v>0</v>
      </c>
      <c r="J20" s="511"/>
      <c r="K20" s="518">
        <f t="shared" si="0"/>
        <v>113055.77578424601</v>
      </c>
      <c r="L20" s="519">
        <f t="shared" si="1"/>
        <v>0</v>
      </c>
      <c r="M20" s="518">
        <f t="shared" si="2"/>
        <v>113055.77578424601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2016</v>
      </c>
      <c r="D21" s="631">
        <v>715970.31746031763</v>
      </c>
      <c r="E21" s="630">
        <v>18759.047619047618</v>
      </c>
      <c r="F21" s="631">
        <v>697211.26984127006</v>
      </c>
      <c r="G21" s="630">
        <v>109452.2721829084</v>
      </c>
      <c r="H21" s="639">
        <v>109452.2721829084</v>
      </c>
      <c r="I21" s="511">
        <f t="shared" ref="I21:I33" si="6">H21-G21</f>
        <v>0</v>
      </c>
      <c r="J21" s="511"/>
      <c r="K21" s="518">
        <f t="shared" si="0"/>
        <v>109452.2721829084</v>
      </c>
      <c r="L21" s="519">
        <f t="shared" si="1"/>
        <v>0</v>
      </c>
      <c r="M21" s="518">
        <f t="shared" si="2"/>
        <v>109452.2721829084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2017</v>
      </c>
      <c r="D22" s="631">
        <v>697211.26984127006</v>
      </c>
      <c r="E22" s="630">
        <v>18322.79069767442</v>
      </c>
      <c r="F22" s="631">
        <v>678888.47914359567</v>
      </c>
      <c r="G22" s="630">
        <v>103567.03290299821</v>
      </c>
      <c r="H22" s="639">
        <v>103567.03290299821</v>
      </c>
      <c r="I22" s="511">
        <f t="shared" si="6"/>
        <v>0</v>
      </c>
      <c r="J22" s="511"/>
      <c r="K22" s="518">
        <f t="shared" si="0"/>
        <v>103567.03290299821</v>
      </c>
      <c r="L22" s="519">
        <f t="shared" si="1"/>
        <v>0</v>
      </c>
      <c r="M22" s="518">
        <f t="shared" si="2"/>
        <v>103567.03290299821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2018</v>
      </c>
      <c r="D23" s="631">
        <v>678888.47914359567</v>
      </c>
      <c r="E23" s="630">
        <v>19216.585365853658</v>
      </c>
      <c r="F23" s="631">
        <v>659671.89377774205</v>
      </c>
      <c r="G23" s="630">
        <v>104278.14759460979</v>
      </c>
      <c r="H23" s="639">
        <v>104278.14759460979</v>
      </c>
      <c r="I23" s="511">
        <f t="shared" si="6"/>
        <v>0</v>
      </c>
      <c r="J23" s="511"/>
      <c r="K23" s="518">
        <f>G23</f>
        <v>104278.14759460979</v>
      </c>
      <c r="L23" s="519">
        <f>IF(K23&lt;&gt;0,+G23-K23,0)</f>
        <v>0</v>
      </c>
      <c r="M23" s="518">
        <f>H23</f>
        <v>104278.14759460979</v>
      </c>
      <c r="N23" s="514">
        <f>IF(M23&lt;&gt;0,+H23-M23,0)</f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2019</v>
      </c>
      <c r="D24" s="631">
        <v>659671.89377774205</v>
      </c>
      <c r="E24" s="630">
        <v>19216.585365853658</v>
      </c>
      <c r="F24" s="631">
        <v>640455.30841188843</v>
      </c>
      <c r="G24" s="630">
        <v>101835.83299305863</v>
      </c>
      <c r="H24" s="639">
        <v>101835.83299305863</v>
      </c>
      <c r="I24" s="511">
        <f t="shared" si="6"/>
        <v>0</v>
      </c>
      <c r="J24" s="511"/>
      <c r="K24" s="518">
        <f>G24</f>
        <v>101835.83299305863</v>
      </c>
      <c r="L24" s="519">
        <f>IF(K24&lt;&gt;0,+G24-K24,0)</f>
        <v>0</v>
      </c>
      <c r="M24" s="518">
        <f>H24</f>
        <v>101835.83299305863</v>
      </c>
      <c r="N24" s="514">
        <f t="shared" ref="N24:N72" si="7">IF(M24&lt;&gt;0,+H24-M24,0)</f>
        <v>0</v>
      </c>
      <c r="O24" s="514">
        <f t="shared" ref="O24:O72" si="8"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2020</v>
      </c>
      <c r="D25" s="631">
        <v>640455.30841188843</v>
      </c>
      <c r="E25" s="630">
        <v>19216.585365853658</v>
      </c>
      <c r="F25" s="631">
        <v>621238.72304603481</v>
      </c>
      <c r="G25" s="630">
        <v>83774.601936797058</v>
      </c>
      <c r="H25" s="639">
        <v>83774.601936797058</v>
      </c>
      <c r="I25" s="511">
        <f t="shared" si="6"/>
        <v>0</v>
      </c>
      <c r="J25" s="511"/>
      <c r="K25" s="518">
        <f>G25</f>
        <v>83774.601936797058</v>
      </c>
      <c r="L25" s="519">
        <f>IF(K25&lt;&gt;0,+G25-K25,0)</f>
        <v>0</v>
      </c>
      <c r="M25" s="518">
        <f>H25</f>
        <v>83774.601936797058</v>
      </c>
      <c r="N25" s="514">
        <f t="shared" si="7"/>
        <v>0</v>
      </c>
      <c r="O25" s="514">
        <f t="shared" si="8"/>
        <v>0</v>
      </c>
      <c r="P25" s="272"/>
    </row>
    <row r="26" spans="2:16" ht="12.5">
      <c r="B26" s="195" t="str">
        <f t="shared" si="5"/>
        <v>IU</v>
      </c>
      <c r="C26" s="507">
        <f>IF(D11="","-",+C25+1)</f>
        <v>2021</v>
      </c>
      <c r="D26" s="631">
        <v>622132.5177142137</v>
      </c>
      <c r="E26" s="630">
        <v>18759.047619047618</v>
      </c>
      <c r="F26" s="631">
        <v>603373.47009516612</v>
      </c>
      <c r="G26" s="630">
        <v>83713.649961418851</v>
      </c>
      <c r="H26" s="639">
        <v>83713.649961418851</v>
      </c>
      <c r="I26" s="511">
        <f t="shared" si="6"/>
        <v>0</v>
      </c>
      <c r="J26" s="511"/>
      <c r="K26" s="518">
        <f>G26</f>
        <v>83713.649961418851</v>
      </c>
      <c r="L26" s="519">
        <f>IF(K26&lt;&gt;0,+G26-K26,0)</f>
        <v>0</v>
      </c>
      <c r="M26" s="518">
        <f>H26</f>
        <v>83713.649961418851</v>
      </c>
      <c r="N26" s="514">
        <f t="shared" si="7"/>
        <v>0</v>
      </c>
      <c r="O26" s="514">
        <f t="shared" si="8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2022</v>
      </c>
      <c r="D27" s="631">
        <v>602479.67542698677</v>
      </c>
      <c r="E27" s="630">
        <v>18759.047619047618</v>
      </c>
      <c r="F27" s="631">
        <v>583720.62780793919</v>
      </c>
      <c r="G27" s="630">
        <v>85449.658528885382</v>
      </c>
      <c r="H27" s="639">
        <v>85449.658528885382</v>
      </c>
      <c r="I27" s="511">
        <f t="shared" si="6"/>
        <v>0</v>
      </c>
      <c r="J27" s="511"/>
      <c r="K27" s="518">
        <f>G27</f>
        <v>85449.658528885382</v>
      </c>
      <c r="L27" s="519">
        <f>IF(K27&lt;&gt;0,+G27-K27,0)</f>
        <v>0</v>
      </c>
      <c r="M27" s="518">
        <f>H27</f>
        <v>85449.658528885382</v>
      </c>
      <c r="N27" s="514">
        <f t="shared" si="7"/>
        <v>0</v>
      </c>
      <c r="O27" s="514">
        <f t="shared" si="8"/>
        <v>0</v>
      </c>
      <c r="P27" s="272"/>
    </row>
    <row r="28" spans="2:16" ht="12.5">
      <c r="B28" s="195" t="str">
        <f t="shared" si="5"/>
        <v/>
      </c>
      <c r="C28" s="507">
        <f>IF(D11="","-",+C27+1)</f>
        <v>2023</v>
      </c>
      <c r="D28" s="523">
        <f>IF(F27+SUM(E$17:E27)=D$10,F27,D$10-SUM(E$17:E27))</f>
        <v>583720.62780793919</v>
      </c>
      <c r="E28" s="522">
        <f>IF(+I14&lt;F27,I14,D28)</f>
        <v>18759.047619047618</v>
      </c>
      <c r="F28" s="523">
        <f t="shared" ref="F28:F33" si="9">+D28-E28</f>
        <v>564961.58018889162</v>
      </c>
      <c r="G28" s="524">
        <f t="shared" ref="G28:G53" si="10">+I$12*((D28+F28)/2)+E28</f>
        <v>91313.71449184035</v>
      </c>
      <c r="H28" s="491">
        <f t="shared" ref="H28:H53" si="11">+I$13*((D28+F28)/2)+E28</f>
        <v>91313.71449184035</v>
      </c>
      <c r="I28" s="511">
        <f t="shared" si="6"/>
        <v>0</v>
      </c>
      <c r="J28" s="511"/>
      <c r="K28" s="525"/>
      <c r="L28" s="514">
        <f t="shared" ref="L28:L72" si="12">IF(K28&lt;&gt;0,+G28-K28,0)</f>
        <v>0</v>
      </c>
      <c r="M28" s="525"/>
      <c r="N28" s="514">
        <f t="shared" si="7"/>
        <v>0</v>
      </c>
      <c r="O28" s="514">
        <f t="shared" si="8"/>
        <v>0</v>
      </c>
      <c r="P28" s="272"/>
    </row>
    <row r="29" spans="2:16" ht="12.5">
      <c r="B29" s="195" t="str">
        <f t="shared" si="5"/>
        <v/>
      </c>
      <c r="C29" s="507">
        <f>IF(D11="","-",+C28+1)</f>
        <v>2024</v>
      </c>
      <c r="D29" s="523">
        <f>IF(F28+SUM(E$17:E28)=D$10,F28,D$10-SUM(E$17:E28))</f>
        <v>564961.58018889162</v>
      </c>
      <c r="E29" s="522">
        <f>IF(+I14&lt;F28,I14,D29)</f>
        <v>18759.047619047618</v>
      </c>
      <c r="F29" s="523">
        <f t="shared" si="9"/>
        <v>546202.53256984404</v>
      </c>
      <c r="G29" s="524">
        <f t="shared" si="10"/>
        <v>88943.944260569202</v>
      </c>
      <c r="H29" s="491">
        <f t="shared" si="11"/>
        <v>88943.944260569202</v>
      </c>
      <c r="I29" s="511">
        <f t="shared" si="6"/>
        <v>0</v>
      </c>
      <c r="J29" s="511"/>
      <c r="K29" s="525"/>
      <c r="L29" s="514">
        <f t="shared" si="12"/>
        <v>0</v>
      </c>
      <c r="M29" s="525"/>
      <c r="N29" s="514">
        <f t="shared" si="7"/>
        <v>0</v>
      </c>
      <c r="O29" s="514">
        <f t="shared" si="8"/>
        <v>0</v>
      </c>
      <c r="P29" s="272"/>
    </row>
    <row r="30" spans="2:16" ht="12.5">
      <c r="B30" s="195" t="str">
        <f t="shared" si="5"/>
        <v/>
      </c>
      <c r="C30" s="507">
        <f>IF(D11="","-",+C29+1)</f>
        <v>2025</v>
      </c>
      <c r="D30" s="523">
        <f>IF(F29+SUM(E$17:E29)=D$10,F29,D$10-SUM(E$17:E29))</f>
        <v>546202.53256984404</v>
      </c>
      <c r="E30" s="522">
        <f>IF(+I14&lt;F29,I14,D30)</f>
        <v>18759.047619047618</v>
      </c>
      <c r="F30" s="523">
        <f t="shared" si="9"/>
        <v>527443.48495079647</v>
      </c>
      <c r="G30" s="524">
        <f t="shared" si="10"/>
        <v>86574.174029298054</v>
      </c>
      <c r="H30" s="491">
        <f t="shared" si="11"/>
        <v>86574.174029298054</v>
      </c>
      <c r="I30" s="511">
        <f t="shared" si="6"/>
        <v>0</v>
      </c>
      <c r="J30" s="511"/>
      <c r="K30" s="525"/>
      <c r="L30" s="514">
        <f t="shared" si="12"/>
        <v>0</v>
      </c>
      <c r="M30" s="525"/>
      <c r="N30" s="514">
        <f t="shared" si="7"/>
        <v>0</v>
      </c>
      <c r="O30" s="514">
        <f t="shared" si="8"/>
        <v>0</v>
      </c>
      <c r="P30" s="272"/>
    </row>
    <row r="31" spans="2:16" ht="12.5">
      <c r="B31" s="195" t="str">
        <f t="shared" si="5"/>
        <v/>
      </c>
      <c r="C31" s="507">
        <f>IF(D11="","-",+C30+1)</f>
        <v>2026</v>
      </c>
      <c r="D31" s="523">
        <f>IF(F30+SUM(E$17:E30)=D$10,F30,D$10-SUM(E$17:E30))</f>
        <v>527443.48495079647</v>
      </c>
      <c r="E31" s="522">
        <f>IF(+I14&lt;F30,I14,D31)</f>
        <v>18759.047619047618</v>
      </c>
      <c r="F31" s="523">
        <f t="shared" si="9"/>
        <v>508684.43733174884</v>
      </c>
      <c r="G31" s="524">
        <f t="shared" si="10"/>
        <v>84204.403798026906</v>
      </c>
      <c r="H31" s="491">
        <f t="shared" si="11"/>
        <v>84204.403798026906</v>
      </c>
      <c r="I31" s="511">
        <f t="shared" si="6"/>
        <v>0</v>
      </c>
      <c r="J31" s="511"/>
      <c r="K31" s="525"/>
      <c r="L31" s="514">
        <f t="shared" si="12"/>
        <v>0</v>
      </c>
      <c r="M31" s="525"/>
      <c r="N31" s="514">
        <f t="shared" si="7"/>
        <v>0</v>
      </c>
      <c r="O31" s="514">
        <f t="shared" si="8"/>
        <v>0</v>
      </c>
      <c r="P31" s="272"/>
    </row>
    <row r="32" spans="2:16" ht="12.5">
      <c r="B32" s="195" t="str">
        <f t="shared" si="5"/>
        <v/>
      </c>
      <c r="C32" s="507">
        <f>IF(D11="","-",+C31+1)</f>
        <v>2027</v>
      </c>
      <c r="D32" s="523">
        <f>IF(F31+SUM(E$17:E31)=D$10,F31,D$10-SUM(E$17:E31))</f>
        <v>508684.43733174884</v>
      </c>
      <c r="E32" s="522">
        <f>IF(+I14&lt;F31,I14,D32)</f>
        <v>18759.047619047618</v>
      </c>
      <c r="F32" s="523">
        <f t="shared" si="9"/>
        <v>489925.3897127012</v>
      </c>
      <c r="G32" s="524">
        <f t="shared" si="10"/>
        <v>81834.633566755743</v>
      </c>
      <c r="H32" s="491">
        <f t="shared" si="11"/>
        <v>81834.633566755743</v>
      </c>
      <c r="I32" s="511">
        <f t="shared" si="6"/>
        <v>0</v>
      </c>
      <c r="J32" s="511"/>
      <c r="K32" s="525"/>
      <c r="L32" s="514">
        <f t="shared" si="12"/>
        <v>0</v>
      </c>
      <c r="M32" s="525"/>
      <c r="N32" s="514">
        <f t="shared" si="7"/>
        <v>0</v>
      </c>
      <c r="O32" s="514">
        <f t="shared" si="8"/>
        <v>0</v>
      </c>
      <c r="P32" s="272"/>
    </row>
    <row r="33" spans="2:16" ht="12.5">
      <c r="B33" s="195" t="str">
        <f t="shared" si="5"/>
        <v/>
      </c>
      <c r="C33" s="507">
        <f>IF(D11="","-",+C32+1)</f>
        <v>2028</v>
      </c>
      <c r="D33" s="523">
        <f>IF(F32+SUM(E$17:E32)=D$10,F32,D$10-SUM(E$17:E32))</f>
        <v>489925.3897127012</v>
      </c>
      <c r="E33" s="522">
        <f>IF(+I14&lt;F32,I14,D33)</f>
        <v>18759.047619047618</v>
      </c>
      <c r="F33" s="523">
        <f t="shared" si="9"/>
        <v>471166.34209365357</v>
      </c>
      <c r="G33" s="524">
        <f t="shared" si="10"/>
        <v>79464.863335484581</v>
      </c>
      <c r="H33" s="491">
        <f t="shared" si="11"/>
        <v>79464.863335484581</v>
      </c>
      <c r="I33" s="511">
        <f t="shared" si="6"/>
        <v>0</v>
      </c>
      <c r="J33" s="511"/>
      <c r="K33" s="525"/>
      <c r="L33" s="514">
        <f t="shared" si="12"/>
        <v>0</v>
      </c>
      <c r="M33" s="525"/>
      <c r="N33" s="514">
        <f t="shared" si="7"/>
        <v>0</v>
      </c>
      <c r="O33" s="514">
        <f t="shared" si="8"/>
        <v>0</v>
      </c>
      <c r="P33" s="272"/>
    </row>
    <row r="34" spans="2:16" ht="12.5">
      <c r="B34" s="195" t="str">
        <f t="shared" si="5"/>
        <v/>
      </c>
      <c r="C34" s="507">
        <f>IF(D11="","-",+C33+1)</f>
        <v>2029</v>
      </c>
      <c r="D34" s="523">
        <f>IF(F33+SUM(E$17:E33)=D$10,F33,D$10-SUM(E$17:E33))</f>
        <v>471166.34209365357</v>
      </c>
      <c r="E34" s="522">
        <f>IF(+I14&lt;F33,I14,D34)</f>
        <v>18759.047619047618</v>
      </c>
      <c r="F34" s="523">
        <f t="shared" ref="F34:F72" si="13">+D34-E34</f>
        <v>452407.29447460594</v>
      </c>
      <c r="G34" s="524">
        <f t="shared" si="10"/>
        <v>77095.093104213418</v>
      </c>
      <c r="H34" s="491">
        <f t="shared" si="11"/>
        <v>77095.093104213418</v>
      </c>
      <c r="I34" s="511">
        <f t="shared" ref="I34:I72" si="14">H34-G34</f>
        <v>0</v>
      </c>
      <c r="J34" s="511"/>
      <c r="K34" s="525"/>
      <c r="L34" s="514">
        <f t="shared" si="12"/>
        <v>0</v>
      </c>
      <c r="M34" s="525"/>
      <c r="N34" s="514">
        <f t="shared" si="7"/>
        <v>0</v>
      </c>
      <c r="O34" s="514">
        <f t="shared" si="8"/>
        <v>0</v>
      </c>
      <c r="P34" s="272"/>
    </row>
    <row r="35" spans="2:16" ht="12.5">
      <c r="B35" s="195" t="str">
        <f t="shared" si="5"/>
        <v/>
      </c>
      <c r="C35" s="507">
        <f>IF(D11="","-",+C34+1)</f>
        <v>2030</v>
      </c>
      <c r="D35" s="523">
        <f>IF(F34+SUM(E$17:E34)=D$10,F34,D$10-SUM(E$17:E34))</f>
        <v>452407.29447460594</v>
      </c>
      <c r="E35" s="522">
        <f>IF(+I14&lt;F34,I14,D35)</f>
        <v>18759.047619047618</v>
      </c>
      <c r="F35" s="523">
        <f t="shared" si="13"/>
        <v>433648.2468555583</v>
      </c>
      <c r="G35" s="524">
        <f t="shared" si="10"/>
        <v>74725.32287294227</v>
      </c>
      <c r="H35" s="491">
        <f t="shared" si="11"/>
        <v>74725.32287294227</v>
      </c>
      <c r="I35" s="511">
        <f t="shared" si="14"/>
        <v>0</v>
      </c>
      <c r="J35" s="511"/>
      <c r="K35" s="525"/>
      <c r="L35" s="514">
        <f t="shared" si="12"/>
        <v>0</v>
      </c>
      <c r="M35" s="525"/>
      <c r="N35" s="514">
        <f t="shared" si="7"/>
        <v>0</v>
      </c>
      <c r="O35" s="514">
        <f t="shared" si="8"/>
        <v>0</v>
      </c>
      <c r="P35" s="272"/>
    </row>
    <row r="36" spans="2:16" ht="12.5">
      <c r="B36" s="195" t="str">
        <f t="shared" si="5"/>
        <v/>
      </c>
      <c r="C36" s="507">
        <f>IF(D11="","-",+C35+1)</f>
        <v>2031</v>
      </c>
      <c r="D36" s="523">
        <f>IF(F35+SUM(E$17:E35)=D$10,F35,D$10-SUM(E$17:E35))</f>
        <v>433648.2468555583</v>
      </c>
      <c r="E36" s="522">
        <f>IF(+I14&lt;F35,I14,D36)</f>
        <v>18759.047619047618</v>
      </c>
      <c r="F36" s="523">
        <f t="shared" si="13"/>
        <v>414889.19923651067</v>
      </c>
      <c r="G36" s="524">
        <f t="shared" si="10"/>
        <v>72355.552641671107</v>
      </c>
      <c r="H36" s="491">
        <f t="shared" si="11"/>
        <v>72355.552641671107</v>
      </c>
      <c r="I36" s="511">
        <f t="shared" si="14"/>
        <v>0</v>
      </c>
      <c r="J36" s="511"/>
      <c r="K36" s="525"/>
      <c r="L36" s="514">
        <f t="shared" si="12"/>
        <v>0</v>
      </c>
      <c r="M36" s="525"/>
      <c r="N36" s="514">
        <f t="shared" si="7"/>
        <v>0</v>
      </c>
      <c r="O36" s="514">
        <f t="shared" si="8"/>
        <v>0</v>
      </c>
      <c r="P36" s="272"/>
    </row>
    <row r="37" spans="2:16" ht="12.5">
      <c r="B37" s="195" t="str">
        <f t="shared" si="5"/>
        <v/>
      </c>
      <c r="C37" s="507">
        <f>IF(D11="","-",+C36+1)</f>
        <v>2032</v>
      </c>
      <c r="D37" s="523">
        <f>IF(F36+SUM(E$17:E36)=D$10,F36,D$10-SUM(E$17:E36))</f>
        <v>414889.19923651067</v>
      </c>
      <c r="E37" s="522">
        <f>IF(+I14&lt;F36,I14,D37)</f>
        <v>18759.047619047618</v>
      </c>
      <c r="F37" s="523">
        <f t="shared" si="13"/>
        <v>396130.15161746304</v>
      </c>
      <c r="G37" s="524">
        <f t="shared" si="10"/>
        <v>69985.782410399959</v>
      </c>
      <c r="H37" s="491">
        <f t="shared" si="11"/>
        <v>69985.782410399959</v>
      </c>
      <c r="I37" s="511">
        <f t="shared" si="14"/>
        <v>0</v>
      </c>
      <c r="J37" s="511"/>
      <c r="K37" s="525"/>
      <c r="L37" s="514">
        <f t="shared" si="12"/>
        <v>0</v>
      </c>
      <c r="M37" s="525"/>
      <c r="N37" s="514">
        <f t="shared" si="7"/>
        <v>0</v>
      </c>
      <c r="O37" s="514">
        <f t="shared" si="8"/>
        <v>0</v>
      </c>
      <c r="P37" s="272"/>
    </row>
    <row r="38" spans="2:16" ht="12.5">
      <c r="B38" s="195" t="str">
        <f t="shared" si="5"/>
        <v/>
      </c>
      <c r="C38" s="507">
        <f>IF(D11="","-",+C37+1)</f>
        <v>2033</v>
      </c>
      <c r="D38" s="523">
        <f>IF(F37+SUM(E$17:E37)=D$10,F37,D$10-SUM(E$17:E37))</f>
        <v>396130.15161746304</v>
      </c>
      <c r="E38" s="522">
        <f>IF(+I14&lt;F37,I14,D38)</f>
        <v>18759.047619047618</v>
      </c>
      <c r="F38" s="523">
        <f t="shared" si="13"/>
        <v>377371.1039984154</v>
      </c>
      <c r="G38" s="524">
        <f t="shared" si="10"/>
        <v>67616.012179128797</v>
      </c>
      <c r="H38" s="491">
        <f t="shared" si="11"/>
        <v>67616.012179128797</v>
      </c>
      <c r="I38" s="511">
        <f t="shared" si="14"/>
        <v>0</v>
      </c>
      <c r="J38" s="511"/>
      <c r="K38" s="525"/>
      <c r="L38" s="514">
        <f t="shared" si="12"/>
        <v>0</v>
      </c>
      <c r="M38" s="525"/>
      <c r="N38" s="514">
        <f t="shared" si="7"/>
        <v>0</v>
      </c>
      <c r="O38" s="514">
        <f t="shared" si="8"/>
        <v>0</v>
      </c>
      <c r="P38" s="272"/>
    </row>
    <row r="39" spans="2:16" ht="12.5">
      <c r="B39" s="195" t="str">
        <f t="shared" si="5"/>
        <v/>
      </c>
      <c r="C39" s="507">
        <f>IF(D11="","-",+C38+1)</f>
        <v>2034</v>
      </c>
      <c r="D39" s="523">
        <f>IF(F38+SUM(E$17:E38)=D$10,F38,D$10-SUM(E$17:E38))</f>
        <v>377371.1039984154</v>
      </c>
      <c r="E39" s="522">
        <f>IF(+I14&lt;F38,I14,D39)</f>
        <v>18759.047619047618</v>
      </c>
      <c r="F39" s="523">
        <f t="shared" si="13"/>
        <v>358612.05637936777</v>
      </c>
      <c r="G39" s="524">
        <f t="shared" si="10"/>
        <v>65246.241947857641</v>
      </c>
      <c r="H39" s="491">
        <f t="shared" si="11"/>
        <v>65246.241947857641</v>
      </c>
      <c r="I39" s="511">
        <f t="shared" si="14"/>
        <v>0</v>
      </c>
      <c r="J39" s="511"/>
      <c r="K39" s="525"/>
      <c r="L39" s="514">
        <f t="shared" si="12"/>
        <v>0</v>
      </c>
      <c r="M39" s="525"/>
      <c r="N39" s="514">
        <f t="shared" si="7"/>
        <v>0</v>
      </c>
      <c r="O39" s="514">
        <f t="shared" si="8"/>
        <v>0</v>
      </c>
      <c r="P39" s="272"/>
    </row>
    <row r="40" spans="2:16" ht="12.5">
      <c r="B40" s="195" t="str">
        <f t="shared" si="5"/>
        <v/>
      </c>
      <c r="C40" s="507">
        <f>IF(D11="","-",+C39+1)</f>
        <v>2035</v>
      </c>
      <c r="D40" s="523">
        <f>IF(F39+SUM(E$17:E39)=D$10,F39,D$10-SUM(E$17:E39))</f>
        <v>358612.05637936777</v>
      </c>
      <c r="E40" s="522">
        <f>IF(+I14&lt;F39,I14,D40)</f>
        <v>18759.047619047618</v>
      </c>
      <c r="F40" s="523">
        <f t="shared" si="13"/>
        <v>339853.00876032014</v>
      </c>
      <c r="G40" s="524">
        <f t="shared" si="10"/>
        <v>62876.471716586479</v>
      </c>
      <c r="H40" s="491">
        <f t="shared" si="11"/>
        <v>62876.471716586479</v>
      </c>
      <c r="I40" s="511">
        <f t="shared" si="14"/>
        <v>0</v>
      </c>
      <c r="J40" s="511"/>
      <c r="K40" s="525"/>
      <c r="L40" s="514">
        <f t="shared" si="12"/>
        <v>0</v>
      </c>
      <c r="M40" s="525"/>
      <c r="N40" s="514">
        <f t="shared" si="7"/>
        <v>0</v>
      </c>
      <c r="O40" s="514">
        <f t="shared" si="8"/>
        <v>0</v>
      </c>
      <c r="P40" s="272"/>
    </row>
    <row r="41" spans="2:16" ht="12.5">
      <c r="B41" s="195" t="str">
        <f t="shared" si="5"/>
        <v/>
      </c>
      <c r="C41" s="507">
        <f>IF(D11="","-",+C40+1)</f>
        <v>2036</v>
      </c>
      <c r="D41" s="523">
        <f>IF(F40+SUM(E$17:E40)=D$10,F40,D$10-SUM(E$17:E40))</f>
        <v>339853.00876032014</v>
      </c>
      <c r="E41" s="522">
        <f>IF(+I14&lt;F40,I14,D41)</f>
        <v>18759.047619047618</v>
      </c>
      <c r="F41" s="523">
        <f t="shared" si="13"/>
        <v>321093.96114127251</v>
      </c>
      <c r="G41" s="524">
        <f t="shared" si="10"/>
        <v>60506.701485315331</v>
      </c>
      <c r="H41" s="491">
        <f t="shared" si="11"/>
        <v>60506.701485315331</v>
      </c>
      <c r="I41" s="511">
        <f t="shared" si="14"/>
        <v>0</v>
      </c>
      <c r="J41" s="511"/>
      <c r="K41" s="525"/>
      <c r="L41" s="514">
        <f t="shared" si="12"/>
        <v>0</v>
      </c>
      <c r="M41" s="525"/>
      <c r="N41" s="514">
        <f t="shared" si="7"/>
        <v>0</v>
      </c>
      <c r="O41" s="514">
        <f t="shared" si="8"/>
        <v>0</v>
      </c>
      <c r="P41" s="272"/>
    </row>
    <row r="42" spans="2:16" ht="12.5">
      <c r="B42" s="195" t="str">
        <f t="shared" si="5"/>
        <v/>
      </c>
      <c r="C42" s="507">
        <f>IF(D11="","-",+C41+1)</f>
        <v>2037</v>
      </c>
      <c r="D42" s="523">
        <f>IF(F41+SUM(E$17:E41)=D$10,F41,D$10-SUM(E$17:E41))</f>
        <v>321093.96114127251</v>
      </c>
      <c r="E42" s="522">
        <f>IF(+I14&lt;F41,I14,D42)</f>
        <v>18759.047619047618</v>
      </c>
      <c r="F42" s="523">
        <f t="shared" si="13"/>
        <v>302334.91352222487</v>
      </c>
      <c r="G42" s="524">
        <f t="shared" si="10"/>
        <v>58136.931254044161</v>
      </c>
      <c r="H42" s="491">
        <f t="shared" si="11"/>
        <v>58136.931254044161</v>
      </c>
      <c r="I42" s="511">
        <f t="shared" si="14"/>
        <v>0</v>
      </c>
      <c r="J42" s="511"/>
      <c r="K42" s="525"/>
      <c r="L42" s="514">
        <f t="shared" si="12"/>
        <v>0</v>
      </c>
      <c r="M42" s="525"/>
      <c r="N42" s="514">
        <f t="shared" si="7"/>
        <v>0</v>
      </c>
      <c r="O42" s="514">
        <f t="shared" si="8"/>
        <v>0</v>
      </c>
      <c r="P42" s="272"/>
    </row>
    <row r="43" spans="2:16" ht="12.5">
      <c r="B43" s="195" t="str">
        <f t="shared" si="5"/>
        <v/>
      </c>
      <c r="C43" s="507">
        <f>IF(D11="","-",+C42+1)</f>
        <v>2038</v>
      </c>
      <c r="D43" s="523">
        <f>IF(F42+SUM(E$17:E42)=D$10,F42,D$10-SUM(E$17:E42))</f>
        <v>302334.91352222487</v>
      </c>
      <c r="E43" s="522">
        <f>IF(+I14&lt;F42,I14,D43)</f>
        <v>18759.047619047618</v>
      </c>
      <c r="F43" s="523">
        <f t="shared" si="13"/>
        <v>283575.86590317724</v>
      </c>
      <c r="G43" s="524">
        <f t="shared" si="10"/>
        <v>55767.161022773013</v>
      </c>
      <c r="H43" s="491">
        <f t="shared" si="11"/>
        <v>55767.161022773013</v>
      </c>
      <c r="I43" s="511">
        <f t="shared" si="14"/>
        <v>0</v>
      </c>
      <c r="J43" s="511"/>
      <c r="K43" s="525"/>
      <c r="L43" s="514">
        <f t="shared" si="12"/>
        <v>0</v>
      </c>
      <c r="M43" s="525"/>
      <c r="N43" s="514">
        <f t="shared" si="7"/>
        <v>0</v>
      </c>
      <c r="O43" s="514">
        <f t="shared" si="8"/>
        <v>0</v>
      </c>
      <c r="P43" s="272"/>
    </row>
    <row r="44" spans="2:16" ht="12.5">
      <c r="B44" s="195" t="str">
        <f t="shared" si="5"/>
        <v/>
      </c>
      <c r="C44" s="507">
        <f>IF(D11="","-",+C43+1)</f>
        <v>2039</v>
      </c>
      <c r="D44" s="523">
        <f>IF(F43+SUM(E$17:E43)=D$10,F43,D$10-SUM(E$17:E43))</f>
        <v>283575.86590317724</v>
      </c>
      <c r="E44" s="522">
        <f>IF(+I14&lt;F43,I14,D44)</f>
        <v>18759.047619047618</v>
      </c>
      <c r="F44" s="523">
        <f t="shared" si="13"/>
        <v>264816.81828412961</v>
      </c>
      <c r="G44" s="524">
        <f t="shared" si="10"/>
        <v>53397.39079150185</v>
      </c>
      <c r="H44" s="491">
        <f t="shared" si="11"/>
        <v>53397.39079150185</v>
      </c>
      <c r="I44" s="511">
        <f t="shared" si="14"/>
        <v>0</v>
      </c>
      <c r="J44" s="511"/>
      <c r="K44" s="525"/>
      <c r="L44" s="514">
        <f t="shared" si="12"/>
        <v>0</v>
      </c>
      <c r="M44" s="525"/>
      <c r="N44" s="514">
        <f t="shared" si="7"/>
        <v>0</v>
      </c>
      <c r="O44" s="514">
        <f t="shared" si="8"/>
        <v>0</v>
      </c>
      <c r="P44" s="272"/>
    </row>
    <row r="45" spans="2:16" ht="12.5">
      <c r="B45" s="195" t="str">
        <f t="shared" si="5"/>
        <v/>
      </c>
      <c r="C45" s="507">
        <f>IF(D11="","-",+C44+1)</f>
        <v>2040</v>
      </c>
      <c r="D45" s="523">
        <f>IF(F44+SUM(E$17:E44)=D$10,F44,D$10-SUM(E$17:E44))</f>
        <v>264816.81828412961</v>
      </c>
      <c r="E45" s="522">
        <f>IF(+I14&lt;F44,I14,D45)</f>
        <v>18759.047619047618</v>
      </c>
      <c r="F45" s="523">
        <f t="shared" si="13"/>
        <v>246057.77066508197</v>
      </c>
      <c r="G45" s="524">
        <f t="shared" si="10"/>
        <v>51027.620560230695</v>
      </c>
      <c r="H45" s="491">
        <f t="shared" si="11"/>
        <v>51027.620560230695</v>
      </c>
      <c r="I45" s="511">
        <f t="shared" si="14"/>
        <v>0</v>
      </c>
      <c r="J45" s="511"/>
      <c r="K45" s="525"/>
      <c r="L45" s="514">
        <f t="shared" si="12"/>
        <v>0</v>
      </c>
      <c r="M45" s="525"/>
      <c r="N45" s="514">
        <f t="shared" si="7"/>
        <v>0</v>
      </c>
      <c r="O45" s="514">
        <f t="shared" si="8"/>
        <v>0</v>
      </c>
      <c r="P45" s="272"/>
    </row>
    <row r="46" spans="2:16" ht="12.5">
      <c r="B46" s="195" t="str">
        <f t="shared" si="5"/>
        <v/>
      </c>
      <c r="C46" s="507">
        <f>IF(D11="","-",+C45+1)</f>
        <v>2041</v>
      </c>
      <c r="D46" s="523">
        <f>IF(F45+SUM(E$17:E45)=D$10,F45,D$10-SUM(E$17:E45))</f>
        <v>246057.77066508197</v>
      </c>
      <c r="E46" s="522">
        <f>IF(+I14&lt;F45,I14,D46)</f>
        <v>18759.047619047618</v>
      </c>
      <c r="F46" s="523">
        <f t="shared" si="13"/>
        <v>227298.72304603434</v>
      </c>
      <c r="G46" s="524">
        <f t="shared" si="10"/>
        <v>48657.850328959539</v>
      </c>
      <c r="H46" s="491">
        <f t="shared" si="11"/>
        <v>48657.850328959539</v>
      </c>
      <c r="I46" s="511">
        <f t="shared" si="14"/>
        <v>0</v>
      </c>
      <c r="J46" s="511"/>
      <c r="K46" s="525"/>
      <c r="L46" s="514">
        <f t="shared" si="12"/>
        <v>0</v>
      </c>
      <c r="M46" s="525"/>
      <c r="N46" s="514">
        <f t="shared" si="7"/>
        <v>0</v>
      </c>
      <c r="O46" s="514">
        <f t="shared" si="8"/>
        <v>0</v>
      </c>
      <c r="P46" s="272"/>
    </row>
    <row r="47" spans="2:16" ht="12.5">
      <c r="B47" s="195" t="str">
        <f t="shared" si="5"/>
        <v/>
      </c>
      <c r="C47" s="507">
        <f>IF(D11="","-",+C46+1)</f>
        <v>2042</v>
      </c>
      <c r="D47" s="523">
        <f>IF(F46+SUM(E$17:E46)=D$10,F46,D$10-SUM(E$17:E46))</f>
        <v>227298.72304603434</v>
      </c>
      <c r="E47" s="522">
        <f>IF(+I14&lt;F46,I14,D47)</f>
        <v>18759.047619047618</v>
      </c>
      <c r="F47" s="523">
        <f t="shared" si="13"/>
        <v>208539.67542698671</v>
      </c>
      <c r="G47" s="524">
        <f t="shared" si="10"/>
        <v>46288.080097688377</v>
      </c>
      <c r="H47" s="491">
        <f t="shared" si="11"/>
        <v>46288.080097688377</v>
      </c>
      <c r="I47" s="511">
        <f t="shared" si="14"/>
        <v>0</v>
      </c>
      <c r="J47" s="511"/>
      <c r="K47" s="525"/>
      <c r="L47" s="514">
        <f t="shared" si="12"/>
        <v>0</v>
      </c>
      <c r="M47" s="525"/>
      <c r="N47" s="514">
        <f t="shared" si="7"/>
        <v>0</v>
      </c>
      <c r="O47" s="514">
        <f t="shared" si="8"/>
        <v>0</v>
      </c>
      <c r="P47" s="272"/>
    </row>
    <row r="48" spans="2:16" ht="12.5">
      <c r="B48" s="195" t="str">
        <f t="shared" si="5"/>
        <v/>
      </c>
      <c r="C48" s="507">
        <f>IF(D11="","-",+C47+1)</f>
        <v>2043</v>
      </c>
      <c r="D48" s="523">
        <f>IF(F47+SUM(E$17:E47)=D$10,F47,D$10-SUM(E$17:E47))</f>
        <v>208539.67542698671</v>
      </c>
      <c r="E48" s="522">
        <f>IF(+I14&lt;F47,I14,D48)</f>
        <v>18759.047619047618</v>
      </c>
      <c r="F48" s="523">
        <f t="shared" si="13"/>
        <v>189780.62780793908</v>
      </c>
      <c r="G48" s="524">
        <f t="shared" si="10"/>
        <v>43918.309866417228</v>
      </c>
      <c r="H48" s="491">
        <f t="shared" si="11"/>
        <v>43918.309866417228</v>
      </c>
      <c r="I48" s="511">
        <f t="shared" si="14"/>
        <v>0</v>
      </c>
      <c r="J48" s="511"/>
      <c r="K48" s="525"/>
      <c r="L48" s="514">
        <f t="shared" si="12"/>
        <v>0</v>
      </c>
      <c r="M48" s="525"/>
      <c r="N48" s="514">
        <f t="shared" si="7"/>
        <v>0</v>
      </c>
      <c r="O48" s="514">
        <f t="shared" si="8"/>
        <v>0</v>
      </c>
      <c r="P48" s="272"/>
    </row>
    <row r="49" spans="2:16" ht="12.5">
      <c r="B49" s="195" t="str">
        <f t="shared" si="5"/>
        <v/>
      </c>
      <c r="C49" s="507">
        <f>IF(D11="","-",+C48+1)</f>
        <v>2044</v>
      </c>
      <c r="D49" s="523">
        <f>IF(F48+SUM(E$17:E48)=D$10,F48,D$10-SUM(E$17:E48))</f>
        <v>189780.62780793908</v>
      </c>
      <c r="E49" s="522">
        <f>IF(+I14&lt;F48,I14,D49)</f>
        <v>18759.047619047618</v>
      </c>
      <c r="F49" s="523">
        <f t="shared" si="13"/>
        <v>171021.58018889144</v>
      </c>
      <c r="G49" s="524">
        <f t="shared" si="10"/>
        <v>41548.539635146066</v>
      </c>
      <c r="H49" s="491">
        <f t="shared" si="11"/>
        <v>41548.539635146066</v>
      </c>
      <c r="I49" s="511">
        <f t="shared" si="14"/>
        <v>0</v>
      </c>
      <c r="J49" s="511"/>
      <c r="K49" s="525"/>
      <c r="L49" s="514">
        <f t="shared" si="12"/>
        <v>0</v>
      </c>
      <c r="M49" s="525"/>
      <c r="N49" s="514">
        <f t="shared" si="7"/>
        <v>0</v>
      </c>
      <c r="O49" s="514">
        <f t="shared" si="8"/>
        <v>0</v>
      </c>
      <c r="P49" s="272"/>
    </row>
    <row r="50" spans="2:16" ht="12.5">
      <c r="B50" s="195" t="str">
        <f t="shared" si="5"/>
        <v/>
      </c>
      <c r="C50" s="507">
        <f>IF(D11="","-",+C49+1)</f>
        <v>2045</v>
      </c>
      <c r="D50" s="523">
        <f>IF(F49+SUM(E$17:E49)=D$10,F49,D$10-SUM(E$17:E49))</f>
        <v>171021.58018889144</v>
      </c>
      <c r="E50" s="522">
        <f>IF(+I14&lt;F49,I14,D50)</f>
        <v>18759.047619047618</v>
      </c>
      <c r="F50" s="523">
        <f t="shared" si="13"/>
        <v>152262.53256984381</v>
      </c>
      <c r="G50" s="524">
        <f t="shared" si="10"/>
        <v>39178.76940387491</v>
      </c>
      <c r="H50" s="491">
        <f t="shared" si="11"/>
        <v>39178.76940387491</v>
      </c>
      <c r="I50" s="511">
        <f t="shared" si="14"/>
        <v>0</v>
      </c>
      <c r="J50" s="511"/>
      <c r="K50" s="525"/>
      <c r="L50" s="514">
        <f t="shared" si="12"/>
        <v>0</v>
      </c>
      <c r="M50" s="525"/>
      <c r="N50" s="514">
        <f t="shared" si="7"/>
        <v>0</v>
      </c>
      <c r="O50" s="514">
        <f t="shared" si="8"/>
        <v>0</v>
      </c>
      <c r="P50" s="272"/>
    </row>
    <row r="51" spans="2:16" ht="12.5">
      <c r="B51" s="195" t="str">
        <f t="shared" si="5"/>
        <v/>
      </c>
      <c r="C51" s="507">
        <f>IF(D11="","-",+C50+1)</f>
        <v>2046</v>
      </c>
      <c r="D51" s="523">
        <f>IF(F50+SUM(E$17:E50)=D$10,F50,D$10-SUM(E$17:E50))</f>
        <v>152262.53256984381</v>
      </c>
      <c r="E51" s="522">
        <f>IF(+I14&lt;F50,I14,D51)</f>
        <v>18759.047619047618</v>
      </c>
      <c r="F51" s="523">
        <f t="shared" si="13"/>
        <v>133503.48495079618</v>
      </c>
      <c r="G51" s="524">
        <f t="shared" si="10"/>
        <v>36808.999172603755</v>
      </c>
      <c r="H51" s="491">
        <f t="shared" si="11"/>
        <v>36808.999172603755</v>
      </c>
      <c r="I51" s="511">
        <f t="shared" si="14"/>
        <v>0</v>
      </c>
      <c r="J51" s="511"/>
      <c r="K51" s="525"/>
      <c r="L51" s="514">
        <f t="shared" si="12"/>
        <v>0</v>
      </c>
      <c r="M51" s="525"/>
      <c r="N51" s="514">
        <f t="shared" si="7"/>
        <v>0</v>
      </c>
      <c r="O51" s="514">
        <f t="shared" si="8"/>
        <v>0</v>
      </c>
      <c r="P51" s="272"/>
    </row>
    <row r="52" spans="2:16" ht="12.5">
      <c r="B52" s="195" t="str">
        <f t="shared" si="5"/>
        <v/>
      </c>
      <c r="C52" s="507">
        <f>IF(D11="","-",+C51+1)</f>
        <v>2047</v>
      </c>
      <c r="D52" s="523">
        <f>IF(F51+SUM(E$17:E51)=D$10,F51,D$10-SUM(E$17:E51))</f>
        <v>133503.48495079618</v>
      </c>
      <c r="E52" s="522">
        <f>IF(+I14&lt;F51,I14,D52)</f>
        <v>18759.047619047618</v>
      </c>
      <c r="F52" s="523">
        <f t="shared" si="13"/>
        <v>114744.43733174856</v>
      </c>
      <c r="G52" s="524">
        <f t="shared" si="10"/>
        <v>34439.228941332593</v>
      </c>
      <c r="H52" s="491">
        <f t="shared" si="11"/>
        <v>34439.228941332593</v>
      </c>
      <c r="I52" s="511">
        <f t="shared" si="14"/>
        <v>0</v>
      </c>
      <c r="J52" s="511"/>
      <c r="K52" s="525"/>
      <c r="L52" s="514">
        <f t="shared" si="12"/>
        <v>0</v>
      </c>
      <c r="M52" s="525"/>
      <c r="N52" s="514">
        <f t="shared" si="7"/>
        <v>0</v>
      </c>
      <c r="O52" s="514">
        <f t="shared" si="8"/>
        <v>0</v>
      </c>
      <c r="P52" s="272"/>
    </row>
    <row r="53" spans="2:16" ht="12.5">
      <c r="B53" s="195" t="str">
        <f t="shared" si="5"/>
        <v/>
      </c>
      <c r="C53" s="507">
        <f>IF(D11="","-",+C52+1)</f>
        <v>2048</v>
      </c>
      <c r="D53" s="523">
        <f>IF(F52+SUM(E$17:E52)=D$10,F52,D$10-SUM(E$17:E52))</f>
        <v>114744.43733174856</v>
      </c>
      <c r="E53" s="522">
        <f>IF(+I14&lt;F52,I14,D53)</f>
        <v>18759.047619047618</v>
      </c>
      <c r="F53" s="523">
        <f t="shared" si="13"/>
        <v>95985.38971270094</v>
      </c>
      <c r="G53" s="524">
        <f t="shared" si="10"/>
        <v>32069.458710061441</v>
      </c>
      <c r="H53" s="491">
        <f t="shared" si="11"/>
        <v>32069.458710061441</v>
      </c>
      <c r="I53" s="511">
        <f t="shared" si="14"/>
        <v>0</v>
      </c>
      <c r="J53" s="511"/>
      <c r="K53" s="525"/>
      <c r="L53" s="514">
        <f t="shared" si="12"/>
        <v>0</v>
      </c>
      <c r="M53" s="525"/>
      <c r="N53" s="514">
        <f t="shared" si="7"/>
        <v>0</v>
      </c>
      <c r="O53" s="514">
        <f t="shared" si="8"/>
        <v>0</v>
      </c>
      <c r="P53" s="272"/>
    </row>
    <row r="54" spans="2:16" ht="12.5">
      <c r="B54" s="195" t="str">
        <f t="shared" si="5"/>
        <v/>
      </c>
      <c r="C54" s="507">
        <f>IF(D11="","-",+C53+1)</f>
        <v>2049</v>
      </c>
      <c r="D54" s="523">
        <f>IF(F53+SUM(E$17:E53)=D$10,F53,D$10-SUM(E$17:E53))</f>
        <v>95985.38971270094</v>
      </c>
      <c r="E54" s="522">
        <f>IF(+I14&lt;F53,I14,D54)</f>
        <v>18759.047619047618</v>
      </c>
      <c r="F54" s="523">
        <f t="shared" si="13"/>
        <v>77226.342093653322</v>
      </c>
      <c r="G54" s="524">
        <f t="shared" ref="G54:G72" si="15">+I$12*((D54+F54)/2)+E54</f>
        <v>29699.688478790282</v>
      </c>
      <c r="H54" s="491">
        <f t="shared" ref="H54:H72" si="16">+I$13*((D54+F54)/2)+E54</f>
        <v>29699.688478790282</v>
      </c>
      <c r="I54" s="511">
        <f t="shared" si="14"/>
        <v>0</v>
      </c>
      <c r="J54" s="511"/>
      <c r="K54" s="525"/>
      <c r="L54" s="514">
        <f t="shared" si="12"/>
        <v>0</v>
      </c>
      <c r="M54" s="525"/>
      <c r="N54" s="514">
        <f t="shared" si="7"/>
        <v>0</v>
      </c>
      <c r="O54" s="514">
        <f t="shared" si="8"/>
        <v>0</v>
      </c>
      <c r="P54" s="272"/>
    </row>
    <row r="55" spans="2:16" ht="12.5">
      <c r="B55" s="195" t="str">
        <f t="shared" si="5"/>
        <v/>
      </c>
      <c r="C55" s="507">
        <f>IF(D11="","-",+C54+1)</f>
        <v>2050</v>
      </c>
      <c r="D55" s="523">
        <f>IF(F54+SUM(E$17:E54)=D$10,F54,D$10-SUM(E$17:E54))</f>
        <v>77226.342093653322</v>
      </c>
      <c r="E55" s="522">
        <f>IF(+I14&lt;F54,I14,D55)</f>
        <v>18759.047619047618</v>
      </c>
      <c r="F55" s="523">
        <f t="shared" si="13"/>
        <v>58467.294474605704</v>
      </c>
      <c r="G55" s="524">
        <f t="shared" si="15"/>
        <v>27329.91824751913</v>
      </c>
      <c r="H55" s="491">
        <f t="shared" si="16"/>
        <v>27329.91824751913</v>
      </c>
      <c r="I55" s="511">
        <f t="shared" si="14"/>
        <v>0</v>
      </c>
      <c r="J55" s="511"/>
      <c r="K55" s="525"/>
      <c r="L55" s="514">
        <f t="shared" si="12"/>
        <v>0</v>
      </c>
      <c r="M55" s="525"/>
      <c r="N55" s="514">
        <f t="shared" si="7"/>
        <v>0</v>
      </c>
      <c r="O55" s="514">
        <f t="shared" si="8"/>
        <v>0</v>
      </c>
      <c r="P55" s="272"/>
    </row>
    <row r="56" spans="2:16" ht="12.5">
      <c r="B56" s="195" t="str">
        <f t="shared" si="5"/>
        <v/>
      </c>
      <c r="C56" s="507">
        <f>IF(D11="","-",+C55+1)</f>
        <v>2051</v>
      </c>
      <c r="D56" s="523">
        <f>IF(F55+SUM(E$17:E55)=D$10,F55,D$10-SUM(E$17:E55))</f>
        <v>58467.294474605704</v>
      </c>
      <c r="E56" s="522">
        <f>IF(+I14&lt;F55,I14,D56)</f>
        <v>18759.047619047618</v>
      </c>
      <c r="F56" s="523">
        <f t="shared" si="13"/>
        <v>39708.246855558085</v>
      </c>
      <c r="G56" s="524">
        <f t="shared" si="15"/>
        <v>24960.148016247975</v>
      </c>
      <c r="H56" s="491">
        <f t="shared" si="16"/>
        <v>24960.148016247975</v>
      </c>
      <c r="I56" s="511">
        <f t="shared" si="14"/>
        <v>0</v>
      </c>
      <c r="J56" s="511"/>
      <c r="K56" s="525"/>
      <c r="L56" s="514">
        <f t="shared" si="12"/>
        <v>0</v>
      </c>
      <c r="M56" s="525"/>
      <c r="N56" s="514">
        <f t="shared" si="7"/>
        <v>0</v>
      </c>
      <c r="O56" s="514">
        <f t="shared" si="8"/>
        <v>0</v>
      </c>
      <c r="P56" s="272"/>
    </row>
    <row r="57" spans="2:16" ht="12.5">
      <c r="B57" s="195" t="str">
        <f t="shared" si="5"/>
        <v/>
      </c>
      <c r="C57" s="507">
        <f>IF(D11="","-",+C56+1)</f>
        <v>2052</v>
      </c>
      <c r="D57" s="523">
        <f>IF(F56+SUM(E$17:E56)=D$10,F56,D$10-SUM(E$17:E56))</f>
        <v>39708.246855558085</v>
      </c>
      <c r="E57" s="522">
        <f>IF(+I14&lt;F56,I14,D57)</f>
        <v>18759.047619047618</v>
      </c>
      <c r="F57" s="523">
        <f t="shared" si="13"/>
        <v>20949.199236510467</v>
      </c>
      <c r="G57" s="524">
        <f t="shared" si="15"/>
        <v>22590.377784976819</v>
      </c>
      <c r="H57" s="491">
        <f t="shared" si="16"/>
        <v>22590.377784976819</v>
      </c>
      <c r="I57" s="511">
        <f t="shared" si="14"/>
        <v>0</v>
      </c>
      <c r="J57" s="511"/>
      <c r="K57" s="525"/>
      <c r="L57" s="514">
        <f t="shared" si="12"/>
        <v>0</v>
      </c>
      <c r="M57" s="525"/>
      <c r="N57" s="514">
        <f t="shared" si="7"/>
        <v>0</v>
      </c>
      <c r="O57" s="514">
        <f t="shared" si="8"/>
        <v>0</v>
      </c>
      <c r="P57" s="272"/>
    </row>
    <row r="58" spans="2:16" ht="12.5">
      <c r="B58" s="195" t="str">
        <f t="shared" si="5"/>
        <v/>
      </c>
      <c r="C58" s="507">
        <f>IF(D11="","-",+C57+1)</f>
        <v>2053</v>
      </c>
      <c r="D58" s="523">
        <f>IF(F57+SUM(E$17:E57)=D$10,F57,D$10-SUM(E$17:E57))</f>
        <v>20949.199236510467</v>
      </c>
      <c r="E58" s="522">
        <f>IF(+I14&lt;F57,I14,D58)</f>
        <v>18759.047619047618</v>
      </c>
      <c r="F58" s="523">
        <f t="shared" si="13"/>
        <v>2190.1516174628487</v>
      </c>
      <c r="G58" s="524">
        <f t="shared" si="15"/>
        <v>20220.607553705664</v>
      </c>
      <c r="H58" s="491">
        <f t="shared" si="16"/>
        <v>20220.607553705664</v>
      </c>
      <c r="I58" s="511">
        <f t="shared" si="14"/>
        <v>0</v>
      </c>
      <c r="J58" s="511"/>
      <c r="K58" s="525"/>
      <c r="L58" s="514">
        <f t="shared" si="12"/>
        <v>0</v>
      </c>
      <c r="M58" s="525"/>
      <c r="N58" s="514">
        <f t="shared" si="7"/>
        <v>0</v>
      </c>
      <c r="O58" s="514">
        <f t="shared" si="8"/>
        <v>0</v>
      </c>
      <c r="P58" s="272"/>
    </row>
    <row r="59" spans="2:16" ht="12.5">
      <c r="B59" s="195" t="str">
        <f t="shared" si="5"/>
        <v/>
      </c>
      <c r="C59" s="507">
        <f>IF(D11="","-",+C58+1)</f>
        <v>2054</v>
      </c>
      <c r="D59" s="523">
        <f>IF(F58+SUM(E$17:E58)=D$10,F58,D$10-SUM(E$17:E58))</f>
        <v>2190.1516174628487</v>
      </c>
      <c r="E59" s="522">
        <f>IF(+I14&lt;F58,I14,D59)</f>
        <v>2190.1516174628487</v>
      </c>
      <c r="F59" s="523">
        <f t="shared" si="13"/>
        <v>0</v>
      </c>
      <c r="G59" s="524">
        <f t="shared" si="15"/>
        <v>2328.4890269740818</v>
      </c>
      <c r="H59" s="491">
        <f t="shared" si="16"/>
        <v>2328.4890269740818</v>
      </c>
      <c r="I59" s="511">
        <f t="shared" si="14"/>
        <v>0</v>
      </c>
      <c r="J59" s="511"/>
      <c r="K59" s="525"/>
      <c r="L59" s="514">
        <f t="shared" si="12"/>
        <v>0</v>
      </c>
      <c r="M59" s="525"/>
      <c r="N59" s="514">
        <f t="shared" si="7"/>
        <v>0</v>
      </c>
      <c r="O59" s="514">
        <f t="shared" si="8"/>
        <v>0</v>
      </c>
      <c r="P59" s="272"/>
    </row>
    <row r="60" spans="2:16" ht="12.5">
      <c r="B60" s="195" t="str">
        <f t="shared" si="5"/>
        <v/>
      </c>
      <c r="C60" s="507">
        <f>IF(D11="","-",+C59+1)</f>
        <v>2055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3"/>
        <v>0</v>
      </c>
      <c r="G60" s="524">
        <f t="shared" si="15"/>
        <v>0</v>
      </c>
      <c r="H60" s="491">
        <f t="shared" si="16"/>
        <v>0</v>
      </c>
      <c r="I60" s="511">
        <f t="shared" si="14"/>
        <v>0</v>
      </c>
      <c r="J60" s="511"/>
      <c r="K60" s="525"/>
      <c r="L60" s="514">
        <f t="shared" si="12"/>
        <v>0</v>
      </c>
      <c r="M60" s="525"/>
      <c r="N60" s="514">
        <f t="shared" si="7"/>
        <v>0</v>
      </c>
      <c r="O60" s="514">
        <f t="shared" si="8"/>
        <v>0</v>
      </c>
      <c r="P60" s="272"/>
    </row>
    <row r="61" spans="2:16" ht="12.5">
      <c r="B61" s="195" t="str">
        <f t="shared" si="5"/>
        <v/>
      </c>
      <c r="C61" s="507">
        <f>IF(D11="","-",+C60+1)</f>
        <v>2056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3"/>
        <v>0</v>
      </c>
      <c r="G61" s="526">
        <f t="shared" si="15"/>
        <v>0</v>
      </c>
      <c r="H61" s="491">
        <f t="shared" si="16"/>
        <v>0</v>
      </c>
      <c r="I61" s="511">
        <f t="shared" si="14"/>
        <v>0</v>
      </c>
      <c r="J61" s="511"/>
      <c r="K61" s="525"/>
      <c r="L61" s="514">
        <f t="shared" si="12"/>
        <v>0</v>
      </c>
      <c r="M61" s="525"/>
      <c r="N61" s="514">
        <f t="shared" si="7"/>
        <v>0</v>
      </c>
      <c r="O61" s="514">
        <f t="shared" si="8"/>
        <v>0</v>
      </c>
      <c r="P61" s="272"/>
    </row>
    <row r="62" spans="2:16" ht="12.5">
      <c r="B62" s="195" t="str">
        <f t="shared" si="5"/>
        <v/>
      </c>
      <c r="C62" s="507">
        <f>IF(D11="","-",+C61+1)</f>
        <v>2057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3"/>
        <v>0</v>
      </c>
      <c r="G62" s="526">
        <f t="shared" si="15"/>
        <v>0</v>
      </c>
      <c r="H62" s="491">
        <f t="shared" si="16"/>
        <v>0</v>
      </c>
      <c r="I62" s="511">
        <f t="shared" si="14"/>
        <v>0</v>
      </c>
      <c r="J62" s="511"/>
      <c r="K62" s="525"/>
      <c r="L62" s="514">
        <f t="shared" si="12"/>
        <v>0</v>
      </c>
      <c r="M62" s="525"/>
      <c r="N62" s="514">
        <f t="shared" si="7"/>
        <v>0</v>
      </c>
      <c r="O62" s="514">
        <f t="shared" si="8"/>
        <v>0</v>
      </c>
      <c r="P62" s="272"/>
    </row>
    <row r="63" spans="2:16" ht="12.5">
      <c r="B63" s="195" t="str">
        <f t="shared" si="5"/>
        <v/>
      </c>
      <c r="C63" s="507">
        <f>IF(D11="","-",+C62+1)</f>
        <v>2058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3"/>
        <v>0</v>
      </c>
      <c r="G63" s="526">
        <f t="shared" si="15"/>
        <v>0</v>
      </c>
      <c r="H63" s="491">
        <f t="shared" si="16"/>
        <v>0</v>
      </c>
      <c r="I63" s="511">
        <f t="shared" si="14"/>
        <v>0</v>
      </c>
      <c r="J63" s="511"/>
      <c r="K63" s="525"/>
      <c r="L63" s="514">
        <f t="shared" si="12"/>
        <v>0</v>
      </c>
      <c r="M63" s="525"/>
      <c r="N63" s="514">
        <f t="shared" si="7"/>
        <v>0</v>
      </c>
      <c r="O63" s="514">
        <f t="shared" si="8"/>
        <v>0</v>
      </c>
      <c r="P63" s="272"/>
    </row>
    <row r="64" spans="2:16" ht="12.5">
      <c r="B64" s="195" t="str">
        <f t="shared" si="5"/>
        <v/>
      </c>
      <c r="C64" s="507">
        <f>IF(D11="","-",+C63+1)</f>
        <v>2059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3"/>
        <v>0</v>
      </c>
      <c r="G64" s="526">
        <f t="shared" si="15"/>
        <v>0</v>
      </c>
      <c r="H64" s="491">
        <f t="shared" si="16"/>
        <v>0</v>
      </c>
      <c r="I64" s="511">
        <f t="shared" si="14"/>
        <v>0</v>
      </c>
      <c r="J64" s="511"/>
      <c r="K64" s="525"/>
      <c r="L64" s="514">
        <f t="shared" si="12"/>
        <v>0</v>
      </c>
      <c r="M64" s="525"/>
      <c r="N64" s="514">
        <f t="shared" si="7"/>
        <v>0</v>
      </c>
      <c r="O64" s="514">
        <f t="shared" si="8"/>
        <v>0</v>
      </c>
      <c r="P64" s="272"/>
    </row>
    <row r="65" spans="2:16" ht="12.5">
      <c r="B65" s="195" t="str">
        <f t="shared" si="5"/>
        <v/>
      </c>
      <c r="C65" s="507">
        <f>IF(D11="","-",+C64+1)</f>
        <v>2060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3"/>
        <v>0</v>
      </c>
      <c r="G65" s="526">
        <f t="shared" si="15"/>
        <v>0</v>
      </c>
      <c r="H65" s="491">
        <f t="shared" si="16"/>
        <v>0</v>
      </c>
      <c r="I65" s="511">
        <f t="shared" si="14"/>
        <v>0</v>
      </c>
      <c r="J65" s="511"/>
      <c r="K65" s="525"/>
      <c r="L65" s="514">
        <f t="shared" si="12"/>
        <v>0</v>
      </c>
      <c r="M65" s="525"/>
      <c r="N65" s="514">
        <f t="shared" si="7"/>
        <v>0</v>
      </c>
      <c r="O65" s="514">
        <f t="shared" si="8"/>
        <v>0</v>
      </c>
      <c r="P65" s="272"/>
    </row>
    <row r="66" spans="2:16" ht="12.5">
      <c r="B66" s="195" t="str">
        <f t="shared" si="5"/>
        <v/>
      </c>
      <c r="C66" s="507">
        <f>IF(D11="","-",+C65+1)</f>
        <v>2061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3"/>
        <v>0</v>
      </c>
      <c r="G66" s="526">
        <f t="shared" si="15"/>
        <v>0</v>
      </c>
      <c r="H66" s="491">
        <f t="shared" si="16"/>
        <v>0</v>
      </c>
      <c r="I66" s="511">
        <f t="shared" si="14"/>
        <v>0</v>
      </c>
      <c r="J66" s="511"/>
      <c r="K66" s="525"/>
      <c r="L66" s="514">
        <f t="shared" si="12"/>
        <v>0</v>
      </c>
      <c r="M66" s="525"/>
      <c r="N66" s="514">
        <f t="shared" si="7"/>
        <v>0</v>
      </c>
      <c r="O66" s="514">
        <f t="shared" si="8"/>
        <v>0</v>
      </c>
      <c r="P66" s="272"/>
    </row>
    <row r="67" spans="2:16" ht="12.5">
      <c r="B67" s="195" t="str">
        <f t="shared" si="5"/>
        <v/>
      </c>
      <c r="C67" s="507">
        <f>IF(D11="","-",+C66+1)</f>
        <v>2062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3"/>
        <v>0</v>
      </c>
      <c r="G67" s="526">
        <f t="shared" si="15"/>
        <v>0</v>
      </c>
      <c r="H67" s="491">
        <f t="shared" si="16"/>
        <v>0</v>
      </c>
      <c r="I67" s="511">
        <f t="shared" si="14"/>
        <v>0</v>
      </c>
      <c r="J67" s="511"/>
      <c r="K67" s="525"/>
      <c r="L67" s="514">
        <f t="shared" si="12"/>
        <v>0</v>
      </c>
      <c r="M67" s="525"/>
      <c r="N67" s="514">
        <f t="shared" si="7"/>
        <v>0</v>
      </c>
      <c r="O67" s="514">
        <f t="shared" si="8"/>
        <v>0</v>
      </c>
      <c r="P67" s="272"/>
    </row>
    <row r="68" spans="2:16" ht="12.5">
      <c r="B68" s="195" t="str">
        <f t="shared" si="5"/>
        <v/>
      </c>
      <c r="C68" s="507">
        <f>IF(D11="","-",+C67+1)</f>
        <v>2063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3"/>
        <v>0</v>
      </c>
      <c r="G68" s="526">
        <f t="shared" si="15"/>
        <v>0</v>
      </c>
      <c r="H68" s="491">
        <f t="shared" si="16"/>
        <v>0</v>
      </c>
      <c r="I68" s="511">
        <f t="shared" si="14"/>
        <v>0</v>
      </c>
      <c r="J68" s="511"/>
      <c r="K68" s="525"/>
      <c r="L68" s="514">
        <f t="shared" si="12"/>
        <v>0</v>
      </c>
      <c r="M68" s="525"/>
      <c r="N68" s="514">
        <f t="shared" si="7"/>
        <v>0</v>
      </c>
      <c r="O68" s="514">
        <f t="shared" si="8"/>
        <v>0</v>
      </c>
      <c r="P68" s="272"/>
    </row>
    <row r="69" spans="2:16" ht="12.5">
      <c r="B69" s="195" t="str">
        <f t="shared" si="5"/>
        <v/>
      </c>
      <c r="C69" s="507">
        <f>IF(D11="","-",+C68+1)</f>
        <v>2064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3"/>
        <v>0</v>
      </c>
      <c r="G69" s="526">
        <f t="shared" si="15"/>
        <v>0</v>
      </c>
      <c r="H69" s="491">
        <f t="shared" si="16"/>
        <v>0</v>
      </c>
      <c r="I69" s="511">
        <f t="shared" si="14"/>
        <v>0</v>
      </c>
      <c r="J69" s="511"/>
      <c r="K69" s="525"/>
      <c r="L69" s="514">
        <f t="shared" si="12"/>
        <v>0</v>
      </c>
      <c r="M69" s="525"/>
      <c r="N69" s="514">
        <f t="shared" si="7"/>
        <v>0</v>
      </c>
      <c r="O69" s="514">
        <f t="shared" si="8"/>
        <v>0</v>
      </c>
      <c r="P69" s="272"/>
    </row>
    <row r="70" spans="2:16" ht="12.5">
      <c r="B70" s="195" t="str">
        <f t="shared" si="5"/>
        <v/>
      </c>
      <c r="C70" s="507">
        <f>IF(D11="","-",+C69+1)</f>
        <v>2065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3"/>
        <v>0</v>
      </c>
      <c r="G70" s="526">
        <f t="shared" si="15"/>
        <v>0</v>
      </c>
      <c r="H70" s="491">
        <f t="shared" si="16"/>
        <v>0</v>
      </c>
      <c r="I70" s="511">
        <f t="shared" si="14"/>
        <v>0</v>
      </c>
      <c r="J70" s="511"/>
      <c r="K70" s="525"/>
      <c r="L70" s="514">
        <f t="shared" si="12"/>
        <v>0</v>
      </c>
      <c r="M70" s="525"/>
      <c r="N70" s="514">
        <f t="shared" si="7"/>
        <v>0</v>
      </c>
      <c r="O70" s="514">
        <f t="shared" si="8"/>
        <v>0</v>
      </c>
      <c r="P70" s="272"/>
    </row>
    <row r="71" spans="2:16" ht="12.5">
      <c r="B71" s="195" t="str">
        <f t="shared" si="5"/>
        <v/>
      </c>
      <c r="C71" s="507">
        <f>IF(D11="","-",+C70+1)</f>
        <v>2066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3"/>
        <v>0</v>
      </c>
      <c r="G71" s="526">
        <f t="shared" si="15"/>
        <v>0</v>
      </c>
      <c r="H71" s="491">
        <f t="shared" si="16"/>
        <v>0</v>
      </c>
      <c r="I71" s="511">
        <f t="shared" si="14"/>
        <v>0</v>
      </c>
      <c r="J71" s="511"/>
      <c r="K71" s="525"/>
      <c r="L71" s="514">
        <f t="shared" si="12"/>
        <v>0</v>
      </c>
      <c r="M71" s="525"/>
      <c r="N71" s="514">
        <f t="shared" si="7"/>
        <v>0</v>
      </c>
      <c r="O71" s="514">
        <f t="shared" si="8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2067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3"/>
        <v>0</v>
      </c>
      <c r="G72" s="530">
        <f t="shared" si="15"/>
        <v>0</v>
      </c>
      <c r="H72" s="471">
        <f t="shared" si="16"/>
        <v>0</v>
      </c>
      <c r="I72" s="531">
        <f t="shared" si="14"/>
        <v>0</v>
      </c>
      <c r="J72" s="511"/>
      <c r="K72" s="532"/>
      <c r="L72" s="533">
        <f t="shared" si="12"/>
        <v>0</v>
      </c>
      <c r="M72" s="532"/>
      <c r="N72" s="533">
        <f t="shared" si="7"/>
        <v>0</v>
      </c>
      <c r="O72" s="533">
        <f t="shared" si="8"/>
        <v>0</v>
      </c>
      <c r="P72" s="272"/>
    </row>
    <row r="73" spans="2:16" ht="12.5">
      <c r="C73" s="374" t="s">
        <v>78</v>
      </c>
      <c r="D73" s="375"/>
      <c r="E73" s="375">
        <f>SUM(E17:E72)</f>
        <v>787879.99999999953</v>
      </c>
      <c r="F73" s="375"/>
      <c r="G73" s="375">
        <f>SUM(G17:G72)</f>
        <v>2874348.601691368</v>
      </c>
      <c r="H73" s="375">
        <f>SUM(H17:H72)</f>
        <v>2874348.601691368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47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83713.649961418851</v>
      </c>
      <c r="N87" s="546">
        <f>IF(J92&lt;D11,0,VLOOKUP(J92,C17:O72,11))</f>
        <v>83713.649961418851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95027.677461947256</v>
      </c>
      <c r="N88" s="550">
        <f>IF(J92&lt;D11,0,VLOOKUP(J92,C99:P154,7))</f>
        <v>95027.677461947256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FULTON - HOPE 115KV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11314.027500528406</v>
      </c>
      <c r="N89" s="555">
        <f>+N88-N87</f>
        <v>11314.027500528406</v>
      </c>
      <c r="O89" s="556">
        <f>+O88-O87</f>
        <v>0</v>
      </c>
      <c r="P89" s="269"/>
    </row>
    <row r="90" spans="1:16" ht="13.5" thickBot="1">
      <c r="C90" s="534"/>
      <c r="D90" s="646" t="str">
        <f>S.046!D90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TP2006077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787880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2012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19216.585365853658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2012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17">IF(L99&lt;&gt;0,+H99-L99,0)</f>
        <v>0</v>
      </c>
      <c r="N99" s="512"/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 ht="12.5">
      <c r="B100" s="195" t="str">
        <f>IF(D100=F99,"","IU")</f>
        <v/>
      </c>
      <c r="C100" s="507">
        <f>IF(D93="","-",+C99+1)</f>
        <v>2013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17"/>
        <v>0</v>
      </c>
      <c r="N100" s="518"/>
      <c r="O100" s="514">
        <f t="shared" si="18"/>
        <v>0</v>
      </c>
      <c r="P100" s="514">
        <f t="shared" si="19"/>
        <v>0</v>
      </c>
    </row>
    <row r="101" spans="1:16" ht="12.5">
      <c r="B101" s="195" t="str">
        <f t="shared" ref="B101:B154" si="20">IF(D101=F100,"","IU")</f>
        <v/>
      </c>
      <c r="C101" s="507">
        <f>IF(D93="","-",+C100+1)</f>
        <v>2014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17"/>
        <v>0</v>
      </c>
      <c r="N101" s="518"/>
      <c r="O101" s="514">
        <f t="shared" si="18"/>
        <v>0</v>
      </c>
      <c r="P101" s="514">
        <f t="shared" si="19"/>
        <v>0</v>
      </c>
    </row>
    <row r="102" spans="1:16" ht="12.5">
      <c r="B102" s="195" t="str">
        <f t="shared" si="20"/>
        <v>IU</v>
      </c>
      <c r="C102" s="507">
        <f>IF(D93="","-",+C101+1)</f>
        <v>2015</v>
      </c>
      <c r="D102" s="629">
        <v>734729.36507936521</v>
      </c>
      <c r="E102" s="630">
        <v>17493.556311413457</v>
      </c>
      <c r="F102" s="631">
        <v>717235.80876795179</v>
      </c>
      <c r="G102" s="631">
        <v>725982.5869236585</v>
      </c>
      <c r="H102" s="633">
        <v>113155.46714712729</v>
      </c>
      <c r="I102" s="634">
        <v>113155.46714712729</v>
      </c>
      <c r="J102" s="514">
        <f>+I102-H102</f>
        <v>0</v>
      </c>
      <c r="K102" s="514"/>
      <c r="L102" s="518">
        <f t="shared" ref="L102:L107" si="21">+H102</f>
        <v>113155.46714712729</v>
      </c>
      <c r="M102" s="514">
        <f t="shared" si="17"/>
        <v>0</v>
      </c>
      <c r="N102" s="518">
        <f t="shared" ref="N102:N107" si="22">+I102</f>
        <v>113155.46714712729</v>
      </c>
      <c r="O102" s="514">
        <f t="shared" si="18"/>
        <v>0</v>
      </c>
      <c r="P102" s="514">
        <f t="shared" si="19"/>
        <v>0</v>
      </c>
    </row>
    <row r="103" spans="1:16" ht="12.5">
      <c r="B103" s="195" t="str">
        <f t="shared" si="20"/>
        <v>IU</v>
      </c>
      <c r="C103" s="507">
        <f>IF(D93="","-",+C102+1)</f>
        <v>2016</v>
      </c>
      <c r="D103" s="629">
        <v>770386.44368858659</v>
      </c>
      <c r="E103" s="630">
        <v>18322.79069767442</v>
      </c>
      <c r="F103" s="631">
        <v>752063.6529909122</v>
      </c>
      <c r="G103" s="631">
        <v>761225.04833974945</v>
      </c>
      <c r="H103" s="633">
        <v>114960.30166921337</v>
      </c>
      <c r="I103" s="634">
        <v>114960.30166921337</v>
      </c>
      <c r="J103" s="514">
        <f>+I103-H103</f>
        <v>0</v>
      </c>
      <c r="K103" s="514"/>
      <c r="L103" s="518">
        <f t="shared" si="21"/>
        <v>114960.30166921337</v>
      </c>
      <c r="M103" s="514">
        <f>IF(L103&lt;&gt;0,+H103-L103,0)</f>
        <v>0</v>
      </c>
      <c r="N103" s="518">
        <f t="shared" si="22"/>
        <v>114960.30166921337</v>
      </c>
      <c r="O103" s="514">
        <f>IF(N103&lt;&gt;0,+I103-N103,0)</f>
        <v>0</v>
      </c>
      <c r="P103" s="514">
        <f>+O103-M103</f>
        <v>0</v>
      </c>
    </row>
    <row r="104" spans="1:16" ht="12.5">
      <c r="B104" s="195" t="str">
        <f t="shared" si="20"/>
        <v/>
      </c>
      <c r="C104" s="507">
        <f>IF(D93="","-",+C103+1)</f>
        <v>2017</v>
      </c>
      <c r="D104" s="629">
        <v>752063.6529909122</v>
      </c>
      <c r="E104" s="630">
        <v>18759.047619047618</v>
      </c>
      <c r="F104" s="631">
        <v>733304.60537186463</v>
      </c>
      <c r="G104" s="631">
        <v>742684.12918138842</v>
      </c>
      <c r="H104" s="633">
        <v>108973.97138946971</v>
      </c>
      <c r="I104" s="634">
        <v>108973.97138946971</v>
      </c>
      <c r="J104" s="514">
        <f t="shared" ref="J104:J154" si="23">+I104-H104</f>
        <v>0</v>
      </c>
      <c r="K104" s="514"/>
      <c r="L104" s="518">
        <f t="shared" si="21"/>
        <v>108973.97138946971</v>
      </c>
      <c r="M104" s="514">
        <f>IF(L104&lt;&gt;0,+H104-L104,0)</f>
        <v>0</v>
      </c>
      <c r="N104" s="518">
        <f t="shared" si="22"/>
        <v>108973.97138946971</v>
      </c>
      <c r="O104" s="514">
        <f>IF(N104&lt;&gt;0,+I104-N104,0)</f>
        <v>0</v>
      </c>
      <c r="P104" s="514">
        <f>+O104-M104</f>
        <v>0</v>
      </c>
    </row>
    <row r="105" spans="1:16" ht="12.5">
      <c r="B105" s="195" t="str">
        <f t="shared" si="20"/>
        <v/>
      </c>
      <c r="C105" s="507">
        <f>IF(D93="","-",+C104+1)</f>
        <v>2018</v>
      </c>
      <c r="D105" s="629">
        <v>733304.60537186463</v>
      </c>
      <c r="E105" s="630">
        <v>18759.047619047618</v>
      </c>
      <c r="F105" s="631">
        <v>714545.55775281705</v>
      </c>
      <c r="G105" s="631">
        <v>723925.08156234084</v>
      </c>
      <c r="H105" s="633">
        <v>95208.856021995831</v>
      </c>
      <c r="I105" s="634">
        <v>95208.856021995831</v>
      </c>
      <c r="J105" s="514">
        <f t="shared" si="23"/>
        <v>0</v>
      </c>
      <c r="K105" s="514"/>
      <c r="L105" s="518">
        <f t="shared" si="21"/>
        <v>95208.856021995831</v>
      </c>
      <c r="M105" s="514">
        <f>IF(L105&lt;&gt;0,+H105-L105,0)</f>
        <v>0</v>
      </c>
      <c r="N105" s="518">
        <f t="shared" si="22"/>
        <v>95208.856021995831</v>
      </c>
      <c r="O105" s="514">
        <f>IF(N105&lt;&gt;0,+I105-N105,0)</f>
        <v>0</v>
      </c>
      <c r="P105" s="514">
        <f t="shared" si="19"/>
        <v>0</v>
      </c>
    </row>
    <row r="106" spans="1:16" ht="12.5">
      <c r="B106" s="195" t="str">
        <f t="shared" si="20"/>
        <v/>
      </c>
      <c r="C106" s="507">
        <f>IF(D93="","-",+C105+1)</f>
        <v>2019</v>
      </c>
      <c r="D106" s="629">
        <v>714545.55775281705</v>
      </c>
      <c r="E106" s="630">
        <v>18322.79069767442</v>
      </c>
      <c r="F106" s="631">
        <v>696222.76705514267</v>
      </c>
      <c r="G106" s="631">
        <v>705384.1624039798</v>
      </c>
      <c r="H106" s="633">
        <v>93827.496963510814</v>
      </c>
      <c r="I106" s="634">
        <v>93827.496963510814</v>
      </c>
      <c r="J106" s="514">
        <f t="shared" si="23"/>
        <v>0</v>
      </c>
      <c r="K106" s="514"/>
      <c r="L106" s="518">
        <f t="shared" si="21"/>
        <v>93827.496963510814</v>
      </c>
      <c r="M106" s="514">
        <f>IF(L106&lt;&gt;0,+H106-L106,0)</f>
        <v>0</v>
      </c>
      <c r="N106" s="518">
        <f t="shared" si="22"/>
        <v>93827.496963510814</v>
      </c>
      <c r="O106" s="514">
        <f t="shared" si="18"/>
        <v>0</v>
      </c>
      <c r="P106" s="514">
        <f t="shared" si="19"/>
        <v>0</v>
      </c>
    </row>
    <row r="107" spans="1:16" ht="12.5">
      <c r="B107" s="195" t="str">
        <f t="shared" si="20"/>
        <v/>
      </c>
      <c r="C107" s="507">
        <f>IF(D93="","-",+C106+1)</f>
        <v>2020</v>
      </c>
      <c r="D107" s="629">
        <v>696222.76705514267</v>
      </c>
      <c r="E107" s="630">
        <v>18759.047619047618</v>
      </c>
      <c r="F107" s="631">
        <v>677463.7194360951</v>
      </c>
      <c r="G107" s="631">
        <v>686843.24324561888</v>
      </c>
      <c r="H107" s="633">
        <v>92645.407622215163</v>
      </c>
      <c r="I107" s="634">
        <v>92645.407622215163</v>
      </c>
      <c r="J107" s="514">
        <f t="shared" si="23"/>
        <v>0</v>
      </c>
      <c r="K107" s="514"/>
      <c r="L107" s="518">
        <f t="shared" si="21"/>
        <v>92645.407622215163</v>
      </c>
      <c r="M107" s="514">
        <f>IF(L107&lt;&gt;0,+H107-L107,0)</f>
        <v>0</v>
      </c>
      <c r="N107" s="518">
        <f t="shared" si="22"/>
        <v>92645.407622215163</v>
      </c>
      <c r="O107" s="514">
        <f t="shared" si="18"/>
        <v>0</v>
      </c>
      <c r="P107" s="514">
        <f t="shared" si="19"/>
        <v>0</v>
      </c>
    </row>
    <row r="108" spans="1:16" ht="12.5">
      <c r="B108" s="195" t="str">
        <f t="shared" si="20"/>
        <v/>
      </c>
      <c r="C108" s="507">
        <f>IF(D93="","-",+C107+1)</f>
        <v>2021</v>
      </c>
      <c r="D108" s="374">
        <f>IF(F107+SUM(E$99:E107)=D$92,F107,D$92-SUM(E$99:E107))</f>
        <v>677463.7194360951</v>
      </c>
      <c r="E108" s="522">
        <f t="shared" ref="E108:E154" si="24">IF(+$J$96&lt;F107,$J$96,D108)</f>
        <v>19216.585365853658</v>
      </c>
      <c r="F108" s="523">
        <f t="shared" ref="F108:F154" si="25">+D108-E108</f>
        <v>658247.13407024147</v>
      </c>
      <c r="G108" s="523">
        <f t="shared" ref="G108:G154" si="26">+(F108+D108)/2</f>
        <v>667855.42675316823</v>
      </c>
      <c r="H108" s="526">
        <f t="shared" ref="H108:H154" si="27">+J$94*G108+E108</f>
        <v>95027.677461947256</v>
      </c>
      <c r="I108" s="577">
        <f t="shared" ref="I108:I154" si="28">+J$95*G108+E108</f>
        <v>95027.677461947256</v>
      </c>
      <c r="J108" s="514">
        <f t="shared" si="23"/>
        <v>0</v>
      </c>
      <c r="K108" s="514"/>
      <c r="L108" s="525"/>
      <c r="M108" s="514">
        <f t="shared" si="17"/>
        <v>0</v>
      </c>
      <c r="N108" s="525"/>
      <c r="O108" s="514">
        <f t="shared" si="18"/>
        <v>0</v>
      </c>
      <c r="P108" s="514">
        <f t="shared" si="19"/>
        <v>0</v>
      </c>
    </row>
    <row r="109" spans="1:16" ht="12.5">
      <c r="B109" s="195" t="str">
        <f t="shared" si="20"/>
        <v/>
      </c>
      <c r="C109" s="507">
        <f>IF(D93="","-",+C108+1)</f>
        <v>2022</v>
      </c>
      <c r="D109" s="374">
        <f>IF(F108+SUM(E$99:E108)=D$92,F108,D$92-SUM(E$99:E108))</f>
        <v>658247.13407024147</v>
      </c>
      <c r="E109" s="522">
        <f t="shared" si="24"/>
        <v>19216.585365853658</v>
      </c>
      <c r="F109" s="523">
        <f t="shared" si="25"/>
        <v>639030.54870438785</v>
      </c>
      <c r="G109" s="523">
        <f t="shared" si="26"/>
        <v>648638.84138731472</v>
      </c>
      <c r="H109" s="526">
        <f t="shared" si="27"/>
        <v>92846.321640634764</v>
      </c>
      <c r="I109" s="577">
        <f t="shared" si="28"/>
        <v>92846.321640634764</v>
      </c>
      <c r="J109" s="514">
        <f t="shared" si="23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 ht="12.5">
      <c r="B110" s="195" t="str">
        <f t="shared" si="20"/>
        <v/>
      </c>
      <c r="C110" s="507">
        <f>IF(D93="","-",+C109+1)</f>
        <v>2023</v>
      </c>
      <c r="D110" s="374">
        <f>IF(F109+SUM(E$99:E109)=D$92,F109,D$92-SUM(E$99:E109))</f>
        <v>639030.54870438785</v>
      </c>
      <c r="E110" s="522">
        <f t="shared" si="24"/>
        <v>19216.585365853658</v>
      </c>
      <c r="F110" s="523">
        <f t="shared" si="25"/>
        <v>619813.96333853423</v>
      </c>
      <c r="G110" s="523">
        <f t="shared" si="26"/>
        <v>629422.25602146098</v>
      </c>
      <c r="H110" s="526">
        <f t="shared" si="27"/>
        <v>90664.965819322242</v>
      </c>
      <c r="I110" s="577">
        <f t="shared" si="28"/>
        <v>90664.965819322242</v>
      </c>
      <c r="J110" s="514">
        <f t="shared" si="23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 ht="12.5">
      <c r="B111" s="195" t="str">
        <f t="shared" si="20"/>
        <v/>
      </c>
      <c r="C111" s="507">
        <f>IF(D93="","-",+C110+1)</f>
        <v>2024</v>
      </c>
      <c r="D111" s="374">
        <f>IF(F110+SUM(E$99:E110)=D$92,F110,D$92-SUM(E$99:E110))</f>
        <v>619813.96333853423</v>
      </c>
      <c r="E111" s="522">
        <f t="shared" si="24"/>
        <v>19216.585365853658</v>
      </c>
      <c r="F111" s="523">
        <f t="shared" si="25"/>
        <v>600597.37797268061</v>
      </c>
      <c r="G111" s="523">
        <f t="shared" si="26"/>
        <v>610205.67065560748</v>
      </c>
      <c r="H111" s="526">
        <f t="shared" si="27"/>
        <v>88483.60999800975</v>
      </c>
      <c r="I111" s="577">
        <f t="shared" si="28"/>
        <v>88483.60999800975</v>
      </c>
      <c r="J111" s="514">
        <f t="shared" si="23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 ht="12.5">
      <c r="B112" s="195" t="str">
        <f t="shared" si="20"/>
        <v/>
      </c>
      <c r="C112" s="507">
        <f>IF(D93="","-",+C111+1)</f>
        <v>2025</v>
      </c>
      <c r="D112" s="374">
        <f>IF(F111+SUM(E$99:E111)=D$92,F111,D$92-SUM(E$99:E111))</f>
        <v>600597.37797268061</v>
      </c>
      <c r="E112" s="522">
        <f t="shared" si="24"/>
        <v>19216.585365853658</v>
      </c>
      <c r="F112" s="523">
        <f t="shared" si="25"/>
        <v>581380.79260682699</v>
      </c>
      <c r="G112" s="523">
        <f t="shared" si="26"/>
        <v>590989.08528975374</v>
      </c>
      <c r="H112" s="526">
        <f t="shared" si="27"/>
        <v>86302.254176697228</v>
      </c>
      <c r="I112" s="577">
        <f t="shared" si="28"/>
        <v>86302.254176697228</v>
      </c>
      <c r="J112" s="514">
        <f t="shared" si="23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 ht="12.5">
      <c r="B113" s="195" t="str">
        <f t="shared" si="20"/>
        <v/>
      </c>
      <c r="C113" s="507">
        <f>IF(D93="","-",+C112+1)</f>
        <v>2026</v>
      </c>
      <c r="D113" s="374">
        <f>IF(F112+SUM(E$99:E112)=D$92,F112,D$92-SUM(E$99:E112))</f>
        <v>581380.79260682699</v>
      </c>
      <c r="E113" s="522">
        <f t="shared" si="24"/>
        <v>19216.585365853658</v>
      </c>
      <c r="F113" s="523">
        <f t="shared" si="25"/>
        <v>562164.20724097337</v>
      </c>
      <c r="G113" s="523">
        <f t="shared" si="26"/>
        <v>571772.49992390024</v>
      </c>
      <c r="H113" s="526">
        <f t="shared" si="27"/>
        <v>84120.898355384736</v>
      </c>
      <c r="I113" s="577">
        <f t="shared" si="28"/>
        <v>84120.898355384736</v>
      </c>
      <c r="J113" s="514">
        <f t="shared" si="23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 ht="12.5">
      <c r="B114" s="195" t="str">
        <f t="shared" si="20"/>
        <v/>
      </c>
      <c r="C114" s="507">
        <f>IF(D93="","-",+C113+1)</f>
        <v>2027</v>
      </c>
      <c r="D114" s="374">
        <f>IF(F113+SUM(E$99:E113)=D$92,F113,D$92-SUM(E$99:E113))</f>
        <v>562164.20724097337</v>
      </c>
      <c r="E114" s="522">
        <f t="shared" si="24"/>
        <v>19216.585365853658</v>
      </c>
      <c r="F114" s="523">
        <f t="shared" si="25"/>
        <v>542947.62187511974</v>
      </c>
      <c r="G114" s="523">
        <f t="shared" si="26"/>
        <v>552555.9145580465</v>
      </c>
      <c r="H114" s="526">
        <f t="shared" si="27"/>
        <v>81939.542534072214</v>
      </c>
      <c r="I114" s="577">
        <f t="shared" si="28"/>
        <v>81939.542534072214</v>
      </c>
      <c r="J114" s="514">
        <f t="shared" si="23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 ht="12.5">
      <c r="B115" s="195" t="str">
        <f t="shared" si="20"/>
        <v/>
      </c>
      <c r="C115" s="507">
        <f>IF(D93="","-",+C114+1)</f>
        <v>2028</v>
      </c>
      <c r="D115" s="374">
        <f>IF(F114+SUM(E$99:E114)=D$92,F114,D$92-SUM(E$99:E114))</f>
        <v>542947.62187511974</v>
      </c>
      <c r="E115" s="522">
        <f t="shared" si="24"/>
        <v>19216.585365853658</v>
      </c>
      <c r="F115" s="523">
        <f t="shared" si="25"/>
        <v>523731.03650926606</v>
      </c>
      <c r="G115" s="523">
        <f t="shared" si="26"/>
        <v>533339.32919219288</v>
      </c>
      <c r="H115" s="526">
        <f t="shared" si="27"/>
        <v>79758.186712759692</v>
      </c>
      <c r="I115" s="577">
        <f t="shared" si="28"/>
        <v>79758.186712759692</v>
      </c>
      <c r="J115" s="514">
        <f t="shared" si="23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 ht="12.5">
      <c r="B116" s="195" t="str">
        <f t="shared" si="20"/>
        <v/>
      </c>
      <c r="C116" s="507">
        <f>IF(D93="","-",+C115+1)</f>
        <v>2029</v>
      </c>
      <c r="D116" s="374">
        <f>IF(F115+SUM(E$99:E115)=D$92,F115,D$92-SUM(E$99:E115))</f>
        <v>523731.03650926606</v>
      </c>
      <c r="E116" s="522">
        <f t="shared" si="24"/>
        <v>19216.585365853658</v>
      </c>
      <c r="F116" s="523">
        <f t="shared" si="25"/>
        <v>504514.45114341239</v>
      </c>
      <c r="G116" s="523">
        <f t="shared" si="26"/>
        <v>514122.74382633925</v>
      </c>
      <c r="H116" s="526">
        <f t="shared" si="27"/>
        <v>77576.8308914472</v>
      </c>
      <c r="I116" s="577">
        <f t="shared" si="28"/>
        <v>77576.8308914472</v>
      </c>
      <c r="J116" s="514">
        <f t="shared" si="23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 ht="12.5">
      <c r="B117" s="195" t="str">
        <f t="shared" si="20"/>
        <v/>
      </c>
      <c r="C117" s="507">
        <f>IF(D93="","-",+C116+1)</f>
        <v>2030</v>
      </c>
      <c r="D117" s="374">
        <f>IF(F116+SUM(E$99:E116)=D$92,F116,D$92-SUM(E$99:E116))</f>
        <v>504514.45114341239</v>
      </c>
      <c r="E117" s="522">
        <f t="shared" si="24"/>
        <v>19216.585365853658</v>
      </c>
      <c r="F117" s="523">
        <f t="shared" si="25"/>
        <v>485297.86577755871</v>
      </c>
      <c r="G117" s="523">
        <f t="shared" si="26"/>
        <v>494906.15846048552</v>
      </c>
      <c r="H117" s="526">
        <f t="shared" si="27"/>
        <v>75395.475070134664</v>
      </c>
      <c r="I117" s="577">
        <f t="shared" si="28"/>
        <v>75395.475070134664</v>
      </c>
      <c r="J117" s="514">
        <f t="shared" si="23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 ht="12.5">
      <c r="B118" s="195" t="str">
        <f t="shared" si="20"/>
        <v/>
      </c>
      <c r="C118" s="507">
        <f>IF(D93="","-",+C117+1)</f>
        <v>2031</v>
      </c>
      <c r="D118" s="374">
        <f>IF(F117+SUM(E$99:E117)=D$92,F117,D$92-SUM(E$99:E117))</f>
        <v>485297.86577755871</v>
      </c>
      <c r="E118" s="522">
        <f t="shared" si="24"/>
        <v>19216.585365853658</v>
      </c>
      <c r="F118" s="523">
        <f t="shared" si="25"/>
        <v>466081.28041170503</v>
      </c>
      <c r="G118" s="523">
        <f t="shared" si="26"/>
        <v>475689.57309463189</v>
      </c>
      <c r="H118" s="526">
        <f t="shared" si="27"/>
        <v>73214.119248822157</v>
      </c>
      <c r="I118" s="577">
        <f t="shared" si="28"/>
        <v>73214.119248822157</v>
      </c>
      <c r="J118" s="514">
        <f t="shared" si="23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 ht="12.5">
      <c r="B119" s="195" t="str">
        <f t="shared" si="20"/>
        <v/>
      </c>
      <c r="C119" s="507">
        <f>IF(D93="","-",+C118+1)</f>
        <v>2032</v>
      </c>
      <c r="D119" s="374">
        <f>IF(F118+SUM(E$99:E118)=D$92,F118,D$92-SUM(E$99:E118))</f>
        <v>466081.28041170503</v>
      </c>
      <c r="E119" s="522">
        <f t="shared" si="24"/>
        <v>19216.585365853658</v>
      </c>
      <c r="F119" s="523">
        <f t="shared" si="25"/>
        <v>446864.69504585135</v>
      </c>
      <c r="G119" s="523">
        <f t="shared" si="26"/>
        <v>456472.98772877816</v>
      </c>
      <c r="H119" s="526">
        <f t="shared" si="27"/>
        <v>71032.763427509635</v>
      </c>
      <c r="I119" s="577">
        <f t="shared" si="28"/>
        <v>71032.763427509635</v>
      </c>
      <c r="J119" s="514">
        <f t="shared" si="23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 ht="12.5">
      <c r="B120" s="195" t="str">
        <f t="shared" si="20"/>
        <v/>
      </c>
      <c r="C120" s="507">
        <f>IF(D93="","-",+C119+1)</f>
        <v>2033</v>
      </c>
      <c r="D120" s="374">
        <f>IF(F119+SUM(E$99:E119)=D$92,F119,D$92-SUM(E$99:E119))</f>
        <v>446864.69504585135</v>
      </c>
      <c r="E120" s="522">
        <f t="shared" si="24"/>
        <v>19216.585365853658</v>
      </c>
      <c r="F120" s="523">
        <f t="shared" si="25"/>
        <v>427648.10967999767</v>
      </c>
      <c r="G120" s="523">
        <f t="shared" si="26"/>
        <v>437256.40236292453</v>
      </c>
      <c r="H120" s="526">
        <f t="shared" si="27"/>
        <v>68851.407606197128</v>
      </c>
      <c r="I120" s="577">
        <f t="shared" si="28"/>
        <v>68851.407606197128</v>
      </c>
      <c r="J120" s="514">
        <f t="shared" si="23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 ht="12.5">
      <c r="B121" s="195" t="str">
        <f t="shared" si="20"/>
        <v/>
      </c>
      <c r="C121" s="507">
        <f>IF(D93="","-",+C120+1)</f>
        <v>2034</v>
      </c>
      <c r="D121" s="374">
        <f>IF(F120+SUM(E$99:E120)=D$92,F120,D$92-SUM(E$99:E120))</f>
        <v>427648.10967999767</v>
      </c>
      <c r="E121" s="522">
        <f t="shared" si="24"/>
        <v>19216.585365853658</v>
      </c>
      <c r="F121" s="523">
        <f t="shared" si="25"/>
        <v>408431.52431414399</v>
      </c>
      <c r="G121" s="523">
        <f t="shared" si="26"/>
        <v>418039.8169970708</v>
      </c>
      <c r="H121" s="526">
        <f t="shared" si="27"/>
        <v>66670.051784884607</v>
      </c>
      <c r="I121" s="577">
        <f t="shared" si="28"/>
        <v>66670.051784884607</v>
      </c>
      <c r="J121" s="514">
        <f t="shared" si="23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 ht="12.5">
      <c r="B122" s="195" t="str">
        <f t="shared" si="20"/>
        <v/>
      </c>
      <c r="C122" s="507">
        <f>IF(D93="","-",+C121+1)</f>
        <v>2035</v>
      </c>
      <c r="D122" s="374">
        <f>IF(F121+SUM(E$99:E121)=D$92,F121,D$92-SUM(E$99:E121))</f>
        <v>408431.52431414399</v>
      </c>
      <c r="E122" s="522">
        <f t="shared" si="24"/>
        <v>19216.585365853658</v>
      </c>
      <c r="F122" s="523">
        <f t="shared" si="25"/>
        <v>389214.93894829031</v>
      </c>
      <c r="G122" s="523">
        <f t="shared" si="26"/>
        <v>398823.23163121718</v>
      </c>
      <c r="H122" s="526">
        <f t="shared" si="27"/>
        <v>64488.695963572092</v>
      </c>
      <c r="I122" s="577">
        <f t="shared" si="28"/>
        <v>64488.695963572092</v>
      </c>
      <c r="J122" s="514">
        <f t="shared" si="23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 ht="12.5">
      <c r="B123" s="195" t="str">
        <f t="shared" si="20"/>
        <v/>
      </c>
      <c r="C123" s="507">
        <f>IF(D93="","-",+C122+1)</f>
        <v>2036</v>
      </c>
      <c r="D123" s="374">
        <f>IF(F122+SUM(E$99:E122)=D$92,F122,D$92-SUM(E$99:E122))</f>
        <v>389214.93894829031</v>
      </c>
      <c r="E123" s="522">
        <f t="shared" si="24"/>
        <v>19216.585365853658</v>
      </c>
      <c r="F123" s="523">
        <f t="shared" si="25"/>
        <v>369998.35358243663</v>
      </c>
      <c r="G123" s="523">
        <f t="shared" si="26"/>
        <v>379606.64626536344</v>
      </c>
      <c r="H123" s="526">
        <f t="shared" si="27"/>
        <v>62307.340142259571</v>
      </c>
      <c r="I123" s="577">
        <f t="shared" si="28"/>
        <v>62307.340142259571</v>
      </c>
      <c r="J123" s="514">
        <f t="shared" si="23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 ht="12.5">
      <c r="B124" s="195" t="str">
        <f t="shared" si="20"/>
        <v/>
      </c>
      <c r="C124" s="507">
        <f>IF(D93="","-",+C123+1)</f>
        <v>2037</v>
      </c>
      <c r="D124" s="374">
        <f>IF(F123+SUM(E$99:E123)=D$92,F123,D$92-SUM(E$99:E123))</f>
        <v>369998.35358243663</v>
      </c>
      <c r="E124" s="522">
        <f t="shared" si="24"/>
        <v>19216.585365853658</v>
      </c>
      <c r="F124" s="523">
        <f t="shared" si="25"/>
        <v>350781.76821658295</v>
      </c>
      <c r="G124" s="523">
        <f t="shared" si="26"/>
        <v>360390.06089950982</v>
      </c>
      <c r="H124" s="526">
        <f t="shared" si="27"/>
        <v>60125.984320947064</v>
      </c>
      <c r="I124" s="577">
        <f t="shared" si="28"/>
        <v>60125.984320947064</v>
      </c>
      <c r="J124" s="514">
        <f t="shared" si="23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 ht="12.5">
      <c r="B125" s="195" t="str">
        <f t="shared" si="20"/>
        <v/>
      </c>
      <c r="C125" s="507">
        <f>IF(D93="","-",+C124+1)</f>
        <v>2038</v>
      </c>
      <c r="D125" s="374">
        <f>IF(F124+SUM(E$99:E124)=D$92,F124,D$92-SUM(E$99:E124))</f>
        <v>350781.76821658295</v>
      </c>
      <c r="E125" s="522">
        <f t="shared" si="24"/>
        <v>19216.585365853658</v>
      </c>
      <c r="F125" s="523">
        <f t="shared" si="25"/>
        <v>331565.18285072927</v>
      </c>
      <c r="G125" s="523">
        <f t="shared" si="26"/>
        <v>341173.47553365608</v>
      </c>
      <c r="H125" s="526">
        <f t="shared" si="27"/>
        <v>57944.628499634542</v>
      </c>
      <c r="I125" s="577">
        <f t="shared" si="28"/>
        <v>57944.628499634542</v>
      </c>
      <c r="J125" s="514">
        <f t="shared" si="23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 ht="12.5">
      <c r="B126" s="195" t="str">
        <f t="shared" si="20"/>
        <v/>
      </c>
      <c r="C126" s="507">
        <f>IF(D93="","-",+C125+1)</f>
        <v>2039</v>
      </c>
      <c r="D126" s="374">
        <f>IF(F125+SUM(E$99:E125)=D$92,F125,D$92-SUM(E$99:E125))</f>
        <v>331565.18285072927</v>
      </c>
      <c r="E126" s="522">
        <f t="shared" si="24"/>
        <v>19216.585365853658</v>
      </c>
      <c r="F126" s="523">
        <f t="shared" si="25"/>
        <v>312348.59748487559</v>
      </c>
      <c r="G126" s="523">
        <f t="shared" si="26"/>
        <v>321956.89016780246</v>
      </c>
      <c r="H126" s="526">
        <f t="shared" si="27"/>
        <v>55763.272678322035</v>
      </c>
      <c r="I126" s="577">
        <f t="shared" si="28"/>
        <v>55763.272678322035</v>
      </c>
      <c r="J126" s="514">
        <f t="shared" si="23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 ht="12.5">
      <c r="B127" s="195" t="str">
        <f t="shared" si="20"/>
        <v/>
      </c>
      <c r="C127" s="507">
        <f>IF(D93="","-",+C126+1)</f>
        <v>2040</v>
      </c>
      <c r="D127" s="374">
        <f>IF(F126+SUM(E$99:E126)=D$92,F126,D$92-SUM(E$99:E126))</f>
        <v>312348.59748487559</v>
      </c>
      <c r="E127" s="522">
        <f t="shared" si="24"/>
        <v>19216.585365853658</v>
      </c>
      <c r="F127" s="523">
        <f t="shared" si="25"/>
        <v>293132.01211902191</v>
      </c>
      <c r="G127" s="523">
        <f t="shared" si="26"/>
        <v>302740.30480194872</v>
      </c>
      <c r="H127" s="526">
        <f t="shared" si="27"/>
        <v>53581.916857009513</v>
      </c>
      <c r="I127" s="577">
        <f t="shared" si="28"/>
        <v>53581.916857009513</v>
      </c>
      <c r="J127" s="514">
        <f t="shared" si="23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 ht="12.5">
      <c r="B128" s="195" t="str">
        <f t="shared" si="20"/>
        <v/>
      </c>
      <c r="C128" s="507">
        <f>IF(D93="","-",+C127+1)</f>
        <v>2041</v>
      </c>
      <c r="D128" s="374">
        <f>IF(F127+SUM(E$99:E127)=D$92,F127,D$92-SUM(E$99:E127))</f>
        <v>293132.01211902191</v>
      </c>
      <c r="E128" s="522">
        <f t="shared" si="24"/>
        <v>19216.585365853658</v>
      </c>
      <c r="F128" s="523">
        <f t="shared" si="25"/>
        <v>273915.42675316823</v>
      </c>
      <c r="G128" s="523">
        <f t="shared" si="26"/>
        <v>283523.7194360951</v>
      </c>
      <c r="H128" s="526">
        <f t="shared" si="27"/>
        <v>51400.561035696999</v>
      </c>
      <c r="I128" s="577">
        <f t="shared" si="28"/>
        <v>51400.561035696999</v>
      </c>
      <c r="J128" s="514">
        <f t="shared" si="23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 ht="12.5">
      <c r="B129" s="195" t="str">
        <f t="shared" si="20"/>
        <v/>
      </c>
      <c r="C129" s="507">
        <f>IF(D93="","-",+C128+1)</f>
        <v>2042</v>
      </c>
      <c r="D129" s="374">
        <f>IF(F128+SUM(E$99:E128)=D$92,F128,D$92-SUM(E$99:E128))</f>
        <v>273915.42675316823</v>
      </c>
      <c r="E129" s="522">
        <f t="shared" si="24"/>
        <v>19216.585365853658</v>
      </c>
      <c r="F129" s="523">
        <f t="shared" si="25"/>
        <v>254698.84138731458</v>
      </c>
      <c r="G129" s="523">
        <f t="shared" si="26"/>
        <v>264307.13407024142</v>
      </c>
      <c r="H129" s="526">
        <f t="shared" si="27"/>
        <v>49219.205214384485</v>
      </c>
      <c r="I129" s="577">
        <f t="shared" si="28"/>
        <v>49219.205214384485</v>
      </c>
      <c r="J129" s="514">
        <f t="shared" si="23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 ht="12.5">
      <c r="B130" s="195" t="str">
        <f t="shared" si="20"/>
        <v/>
      </c>
      <c r="C130" s="507">
        <f>IF(D93="","-",+C129+1)</f>
        <v>2043</v>
      </c>
      <c r="D130" s="374">
        <f>IF(F129+SUM(E$99:E129)=D$92,F129,D$92-SUM(E$99:E129))</f>
        <v>254698.84138731458</v>
      </c>
      <c r="E130" s="522">
        <f t="shared" si="24"/>
        <v>19216.585365853658</v>
      </c>
      <c r="F130" s="523">
        <f t="shared" si="25"/>
        <v>235482.25602146093</v>
      </c>
      <c r="G130" s="523">
        <f t="shared" si="26"/>
        <v>245090.54870438774</v>
      </c>
      <c r="H130" s="526">
        <f t="shared" si="27"/>
        <v>47037.849393071971</v>
      </c>
      <c r="I130" s="577">
        <f t="shared" si="28"/>
        <v>47037.849393071971</v>
      </c>
      <c r="J130" s="514">
        <f t="shared" si="23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 ht="12.5">
      <c r="B131" s="195" t="str">
        <f t="shared" si="20"/>
        <v/>
      </c>
      <c r="C131" s="507">
        <f>IF(D93="","-",+C130+1)</f>
        <v>2044</v>
      </c>
      <c r="D131" s="374">
        <f>IF(F130+SUM(E$99:E130)=D$92,F130,D$92-SUM(E$99:E130))</f>
        <v>235482.25602146093</v>
      </c>
      <c r="E131" s="522">
        <f t="shared" si="24"/>
        <v>19216.585365853658</v>
      </c>
      <c r="F131" s="523">
        <f t="shared" si="25"/>
        <v>216265.67065560727</v>
      </c>
      <c r="G131" s="523">
        <f t="shared" si="26"/>
        <v>225873.96333853411</v>
      </c>
      <c r="H131" s="526">
        <f t="shared" si="27"/>
        <v>44856.493571759464</v>
      </c>
      <c r="I131" s="577">
        <f t="shared" si="28"/>
        <v>44856.493571759464</v>
      </c>
      <c r="J131" s="514">
        <f t="shared" si="23"/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 ht="12.5">
      <c r="B132" s="195" t="str">
        <f t="shared" si="20"/>
        <v/>
      </c>
      <c r="C132" s="507">
        <f>IF(D93="","-",+C131+1)</f>
        <v>2045</v>
      </c>
      <c r="D132" s="374">
        <f>IF(F131+SUM(E$99:E131)=D$92,F131,D$92-SUM(E$99:E131))</f>
        <v>216265.67065560727</v>
      </c>
      <c r="E132" s="522">
        <f t="shared" si="24"/>
        <v>19216.585365853658</v>
      </c>
      <c r="F132" s="523">
        <f t="shared" si="25"/>
        <v>197049.08528975362</v>
      </c>
      <c r="G132" s="523">
        <f t="shared" si="26"/>
        <v>206657.37797268044</v>
      </c>
      <c r="H132" s="526">
        <f t="shared" si="27"/>
        <v>42675.137750446942</v>
      </c>
      <c r="I132" s="577">
        <f t="shared" si="28"/>
        <v>42675.137750446942</v>
      </c>
      <c r="J132" s="514">
        <f t="shared" si="23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 ht="12.5">
      <c r="B133" s="195" t="str">
        <f t="shared" si="20"/>
        <v/>
      </c>
      <c r="C133" s="507">
        <f>IF(D93="","-",+C132+1)</f>
        <v>2046</v>
      </c>
      <c r="D133" s="374">
        <f>IF(F132+SUM(E$99:E132)=D$92,F132,D$92-SUM(E$99:E132))</f>
        <v>197049.08528975362</v>
      </c>
      <c r="E133" s="522">
        <f t="shared" si="24"/>
        <v>19216.585365853658</v>
      </c>
      <c r="F133" s="523">
        <f t="shared" si="25"/>
        <v>177832.49992389997</v>
      </c>
      <c r="G133" s="523">
        <f t="shared" si="26"/>
        <v>187440.79260682681</v>
      </c>
      <c r="H133" s="526">
        <f t="shared" si="27"/>
        <v>40493.781929134435</v>
      </c>
      <c r="I133" s="577">
        <f t="shared" si="28"/>
        <v>40493.781929134435</v>
      </c>
      <c r="J133" s="514">
        <f t="shared" si="23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 ht="12.5">
      <c r="B134" s="195" t="str">
        <f t="shared" si="20"/>
        <v/>
      </c>
      <c r="C134" s="507">
        <f>IF(D93="","-",+C133+1)</f>
        <v>2047</v>
      </c>
      <c r="D134" s="374">
        <f>IF(F133+SUM(E$99:E133)=D$92,F133,D$92-SUM(E$99:E133))</f>
        <v>177832.49992389997</v>
      </c>
      <c r="E134" s="522">
        <f t="shared" si="24"/>
        <v>19216.585365853658</v>
      </c>
      <c r="F134" s="523">
        <f t="shared" si="25"/>
        <v>158615.91455804632</v>
      </c>
      <c r="G134" s="523">
        <f t="shared" si="26"/>
        <v>168224.20724097313</v>
      </c>
      <c r="H134" s="526">
        <f t="shared" si="27"/>
        <v>38312.426107821921</v>
      </c>
      <c r="I134" s="577">
        <f t="shared" si="28"/>
        <v>38312.426107821921</v>
      </c>
      <c r="J134" s="514">
        <f t="shared" si="23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 ht="12.5">
      <c r="B135" s="195" t="str">
        <f t="shared" si="20"/>
        <v/>
      </c>
      <c r="C135" s="507">
        <f>IF(D93="","-",+C134+1)</f>
        <v>2048</v>
      </c>
      <c r="D135" s="374">
        <f>IF(F134+SUM(E$99:E134)=D$92,F134,D$92-SUM(E$99:E134))</f>
        <v>158615.91455804632</v>
      </c>
      <c r="E135" s="522">
        <f t="shared" si="24"/>
        <v>19216.585365853658</v>
      </c>
      <c r="F135" s="523">
        <f t="shared" si="25"/>
        <v>139399.32919219267</v>
      </c>
      <c r="G135" s="523">
        <f t="shared" si="26"/>
        <v>149007.62187511951</v>
      </c>
      <c r="H135" s="526">
        <f t="shared" si="27"/>
        <v>36131.070286509414</v>
      </c>
      <c r="I135" s="577">
        <f t="shared" si="28"/>
        <v>36131.070286509414</v>
      </c>
      <c r="J135" s="514">
        <f t="shared" si="23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 ht="12.5">
      <c r="B136" s="195" t="str">
        <f t="shared" si="20"/>
        <v/>
      </c>
      <c r="C136" s="507">
        <f>IF(D93="","-",+C135+1)</f>
        <v>2049</v>
      </c>
      <c r="D136" s="374">
        <f>IF(F135+SUM(E$99:E135)=D$92,F135,D$92-SUM(E$99:E135))</f>
        <v>139399.32919219267</v>
      </c>
      <c r="E136" s="522">
        <f t="shared" si="24"/>
        <v>19216.585365853658</v>
      </c>
      <c r="F136" s="523">
        <f t="shared" si="25"/>
        <v>120182.74382633902</v>
      </c>
      <c r="G136" s="523">
        <f t="shared" si="26"/>
        <v>129791.03650926585</v>
      </c>
      <c r="H136" s="526">
        <f t="shared" si="27"/>
        <v>33949.714465196899</v>
      </c>
      <c r="I136" s="577">
        <f t="shared" si="28"/>
        <v>33949.714465196899</v>
      </c>
      <c r="J136" s="514">
        <f t="shared" si="23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 ht="12.5">
      <c r="B137" s="195" t="str">
        <f t="shared" si="20"/>
        <v/>
      </c>
      <c r="C137" s="507">
        <f>IF(D93="","-",+C136+1)</f>
        <v>2050</v>
      </c>
      <c r="D137" s="374">
        <f>IF(F136+SUM(E$99:E136)=D$92,F136,D$92-SUM(E$99:E136))</f>
        <v>120182.74382633902</v>
      </c>
      <c r="E137" s="522">
        <f t="shared" si="24"/>
        <v>19216.585365853658</v>
      </c>
      <c r="F137" s="523">
        <f t="shared" si="25"/>
        <v>100966.15846048537</v>
      </c>
      <c r="G137" s="523">
        <f t="shared" si="26"/>
        <v>110574.4511434122</v>
      </c>
      <c r="H137" s="526">
        <f t="shared" si="27"/>
        <v>31768.358643884385</v>
      </c>
      <c r="I137" s="577">
        <f t="shared" si="28"/>
        <v>31768.358643884385</v>
      </c>
      <c r="J137" s="514">
        <f t="shared" si="23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 ht="12.5">
      <c r="B138" s="195" t="str">
        <f t="shared" si="20"/>
        <v/>
      </c>
      <c r="C138" s="507">
        <f>IF(D93="","-",+C137+1)</f>
        <v>2051</v>
      </c>
      <c r="D138" s="374">
        <f>IF(F137+SUM(E$99:E137)=D$92,F137,D$92-SUM(E$99:E137))</f>
        <v>100966.15846048537</v>
      </c>
      <c r="E138" s="522">
        <f t="shared" si="24"/>
        <v>19216.585365853658</v>
      </c>
      <c r="F138" s="523">
        <f t="shared" si="25"/>
        <v>81749.57309463172</v>
      </c>
      <c r="G138" s="523">
        <f t="shared" si="26"/>
        <v>91357.865777558545</v>
      </c>
      <c r="H138" s="526">
        <f t="shared" si="27"/>
        <v>29587.002822571871</v>
      </c>
      <c r="I138" s="577">
        <f t="shared" si="28"/>
        <v>29587.002822571871</v>
      </c>
      <c r="J138" s="514">
        <f t="shared" si="23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 ht="12.5">
      <c r="B139" s="195" t="str">
        <f t="shared" si="20"/>
        <v/>
      </c>
      <c r="C139" s="507">
        <f>IF(D93="","-",+C138+1)</f>
        <v>2052</v>
      </c>
      <c r="D139" s="374">
        <f>IF(F138+SUM(E$99:E138)=D$92,F138,D$92-SUM(E$99:E138))</f>
        <v>81749.57309463172</v>
      </c>
      <c r="E139" s="522">
        <f t="shared" si="24"/>
        <v>19216.585365853658</v>
      </c>
      <c r="F139" s="523">
        <f t="shared" si="25"/>
        <v>62532.987728778062</v>
      </c>
      <c r="G139" s="523">
        <f t="shared" si="26"/>
        <v>72141.280411704895</v>
      </c>
      <c r="H139" s="526">
        <f t="shared" si="27"/>
        <v>27405.64700125936</v>
      </c>
      <c r="I139" s="577">
        <f t="shared" si="28"/>
        <v>27405.64700125936</v>
      </c>
      <c r="J139" s="514">
        <f t="shared" si="23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 ht="12.5">
      <c r="B140" s="195" t="str">
        <f t="shared" si="20"/>
        <v/>
      </c>
      <c r="C140" s="507">
        <f>IF(D93="","-",+C139+1)</f>
        <v>2053</v>
      </c>
      <c r="D140" s="374">
        <f>IF(F139+SUM(E$99:E139)=D$92,F139,D$92-SUM(E$99:E139))</f>
        <v>62532.987728778062</v>
      </c>
      <c r="E140" s="522">
        <f t="shared" si="24"/>
        <v>19216.585365853658</v>
      </c>
      <c r="F140" s="523">
        <f t="shared" si="25"/>
        <v>43316.402362924404</v>
      </c>
      <c r="G140" s="523">
        <f t="shared" si="26"/>
        <v>52924.695045851229</v>
      </c>
      <c r="H140" s="526">
        <f t="shared" si="27"/>
        <v>25224.291179946846</v>
      </c>
      <c r="I140" s="577">
        <f t="shared" si="28"/>
        <v>25224.291179946846</v>
      </c>
      <c r="J140" s="514">
        <f t="shared" si="23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 ht="12.5">
      <c r="B141" s="195" t="str">
        <f t="shared" si="20"/>
        <v/>
      </c>
      <c r="C141" s="507">
        <f>IF(D93="","-",+C140+1)</f>
        <v>2054</v>
      </c>
      <c r="D141" s="374">
        <f>IF(F140+SUM(E$99:E140)=D$92,F140,D$92-SUM(E$99:E140))</f>
        <v>43316.402362924404</v>
      </c>
      <c r="E141" s="522">
        <f t="shared" si="24"/>
        <v>19216.585365853658</v>
      </c>
      <c r="F141" s="523">
        <f t="shared" si="25"/>
        <v>24099.816997070746</v>
      </c>
      <c r="G141" s="523">
        <f t="shared" si="26"/>
        <v>33708.109679997578</v>
      </c>
      <c r="H141" s="526">
        <f t="shared" si="27"/>
        <v>23042.935358634335</v>
      </c>
      <c r="I141" s="577">
        <f t="shared" si="28"/>
        <v>23042.935358634335</v>
      </c>
      <c r="J141" s="514">
        <f t="shared" si="23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 ht="12.5">
      <c r="B142" s="195" t="str">
        <f t="shared" si="20"/>
        <v/>
      </c>
      <c r="C142" s="507">
        <f>IF(D93="","-",+C141+1)</f>
        <v>2055</v>
      </c>
      <c r="D142" s="374">
        <f>IF(F141+SUM(E$99:E141)=D$92,F141,D$92-SUM(E$99:E141))</f>
        <v>24099.816997070746</v>
      </c>
      <c r="E142" s="522">
        <f t="shared" si="24"/>
        <v>19216.585365853658</v>
      </c>
      <c r="F142" s="523">
        <f t="shared" si="25"/>
        <v>4883.2316312170879</v>
      </c>
      <c r="G142" s="523">
        <f t="shared" si="26"/>
        <v>14491.524314143917</v>
      </c>
      <c r="H142" s="526">
        <f t="shared" si="27"/>
        <v>20861.579537321821</v>
      </c>
      <c r="I142" s="577">
        <f t="shared" si="28"/>
        <v>20861.579537321821</v>
      </c>
      <c r="J142" s="514">
        <f t="shared" si="23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 ht="12.5">
      <c r="B143" s="195" t="str">
        <f t="shared" si="20"/>
        <v/>
      </c>
      <c r="C143" s="507">
        <f>IF(D93="","-",+C142+1)</f>
        <v>2056</v>
      </c>
      <c r="D143" s="374">
        <f>IF(F142+SUM(E$99:E142)=D$92,F142,D$92-SUM(E$99:E142))</f>
        <v>4883.2316312170879</v>
      </c>
      <c r="E143" s="522">
        <f t="shared" si="24"/>
        <v>4883.2316312170879</v>
      </c>
      <c r="F143" s="523">
        <f t="shared" si="25"/>
        <v>0</v>
      </c>
      <c r="G143" s="523">
        <f t="shared" si="26"/>
        <v>2441.6158156085439</v>
      </c>
      <c r="H143" s="526">
        <f t="shared" si="27"/>
        <v>5160.3897616230406</v>
      </c>
      <c r="I143" s="577">
        <f t="shared" si="28"/>
        <v>5160.3897616230406</v>
      </c>
      <c r="J143" s="514">
        <f t="shared" si="23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 ht="12.5">
      <c r="B144" s="195" t="str">
        <f t="shared" si="20"/>
        <v/>
      </c>
      <c r="C144" s="507">
        <f>IF(D93="","-",+C143+1)</f>
        <v>2057</v>
      </c>
      <c r="D144" s="374">
        <f>IF(F143+SUM(E$99:E143)=D$92,F143,D$92-SUM(E$99:E143))</f>
        <v>0</v>
      </c>
      <c r="E144" s="522">
        <f t="shared" si="24"/>
        <v>0</v>
      </c>
      <c r="F144" s="523">
        <f t="shared" si="25"/>
        <v>0</v>
      </c>
      <c r="G144" s="523">
        <f t="shared" si="26"/>
        <v>0</v>
      </c>
      <c r="H144" s="526">
        <f t="shared" si="27"/>
        <v>0</v>
      </c>
      <c r="I144" s="577">
        <f t="shared" si="28"/>
        <v>0</v>
      </c>
      <c r="J144" s="514">
        <f t="shared" si="23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 ht="12.5">
      <c r="B145" s="195" t="str">
        <f t="shared" si="20"/>
        <v/>
      </c>
      <c r="C145" s="507">
        <f>IF(D93="","-",+C144+1)</f>
        <v>2058</v>
      </c>
      <c r="D145" s="374">
        <f>IF(F144+SUM(E$99:E144)=D$92,F144,D$92-SUM(E$99:E144))</f>
        <v>0</v>
      </c>
      <c r="E145" s="522">
        <f t="shared" si="24"/>
        <v>0</v>
      </c>
      <c r="F145" s="523">
        <f t="shared" si="25"/>
        <v>0</v>
      </c>
      <c r="G145" s="523">
        <f t="shared" si="26"/>
        <v>0</v>
      </c>
      <c r="H145" s="526">
        <f t="shared" si="27"/>
        <v>0</v>
      </c>
      <c r="I145" s="577">
        <f t="shared" si="28"/>
        <v>0</v>
      </c>
      <c r="J145" s="514">
        <f t="shared" si="23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 ht="12.5">
      <c r="B146" s="195" t="str">
        <f t="shared" si="20"/>
        <v/>
      </c>
      <c r="C146" s="507">
        <f>IF(D93="","-",+C145+1)</f>
        <v>2059</v>
      </c>
      <c r="D146" s="374">
        <f>IF(F145+SUM(E$99:E145)=D$92,F145,D$92-SUM(E$99:E145))</f>
        <v>0</v>
      </c>
      <c r="E146" s="522">
        <f t="shared" si="24"/>
        <v>0</v>
      </c>
      <c r="F146" s="523">
        <f t="shared" si="25"/>
        <v>0</v>
      </c>
      <c r="G146" s="523">
        <f t="shared" si="26"/>
        <v>0</v>
      </c>
      <c r="H146" s="526">
        <f t="shared" si="27"/>
        <v>0</v>
      </c>
      <c r="I146" s="577">
        <f t="shared" si="28"/>
        <v>0</v>
      </c>
      <c r="J146" s="514">
        <f t="shared" si="23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 ht="12.5">
      <c r="B147" s="195" t="str">
        <f t="shared" si="20"/>
        <v/>
      </c>
      <c r="C147" s="507">
        <f>IF(D93="","-",+C146+1)</f>
        <v>2060</v>
      </c>
      <c r="D147" s="374">
        <f>IF(F146+SUM(E$99:E146)=D$92,F146,D$92-SUM(E$99:E146))</f>
        <v>0</v>
      </c>
      <c r="E147" s="522">
        <f t="shared" si="24"/>
        <v>0</v>
      </c>
      <c r="F147" s="523">
        <f t="shared" si="25"/>
        <v>0</v>
      </c>
      <c r="G147" s="523">
        <f t="shared" si="26"/>
        <v>0</v>
      </c>
      <c r="H147" s="526">
        <f t="shared" si="27"/>
        <v>0</v>
      </c>
      <c r="I147" s="577">
        <f t="shared" si="28"/>
        <v>0</v>
      </c>
      <c r="J147" s="514">
        <f t="shared" si="23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 ht="12.5">
      <c r="B148" s="195" t="str">
        <f t="shared" si="20"/>
        <v/>
      </c>
      <c r="C148" s="507">
        <f>IF(D93="","-",+C147+1)</f>
        <v>2061</v>
      </c>
      <c r="D148" s="374">
        <f>IF(F147+SUM(E$99:E147)=D$92,F147,D$92-SUM(E$99:E147))</f>
        <v>0</v>
      </c>
      <c r="E148" s="522">
        <f t="shared" si="24"/>
        <v>0</v>
      </c>
      <c r="F148" s="523">
        <f t="shared" si="25"/>
        <v>0</v>
      </c>
      <c r="G148" s="523">
        <f t="shared" si="26"/>
        <v>0</v>
      </c>
      <c r="H148" s="526">
        <f t="shared" si="27"/>
        <v>0</v>
      </c>
      <c r="I148" s="577">
        <f t="shared" si="28"/>
        <v>0</v>
      </c>
      <c r="J148" s="514">
        <f t="shared" si="23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 ht="12.5">
      <c r="B149" s="195" t="str">
        <f t="shared" si="20"/>
        <v/>
      </c>
      <c r="C149" s="507">
        <f>IF(D93="","-",+C148+1)</f>
        <v>2062</v>
      </c>
      <c r="D149" s="374">
        <f>IF(F148+SUM(E$99:E148)=D$92,F148,D$92-SUM(E$99:E148))</f>
        <v>0</v>
      </c>
      <c r="E149" s="522">
        <f t="shared" si="24"/>
        <v>0</v>
      </c>
      <c r="F149" s="523">
        <f t="shared" si="25"/>
        <v>0</v>
      </c>
      <c r="G149" s="523">
        <f t="shared" si="26"/>
        <v>0</v>
      </c>
      <c r="H149" s="526">
        <f t="shared" si="27"/>
        <v>0</v>
      </c>
      <c r="I149" s="577">
        <f t="shared" si="28"/>
        <v>0</v>
      </c>
      <c r="J149" s="514">
        <f t="shared" si="23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 ht="12.5">
      <c r="B150" s="195" t="str">
        <f t="shared" si="20"/>
        <v/>
      </c>
      <c r="C150" s="507">
        <f>IF(D93="","-",+C149+1)</f>
        <v>2063</v>
      </c>
      <c r="D150" s="374">
        <f>IF(F149+SUM(E$99:E149)=D$92,F149,D$92-SUM(E$99:E149))</f>
        <v>0</v>
      </c>
      <c r="E150" s="522">
        <f t="shared" si="24"/>
        <v>0</v>
      </c>
      <c r="F150" s="523">
        <f t="shared" si="25"/>
        <v>0</v>
      </c>
      <c r="G150" s="523">
        <f t="shared" si="26"/>
        <v>0</v>
      </c>
      <c r="H150" s="526">
        <f t="shared" si="27"/>
        <v>0</v>
      </c>
      <c r="I150" s="577">
        <f t="shared" si="28"/>
        <v>0</v>
      </c>
      <c r="J150" s="514">
        <f t="shared" si="23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 ht="12.5">
      <c r="B151" s="195" t="str">
        <f t="shared" si="20"/>
        <v/>
      </c>
      <c r="C151" s="507">
        <f>IF(D93="","-",+C150+1)</f>
        <v>2064</v>
      </c>
      <c r="D151" s="374">
        <f>IF(F150+SUM(E$99:E150)=D$92,F150,D$92-SUM(E$99:E150))</f>
        <v>0</v>
      </c>
      <c r="E151" s="522">
        <f t="shared" si="24"/>
        <v>0</v>
      </c>
      <c r="F151" s="523">
        <f t="shared" si="25"/>
        <v>0</v>
      </c>
      <c r="G151" s="523">
        <f t="shared" si="26"/>
        <v>0</v>
      </c>
      <c r="H151" s="526">
        <f t="shared" si="27"/>
        <v>0</v>
      </c>
      <c r="I151" s="577">
        <f t="shared" si="28"/>
        <v>0</v>
      </c>
      <c r="J151" s="514">
        <f t="shared" si="23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 ht="12.5">
      <c r="B152" s="195" t="str">
        <f t="shared" si="20"/>
        <v/>
      </c>
      <c r="C152" s="507">
        <f>IF(D93="","-",+C151+1)</f>
        <v>2065</v>
      </c>
      <c r="D152" s="374">
        <f>IF(F151+SUM(E$99:E151)=D$92,F151,D$92-SUM(E$99:E151))</f>
        <v>0</v>
      </c>
      <c r="E152" s="522">
        <f t="shared" si="24"/>
        <v>0</v>
      </c>
      <c r="F152" s="523">
        <f t="shared" si="25"/>
        <v>0</v>
      </c>
      <c r="G152" s="523">
        <f t="shared" si="26"/>
        <v>0</v>
      </c>
      <c r="H152" s="526">
        <f t="shared" si="27"/>
        <v>0</v>
      </c>
      <c r="I152" s="577">
        <f t="shared" si="28"/>
        <v>0</v>
      </c>
      <c r="J152" s="514">
        <f t="shared" si="23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 ht="12.5">
      <c r="B153" s="195" t="str">
        <f t="shared" si="20"/>
        <v/>
      </c>
      <c r="C153" s="507">
        <f>IF(D93="","-",+C152+1)</f>
        <v>2066</v>
      </c>
      <c r="D153" s="374">
        <f>IF(F152+SUM(E$99:E152)=D$92,F152,D$92-SUM(E$99:E152))</f>
        <v>0</v>
      </c>
      <c r="E153" s="522">
        <f t="shared" si="24"/>
        <v>0</v>
      </c>
      <c r="F153" s="523">
        <f t="shared" si="25"/>
        <v>0</v>
      </c>
      <c r="G153" s="523">
        <f t="shared" si="26"/>
        <v>0</v>
      </c>
      <c r="H153" s="526">
        <f t="shared" si="27"/>
        <v>0</v>
      </c>
      <c r="I153" s="577">
        <f t="shared" si="28"/>
        <v>0</v>
      </c>
      <c r="J153" s="514">
        <f t="shared" si="23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" thickBot="1">
      <c r="B154" s="195" t="str">
        <f t="shared" si="20"/>
        <v/>
      </c>
      <c r="C154" s="527">
        <f>IF(D93="","-",+C153+1)</f>
        <v>2067</v>
      </c>
      <c r="D154" s="374">
        <f>IF(F153+SUM(E$99:E153)=D$92,F153,D$92-SUM(E$99:E153))</f>
        <v>0</v>
      </c>
      <c r="E154" s="522">
        <f t="shared" si="24"/>
        <v>0</v>
      </c>
      <c r="F154" s="523">
        <f t="shared" si="25"/>
        <v>0</v>
      </c>
      <c r="G154" s="523">
        <f t="shared" si="26"/>
        <v>0</v>
      </c>
      <c r="H154" s="526">
        <f t="shared" si="27"/>
        <v>0</v>
      </c>
      <c r="I154" s="577">
        <f t="shared" si="28"/>
        <v>0</v>
      </c>
      <c r="J154" s="514">
        <f t="shared" si="23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 ht="12.5">
      <c r="C155" s="374" t="s">
        <v>78</v>
      </c>
      <c r="D155" s="375"/>
      <c r="E155" s="375">
        <f>SUM(E99:E154)</f>
        <v>787880</v>
      </c>
      <c r="F155" s="375"/>
      <c r="G155" s="375"/>
      <c r="H155" s="375">
        <f>SUM(H99:H154)</f>
        <v>2651993.888062364</v>
      </c>
      <c r="I155" s="375">
        <f>SUM(I99:I154)</f>
        <v>2651993.888062364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6" priority="1" stopIfTrue="1" operator="equal">
      <formula>$I$10</formula>
    </cfRule>
  </conditionalFormatting>
  <conditionalFormatting sqref="C99:C154">
    <cfRule type="cellIs" dxfId="6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97">
    <tabColor theme="9" tint="-0.249977111117893"/>
  </sheetPr>
  <dimension ref="A1:P162"/>
  <sheetViews>
    <sheetView view="pageBreakPreview" zoomScale="82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48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17653.903980447743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17653.903980447743</v>
      </c>
      <c r="O6" s="269"/>
      <c r="P6" s="269"/>
    </row>
    <row r="7" spans="1:16" ht="13.5" thickBot="1">
      <c r="C7" s="467" t="s">
        <v>48</v>
      </c>
      <c r="D7" s="624" t="s">
        <v>335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45" t="s">
        <v>354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334</v>
      </c>
      <c r="E9" s="637" t="s">
        <v>396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160296.1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3816.5738095238098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629">
        <v>160296.1</v>
      </c>
      <c r="E17" s="638">
        <v>2862.4303571428577</v>
      </c>
      <c r="F17" s="629">
        <v>157433.66964285716</v>
      </c>
      <c r="G17" s="638">
        <v>24101.886744322466</v>
      </c>
      <c r="H17" s="639">
        <v>24101.886744322466</v>
      </c>
      <c r="I17" s="511">
        <v>0</v>
      </c>
      <c r="J17" s="511"/>
      <c r="K17" s="512">
        <f t="shared" ref="K17:K22" si="0">G17</f>
        <v>24101.886744322466</v>
      </c>
      <c r="L17" s="597">
        <f t="shared" ref="L17:L22" si="1">IF(K17&lt;&gt;0,+G17-K17,0)</f>
        <v>0</v>
      </c>
      <c r="M17" s="512">
        <f t="shared" ref="M17:M22" si="2">H17</f>
        <v>24101.886744322466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2011</v>
      </c>
      <c r="D18" s="631">
        <v>157433.66964285716</v>
      </c>
      <c r="E18" s="630">
        <v>3816.5738095238098</v>
      </c>
      <c r="F18" s="631">
        <v>153617.09583333335</v>
      </c>
      <c r="G18" s="630">
        <v>24541.134284286942</v>
      </c>
      <c r="H18" s="639">
        <v>24541.134284286942</v>
      </c>
      <c r="I18" s="511">
        <v>0</v>
      </c>
      <c r="J18" s="511"/>
      <c r="K18" s="518">
        <f t="shared" si="0"/>
        <v>24541.134284286942</v>
      </c>
      <c r="L18" s="519">
        <f t="shared" si="1"/>
        <v>0</v>
      </c>
      <c r="M18" s="518">
        <f t="shared" si="2"/>
        <v>24541.134284286942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631">
        <v>153617.09583333335</v>
      </c>
      <c r="E19" s="630">
        <v>3816.5738095238098</v>
      </c>
      <c r="F19" s="631">
        <v>149800.52202380955</v>
      </c>
      <c r="G19" s="630">
        <v>24026.238371870466</v>
      </c>
      <c r="H19" s="639">
        <v>24026.238371870466</v>
      </c>
      <c r="I19" s="511">
        <v>0</v>
      </c>
      <c r="J19" s="511"/>
      <c r="K19" s="518">
        <f t="shared" si="0"/>
        <v>24026.238371870466</v>
      </c>
      <c r="L19" s="519">
        <f t="shared" si="1"/>
        <v>0</v>
      </c>
      <c r="M19" s="518">
        <f t="shared" si="2"/>
        <v>24026.238371870466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31">
        <v>149800.52202380955</v>
      </c>
      <c r="E20" s="630">
        <v>3816.5738095238098</v>
      </c>
      <c r="F20" s="631">
        <v>145983.94821428575</v>
      </c>
      <c r="G20" s="630">
        <v>23511.342459453994</v>
      </c>
      <c r="H20" s="639">
        <v>23511.342459453994</v>
      </c>
      <c r="I20" s="511">
        <v>0</v>
      </c>
      <c r="J20" s="511"/>
      <c r="K20" s="518">
        <f t="shared" si="0"/>
        <v>23511.342459453994</v>
      </c>
      <c r="L20" s="519">
        <f t="shared" si="1"/>
        <v>0</v>
      </c>
      <c r="M20" s="518">
        <f t="shared" si="2"/>
        <v>23511.342459453994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2014</v>
      </c>
      <c r="D21" s="631">
        <v>145983.94821428575</v>
      </c>
      <c r="E21" s="630">
        <v>3816.5738095238098</v>
      </c>
      <c r="F21" s="631">
        <v>142167.37440476194</v>
      </c>
      <c r="G21" s="630">
        <v>22996.446547037518</v>
      </c>
      <c r="H21" s="639">
        <v>22996.446547037518</v>
      </c>
      <c r="I21" s="511">
        <v>0</v>
      </c>
      <c r="J21" s="511"/>
      <c r="K21" s="518">
        <f t="shared" si="0"/>
        <v>22996.446547037518</v>
      </c>
      <c r="L21" s="519">
        <f t="shared" si="1"/>
        <v>0</v>
      </c>
      <c r="M21" s="518">
        <f t="shared" si="2"/>
        <v>22996.446547037518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31">
        <v>142167.37440476194</v>
      </c>
      <c r="E22" s="630">
        <v>3816.5738095238098</v>
      </c>
      <c r="F22" s="631">
        <v>138350.80059523814</v>
      </c>
      <c r="G22" s="630">
        <v>22038.03846666696</v>
      </c>
      <c r="H22" s="639">
        <v>22038.03846666696</v>
      </c>
      <c r="I22" s="511">
        <v>0</v>
      </c>
      <c r="J22" s="511"/>
      <c r="K22" s="518">
        <f t="shared" si="0"/>
        <v>22038.03846666696</v>
      </c>
      <c r="L22" s="519">
        <f t="shared" si="1"/>
        <v>0</v>
      </c>
      <c r="M22" s="518">
        <f t="shared" si="2"/>
        <v>22038.03846666696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31">
        <v>138350.80059523814</v>
      </c>
      <c r="E23" s="630">
        <v>3816.5738095238098</v>
      </c>
      <c r="F23" s="631">
        <v>134534.22678571433</v>
      </c>
      <c r="G23" s="630">
        <v>21316.782668999032</v>
      </c>
      <c r="H23" s="639">
        <v>21316.782668999032</v>
      </c>
      <c r="I23" s="511">
        <f t="shared" ref="I23:I33" si="6">H23-G23</f>
        <v>0</v>
      </c>
      <c r="J23" s="511"/>
      <c r="K23" s="518">
        <f t="shared" ref="K23:K28" si="7">G23</f>
        <v>21316.782668999032</v>
      </c>
      <c r="L23" s="519">
        <f t="shared" ref="L23:L28" si="8">IF(K23&lt;&gt;0,+G23-K23,0)</f>
        <v>0</v>
      </c>
      <c r="M23" s="518">
        <f t="shared" ref="M23:M28" si="9">H23</f>
        <v>21316.782668999032</v>
      </c>
      <c r="N23" s="514">
        <f>IF(M23&lt;&gt;0,+H23-M23,0)</f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31">
        <v>134534.22678571433</v>
      </c>
      <c r="E24" s="630">
        <v>3727.8162790697675</v>
      </c>
      <c r="F24" s="631">
        <v>130806.41050664456</v>
      </c>
      <c r="G24" s="630">
        <v>20164.678191842031</v>
      </c>
      <c r="H24" s="639">
        <v>20164.678191842031</v>
      </c>
      <c r="I24" s="511">
        <f t="shared" si="6"/>
        <v>0</v>
      </c>
      <c r="J24" s="511"/>
      <c r="K24" s="518">
        <f t="shared" si="7"/>
        <v>20164.678191842031</v>
      </c>
      <c r="L24" s="519">
        <f t="shared" si="8"/>
        <v>0</v>
      </c>
      <c r="M24" s="518">
        <f t="shared" si="9"/>
        <v>20164.678191842031</v>
      </c>
      <c r="N24" s="514">
        <f>IF(M24&lt;&gt;0,+H24-M24,0)</f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31">
        <v>130806.41050664456</v>
      </c>
      <c r="E25" s="630">
        <v>3909.6609756097564</v>
      </c>
      <c r="F25" s="631">
        <v>126896.7495310348</v>
      </c>
      <c r="G25" s="630">
        <v>20285.936433586696</v>
      </c>
      <c r="H25" s="639">
        <v>20285.936433586696</v>
      </c>
      <c r="I25" s="511">
        <f t="shared" si="6"/>
        <v>0</v>
      </c>
      <c r="J25" s="511"/>
      <c r="K25" s="518">
        <f t="shared" si="7"/>
        <v>20285.936433586696</v>
      </c>
      <c r="L25" s="519">
        <f t="shared" si="8"/>
        <v>0</v>
      </c>
      <c r="M25" s="518">
        <f t="shared" si="9"/>
        <v>20285.936433586696</v>
      </c>
      <c r="N25" s="514">
        <f>IF(M25&lt;&gt;0,+H25-M25,0)</f>
        <v>0</v>
      </c>
      <c r="O25" s="514">
        <f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31">
        <v>126896.7495310348</v>
      </c>
      <c r="E26" s="630">
        <v>3909.6609756097564</v>
      </c>
      <c r="F26" s="631">
        <v>122987.08855542504</v>
      </c>
      <c r="G26" s="630">
        <v>19789.041594776594</v>
      </c>
      <c r="H26" s="639">
        <v>19789.041594776594</v>
      </c>
      <c r="I26" s="511">
        <f t="shared" si="6"/>
        <v>0</v>
      </c>
      <c r="J26" s="511"/>
      <c r="K26" s="518">
        <f t="shared" si="7"/>
        <v>19789.041594776594</v>
      </c>
      <c r="L26" s="519">
        <f t="shared" si="8"/>
        <v>0</v>
      </c>
      <c r="M26" s="518">
        <f t="shared" si="9"/>
        <v>19789.041594776594</v>
      </c>
      <c r="N26" s="514">
        <f t="shared" ref="N26:N72" si="10">IF(M26&lt;&gt;0,+H26-M26,0)</f>
        <v>0</v>
      </c>
      <c r="O26" s="514">
        <f t="shared" ref="O26:O72" si="11">+N26-L26</f>
        <v>0</v>
      </c>
      <c r="P26" s="272"/>
    </row>
    <row r="27" spans="2:16" ht="12.5">
      <c r="B27" s="195" t="str">
        <f t="shared" si="5"/>
        <v/>
      </c>
      <c r="C27" s="507">
        <f>IF(D11="","-",+C26+1)</f>
        <v>2020</v>
      </c>
      <c r="D27" s="631">
        <v>122987.08855542504</v>
      </c>
      <c r="E27" s="630">
        <v>3909.6609756097564</v>
      </c>
      <c r="F27" s="631">
        <v>119077.42757981528</v>
      </c>
      <c r="G27" s="630">
        <v>16295.552209349336</v>
      </c>
      <c r="H27" s="639">
        <v>16295.552209349336</v>
      </c>
      <c r="I27" s="511">
        <f t="shared" si="6"/>
        <v>0</v>
      </c>
      <c r="J27" s="511"/>
      <c r="K27" s="518">
        <f t="shared" si="7"/>
        <v>16295.552209349336</v>
      </c>
      <c r="L27" s="519">
        <f t="shared" si="8"/>
        <v>0</v>
      </c>
      <c r="M27" s="518">
        <f t="shared" si="9"/>
        <v>16295.552209349336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31">
        <v>119259.27227635524</v>
      </c>
      <c r="E28" s="630">
        <v>3816.5738095238098</v>
      </c>
      <c r="F28" s="631">
        <v>115442.69846683144</v>
      </c>
      <c r="G28" s="630">
        <v>16256.311624142963</v>
      </c>
      <c r="H28" s="639">
        <v>16256.311624142963</v>
      </c>
      <c r="I28" s="511">
        <f t="shared" si="6"/>
        <v>0</v>
      </c>
      <c r="J28" s="511"/>
      <c r="K28" s="518">
        <f t="shared" si="7"/>
        <v>16256.311624142963</v>
      </c>
      <c r="L28" s="519">
        <f t="shared" si="8"/>
        <v>0</v>
      </c>
      <c r="M28" s="518">
        <f t="shared" si="9"/>
        <v>16256.311624142963</v>
      </c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31">
        <v>115260.85377029145</v>
      </c>
      <c r="E29" s="630">
        <v>3816.5738095238098</v>
      </c>
      <c r="F29" s="631">
        <v>111444.27996076764</v>
      </c>
      <c r="G29" s="630">
        <v>16562.400820096133</v>
      </c>
      <c r="H29" s="639">
        <v>16562.400820096133</v>
      </c>
      <c r="I29" s="511">
        <f t="shared" si="6"/>
        <v>0</v>
      </c>
      <c r="J29" s="511"/>
      <c r="K29" s="518">
        <f t="shared" ref="K29" si="12">G29</f>
        <v>16562.400820096133</v>
      </c>
      <c r="L29" s="519">
        <f t="shared" ref="L29" si="13">IF(K29&lt;&gt;0,+G29-K29,0)</f>
        <v>0</v>
      </c>
      <c r="M29" s="518">
        <f t="shared" ref="M29" si="14">H29</f>
        <v>16562.400820096133</v>
      </c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111444.27996076764</v>
      </c>
      <c r="E30" s="522">
        <f>IF(+I14&lt;F29,I14,D30)</f>
        <v>3816.5738095238098</v>
      </c>
      <c r="F30" s="523">
        <f t="shared" ref="F30:F33" si="15">+D30-E30</f>
        <v>107627.70615124384</v>
      </c>
      <c r="G30" s="524">
        <f t="shared" ref="G30:G55" si="16">+I$12*((D30+F30)/2)+E30</f>
        <v>17653.903980447743</v>
      </c>
      <c r="H30" s="491">
        <f t="shared" ref="H30:H55" si="17">+I$13*((D30+F30)/2)+E30</f>
        <v>17653.903980447743</v>
      </c>
      <c r="I30" s="511">
        <f t="shared" si="6"/>
        <v>0</v>
      </c>
      <c r="J30" s="511"/>
      <c r="K30" s="525"/>
      <c r="L30" s="514">
        <f t="shared" ref="L30:L72" si="18">IF(K30&lt;&gt;0,+G30-K30,0)</f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107627.70615124384</v>
      </c>
      <c r="E31" s="522">
        <f>IF(+I14&lt;F30,I14,D31)</f>
        <v>3816.5738095238098</v>
      </c>
      <c r="F31" s="523">
        <f t="shared" si="15"/>
        <v>103811.13234172003</v>
      </c>
      <c r="G31" s="524">
        <f t="shared" si="16"/>
        <v>17171.768470003433</v>
      </c>
      <c r="H31" s="491">
        <f t="shared" si="17"/>
        <v>17171.768470003433</v>
      </c>
      <c r="I31" s="511">
        <f t="shared" si="6"/>
        <v>0</v>
      </c>
      <c r="J31" s="511"/>
      <c r="K31" s="525"/>
      <c r="L31" s="514">
        <f t="shared" si="18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103811.13234172003</v>
      </c>
      <c r="E32" s="522">
        <f>IF(+I14&lt;F31,I14,D32)</f>
        <v>3816.5738095238098</v>
      </c>
      <c r="F32" s="523">
        <f t="shared" si="15"/>
        <v>99994.558532196228</v>
      </c>
      <c r="G32" s="524">
        <f t="shared" si="16"/>
        <v>16689.63295955912</v>
      </c>
      <c r="H32" s="491">
        <f t="shared" si="17"/>
        <v>16689.63295955912</v>
      </c>
      <c r="I32" s="511">
        <f t="shared" si="6"/>
        <v>0</v>
      </c>
      <c r="J32" s="511"/>
      <c r="K32" s="525"/>
      <c r="L32" s="514">
        <f t="shared" si="18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99994.558532196228</v>
      </c>
      <c r="E33" s="522">
        <f>IF(+I14&lt;F32,I14,D33)</f>
        <v>3816.5738095238098</v>
      </c>
      <c r="F33" s="523">
        <f t="shared" si="15"/>
        <v>96177.984722672423</v>
      </c>
      <c r="G33" s="524">
        <f t="shared" si="16"/>
        <v>16207.497449114811</v>
      </c>
      <c r="H33" s="491">
        <f t="shared" si="17"/>
        <v>16207.497449114811</v>
      </c>
      <c r="I33" s="511">
        <f t="shared" si="6"/>
        <v>0</v>
      </c>
      <c r="J33" s="511"/>
      <c r="K33" s="525"/>
      <c r="L33" s="514">
        <f t="shared" si="18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96177.984722672423</v>
      </c>
      <c r="E34" s="522">
        <f>IF(+I14&lt;F33,I14,D34)</f>
        <v>3816.5738095238098</v>
      </c>
      <c r="F34" s="523">
        <f t="shared" ref="F34:F72" si="19">+D34-E34</f>
        <v>92361.410913148618</v>
      </c>
      <c r="G34" s="524">
        <f t="shared" si="16"/>
        <v>15725.3619386705</v>
      </c>
      <c r="H34" s="491">
        <f t="shared" si="17"/>
        <v>15725.3619386705</v>
      </c>
      <c r="I34" s="511">
        <f t="shared" ref="I34:I72" si="20">H34-G34</f>
        <v>0</v>
      </c>
      <c r="J34" s="511"/>
      <c r="K34" s="525"/>
      <c r="L34" s="514">
        <f t="shared" si="18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92361.410913148618</v>
      </c>
      <c r="E35" s="522">
        <f>IF(+I14&lt;F34,I14,D35)</f>
        <v>3816.5738095238098</v>
      </c>
      <c r="F35" s="523">
        <f t="shared" si="19"/>
        <v>88544.837103624814</v>
      </c>
      <c r="G35" s="524">
        <f t="shared" si="16"/>
        <v>15243.226428226189</v>
      </c>
      <c r="H35" s="491">
        <f t="shared" si="17"/>
        <v>15243.226428226189</v>
      </c>
      <c r="I35" s="511">
        <f t="shared" si="20"/>
        <v>0</v>
      </c>
      <c r="J35" s="511"/>
      <c r="K35" s="525"/>
      <c r="L35" s="514">
        <f t="shared" si="18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88544.837103624814</v>
      </c>
      <c r="E36" s="522">
        <f>IF(+I14&lt;F35,I14,D36)</f>
        <v>3816.5738095238098</v>
      </c>
      <c r="F36" s="523">
        <f t="shared" si="19"/>
        <v>84728.263294101009</v>
      </c>
      <c r="G36" s="524">
        <f t="shared" si="16"/>
        <v>14761.090917781878</v>
      </c>
      <c r="H36" s="491">
        <f t="shared" si="17"/>
        <v>14761.090917781878</v>
      </c>
      <c r="I36" s="511">
        <f t="shared" si="20"/>
        <v>0</v>
      </c>
      <c r="J36" s="511"/>
      <c r="K36" s="525"/>
      <c r="L36" s="514">
        <f t="shared" si="18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84728.263294101009</v>
      </c>
      <c r="E37" s="522">
        <f>IF(+I14&lt;F36,I14,D37)</f>
        <v>3816.5738095238098</v>
      </c>
      <c r="F37" s="523">
        <f t="shared" si="19"/>
        <v>80911.689484577204</v>
      </c>
      <c r="G37" s="524">
        <f t="shared" si="16"/>
        <v>14278.955407337568</v>
      </c>
      <c r="H37" s="491">
        <f t="shared" si="17"/>
        <v>14278.955407337568</v>
      </c>
      <c r="I37" s="511">
        <f t="shared" si="20"/>
        <v>0</v>
      </c>
      <c r="J37" s="511"/>
      <c r="K37" s="525"/>
      <c r="L37" s="514">
        <f t="shared" si="18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80911.689484577204</v>
      </c>
      <c r="E38" s="522">
        <f>IF(+I14&lt;F37,I14,D38)</f>
        <v>3816.5738095238098</v>
      </c>
      <c r="F38" s="523">
        <f t="shared" si="19"/>
        <v>77095.115675053399</v>
      </c>
      <c r="G38" s="524">
        <f t="shared" si="16"/>
        <v>13796.819896893256</v>
      </c>
      <c r="H38" s="491">
        <f t="shared" si="17"/>
        <v>13796.819896893256</v>
      </c>
      <c r="I38" s="511">
        <f t="shared" si="20"/>
        <v>0</v>
      </c>
      <c r="J38" s="511"/>
      <c r="K38" s="525"/>
      <c r="L38" s="514">
        <f t="shared" si="18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77095.115675053399</v>
      </c>
      <c r="E39" s="522">
        <f>IF(+I14&lt;F38,I14,D39)</f>
        <v>3816.5738095238098</v>
      </c>
      <c r="F39" s="523">
        <f t="shared" si="19"/>
        <v>73278.541865529594</v>
      </c>
      <c r="G39" s="524">
        <f t="shared" si="16"/>
        <v>13314.684386448946</v>
      </c>
      <c r="H39" s="491">
        <f t="shared" si="17"/>
        <v>13314.684386448946</v>
      </c>
      <c r="I39" s="511">
        <f t="shared" si="20"/>
        <v>0</v>
      </c>
      <c r="J39" s="511"/>
      <c r="K39" s="525"/>
      <c r="L39" s="514">
        <f t="shared" si="18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73278.541865529594</v>
      </c>
      <c r="E40" s="522">
        <f>IF(+I14&lt;F39,I14,D40)</f>
        <v>3816.5738095238098</v>
      </c>
      <c r="F40" s="523">
        <f t="shared" si="19"/>
        <v>69461.96805600579</v>
      </c>
      <c r="G40" s="524">
        <f t="shared" si="16"/>
        <v>12832.548876004634</v>
      </c>
      <c r="H40" s="491">
        <f t="shared" si="17"/>
        <v>12832.548876004634</v>
      </c>
      <c r="I40" s="511">
        <f t="shared" si="20"/>
        <v>0</v>
      </c>
      <c r="J40" s="511"/>
      <c r="K40" s="525"/>
      <c r="L40" s="514">
        <f t="shared" si="18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69461.96805600579</v>
      </c>
      <c r="E41" s="522">
        <f>IF(+I14&lt;F40,I14,D41)</f>
        <v>3816.5738095238098</v>
      </c>
      <c r="F41" s="523">
        <f t="shared" si="19"/>
        <v>65645.394246481985</v>
      </c>
      <c r="G41" s="524">
        <f t="shared" si="16"/>
        <v>12350.413365560322</v>
      </c>
      <c r="H41" s="491">
        <f t="shared" si="17"/>
        <v>12350.413365560322</v>
      </c>
      <c r="I41" s="511">
        <f t="shared" si="20"/>
        <v>0</v>
      </c>
      <c r="J41" s="511"/>
      <c r="K41" s="525"/>
      <c r="L41" s="514">
        <f t="shared" si="18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65645.394246481985</v>
      </c>
      <c r="E42" s="522">
        <f>IF(+I14&lt;F41,I14,D42)</f>
        <v>3816.5738095238098</v>
      </c>
      <c r="F42" s="523">
        <f t="shared" si="19"/>
        <v>61828.820436958173</v>
      </c>
      <c r="G42" s="524">
        <f t="shared" si="16"/>
        <v>11868.277855116012</v>
      </c>
      <c r="H42" s="491">
        <f t="shared" si="17"/>
        <v>11868.277855116012</v>
      </c>
      <c r="I42" s="511">
        <f t="shared" si="20"/>
        <v>0</v>
      </c>
      <c r="J42" s="511"/>
      <c r="K42" s="525"/>
      <c r="L42" s="514">
        <f t="shared" si="18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61828.820436958173</v>
      </c>
      <c r="E43" s="522">
        <f>IF(+I14&lt;F42,I14,D43)</f>
        <v>3816.5738095238098</v>
      </c>
      <c r="F43" s="523">
        <f t="shared" si="19"/>
        <v>58012.246627434361</v>
      </c>
      <c r="G43" s="524">
        <f t="shared" si="16"/>
        <v>11386.142344671698</v>
      </c>
      <c r="H43" s="491">
        <f t="shared" si="17"/>
        <v>11386.142344671698</v>
      </c>
      <c r="I43" s="511">
        <f t="shared" si="20"/>
        <v>0</v>
      </c>
      <c r="J43" s="511"/>
      <c r="K43" s="525"/>
      <c r="L43" s="514">
        <f t="shared" si="18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58012.246627434361</v>
      </c>
      <c r="E44" s="522">
        <f>IF(+I14&lt;F43,I14,D44)</f>
        <v>3816.5738095238098</v>
      </c>
      <c r="F44" s="523">
        <f t="shared" si="19"/>
        <v>54195.672817910548</v>
      </c>
      <c r="G44" s="524">
        <f t="shared" si="16"/>
        <v>10904.006834227386</v>
      </c>
      <c r="H44" s="491">
        <f t="shared" si="17"/>
        <v>10904.006834227386</v>
      </c>
      <c r="I44" s="511">
        <f t="shared" si="20"/>
        <v>0</v>
      </c>
      <c r="J44" s="511"/>
      <c r="K44" s="525"/>
      <c r="L44" s="514">
        <f t="shared" si="18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54195.672817910548</v>
      </c>
      <c r="E45" s="522">
        <f>IF(+I14&lt;F44,I14,D45)</f>
        <v>3816.5738095238098</v>
      </c>
      <c r="F45" s="523">
        <f t="shared" si="19"/>
        <v>50379.099008386736</v>
      </c>
      <c r="G45" s="524">
        <f t="shared" si="16"/>
        <v>10421.871323783074</v>
      </c>
      <c r="H45" s="491">
        <f t="shared" si="17"/>
        <v>10421.871323783074</v>
      </c>
      <c r="I45" s="511">
        <f t="shared" si="20"/>
        <v>0</v>
      </c>
      <c r="J45" s="511"/>
      <c r="K45" s="525"/>
      <c r="L45" s="514">
        <f t="shared" si="18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50379.099008386736</v>
      </c>
      <c r="E46" s="522">
        <f>IF(+I14&lt;F45,I14,D46)</f>
        <v>3816.5738095238098</v>
      </c>
      <c r="F46" s="523">
        <f t="shared" si="19"/>
        <v>46562.525198862924</v>
      </c>
      <c r="G46" s="524">
        <f t="shared" si="16"/>
        <v>9939.7358133387625</v>
      </c>
      <c r="H46" s="491">
        <f t="shared" si="17"/>
        <v>9939.7358133387625</v>
      </c>
      <c r="I46" s="511">
        <f t="shared" si="20"/>
        <v>0</v>
      </c>
      <c r="J46" s="511"/>
      <c r="K46" s="525"/>
      <c r="L46" s="514">
        <f t="shared" si="18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46562.525198862924</v>
      </c>
      <c r="E47" s="522">
        <f>IF(+I14&lt;F46,I14,D47)</f>
        <v>3816.5738095238098</v>
      </c>
      <c r="F47" s="523">
        <f t="shared" si="19"/>
        <v>42745.951389339112</v>
      </c>
      <c r="G47" s="524">
        <f t="shared" si="16"/>
        <v>9457.6003028944506</v>
      </c>
      <c r="H47" s="491">
        <f t="shared" si="17"/>
        <v>9457.6003028944506</v>
      </c>
      <c r="I47" s="511">
        <f t="shared" si="20"/>
        <v>0</v>
      </c>
      <c r="J47" s="511"/>
      <c r="K47" s="525"/>
      <c r="L47" s="514">
        <f t="shared" si="18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42745.951389339112</v>
      </c>
      <c r="E48" s="522">
        <f>IF(+I14&lt;F47,I14,D48)</f>
        <v>3816.5738095238098</v>
      </c>
      <c r="F48" s="523">
        <f t="shared" si="19"/>
        <v>38929.3775798153</v>
      </c>
      <c r="G48" s="524">
        <f t="shared" si="16"/>
        <v>8975.4647924501387</v>
      </c>
      <c r="H48" s="491">
        <f t="shared" si="17"/>
        <v>8975.4647924501387</v>
      </c>
      <c r="I48" s="511">
        <f t="shared" si="20"/>
        <v>0</v>
      </c>
      <c r="J48" s="511"/>
      <c r="K48" s="525"/>
      <c r="L48" s="514">
        <f t="shared" si="18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38929.3775798153</v>
      </c>
      <c r="E49" s="522">
        <f>IF(+I14&lt;F48,I14,D49)</f>
        <v>3816.5738095238098</v>
      </c>
      <c r="F49" s="523">
        <f t="shared" si="19"/>
        <v>35112.803770291488</v>
      </c>
      <c r="G49" s="524">
        <f t="shared" si="16"/>
        <v>8493.3292820058268</v>
      </c>
      <c r="H49" s="491">
        <f t="shared" si="17"/>
        <v>8493.3292820058268</v>
      </c>
      <c r="I49" s="511">
        <f t="shared" si="20"/>
        <v>0</v>
      </c>
      <c r="J49" s="511"/>
      <c r="K49" s="525"/>
      <c r="L49" s="514">
        <f t="shared" si="18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35112.803770291488</v>
      </c>
      <c r="E50" s="522">
        <f>IF(+I14&lt;F49,I14,D50)</f>
        <v>3816.5738095238098</v>
      </c>
      <c r="F50" s="523">
        <f t="shared" si="19"/>
        <v>31296.22996076768</v>
      </c>
      <c r="G50" s="524">
        <f t="shared" si="16"/>
        <v>8011.193771561515</v>
      </c>
      <c r="H50" s="491">
        <f t="shared" si="17"/>
        <v>8011.193771561515</v>
      </c>
      <c r="I50" s="511">
        <f t="shared" si="20"/>
        <v>0</v>
      </c>
      <c r="J50" s="511"/>
      <c r="K50" s="525"/>
      <c r="L50" s="514">
        <f t="shared" si="18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31296.22996076768</v>
      </c>
      <c r="E51" s="522">
        <f>IF(+I14&lt;F50,I14,D51)</f>
        <v>3816.5738095238098</v>
      </c>
      <c r="F51" s="523">
        <f t="shared" si="19"/>
        <v>27479.656151243871</v>
      </c>
      <c r="G51" s="524">
        <f t="shared" si="16"/>
        <v>7529.0582611172031</v>
      </c>
      <c r="H51" s="491">
        <f t="shared" si="17"/>
        <v>7529.0582611172031</v>
      </c>
      <c r="I51" s="511">
        <f t="shared" si="20"/>
        <v>0</v>
      </c>
      <c r="J51" s="511"/>
      <c r="K51" s="525"/>
      <c r="L51" s="514">
        <f t="shared" si="18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27479.656151243871</v>
      </c>
      <c r="E52" s="522">
        <f>IF(+I14&lt;F51,I14,D52)</f>
        <v>3816.5738095238098</v>
      </c>
      <c r="F52" s="523">
        <f t="shared" si="19"/>
        <v>23663.082341720063</v>
      </c>
      <c r="G52" s="524">
        <f t="shared" si="16"/>
        <v>7046.9227506728921</v>
      </c>
      <c r="H52" s="491">
        <f t="shared" si="17"/>
        <v>7046.9227506728921</v>
      </c>
      <c r="I52" s="511">
        <f t="shared" si="20"/>
        <v>0</v>
      </c>
      <c r="J52" s="511"/>
      <c r="K52" s="525"/>
      <c r="L52" s="514">
        <f t="shared" si="18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23663.082341720063</v>
      </c>
      <c r="E53" s="522">
        <f>IF(+I14&lt;F52,I14,D53)</f>
        <v>3816.5738095238098</v>
      </c>
      <c r="F53" s="523">
        <f t="shared" si="19"/>
        <v>19846.508532196254</v>
      </c>
      <c r="G53" s="524">
        <f t="shared" si="16"/>
        <v>6564.7872402285802</v>
      </c>
      <c r="H53" s="491">
        <f t="shared" si="17"/>
        <v>6564.7872402285802</v>
      </c>
      <c r="I53" s="511">
        <f t="shared" si="20"/>
        <v>0</v>
      </c>
      <c r="J53" s="511"/>
      <c r="K53" s="525"/>
      <c r="L53" s="514">
        <f t="shared" si="18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19846.508532196254</v>
      </c>
      <c r="E54" s="522">
        <f>IF(+I14&lt;F53,I14,D54)</f>
        <v>3816.5738095238098</v>
      </c>
      <c r="F54" s="523">
        <f t="shared" si="19"/>
        <v>16029.934722672444</v>
      </c>
      <c r="G54" s="524">
        <f t="shared" si="16"/>
        <v>6082.6517297842684</v>
      </c>
      <c r="H54" s="491">
        <f t="shared" si="17"/>
        <v>6082.6517297842684</v>
      </c>
      <c r="I54" s="511">
        <f t="shared" si="20"/>
        <v>0</v>
      </c>
      <c r="J54" s="511"/>
      <c r="K54" s="525"/>
      <c r="L54" s="514">
        <f t="shared" si="18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16029.934722672444</v>
      </c>
      <c r="E55" s="522">
        <f>IF(+I14&lt;F54,I14,D55)</f>
        <v>3816.5738095238098</v>
      </c>
      <c r="F55" s="523">
        <f t="shared" si="19"/>
        <v>12213.360913148634</v>
      </c>
      <c r="G55" s="524">
        <f t="shared" si="16"/>
        <v>5600.5162193399574</v>
      </c>
      <c r="H55" s="491">
        <f t="shared" si="17"/>
        <v>5600.5162193399574</v>
      </c>
      <c r="I55" s="511">
        <f t="shared" si="20"/>
        <v>0</v>
      </c>
      <c r="J55" s="511"/>
      <c r="K55" s="525"/>
      <c r="L55" s="514">
        <f t="shared" si="18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12213.360913148634</v>
      </c>
      <c r="E56" s="522">
        <f>IF(+I14&lt;F55,I14,D56)</f>
        <v>3816.5738095238098</v>
      </c>
      <c r="F56" s="523">
        <f t="shared" si="19"/>
        <v>8396.7871036248234</v>
      </c>
      <c r="G56" s="524">
        <f t="shared" ref="G56:G72" si="21">+I$12*((D56+F56)/2)+E56</f>
        <v>5118.3807088956455</v>
      </c>
      <c r="H56" s="491">
        <f t="shared" ref="H56:H72" si="22">+I$13*((D56+F56)/2)+E56</f>
        <v>5118.3807088956455</v>
      </c>
      <c r="I56" s="511">
        <f t="shared" si="20"/>
        <v>0</v>
      </c>
      <c r="J56" s="511"/>
      <c r="K56" s="525"/>
      <c r="L56" s="514">
        <f t="shared" si="18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8396.7871036248234</v>
      </c>
      <c r="E57" s="522">
        <f>IF(+I14&lt;F56,I14,D57)</f>
        <v>3816.5738095238098</v>
      </c>
      <c r="F57" s="523">
        <f t="shared" si="19"/>
        <v>4580.2132941010132</v>
      </c>
      <c r="G57" s="524">
        <f t="shared" si="21"/>
        <v>4636.2451984513336</v>
      </c>
      <c r="H57" s="491">
        <f t="shared" si="22"/>
        <v>4636.2451984513336</v>
      </c>
      <c r="I57" s="511">
        <f t="shared" si="20"/>
        <v>0</v>
      </c>
      <c r="J57" s="511"/>
      <c r="K57" s="525"/>
      <c r="L57" s="514">
        <f t="shared" si="18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4580.2132941010132</v>
      </c>
      <c r="E58" s="522">
        <f>IF(+I14&lt;F57,I14,D58)</f>
        <v>3816.5738095238098</v>
      </c>
      <c r="F58" s="523">
        <f t="shared" si="19"/>
        <v>763.63948457720335</v>
      </c>
      <c r="G58" s="524">
        <f t="shared" si="21"/>
        <v>4154.1096880070218</v>
      </c>
      <c r="H58" s="491">
        <f t="shared" si="22"/>
        <v>4154.1096880070218</v>
      </c>
      <c r="I58" s="511">
        <f t="shared" si="20"/>
        <v>0</v>
      </c>
      <c r="J58" s="511"/>
      <c r="K58" s="525"/>
      <c r="L58" s="514">
        <f t="shared" si="18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763.63948457720335</v>
      </c>
      <c r="E59" s="522">
        <f>IF(+I14&lt;F58,I14,D59)</f>
        <v>763.63948457720335</v>
      </c>
      <c r="F59" s="523">
        <f t="shared" si="19"/>
        <v>0</v>
      </c>
      <c r="G59" s="524">
        <f t="shared" si="21"/>
        <v>811.87354620773135</v>
      </c>
      <c r="H59" s="491">
        <f t="shared" si="22"/>
        <v>811.87354620773135</v>
      </c>
      <c r="I59" s="511">
        <f t="shared" si="20"/>
        <v>0</v>
      </c>
      <c r="J59" s="511"/>
      <c r="K59" s="525"/>
      <c r="L59" s="514">
        <f t="shared" si="18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9"/>
        <v>0</v>
      </c>
      <c r="G60" s="524">
        <f t="shared" si="21"/>
        <v>0</v>
      </c>
      <c r="H60" s="491">
        <f t="shared" si="22"/>
        <v>0</v>
      </c>
      <c r="I60" s="511">
        <f t="shared" si="20"/>
        <v>0</v>
      </c>
      <c r="J60" s="511"/>
      <c r="K60" s="525"/>
      <c r="L60" s="514">
        <f t="shared" si="18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9"/>
        <v>0</v>
      </c>
      <c r="G61" s="526">
        <f t="shared" si="21"/>
        <v>0</v>
      </c>
      <c r="H61" s="491">
        <f t="shared" si="22"/>
        <v>0</v>
      </c>
      <c r="I61" s="511">
        <f t="shared" si="20"/>
        <v>0</v>
      </c>
      <c r="J61" s="511"/>
      <c r="K61" s="525"/>
      <c r="L61" s="514">
        <f t="shared" si="18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9"/>
        <v>0</v>
      </c>
      <c r="G62" s="526">
        <f t="shared" si="21"/>
        <v>0</v>
      </c>
      <c r="H62" s="491">
        <f t="shared" si="22"/>
        <v>0</v>
      </c>
      <c r="I62" s="511">
        <f t="shared" si="20"/>
        <v>0</v>
      </c>
      <c r="J62" s="511"/>
      <c r="K62" s="525"/>
      <c r="L62" s="514">
        <f t="shared" si="18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9"/>
        <v>0</v>
      </c>
      <c r="G63" s="526">
        <f t="shared" si="21"/>
        <v>0</v>
      </c>
      <c r="H63" s="491">
        <f t="shared" si="22"/>
        <v>0</v>
      </c>
      <c r="I63" s="511">
        <f t="shared" si="20"/>
        <v>0</v>
      </c>
      <c r="J63" s="511"/>
      <c r="K63" s="525"/>
      <c r="L63" s="514">
        <f t="shared" si="18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9"/>
        <v>0</v>
      </c>
      <c r="G64" s="526">
        <f t="shared" si="21"/>
        <v>0</v>
      </c>
      <c r="H64" s="491">
        <f t="shared" si="22"/>
        <v>0</v>
      </c>
      <c r="I64" s="511">
        <f t="shared" si="20"/>
        <v>0</v>
      </c>
      <c r="J64" s="511"/>
      <c r="K64" s="525"/>
      <c r="L64" s="514">
        <f t="shared" si="18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9"/>
        <v>0</v>
      </c>
      <c r="G65" s="526">
        <f t="shared" si="21"/>
        <v>0</v>
      </c>
      <c r="H65" s="491">
        <f t="shared" si="22"/>
        <v>0</v>
      </c>
      <c r="I65" s="511">
        <f t="shared" si="20"/>
        <v>0</v>
      </c>
      <c r="J65" s="511"/>
      <c r="K65" s="525"/>
      <c r="L65" s="514">
        <f t="shared" si="18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9"/>
        <v>0</v>
      </c>
      <c r="G66" s="526">
        <f t="shared" si="21"/>
        <v>0</v>
      </c>
      <c r="H66" s="491">
        <f t="shared" si="22"/>
        <v>0</v>
      </c>
      <c r="I66" s="511">
        <f t="shared" si="20"/>
        <v>0</v>
      </c>
      <c r="J66" s="511"/>
      <c r="K66" s="525"/>
      <c r="L66" s="514">
        <f t="shared" si="18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9"/>
        <v>0</v>
      </c>
      <c r="G67" s="526">
        <f t="shared" si="21"/>
        <v>0</v>
      </c>
      <c r="H67" s="491">
        <f t="shared" si="22"/>
        <v>0</v>
      </c>
      <c r="I67" s="511">
        <f t="shared" si="20"/>
        <v>0</v>
      </c>
      <c r="J67" s="511"/>
      <c r="K67" s="525"/>
      <c r="L67" s="514">
        <f t="shared" si="18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9"/>
        <v>0</v>
      </c>
      <c r="G68" s="526">
        <f t="shared" si="21"/>
        <v>0</v>
      </c>
      <c r="H68" s="491">
        <f t="shared" si="22"/>
        <v>0</v>
      </c>
      <c r="I68" s="511">
        <f t="shared" si="20"/>
        <v>0</v>
      </c>
      <c r="J68" s="511"/>
      <c r="K68" s="525"/>
      <c r="L68" s="514">
        <f t="shared" si="18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9"/>
        <v>0</v>
      </c>
      <c r="G69" s="526">
        <f t="shared" si="21"/>
        <v>0</v>
      </c>
      <c r="H69" s="491">
        <f t="shared" si="22"/>
        <v>0</v>
      </c>
      <c r="I69" s="511">
        <f t="shared" si="20"/>
        <v>0</v>
      </c>
      <c r="J69" s="511"/>
      <c r="K69" s="525"/>
      <c r="L69" s="514">
        <f t="shared" si="18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9"/>
        <v>0</v>
      </c>
      <c r="G70" s="526">
        <f t="shared" si="21"/>
        <v>0</v>
      </c>
      <c r="H70" s="491">
        <f t="shared" si="22"/>
        <v>0</v>
      </c>
      <c r="I70" s="511">
        <f t="shared" si="20"/>
        <v>0</v>
      </c>
      <c r="J70" s="511"/>
      <c r="K70" s="525"/>
      <c r="L70" s="514">
        <f t="shared" si="18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9"/>
        <v>0</v>
      </c>
      <c r="G71" s="526">
        <f t="shared" si="21"/>
        <v>0</v>
      </c>
      <c r="H71" s="491">
        <f t="shared" si="22"/>
        <v>0</v>
      </c>
      <c r="I71" s="511">
        <f t="shared" si="20"/>
        <v>0</v>
      </c>
      <c r="J71" s="511"/>
      <c r="K71" s="525"/>
      <c r="L71" s="514">
        <f t="shared" si="18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9"/>
        <v>0</v>
      </c>
      <c r="G72" s="530">
        <f t="shared" si="21"/>
        <v>0</v>
      </c>
      <c r="H72" s="471">
        <f t="shared" si="22"/>
        <v>0</v>
      </c>
      <c r="I72" s="531">
        <f t="shared" si="20"/>
        <v>0</v>
      </c>
      <c r="J72" s="511"/>
      <c r="K72" s="532"/>
      <c r="L72" s="533">
        <f t="shared" si="18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160296.09999999995</v>
      </c>
      <c r="F73" s="375"/>
      <c r="G73" s="375">
        <f>SUM(G17:G72)</f>
        <v>588913.86215523304</v>
      </c>
      <c r="H73" s="375">
        <f>SUM(H17:H72)</f>
        <v>588913.86215523304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48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16256.311624142963</v>
      </c>
      <c r="N87" s="546">
        <f>IF(J92&lt;D11,0,VLOOKUP(J92,C17:O72,11))</f>
        <v>16256.311624142963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19353.370181681992</v>
      </c>
      <c r="N88" s="550">
        <f>IF(J92&lt;D11,0,VLOOKUP(J92,C99:P154,7))</f>
        <v>19353.370181681992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MINEOLA - NORTH MINEOLA 69KV CKT 1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3097.0585575390287</v>
      </c>
      <c r="N89" s="555">
        <f>+N88-N87</f>
        <v>3097.0585575390287</v>
      </c>
      <c r="O89" s="556">
        <f>+O88-O87</f>
        <v>0</v>
      </c>
      <c r="P89" s="269"/>
    </row>
    <row r="90" spans="1:16" ht="13.5" thickBot="1">
      <c r="C90" s="534"/>
      <c r="D90" s="646" t="str">
        <f>S.047!D90</f>
        <v xml:space="preserve">***Sch. 11 recovery commenced in the 2015 rate year.  Beg Bal = to depreciated balance as of 1/1/15. *** 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TP2007166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160296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3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3909.6585365853657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2010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3">IF(L99&lt;&gt;0,+H99-L99,0)</f>
        <v>0</v>
      </c>
      <c r="N99" s="512"/>
      <c r="O99" s="513">
        <f t="shared" ref="O99:O130" si="24">IF(N99&lt;&gt;0,+I99-N99,0)</f>
        <v>0</v>
      </c>
      <c r="P99" s="513">
        <f t="shared" ref="P99:P130" si="25">+O99-M99</f>
        <v>0</v>
      </c>
    </row>
    <row r="100" spans="1:16" ht="12.5">
      <c r="B100" s="195" t="str">
        <f>IF(D100=F99,"","IU")</f>
        <v/>
      </c>
      <c r="C100" s="507">
        <f>IF(D93="","-",+C99+1)</f>
        <v>2011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3"/>
        <v>0</v>
      </c>
      <c r="N100" s="518"/>
      <c r="O100" s="514">
        <f t="shared" si="24"/>
        <v>0</v>
      </c>
      <c r="P100" s="514">
        <f t="shared" si="25"/>
        <v>0</v>
      </c>
    </row>
    <row r="101" spans="1:16" ht="12.5">
      <c r="B101" s="195" t="str">
        <f t="shared" ref="B101:B154" si="26">IF(D101=F100,"","IU")</f>
        <v/>
      </c>
      <c r="C101" s="507">
        <f>IF(D93="","-",+C100+1)</f>
        <v>2012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3"/>
        <v>0</v>
      </c>
      <c r="N101" s="518"/>
      <c r="O101" s="514">
        <f t="shared" si="24"/>
        <v>0</v>
      </c>
      <c r="P101" s="514">
        <f t="shared" si="25"/>
        <v>0</v>
      </c>
    </row>
    <row r="102" spans="1:16" ht="12.5">
      <c r="B102" s="195" t="str">
        <f t="shared" si="26"/>
        <v/>
      </c>
      <c r="C102" s="507">
        <f>IF(D93="","-",+C101+1)</f>
        <v>2013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23"/>
        <v>0</v>
      </c>
      <c r="N102" s="518"/>
      <c r="O102" s="514">
        <f t="shared" si="24"/>
        <v>0</v>
      </c>
      <c r="P102" s="514">
        <f t="shared" si="25"/>
        <v>0</v>
      </c>
    </row>
    <row r="103" spans="1:16" ht="12.5">
      <c r="B103" s="195" t="str">
        <f t="shared" si="26"/>
        <v/>
      </c>
      <c r="C103" s="507">
        <f>IF(D93="","-",+C102+1)</f>
        <v>2014</v>
      </c>
      <c r="D103" s="374"/>
      <c r="E103" s="522"/>
      <c r="F103" s="523"/>
      <c r="G103" s="523"/>
      <c r="H103" s="526"/>
      <c r="I103" s="577"/>
      <c r="J103" s="514"/>
      <c r="K103" s="514"/>
      <c r="L103" s="518"/>
      <c r="M103" s="514">
        <f t="shared" si="23"/>
        <v>0</v>
      </c>
      <c r="N103" s="518"/>
      <c r="O103" s="514">
        <f t="shared" si="24"/>
        <v>0</v>
      </c>
      <c r="P103" s="514">
        <f t="shared" si="25"/>
        <v>0</v>
      </c>
    </row>
    <row r="104" spans="1:16" ht="12.5">
      <c r="B104" s="195" t="str">
        <f t="shared" si="26"/>
        <v>IU</v>
      </c>
      <c r="C104" s="507">
        <f>IF(D93="","-",+C103+1)</f>
        <v>2015</v>
      </c>
      <c r="D104" s="629">
        <v>142167.37440476194</v>
      </c>
      <c r="E104" s="630">
        <v>3384.9374858276651</v>
      </c>
      <c r="F104" s="631">
        <v>138782.43691893428</v>
      </c>
      <c r="G104" s="631">
        <v>140474.90566184811</v>
      </c>
      <c r="H104" s="633">
        <v>21895.158174484655</v>
      </c>
      <c r="I104" s="634">
        <v>21895.158174484655</v>
      </c>
      <c r="J104" s="514">
        <f>+I104-H104</f>
        <v>0</v>
      </c>
      <c r="K104" s="514"/>
      <c r="L104" s="518">
        <f t="shared" ref="L104:L109" si="27">+H104</f>
        <v>21895.158174484655</v>
      </c>
      <c r="M104" s="514">
        <f t="shared" si="23"/>
        <v>0</v>
      </c>
      <c r="N104" s="518">
        <f t="shared" ref="N104:N109" si="28">+I104</f>
        <v>21895.158174484655</v>
      </c>
      <c r="O104" s="514">
        <f t="shared" si="24"/>
        <v>0</v>
      </c>
      <c r="P104" s="514">
        <f t="shared" si="25"/>
        <v>0</v>
      </c>
    </row>
    <row r="105" spans="1:16" ht="12.5">
      <c r="B105" s="195" t="str">
        <f t="shared" si="26"/>
        <v>IU</v>
      </c>
      <c r="C105" s="507">
        <f>IF(D93="","-",+C104+1)</f>
        <v>2016</v>
      </c>
      <c r="D105" s="629">
        <v>156911.06251417234</v>
      </c>
      <c r="E105" s="630">
        <v>3727.8139534883721</v>
      </c>
      <c r="F105" s="631">
        <v>153183.24856068398</v>
      </c>
      <c r="G105" s="631">
        <v>155047.15553742816</v>
      </c>
      <c r="H105" s="633">
        <v>23411.048533108711</v>
      </c>
      <c r="I105" s="634">
        <v>23411.048533108711</v>
      </c>
      <c r="J105" s="514">
        <f>+I105-H105</f>
        <v>0</v>
      </c>
      <c r="K105" s="514"/>
      <c r="L105" s="518">
        <f t="shared" si="27"/>
        <v>23411.048533108711</v>
      </c>
      <c r="M105" s="514">
        <f>IF(L105&lt;&gt;0,+H105-L105,0)</f>
        <v>0</v>
      </c>
      <c r="N105" s="518">
        <f t="shared" si="28"/>
        <v>23411.048533108711</v>
      </c>
      <c r="O105" s="514">
        <f>IF(N105&lt;&gt;0,+I105-N105,0)</f>
        <v>0</v>
      </c>
      <c r="P105" s="514">
        <f>+O105-M105</f>
        <v>0</v>
      </c>
    </row>
    <row r="106" spans="1:16" ht="12.5">
      <c r="B106" s="195" t="str">
        <f t="shared" si="26"/>
        <v/>
      </c>
      <c r="C106" s="507">
        <f>IF(D93="","-",+C105+1)</f>
        <v>2017</v>
      </c>
      <c r="D106" s="629">
        <v>153183.24856068398</v>
      </c>
      <c r="E106" s="630">
        <v>3816.5714285714284</v>
      </c>
      <c r="F106" s="631">
        <v>149366.67713211256</v>
      </c>
      <c r="G106" s="631">
        <v>151274.96284639827</v>
      </c>
      <c r="H106" s="633">
        <v>22192.161676613654</v>
      </c>
      <c r="I106" s="634">
        <v>22192.161676613654</v>
      </c>
      <c r="J106" s="514">
        <f t="shared" ref="J106:J154" si="29">+I106-H106</f>
        <v>0</v>
      </c>
      <c r="K106" s="514"/>
      <c r="L106" s="518">
        <f t="shared" si="27"/>
        <v>22192.161676613654</v>
      </c>
      <c r="M106" s="514">
        <f>IF(L106&lt;&gt;0,+H106-L106,0)</f>
        <v>0</v>
      </c>
      <c r="N106" s="518">
        <f t="shared" si="28"/>
        <v>22192.161676613654</v>
      </c>
      <c r="O106" s="514">
        <f>IF(N106&lt;&gt;0,+I106-N106,0)</f>
        <v>0</v>
      </c>
      <c r="P106" s="514">
        <f>+O106-M106</f>
        <v>0</v>
      </c>
    </row>
    <row r="107" spans="1:16" ht="12.5">
      <c r="B107" s="195" t="str">
        <f t="shared" si="26"/>
        <v/>
      </c>
      <c r="C107" s="507">
        <f>IF(D93="","-",+C106+1)</f>
        <v>2018</v>
      </c>
      <c r="D107" s="629">
        <v>149366.67713211256</v>
      </c>
      <c r="E107" s="630">
        <v>3816.5714285714284</v>
      </c>
      <c r="F107" s="631">
        <v>145550.10570354114</v>
      </c>
      <c r="G107" s="631">
        <v>147458.39141782685</v>
      </c>
      <c r="H107" s="633">
        <v>19388.853779903409</v>
      </c>
      <c r="I107" s="634">
        <v>19388.853779903409</v>
      </c>
      <c r="J107" s="514">
        <f t="shared" si="29"/>
        <v>0</v>
      </c>
      <c r="K107" s="514"/>
      <c r="L107" s="518">
        <f t="shared" si="27"/>
        <v>19388.853779903409</v>
      </c>
      <c r="M107" s="514">
        <f>IF(L107&lt;&gt;0,+H107-L107,0)</f>
        <v>0</v>
      </c>
      <c r="N107" s="518">
        <f t="shared" si="28"/>
        <v>19388.853779903409</v>
      </c>
      <c r="O107" s="514">
        <f>IF(N107&lt;&gt;0,+I107-N107,0)</f>
        <v>0</v>
      </c>
      <c r="P107" s="514">
        <f t="shared" si="25"/>
        <v>0</v>
      </c>
    </row>
    <row r="108" spans="1:16" ht="12.5">
      <c r="B108" s="195" t="str">
        <f t="shared" si="26"/>
        <v/>
      </c>
      <c r="C108" s="507">
        <f>IF(D93="","-",+C107+1)</f>
        <v>2019</v>
      </c>
      <c r="D108" s="629">
        <v>145550.10570354114</v>
      </c>
      <c r="E108" s="630">
        <v>3727.8139534883721</v>
      </c>
      <c r="F108" s="631">
        <v>141822.29175005277</v>
      </c>
      <c r="G108" s="631">
        <v>143686.19872679695</v>
      </c>
      <c r="H108" s="633">
        <v>19108.063195756004</v>
      </c>
      <c r="I108" s="634">
        <v>19108.063195756004</v>
      </c>
      <c r="J108" s="514">
        <f t="shared" si="29"/>
        <v>0</v>
      </c>
      <c r="K108" s="514"/>
      <c r="L108" s="518">
        <f t="shared" si="27"/>
        <v>19108.063195756004</v>
      </c>
      <c r="M108" s="514">
        <f>IF(L108&lt;&gt;0,+H108-L108,0)</f>
        <v>0</v>
      </c>
      <c r="N108" s="518">
        <f t="shared" si="28"/>
        <v>19108.063195756004</v>
      </c>
      <c r="O108" s="514">
        <f t="shared" si="24"/>
        <v>0</v>
      </c>
      <c r="P108" s="514">
        <f t="shared" si="25"/>
        <v>0</v>
      </c>
    </row>
    <row r="109" spans="1:16" ht="12.5">
      <c r="B109" s="195" t="str">
        <f t="shared" si="26"/>
        <v/>
      </c>
      <c r="C109" s="507">
        <f>IF(D93="","-",+C108+1)</f>
        <v>2020</v>
      </c>
      <c r="D109" s="629">
        <v>141822.29175005277</v>
      </c>
      <c r="E109" s="630">
        <v>3816.5714285714284</v>
      </c>
      <c r="F109" s="631">
        <v>138005.72032148135</v>
      </c>
      <c r="G109" s="631">
        <v>139914.00603576706</v>
      </c>
      <c r="H109" s="633">
        <v>18867.657278370214</v>
      </c>
      <c r="I109" s="634">
        <v>18867.657278370214</v>
      </c>
      <c r="J109" s="514">
        <f t="shared" si="29"/>
        <v>0</v>
      </c>
      <c r="K109" s="514"/>
      <c r="L109" s="518">
        <f t="shared" si="27"/>
        <v>18867.657278370214</v>
      </c>
      <c r="M109" s="514">
        <f>IF(L109&lt;&gt;0,+H109-L109,0)</f>
        <v>0</v>
      </c>
      <c r="N109" s="518">
        <f t="shared" si="28"/>
        <v>18867.657278370214</v>
      </c>
      <c r="O109" s="514">
        <f t="shared" si="24"/>
        <v>0</v>
      </c>
      <c r="P109" s="514">
        <f t="shared" si="25"/>
        <v>0</v>
      </c>
    </row>
    <row r="110" spans="1:16" ht="12.5">
      <c r="B110" s="195" t="str">
        <f t="shared" si="26"/>
        <v/>
      </c>
      <c r="C110" s="507">
        <f>IF(D93="","-",+C109+1)</f>
        <v>2021</v>
      </c>
      <c r="D110" s="374">
        <f>IF(F109+SUM(E$99:E109)=D$92,F109,D$92-SUM(E$99:E109))</f>
        <v>138005.72032148135</v>
      </c>
      <c r="E110" s="522">
        <f t="shared" ref="E110:E154" si="30">IF(+$J$96&lt;F109,$J$96,D110)</f>
        <v>3909.6585365853657</v>
      </c>
      <c r="F110" s="523">
        <f t="shared" ref="F110:F154" si="31">+D110-E110</f>
        <v>134096.06178489598</v>
      </c>
      <c r="G110" s="523">
        <f t="shared" ref="G110:G154" si="32">+(F110+D110)/2</f>
        <v>136050.89105318865</v>
      </c>
      <c r="H110" s="526">
        <f t="shared" ref="H110:H154" si="33">+J$94*G110+E110</f>
        <v>19353.370181681992</v>
      </c>
      <c r="I110" s="577">
        <f t="shared" ref="I110:I154" si="34">+J$95*G110+E110</f>
        <v>19353.370181681992</v>
      </c>
      <c r="J110" s="514">
        <f t="shared" si="29"/>
        <v>0</v>
      </c>
      <c r="K110" s="514"/>
      <c r="L110" s="525"/>
      <c r="M110" s="514">
        <f t="shared" si="23"/>
        <v>0</v>
      </c>
      <c r="N110" s="525"/>
      <c r="O110" s="514">
        <f t="shared" si="24"/>
        <v>0</v>
      </c>
      <c r="P110" s="514">
        <f t="shared" si="25"/>
        <v>0</v>
      </c>
    </row>
    <row r="111" spans="1:16" ht="12.5">
      <c r="B111" s="195" t="str">
        <f t="shared" si="26"/>
        <v/>
      </c>
      <c r="C111" s="507">
        <f>IF(D93="","-",+C110+1)</f>
        <v>2022</v>
      </c>
      <c r="D111" s="374">
        <f>IF(F110+SUM(E$99:E110)=D$92,F110,D$92-SUM(E$99:E110))</f>
        <v>134096.06178489598</v>
      </c>
      <c r="E111" s="522">
        <f t="shared" si="30"/>
        <v>3909.6585365853657</v>
      </c>
      <c r="F111" s="523">
        <f t="shared" si="31"/>
        <v>130186.40324831061</v>
      </c>
      <c r="G111" s="523">
        <f t="shared" si="32"/>
        <v>132141.23251660331</v>
      </c>
      <c r="H111" s="526">
        <f t="shared" si="33"/>
        <v>18909.568317523608</v>
      </c>
      <c r="I111" s="577">
        <f t="shared" si="34"/>
        <v>18909.568317523608</v>
      </c>
      <c r="J111" s="514">
        <f t="shared" si="29"/>
        <v>0</v>
      </c>
      <c r="K111" s="514"/>
      <c r="L111" s="525"/>
      <c r="M111" s="514">
        <f t="shared" si="23"/>
        <v>0</v>
      </c>
      <c r="N111" s="525"/>
      <c r="O111" s="514">
        <f t="shared" si="24"/>
        <v>0</v>
      </c>
      <c r="P111" s="514">
        <f t="shared" si="25"/>
        <v>0</v>
      </c>
    </row>
    <row r="112" spans="1:16" ht="12.5">
      <c r="B112" s="195" t="str">
        <f t="shared" si="26"/>
        <v/>
      </c>
      <c r="C112" s="507">
        <f>IF(D93="","-",+C111+1)</f>
        <v>2023</v>
      </c>
      <c r="D112" s="374">
        <f>IF(F111+SUM(E$99:E111)=D$92,F111,D$92-SUM(E$99:E111))</f>
        <v>130186.40324831061</v>
      </c>
      <c r="E112" s="522">
        <f t="shared" si="30"/>
        <v>3909.6585365853657</v>
      </c>
      <c r="F112" s="523">
        <f t="shared" si="31"/>
        <v>126276.74471172524</v>
      </c>
      <c r="G112" s="523">
        <f t="shared" si="32"/>
        <v>128231.57398001793</v>
      </c>
      <c r="H112" s="526">
        <f t="shared" si="33"/>
        <v>18465.766453365217</v>
      </c>
      <c r="I112" s="577">
        <f t="shared" si="34"/>
        <v>18465.766453365217</v>
      </c>
      <c r="J112" s="514">
        <f t="shared" si="29"/>
        <v>0</v>
      </c>
      <c r="K112" s="514"/>
      <c r="L112" s="525"/>
      <c r="M112" s="514">
        <f t="shared" si="23"/>
        <v>0</v>
      </c>
      <c r="N112" s="525"/>
      <c r="O112" s="514">
        <f t="shared" si="24"/>
        <v>0</v>
      </c>
      <c r="P112" s="514">
        <f t="shared" si="25"/>
        <v>0</v>
      </c>
    </row>
    <row r="113" spans="2:16" ht="12.5">
      <c r="B113" s="195" t="str">
        <f t="shared" si="26"/>
        <v/>
      </c>
      <c r="C113" s="507">
        <f>IF(D93="","-",+C112+1)</f>
        <v>2024</v>
      </c>
      <c r="D113" s="374">
        <f>IF(F112+SUM(E$99:E112)=D$92,F112,D$92-SUM(E$99:E112))</f>
        <v>126276.74471172524</v>
      </c>
      <c r="E113" s="522">
        <f t="shared" si="30"/>
        <v>3909.6585365853657</v>
      </c>
      <c r="F113" s="523">
        <f t="shared" si="31"/>
        <v>122367.08617513988</v>
      </c>
      <c r="G113" s="523">
        <f t="shared" si="32"/>
        <v>124321.91544343256</v>
      </c>
      <c r="H113" s="526">
        <f t="shared" si="33"/>
        <v>18021.964589206829</v>
      </c>
      <c r="I113" s="577">
        <f t="shared" si="34"/>
        <v>18021.964589206829</v>
      </c>
      <c r="J113" s="514">
        <f t="shared" si="29"/>
        <v>0</v>
      </c>
      <c r="K113" s="514"/>
      <c r="L113" s="525"/>
      <c r="M113" s="514">
        <f t="shared" si="23"/>
        <v>0</v>
      </c>
      <c r="N113" s="525"/>
      <c r="O113" s="514">
        <f t="shared" si="24"/>
        <v>0</v>
      </c>
      <c r="P113" s="514">
        <f t="shared" si="25"/>
        <v>0</v>
      </c>
    </row>
    <row r="114" spans="2:16" ht="12.5">
      <c r="B114" s="195" t="str">
        <f t="shared" si="26"/>
        <v/>
      </c>
      <c r="C114" s="507">
        <f>IF(D93="","-",+C113+1)</f>
        <v>2025</v>
      </c>
      <c r="D114" s="374">
        <f>IF(F113+SUM(E$99:E113)=D$92,F113,D$92-SUM(E$99:E113))</f>
        <v>122367.08617513988</v>
      </c>
      <c r="E114" s="522">
        <f t="shared" si="30"/>
        <v>3909.6585365853657</v>
      </c>
      <c r="F114" s="523">
        <f t="shared" si="31"/>
        <v>118457.42763855451</v>
      </c>
      <c r="G114" s="523">
        <f t="shared" si="32"/>
        <v>120412.25690684719</v>
      </c>
      <c r="H114" s="526">
        <f t="shared" si="33"/>
        <v>17578.162725048442</v>
      </c>
      <c r="I114" s="577">
        <f t="shared" si="34"/>
        <v>17578.162725048442</v>
      </c>
      <c r="J114" s="514">
        <f t="shared" si="29"/>
        <v>0</v>
      </c>
      <c r="K114" s="514"/>
      <c r="L114" s="525"/>
      <c r="M114" s="514">
        <f t="shared" si="23"/>
        <v>0</v>
      </c>
      <c r="N114" s="525"/>
      <c r="O114" s="514">
        <f t="shared" si="24"/>
        <v>0</v>
      </c>
      <c r="P114" s="514">
        <f t="shared" si="25"/>
        <v>0</v>
      </c>
    </row>
    <row r="115" spans="2:16" ht="12.5">
      <c r="B115" s="195" t="str">
        <f t="shared" si="26"/>
        <v/>
      </c>
      <c r="C115" s="507">
        <f>IF(D93="","-",+C114+1)</f>
        <v>2026</v>
      </c>
      <c r="D115" s="374">
        <f>IF(F114+SUM(E$99:E114)=D$92,F114,D$92-SUM(E$99:E114))</f>
        <v>118457.42763855451</v>
      </c>
      <c r="E115" s="522">
        <f t="shared" si="30"/>
        <v>3909.6585365853657</v>
      </c>
      <c r="F115" s="523">
        <f t="shared" si="31"/>
        <v>114547.76910196914</v>
      </c>
      <c r="G115" s="523">
        <f t="shared" si="32"/>
        <v>116502.59837026183</v>
      </c>
      <c r="H115" s="526">
        <f t="shared" si="33"/>
        <v>17134.360860890054</v>
      </c>
      <c r="I115" s="577">
        <f t="shared" si="34"/>
        <v>17134.360860890054</v>
      </c>
      <c r="J115" s="514">
        <f t="shared" si="29"/>
        <v>0</v>
      </c>
      <c r="K115" s="514"/>
      <c r="L115" s="525"/>
      <c r="M115" s="514">
        <f t="shared" si="23"/>
        <v>0</v>
      </c>
      <c r="N115" s="525"/>
      <c r="O115" s="514">
        <f t="shared" si="24"/>
        <v>0</v>
      </c>
      <c r="P115" s="514">
        <f t="shared" si="25"/>
        <v>0</v>
      </c>
    </row>
    <row r="116" spans="2:16" ht="12.5">
      <c r="B116" s="195" t="str">
        <f t="shared" si="26"/>
        <v/>
      </c>
      <c r="C116" s="507">
        <f>IF(D93="","-",+C115+1)</f>
        <v>2027</v>
      </c>
      <c r="D116" s="374">
        <f>IF(F115+SUM(E$99:E115)=D$92,F115,D$92-SUM(E$99:E115))</f>
        <v>114547.76910196914</v>
      </c>
      <c r="E116" s="522">
        <f t="shared" si="30"/>
        <v>3909.6585365853657</v>
      </c>
      <c r="F116" s="523">
        <f t="shared" si="31"/>
        <v>110638.11056538377</v>
      </c>
      <c r="G116" s="523">
        <f t="shared" si="32"/>
        <v>112592.93983367646</v>
      </c>
      <c r="H116" s="526">
        <f t="shared" si="33"/>
        <v>16690.558996731666</v>
      </c>
      <c r="I116" s="577">
        <f t="shared" si="34"/>
        <v>16690.558996731666</v>
      </c>
      <c r="J116" s="514">
        <f t="shared" si="29"/>
        <v>0</v>
      </c>
      <c r="K116" s="514"/>
      <c r="L116" s="525"/>
      <c r="M116" s="514">
        <f t="shared" si="23"/>
        <v>0</v>
      </c>
      <c r="N116" s="525"/>
      <c r="O116" s="514">
        <f t="shared" si="24"/>
        <v>0</v>
      </c>
      <c r="P116" s="514">
        <f t="shared" si="25"/>
        <v>0</v>
      </c>
    </row>
    <row r="117" spans="2:16" ht="12.5">
      <c r="B117" s="195" t="str">
        <f t="shared" si="26"/>
        <v/>
      </c>
      <c r="C117" s="507">
        <f>IF(D93="","-",+C116+1)</f>
        <v>2028</v>
      </c>
      <c r="D117" s="374">
        <f>IF(F116+SUM(E$99:E116)=D$92,F116,D$92-SUM(E$99:E116))</f>
        <v>110638.11056538377</v>
      </c>
      <c r="E117" s="522">
        <f t="shared" si="30"/>
        <v>3909.6585365853657</v>
      </c>
      <c r="F117" s="523">
        <f t="shared" si="31"/>
        <v>106728.45202879841</v>
      </c>
      <c r="G117" s="523">
        <f t="shared" si="32"/>
        <v>108683.28129709109</v>
      </c>
      <c r="H117" s="526">
        <f t="shared" si="33"/>
        <v>16246.757132573279</v>
      </c>
      <c r="I117" s="577">
        <f t="shared" si="34"/>
        <v>16246.757132573279</v>
      </c>
      <c r="J117" s="514">
        <f t="shared" si="29"/>
        <v>0</v>
      </c>
      <c r="K117" s="514"/>
      <c r="L117" s="525"/>
      <c r="M117" s="514">
        <f t="shared" si="23"/>
        <v>0</v>
      </c>
      <c r="N117" s="525"/>
      <c r="O117" s="514">
        <f t="shared" si="24"/>
        <v>0</v>
      </c>
      <c r="P117" s="514">
        <f t="shared" si="25"/>
        <v>0</v>
      </c>
    </row>
    <row r="118" spans="2:16" ht="12.5">
      <c r="B118" s="195" t="str">
        <f t="shared" si="26"/>
        <v/>
      </c>
      <c r="C118" s="507">
        <f>IF(D93="","-",+C117+1)</f>
        <v>2029</v>
      </c>
      <c r="D118" s="374">
        <f>IF(F117+SUM(E$99:E117)=D$92,F117,D$92-SUM(E$99:E117))</f>
        <v>106728.45202879841</v>
      </c>
      <c r="E118" s="522">
        <f t="shared" si="30"/>
        <v>3909.6585365853657</v>
      </c>
      <c r="F118" s="523">
        <f t="shared" si="31"/>
        <v>102818.79349221304</v>
      </c>
      <c r="G118" s="523">
        <f t="shared" si="32"/>
        <v>104773.62276050572</v>
      </c>
      <c r="H118" s="526">
        <f t="shared" si="33"/>
        <v>15802.955268414891</v>
      </c>
      <c r="I118" s="577">
        <f t="shared" si="34"/>
        <v>15802.955268414891</v>
      </c>
      <c r="J118" s="514">
        <f t="shared" si="29"/>
        <v>0</v>
      </c>
      <c r="K118" s="514"/>
      <c r="L118" s="525"/>
      <c r="M118" s="514">
        <f t="shared" si="23"/>
        <v>0</v>
      </c>
      <c r="N118" s="525"/>
      <c r="O118" s="514">
        <f t="shared" si="24"/>
        <v>0</v>
      </c>
      <c r="P118" s="514">
        <f t="shared" si="25"/>
        <v>0</v>
      </c>
    </row>
    <row r="119" spans="2:16" ht="12.5">
      <c r="B119" s="195" t="str">
        <f t="shared" si="26"/>
        <v/>
      </c>
      <c r="C119" s="507">
        <f>IF(D93="","-",+C118+1)</f>
        <v>2030</v>
      </c>
      <c r="D119" s="374">
        <f>IF(F118+SUM(E$99:E118)=D$92,F118,D$92-SUM(E$99:E118))</f>
        <v>102818.79349221304</v>
      </c>
      <c r="E119" s="522">
        <f t="shared" si="30"/>
        <v>3909.6585365853657</v>
      </c>
      <c r="F119" s="523">
        <f t="shared" si="31"/>
        <v>98909.134955627669</v>
      </c>
      <c r="G119" s="523">
        <f t="shared" si="32"/>
        <v>100863.96422392035</v>
      </c>
      <c r="H119" s="526">
        <f t="shared" si="33"/>
        <v>15359.153404256504</v>
      </c>
      <c r="I119" s="577">
        <f t="shared" si="34"/>
        <v>15359.153404256504</v>
      </c>
      <c r="J119" s="514">
        <f t="shared" si="29"/>
        <v>0</v>
      </c>
      <c r="K119" s="514"/>
      <c r="L119" s="525"/>
      <c r="M119" s="514">
        <f t="shared" si="23"/>
        <v>0</v>
      </c>
      <c r="N119" s="525"/>
      <c r="O119" s="514">
        <f t="shared" si="24"/>
        <v>0</v>
      </c>
      <c r="P119" s="514">
        <f t="shared" si="25"/>
        <v>0</v>
      </c>
    </row>
    <row r="120" spans="2:16" ht="12.5">
      <c r="B120" s="195" t="str">
        <f t="shared" si="26"/>
        <v/>
      </c>
      <c r="C120" s="507">
        <f>IF(D93="","-",+C119+1)</f>
        <v>2031</v>
      </c>
      <c r="D120" s="374">
        <f>IF(F119+SUM(E$99:E119)=D$92,F119,D$92-SUM(E$99:E119))</f>
        <v>98909.134955627669</v>
      </c>
      <c r="E120" s="522">
        <f t="shared" si="30"/>
        <v>3909.6585365853657</v>
      </c>
      <c r="F120" s="523">
        <f t="shared" si="31"/>
        <v>94999.476419042301</v>
      </c>
      <c r="G120" s="523">
        <f t="shared" si="32"/>
        <v>96954.305687334985</v>
      </c>
      <c r="H120" s="526">
        <f t="shared" si="33"/>
        <v>14915.351540098114</v>
      </c>
      <c r="I120" s="577">
        <f t="shared" si="34"/>
        <v>14915.351540098114</v>
      </c>
      <c r="J120" s="514">
        <f t="shared" si="29"/>
        <v>0</v>
      </c>
      <c r="K120" s="514"/>
      <c r="L120" s="525"/>
      <c r="M120" s="514">
        <f t="shared" si="23"/>
        <v>0</v>
      </c>
      <c r="N120" s="525"/>
      <c r="O120" s="514">
        <f t="shared" si="24"/>
        <v>0</v>
      </c>
      <c r="P120" s="514">
        <f t="shared" si="25"/>
        <v>0</v>
      </c>
    </row>
    <row r="121" spans="2:16" ht="12.5">
      <c r="B121" s="195" t="str">
        <f t="shared" si="26"/>
        <v/>
      </c>
      <c r="C121" s="507">
        <f>IF(D93="","-",+C120+1)</f>
        <v>2032</v>
      </c>
      <c r="D121" s="374">
        <f>IF(F120+SUM(E$99:E120)=D$92,F120,D$92-SUM(E$99:E120))</f>
        <v>94999.476419042301</v>
      </c>
      <c r="E121" s="522">
        <f t="shared" si="30"/>
        <v>3909.6585365853657</v>
      </c>
      <c r="F121" s="523">
        <f t="shared" si="31"/>
        <v>91089.817882456933</v>
      </c>
      <c r="G121" s="523">
        <f t="shared" si="32"/>
        <v>93044.647150749617</v>
      </c>
      <c r="H121" s="526">
        <f t="shared" si="33"/>
        <v>14471.549675939727</v>
      </c>
      <c r="I121" s="577">
        <f t="shared" si="34"/>
        <v>14471.549675939727</v>
      </c>
      <c r="J121" s="514">
        <f t="shared" si="29"/>
        <v>0</v>
      </c>
      <c r="K121" s="514"/>
      <c r="L121" s="525"/>
      <c r="M121" s="514">
        <f t="shared" si="23"/>
        <v>0</v>
      </c>
      <c r="N121" s="525"/>
      <c r="O121" s="514">
        <f t="shared" si="24"/>
        <v>0</v>
      </c>
      <c r="P121" s="514">
        <f t="shared" si="25"/>
        <v>0</v>
      </c>
    </row>
    <row r="122" spans="2:16" ht="12.5">
      <c r="B122" s="195" t="str">
        <f t="shared" si="26"/>
        <v/>
      </c>
      <c r="C122" s="507">
        <f>IF(D93="","-",+C121+1)</f>
        <v>2033</v>
      </c>
      <c r="D122" s="374">
        <f>IF(F121+SUM(E$99:E121)=D$92,F121,D$92-SUM(E$99:E121))</f>
        <v>91089.817882456933</v>
      </c>
      <c r="E122" s="522">
        <f t="shared" si="30"/>
        <v>3909.6585365853657</v>
      </c>
      <c r="F122" s="523">
        <f t="shared" si="31"/>
        <v>87180.159345871565</v>
      </c>
      <c r="G122" s="523">
        <f t="shared" si="32"/>
        <v>89134.988614164249</v>
      </c>
      <c r="H122" s="526">
        <f t="shared" si="33"/>
        <v>14027.747811781339</v>
      </c>
      <c r="I122" s="577">
        <f t="shared" si="34"/>
        <v>14027.747811781339</v>
      </c>
      <c r="J122" s="514">
        <f t="shared" si="29"/>
        <v>0</v>
      </c>
      <c r="K122" s="514"/>
      <c r="L122" s="525"/>
      <c r="M122" s="514">
        <f t="shared" si="23"/>
        <v>0</v>
      </c>
      <c r="N122" s="525"/>
      <c r="O122" s="514">
        <f t="shared" si="24"/>
        <v>0</v>
      </c>
      <c r="P122" s="514">
        <f t="shared" si="25"/>
        <v>0</v>
      </c>
    </row>
    <row r="123" spans="2:16" ht="12.5">
      <c r="B123" s="195" t="str">
        <f t="shared" si="26"/>
        <v/>
      </c>
      <c r="C123" s="507">
        <f>IF(D93="","-",+C122+1)</f>
        <v>2034</v>
      </c>
      <c r="D123" s="374">
        <f>IF(F122+SUM(E$99:E122)=D$92,F122,D$92-SUM(E$99:E122))</f>
        <v>87180.159345871565</v>
      </c>
      <c r="E123" s="522">
        <f t="shared" si="30"/>
        <v>3909.6585365853657</v>
      </c>
      <c r="F123" s="523">
        <f t="shared" si="31"/>
        <v>83270.500809286197</v>
      </c>
      <c r="G123" s="523">
        <f t="shared" si="32"/>
        <v>85225.330077578881</v>
      </c>
      <c r="H123" s="526">
        <f t="shared" si="33"/>
        <v>13583.945947622951</v>
      </c>
      <c r="I123" s="577">
        <f t="shared" si="34"/>
        <v>13583.945947622951</v>
      </c>
      <c r="J123" s="514">
        <f t="shared" si="29"/>
        <v>0</v>
      </c>
      <c r="K123" s="514"/>
      <c r="L123" s="525"/>
      <c r="M123" s="514">
        <f t="shared" si="23"/>
        <v>0</v>
      </c>
      <c r="N123" s="525"/>
      <c r="O123" s="514">
        <f t="shared" si="24"/>
        <v>0</v>
      </c>
      <c r="P123" s="514">
        <f t="shared" si="25"/>
        <v>0</v>
      </c>
    </row>
    <row r="124" spans="2:16" ht="12.5">
      <c r="B124" s="195" t="str">
        <f t="shared" si="26"/>
        <v/>
      </c>
      <c r="C124" s="507">
        <f>IF(D93="","-",+C123+1)</f>
        <v>2035</v>
      </c>
      <c r="D124" s="374">
        <f>IF(F123+SUM(E$99:E123)=D$92,F123,D$92-SUM(E$99:E123))</f>
        <v>83270.500809286197</v>
      </c>
      <c r="E124" s="522">
        <f t="shared" si="30"/>
        <v>3909.6585365853657</v>
      </c>
      <c r="F124" s="523">
        <f t="shared" si="31"/>
        <v>79360.842272700829</v>
      </c>
      <c r="G124" s="523">
        <f t="shared" si="32"/>
        <v>81315.671540993513</v>
      </c>
      <c r="H124" s="526">
        <f t="shared" si="33"/>
        <v>13140.144083464562</v>
      </c>
      <c r="I124" s="577">
        <f t="shared" si="34"/>
        <v>13140.144083464562</v>
      </c>
      <c r="J124" s="514">
        <f t="shared" si="29"/>
        <v>0</v>
      </c>
      <c r="K124" s="514"/>
      <c r="L124" s="525"/>
      <c r="M124" s="514">
        <f t="shared" si="23"/>
        <v>0</v>
      </c>
      <c r="N124" s="525"/>
      <c r="O124" s="514">
        <f t="shared" si="24"/>
        <v>0</v>
      </c>
      <c r="P124" s="514">
        <f t="shared" si="25"/>
        <v>0</v>
      </c>
    </row>
    <row r="125" spans="2:16" ht="12.5">
      <c r="B125" s="195" t="str">
        <f t="shared" si="26"/>
        <v/>
      </c>
      <c r="C125" s="507">
        <f>IF(D93="","-",+C124+1)</f>
        <v>2036</v>
      </c>
      <c r="D125" s="374">
        <f>IF(F124+SUM(E$99:E124)=D$92,F124,D$92-SUM(E$99:E124))</f>
        <v>79360.842272700829</v>
      </c>
      <c r="E125" s="522">
        <f t="shared" si="30"/>
        <v>3909.6585365853657</v>
      </c>
      <c r="F125" s="523">
        <f t="shared" si="31"/>
        <v>75451.183736115461</v>
      </c>
      <c r="G125" s="523">
        <f t="shared" si="32"/>
        <v>77406.013004408145</v>
      </c>
      <c r="H125" s="526">
        <f t="shared" si="33"/>
        <v>12696.342219306174</v>
      </c>
      <c r="I125" s="577">
        <f t="shared" si="34"/>
        <v>12696.342219306174</v>
      </c>
      <c r="J125" s="514">
        <f t="shared" si="29"/>
        <v>0</v>
      </c>
      <c r="K125" s="514"/>
      <c r="L125" s="525"/>
      <c r="M125" s="514">
        <f t="shared" si="23"/>
        <v>0</v>
      </c>
      <c r="N125" s="525"/>
      <c r="O125" s="514">
        <f t="shared" si="24"/>
        <v>0</v>
      </c>
      <c r="P125" s="514">
        <f t="shared" si="25"/>
        <v>0</v>
      </c>
    </row>
    <row r="126" spans="2:16" ht="12.5">
      <c r="B126" s="195" t="str">
        <f t="shared" si="26"/>
        <v/>
      </c>
      <c r="C126" s="507">
        <f>IF(D93="","-",+C125+1)</f>
        <v>2037</v>
      </c>
      <c r="D126" s="374">
        <f>IF(F125+SUM(E$99:E125)=D$92,F125,D$92-SUM(E$99:E125))</f>
        <v>75451.183736115461</v>
      </c>
      <c r="E126" s="522">
        <f t="shared" si="30"/>
        <v>3909.6585365853657</v>
      </c>
      <c r="F126" s="523">
        <f t="shared" si="31"/>
        <v>71541.525199530093</v>
      </c>
      <c r="G126" s="523">
        <f t="shared" si="32"/>
        <v>73496.354467822777</v>
      </c>
      <c r="H126" s="526">
        <f t="shared" si="33"/>
        <v>12252.540355147787</v>
      </c>
      <c r="I126" s="577">
        <f t="shared" si="34"/>
        <v>12252.540355147787</v>
      </c>
      <c r="J126" s="514">
        <f t="shared" si="29"/>
        <v>0</v>
      </c>
      <c r="K126" s="514"/>
      <c r="L126" s="525"/>
      <c r="M126" s="514">
        <f t="shared" si="23"/>
        <v>0</v>
      </c>
      <c r="N126" s="525"/>
      <c r="O126" s="514">
        <f t="shared" si="24"/>
        <v>0</v>
      </c>
      <c r="P126" s="514">
        <f t="shared" si="25"/>
        <v>0</v>
      </c>
    </row>
    <row r="127" spans="2:16" ht="12.5">
      <c r="B127" s="195" t="str">
        <f t="shared" si="26"/>
        <v/>
      </c>
      <c r="C127" s="507">
        <f>IF(D93="","-",+C126+1)</f>
        <v>2038</v>
      </c>
      <c r="D127" s="374">
        <f>IF(F126+SUM(E$99:E126)=D$92,F126,D$92-SUM(E$99:E126))</f>
        <v>71541.525199530093</v>
      </c>
      <c r="E127" s="522">
        <f t="shared" si="30"/>
        <v>3909.6585365853657</v>
      </c>
      <c r="F127" s="523">
        <f t="shared" si="31"/>
        <v>67631.866662944725</v>
      </c>
      <c r="G127" s="523">
        <f t="shared" si="32"/>
        <v>69586.695931237409</v>
      </c>
      <c r="H127" s="526">
        <f t="shared" si="33"/>
        <v>11808.738490989397</v>
      </c>
      <c r="I127" s="577">
        <f t="shared" si="34"/>
        <v>11808.738490989397</v>
      </c>
      <c r="J127" s="514">
        <f t="shared" si="29"/>
        <v>0</v>
      </c>
      <c r="K127" s="514"/>
      <c r="L127" s="525"/>
      <c r="M127" s="514">
        <f t="shared" si="23"/>
        <v>0</v>
      </c>
      <c r="N127" s="525"/>
      <c r="O127" s="514">
        <f t="shared" si="24"/>
        <v>0</v>
      </c>
      <c r="P127" s="514">
        <f t="shared" si="25"/>
        <v>0</v>
      </c>
    </row>
    <row r="128" spans="2:16" ht="12.5">
      <c r="B128" s="195" t="str">
        <f t="shared" si="26"/>
        <v/>
      </c>
      <c r="C128" s="507">
        <f>IF(D93="","-",+C127+1)</f>
        <v>2039</v>
      </c>
      <c r="D128" s="374">
        <f>IF(F127+SUM(E$99:E127)=D$92,F127,D$92-SUM(E$99:E127))</f>
        <v>67631.866662944725</v>
      </c>
      <c r="E128" s="522">
        <f t="shared" si="30"/>
        <v>3909.6585365853657</v>
      </c>
      <c r="F128" s="523">
        <f t="shared" si="31"/>
        <v>63722.208126359357</v>
      </c>
      <c r="G128" s="523">
        <f t="shared" si="32"/>
        <v>65677.037394652041</v>
      </c>
      <c r="H128" s="526">
        <f t="shared" si="33"/>
        <v>11364.93662683101</v>
      </c>
      <c r="I128" s="577">
        <f t="shared" si="34"/>
        <v>11364.93662683101</v>
      </c>
      <c r="J128" s="514">
        <f t="shared" si="29"/>
        <v>0</v>
      </c>
      <c r="K128" s="514"/>
      <c r="L128" s="525"/>
      <c r="M128" s="514">
        <f t="shared" si="23"/>
        <v>0</v>
      </c>
      <c r="N128" s="525"/>
      <c r="O128" s="514">
        <f t="shared" si="24"/>
        <v>0</v>
      </c>
      <c r="P128" s="514">
        <f t="shared" si="25"/>
        <v>0</v>
      </c>
    </row>
    <row r="129" spans="2:16" ht="12.5">
      <c r="B129" s="195" t="str">
        <f t="shared" si="26"/>
        <v/>
      </c>
      <c r="C129" s="507">
        <f>IF(D93="","-",+C128+1)</f>
        <v>2040</v>
      </c>
      <c r="D129" s="374">
        <f>IF(F128+SUM(E$99:E128)=D$92,F128,D$92-SUM(E$99:E128))</f>
        <v>63722.208126359357</v>
      </c>
      <c r="E129" s="522">
        <f t="shared" si="30"/>
        <v>3909.6585365853657</v>
      </c>
      <c r="F129" s="523">
        <f t="shared" si="31"/>
        <v>59812.549589773989</v>
      </c>
      <c r="G129" s="523">
        <f t="shared" si="32"/>
        <v>61767.378858066673</v>
      </c>
      <c r="H129" s="526">
        <f t="shared" si="33"/>
        <v>10921.134762672622</v>
      </c>
      <c r="I129" s="577">
        <f t="shared" si="34"/>
        <v>10921.134762672622</v>
      </c>
      <c r="J129" s="514">
        <f t="shared" si="29"/>
        <v>0</v>
      </c>
      <c r="K129" s="514"/>
      <c r="L129" s="525"/>
      <c r="M129" s="514">
        <f t="shared" si="23"/>
        <v>0</v>
      </c>
      <c r="N129" s="525"/>
      <c r="O129" s="514">
        <f t="shared" si="24"/>
        <v>0</v>
      </c>
      <c r="P129" s="514">
        <f t="shared" si="25"/>
        <v>0</v>
      </c>
    </row>
    <row r="130" spans="2:16" ht="12.5">
      <c r="B130" s="195" t="str">
        <f t="shared" si="26"/>
        <v/>
      </c>
      <c r="C130" s="507">
        <f>IF(D93="","-",+C129+1)</f>
        <v>2041</v>
      </c>
      <c r="D130" s="374">
        <f>IF(F129+SUM(E$99:E129)=D$92,F129,D$92-SUM(E$99:E129))</f>
        <v>59812.549589773989</v>
      </c>
      <c r="E130" s="522">
        <f t="shared" si="30"/>
        <v>3909.6585365853657</v>
      </c>
      <c r="F130" s="523">
        <f t="shared" si="31"/>
        <v>55902.891053188621</v>
      </c>
      <c r="G130" s="523">
        <f t="shared" si="32"/>
        <v>57857.720321481305</v>
      </c>
      <c r="H130" s="526">
        <f t="shared" si="33"/>
        <v>10477.332898514233</v>
      </c>
      <c r="I130" s="577">
        <f t="shared" si="34"/>
        <v>10477.332898514233</v>
      </c>
      <c r="J130" s="514">
        <f t="shared" si="29"/>
        <v>0</v>
      </c>
      <c r="K130" s="514"/>
      <c r="L130" s="525"/>
      <c r="M130" s="514">
        <f t="shared" si="23"/>
        <v>0</v>
      </c>
      <c r="N130" s="525"/>
      <c r="O130" s="514">
        <f t="shared" si="24"/>
        <v>0</v>
      </c>
      <c r="P130" s="514">
        <f t="shared" si="25"/>
        <v>0</v>
      </c>
    </row>
    <row r="131" spans="2:16" ht="12.5">
      <c r="B131" s="195" t="str">
        <f t="shared" si="26"/>
        <v/>
      </c>
      <c r="C131" s="507">
        <f>IF(D93="","-",+C130+1)</f>
        <v>2042</v>
      </c>
      <c r="D131" s="374">
        <f>IF(F130+SUM(E$99:E130)=D$92,F130,D$92-SUM(E$99:E130))</f>
        <v>55902.891053188621</v>
      </c>
      <c r="E131" s="522">
        <f t="shared" si="30"/>
        <v>3909.6585365853657</v>
      </c>
      <c r="F131" s="523">
        <f t="shared" si="31"/>
        <v>51993.232516603253</v>
      </c>
      <c r="G131" s="523">
        <f t="shared" si="32"/>
        <v>53948.061784895937</v>
      </c>
      <c r="H131" s="526">
        <f t="shared" si="33"/>
        <v>10033.531034355845</v>
      </c>
      <c r="I131" s="577">
        <f t="shared" si="34"/>
        <v>10033.531034355845</v>
      </c>
      <c r="J131" s="514">
        <f t="shared" si="29"/>
        <v>0</v>
      </c>
      <c r="K131" s="514"/>
      <c r="L131" s="525"/>
      <c r="M131" s="514">
        <f t="shared" ref="M131:M154" si="35">IF(L541&lt;&gt;0,+H541-L541,0)</f>
        <v>0</v>
      </c>
      <c r="N131" s="525"/>
      <c r="O131" s="514">
        <f t="shared" ref="O131:O154" si="36">IF(N541&lt;&gt;0,+I541-N541,0)</f>
        <v>0</v>
      </c>
      <c r="P131" s="514">
        <f t="shared" ref="P131:P154" si="37">+O541-M541</f>
        <v>0</v>
      </c>
    </row>
    <row r="132" spans="2:16" ht="12.5">
      <c r="B132" s="195" t="str">
        <f t="shared" si="26"/>
        <v/>
      </c>
      <c r="C132" s="507">
        <f>IF(D93="","-",+C131+1)</f>
        <v>2043</v>
      </c>
      <c r="D132" s="374">
        <f>IF(F131+SUM(E$99:E131)=D$92,F131,D$92-SUM(E$99:E131))</f>
        <v>51993.232516603253</v>
      </c>
      <c r="E132" s="522">
        <f t="shared" si="30"/>
        <v>3909.6585365853657</v>
      </c>
      <c r="F132" s="523">
        <f t="shared" si="31"/>
        <v>48083.573980017885</v>
      </c>
      <c r="G132" s="523">
        <f t="shared" si="32"/>
        <v>50038.403248310569</v>
      </c>
      <c r="H132" s="526">
        <f t="shared" si="33"/>
        <v>9589.7291701974573</v>
      </c>
      <c r="I132" s="577">
        <f t="shared" si="34"/>
        <v>9589.7291701974573</v>
      </c>
      <c r="J132" s="514">
        <f t="shared" si="29"/>
        <v>0</v>
      </c>
      <c r="K132" s="514"/>
      <c r="L132" s="525"/>
      <c r="M132" s="514">
        <f t="shared" si="35"/>
        <v>0</v>
      </c>
      <c r="N132" s="525"/>
      <c r="O132" s="514">
        <f t="shared" si="36"/>
        <v>0</v>
      </c>
      <c r="P132" s="514">
        <f t="shared" si="37"/>
        <v>0</v>
      </c>
    </row>
    <row r="133" spans="2:16" ht="12.5">
      <c r="B133" s="195" t="str">
        <f t="shared" si="26"/>
        <v/>
      </c>
      <c r="C133" s="507">
        <f>IF(D93="","-",+C132+1)</f>
        <v>2044</v>
      </c>
      <c r="D133" s="374">
        <f>IF(F132+SUM(E$99:E132)=D$92,F132,D$92-SUM(E$99:E132))</f>
        <v>48083.573980017885</v>
      </c>
      <c r="E133" s="522">
        <f t="shared" si="30"/>
        <v>3909.6585365853657</v>
      </c>
      <c r="F133" s="523">
        <f t="shared" si="31"/>
        <v>44173.915443432517</v>
      </c>
      <c r="G133" s="523">
        <f t="shared" si="32"/>
        <v>46128.744711725201</v>
      </c>
      <c r="H133" s="526">
        <f t="shared" si="33"/>
        <v>9145.9273060390697</v>
      </c>
      <c r="I133" s="577">
        <f t="shared" si="34"/>
        <v>9145.9273060390697</v>
      </c>
      <c r="J133" s="514">
        <f t="shared" si="29"/>
        <v>0</v>
      </c>
      <c r="K133" s="514"/>
      <c r="L133" s="525"/>
      <c r="M133" s="514">
        <f t="shared" si="35"/>
        <v>0</v>
      </c>
      <c r="N133" s="525"/>
      <c r="O133" s="514">
        <f t="shared" si="36"/>
        <v>0</v>
      </c>
      <c r="P133" s="514">
        <f t="shared" si="37"/>
        <v>0</v>
      </c>
    </row>
    <row r="134" spans="2:16" ht="12.5">
      <c r="B134" s="195" t="str">
        <f t="shared" si="26"/>
        <v/>
      </c>
      <c r="C134" s="507">
        <f>IF(D93="","-",+C133+1)</f>
        <v>2045</v>
      </c>
      <c r="D134" s="374">
        <f>IF(F133+SUM(E$99:E133)=D$92,F133,D$92-SUM(E$99:E133))</f>
        <v>44173.915443432517</v>
      </c>
      <c r="E134" s="522">
        <f t="shared" si="30"/>
        <v>3909.6585365853657</v>
      </c>
      <c r="F134" s="523">
        <f t="shared" si="31"/>
        <v>40264.256906847149</v>
      </c>
      <c r="G134" s="523">
        <f t="shared" si="32"/>
        <v>42219.086175139833</v>
      </c>
      <c r="H134" s="526">
        <f t="shared" si="33"/>
        <v>8702.1254418806802</v>
      </c>
      <c r="I134" s="577">
        <f t="shared" si="34"/>
        <v>8702.1254418806802</v>
      </c>
      <c r="J134" s="514">
        <f t="shared" si="29"/>
        <v>0</v>
      </c>
      <c r="K134" s="514"/>
      <c r="L134" s="525"/>
      <c r="M134" s="514">
        <f t="shared" si="35"/>
        <v>0</v>
      </c>
      <c r="N134" s="525"/>
      <c r="O134" s="514">
        <f t="shared" si="36"/>
        <v>0</v>
      </c>
      <c r="P134" s="514">
        <f t="shared" si="37"/>
        <v>0</v>
      </c>
    </row>
    <row r="135" spans="2:16" ht="12.5">
      <c r="B135" s="195" t="str">
        <f t="shared" si="26"/>
        <v/>
      </c>
      <c r="C135" s="507">
        <f>IF(D93="","-",+C134+1)</f>
        <v>2046</v>
      </c>
      <c r="D135" s="374">
        <f>IF(F134+SUM(E$99:E134)=D$92,F134,D$92-SUM(E$99:E134))</f>
        <v>40264.256906847149</v>
      </c>
      <c r="E135" s="522">
        <f t="shared" si="30"/>
        <v>3909.6585365853657</v>
      </c>
      <c r="F135" s="523">
        <f t="shared" si="31"/>
        <v>36354.598370261781</v>
      </c>
      <c r="G135" s="523">
        <f t="shared" si="32"/>
        <v>38309.427638554465</v>
      </c>
      <c r="H135" s="526">
        <f t="shared" si="33"/>
        <v>8258.3235777222926</v>
      </c>
      <c r="I135" s="577">
        <f t="shared" si="34"/>
        <v>8258.3235777222926</v>
      </c>
      <c r="J135" s="514">
        <f t="shared" si="29"/>
        <v>0</v>
      </c>
      <c r="K135" s="514"/>
      <c r="L135" s="525"/>
      <c r="M135" s="514">
        <f t="shared" si="35"/>
        <v>0</v>
      </c>
      <c r="N135" s="525"/>
      <c r="O135" s="514">
        <f t="shared" si="36"/>
        <v>0</v>
      </c>
      <c r="P135" s="514">
        <f t="shared" si="37"/>
        <v>0</v>
      </c>
    </row>
    <row r="136" spans="2:16" ht="12.5">
      <c r="B136" s="195" t="str">
        <f t="shared" si="26"/>
        <v/>
      </c>
      <c r="C136" s="507">
        <f>IF(D93="","-",+C135+1)</f>
        <v>2047</v>
      </c>
      <c r="D136" s="374">
        <f>IF(F135+SUM(E$99:E135)=D$92,F135,D$92-SUM(E$99:E135))</f>
        <v>36354.598370261781</v>
      </c>
      <c r="E136" s="522">
        <f t="shared" si="30"/>
        <v>3909.6585365853657</v>
      </c>
      <c r="F136" s="523">
        <f t="shared" si="31"/>
        <v>32444.939833676417</v>
      </c>
      <c r="G136" s="523">
        <f t="shared" si="32"/>
        <v>34399.769101969097</v>
      </c>
      <c r="H136" s="526">
        <f t="shared" si="33"/>
        <v>7814.521713563905</v>
      </c>
      <c r="I136" s="577">
        <f t="shared" si="34"/>
        <v>7814.521713563905</v>
      </c>
      <c r="J136" s="514">
        <f t="shared" si="29"/>
        <v>0</v>
      </c>
      <c r="K136" s="514"/>
      <c r="L136" s="525"/>
      <c r="M136" s="514">
        <f t="shared" si="35"/>
        <v>0</v>
      </c>
      <c r="N136" s="525"/>
      <c r="O136" s="514">
        <f t="shared" si="36"/>
        <v>0</v>
      </c>
      <c r="P136" s="514">
        <f t="shared" si="37"/>
        <v>0</v>
      </c>
    </row>
    <row r="137" spans="2:16" ht="12.5">
      <c r="B137" s="195" t="str">
        <f t="shared" si="26"/>
        <v/>
      </c>
      <c r="C137" s="507">
        <f>IF(D93="","-",+C136+1)</f>
        <v>2048</v>
      </c>
      <c r="D137" s="374">
        <f>IF(F136+SUM(E$99:E136)=D$92,F136,D$92-SUM(E$99:E136))</f>
        <v>32444.939833676417</v>
      </c>
      <c r="E137" s="522">
        <f t="shared" si="30"/>
        <v>3909.6585365853657</v>
      </c>
      <c r="F137" s="523">
        <f t="shared" si="31"/>
        <v>28535.281297091053</v>
      </c>
      <c r="G137" s="523">
        <f t="shared" si="32"/>
        <v>30490.110565383737</v>
      </c>
      <c r="H137" s="526">
        <f t="shared" si="33"/>
        <v>7370.7198494055174</v>
      </c>
      <c r="I137" s="577">
        <f t="shared" si="34"/>
        <v>7370.7198494055174</v>
      </c>
      <c r="J137" s="514">
        <f t="shared" si="29"/>
        <v>0</v>
      </c>
      <c r="K137" s="514"/>
      <c r="L137" s="525"/>
      <c r="M137" s="514">
        <f t="shared" si="35"/>
        <v>0</v>
      </c>
      <c r="N137" s="525"/>
      <c r="O137" s="514">
        <f t="shared" si="36"/>
        <v>0</v>
      </c>
      <c r="P137" s="514">
        <f t="shared" si="37"/>
        <v>0</v>
      </c>
    </row>
    <row r="138" spans="2:16" ht="12.5">
      <c r="B138" s="195" t="str">
        <f t="shared" si="26"/>
        <v/>
      </c>
      <c r="C138" s="507">
        <f>IF(D93="","-",+C137+1)</f>
        <v>2049</v>
      </c>
      <c r="D138" s="374">
        <f>IF(F137+SUM(E$99:E137)=D$92,F137,D$92-SUM(E$99:E137))</f>
        <v>28535.281297091053</v>
      </c>
      <c r="E138" s="522">
        <f t="shared" si="30"/>
        <v>3909.6585365853657</v>
      </c>
      <c r="F138" s="523">
        <f t="shared" si="31"/>
        <v>24625.622760505688</v>
      </c>
      <c r="G138" s="523">
        <f t="shared" si="32"/>
        <v>26580.452028798369</v>
      </c>
      <c r="H138" s="526">
        <f t="shared" si="33"/>
        <v>6926.9179852471298</v>
      </c>
      <c r="I138" s="577">
        <f t="shared" si="34"/>
        <v>6926.9179852471298</v>
      </c>
      <c r="J138" s="514">
        <f t="shared" si="29"/>
        <v>0</v>
      </c>
      <c r="K138" s="514"/>
      <c r="L138" s="525"/>
      <c r="M138" s="514">
        <f t="shared" si="35"/>
        <v>0</v>
      </c>
      <c r="N138" s="525"/>
      <c r="O138" s="514">
        <f t="shared" si="36"/>
        <v>0</v>
      </c>
      <c r="P138" s="514">
        <f t="shared" si="37"/>
        <v>0</v>
      </c>
    </row>
    <row r="139" spans="2:16" ht="12.5">
      <c r="B139" s="195" t="str">
        <f t="shared" si="26"/>
        <v/>
      </c>
      <c r="C139" s="507">
        <f>IF(D93="","-",+C138+1)</f>
        <v>2050</v>
      </c>
      <c r="D139" s="374">
        <f>IF(F138+SUM(E$99:E138)=D$92,F138,D$92-SUM(E$99:E138))</f>
        <v>24625.622760505688</v>
      </c>
      <c r="E139" s="522">
        <f t="shared" si="30"/>
        <v>3909.6585365853657</v>
      </c>
      <c r="F139" s="523">
        <f t="shared" si="31"/>
        <v>20715.964223920324</v>
      </c>
      <c r="G139" s="523">
        <f t="shared" si="32"/>
        <v>22670.793492213008</v>
      </c>
      <c r="H139" s="526">
        <f t="shared" si="33"/>
        <v>6483.1161210887421</v>
      </c>
      <c r="I139" s="577">
        <f t="shared" si="34"/>
        <v>6483.1161210887421</v>
      </c>
      <c r="J139" s="514">
        <f t="shared" si="29"/>
        <v>0</v>
      </c>
      <c r="K139" s="514"/>
      <c r="L139" s="525"/>
      <c r="M139" s="514">
        <f t="shared" si="35"/>
        <v>0</v>
      </c>
      <c r="N139" s="525"/>
      <c r="O139" s="514">
        <f t="shared" si="36"/>
        <v>0</v>
      </c>
      <c r="P139" s="514">
        <f t="shared" si="37"/>
        <v>0</v>
      </c>
    </row>
    <row r="140" spans="2:16" ht="12.5">
      <c r="B140" s="195" t="str">
        <f t="shared" si="26"/>
        <v/>
      </c>
      <c r="C140" s="507">
        <f>IF(D93="","-",+C139+1)</f>
        <v>2051</v>
      </c>
      <c r="D140" s="374">
        <f>IF(F139+SUM(E$99:E139)=D$92,F139,D$92-SUM(E$99:E139))</f>
        <v>20715.964223920324</v>
      </c>
      <c r="E140" s="522">
        <f t="shared" si="30"/>
        <v>3909.6585365853657</v>
      </c>
      <c r="F140" s="523">
        <f t="shared" si="31"/>
        <v>16806.30568733496</v>
      </c>
      <c r="G140" s="523">
        <f t="shared" si="32"/>
        <v>18761.13495562764</v>
      </c>
      <c r="H140" s="526">
        <f t="shared" si="33"/>
        <v>6039.3142569303545</v>
      </c>
      <c r="I140" s="577">
        <f t="shared" si="34"/>
        <v>6039.3142569303545</v>
      </c>
      <c r="J140" s="514">
        <f t="shared" si="29"/>
        <v>0</v>
      </c>
      <c r="K140" s="514"/>
      <c r="L140" s="525"/>
      <c r="M140" s="514">
        <f t="shared" si="35"/>
        <v>0</v>
      </c>
      <c r="N140" s="525"/>
      <c r="O140" s="514">
        <f t="shared" si="36"/>
        <v>0</v>
      </c>
      <c r="P140" s="514">
        <f t="shared" si="37"/>
        <v>0</v>
      </c>
    </row>
    <row r="141" spans="2:16" ht="12.5">
      <c r="B141" s="195" t="str">
        <f t="shared" si="26"/>
        <v/>
      </c>
      <c r="C141" s="507">
        <f>IF(D93="","-",+C140+1)</f>
        <v>2052</v>
      </c>
      <c r="D141" s="374">
        <f>IF(F140+SUM(E$99:E140)=D$92,F140,D$92-SUM(E$99:E140))</f>
        <v>16806.30568733496</v>
      </c>
      <c r="E141" s="522">
        <f t="shared" si="30"/>
        <v>3909.6585365853657</v>
      </c>
      <c r="F141" s="523">
        <f t="shared" si="31"/>
        <v>12896.647150749593</v>
      </c>
      <c r="G141" s="523">
        <f t="shared" si="32"/>
        <v>14851.476419042276</v>
      </c>
      <c r="H141" s="526">
        <f t="shared" si="33"/>
        <v>5595.512392771966</v>
      </c>
      <c r="I141" s="577">
        <f t="shared" si="34"/>
        <v>5595.512392771966</v>
      </c>
      <c r="J141" s="514">
        <f t="shared" si="29"/>
        <v>0</v>
      </c>
      <c r="K141" s="514"/>
      <c r="L141" s="525"/>
      <c r="M141" s="514">
        <f t="shared" si="35"/>
        <v>0</v>
      </c>
      <c r="N141" s="525"/>
      <c r="O141" s="514">
        <f t="shared" si="36"/>
        <v>0</v>
      </c>
      <c r="P141" s="514">
        <f t="shared" si="37"/>
        <v>0</v>
      </c>
    </row>
    <row r="142" spans="2:16" ht="12.5">
      <c r="B142" s="195" t="str">
        <f t="shared" si="26"/>
        <v/>
      </c>
      <c r="C142" s="507">
        <f>IF(D93="","-",+C141+1)</f>
        <v>2053</v>
      </c>
      <c r="D142" s="374">
        <f>IF(F141+SUM(E$99:E141)=D$92,F141,D$92-SUM(E$99:E141))</f>
        <v>12896.647150749593</v>
      </c>
      <c r="E142" s="522">
        <f t="shared" si="30"/>
        <v>3909.6585365853657</v>
      </c>
      <c r="F142" s="523">
        <f t="shared" si="31"/>
        <v>8986.9886141642273</v>
      </c>
      <c r="G142" s="523">
        <f t="shared" si="32"/>
        <v>10941.817882456911</v>
      </c>
      <c r="H142" s="526">
        <f t="shared" si="33"/>
        <v>5151.7105286135784</v>
      </c>
      <c r="I142" s="577">
        <f t="shared" si="34"/>
        <v>5151.7105286135784</v>
      </c>
      <c r="J142" s="514">
        <f t="shared" si="29"/>
        <v>0</v>
      </c>
      <c r="K142" s="514"/>
      <c r="L142" s="525"/>
      <c r="M142" s="514">
        <f t="shared" si="35"/>
        <v>0</v>
      </c>
      <c r="N142" s="525"/>
      <c r="O142" s="514">
        <f t="shared" si="36"/>
        <v>0</v>
      </c>
      <c r="P142" s="514">
        <f t="shared" si="37"/>
        <v>0</v>
      </c>
    </row>
    <row r="143" spans="2:16" ht="12.5">
      <c r="B143" s="195" t="str">
        <f t="shared" si="26"/>
        <v/>
      </c>
      <c r="C143" s="507">
        <f>IF(D93="","-",+C142+1)</f>
        <v>2054</v>
      </c>
      <c r="D143" s="374">
        <f>IF(F142+SUM(E$99:E142)=D$92,F142,D$92-SUM(E$99:E142))</f>
        <v>8986.9886141642273</v>
      </c>
      <c r="E143" s="522">
        <f t="shared" si="30"/>
        <v>3909.6585365853657</v>
      </c>
      <c r="F143" s="523">
        <f t="shared" si="31"/>
        <v>5077.3300775788612</v>
      </c>
      <c r="G143" s="523">
        <f t="shared" si="32"/>
        <v>7032.1593458715442</v>
      </c>
      <c r="H143" s="526">
        <f t="shared" si="33"/>
        <v>4707.9086644551908</v>
      </c>
      <c r="I143" s="577">
        <f t="shared" si="34"/>
        <v>4707.9086644551908</v>
      </c>
      <c r="J143" s="514">
        <f t="shared" si="29"/>
        <v>0</v>
      </c>
      <c r="K143" s="514"/>
      <c r="L143" s="525"/>
      <c r="M143" s="514">
        <f t="shared" si="35"/>
        <v>0</v>
      </c>
      <c r="N143" s="525"/>
      <c r="O143" s="514">
        <f t="shared" si="36"/>
        <v>0</v>
      </c>
      <c r="P143" s="514">
        <f t="shared" si="37"/>
        <v>0</v>
      </c>
    </row>
    <row r="144" spans="2:16" ht="12.5">
      <c r="B144" s="195" t="str">
        <f t="shared" si="26"/>
        <v/>
      </c>
      <c r="C144" s="507">
        <f>IF(D93="","-",+C143+1)</f>
        <v>2055</v>
      </c>
      <c r="D144" s="374">
        <f>IF(F143+SUM(E$99:E143)=D$92,F143,D$92-SUM(E$99:E143))</f>
        <v>5077.3300775788612</v>
      </c>
      <c r="E144" s="522">
        <f t="shared" si="30"/>
        <v>3909.6585365853657</v>
      </c>
      <c r="F144" s="523">
        <f t="shared" si="31"/>
        <v>1167.6715409934955</v>
      </c>
      <c r="G144" s="523">
        <f t="shared" si="32"/>
        <v>3122.5008092861781</v>
      </c>
      <c r="H144" s="526">
        <f t="shared" si="33"/>
        <v>4264.1068002968022</v>
      </c>
      <c r="I144" s="577">
        <f t="shared" si="34"/>
        <v>4264.1068002968022</v>
      </c>
      <c r="J144" s="514">
        <f t="shared" si="29"/>
        <v>0</v>
      </c>
      <c r="K144" s="514"/>
      <c r="L144" s="525"/>
      <c r="M144" s="514">
        <f t="shared" si="35"/>
        <v>0</v>
      </c>
      <c r="N144" s="525"/>
      <c r="O144" s="514">
        <f t="shared" si="36"/>
        <v>0</v>
      </c>
      <c r="P144" s="514">
        <f t="shared" si="37"/>
        <v>0</v>
      </c>
    </row>
    <row r="145" spans="2:16" ht="12.5">
      <c r="B145" s="195" t="str">
        <f t="shared" si="26"/>
        <v/>
      </c>
      <c r="C145" s="507">
        <f>IF(D93="","-",+C144+1)</f>
        <v>2056</v>
      </c>
      <c r="D145" s="374">
        <f>IF(F144+SUM(E$99:E144)=D$92,F144,D$92-SUM(E$99:E144))</f>
        <v>1167.6715409934955</v>
      </c>
      <c r="E145" s="522">
        <f t="shared" si="30"/>
        <v>1167.6715409934955</v>
      </c>
      <c r="F145" s="523">
        <f t="shared" si="31"/>
        <v>0</v>
      </c>
      <c r="G145" s="523">
        <f t="shared" si="32"/>
        <v>583.83577049674773</v>
      </c>
      <c r="H145" s="526">
        <f t="shared" si="33"/>
        <v>1233.945206809617</v>
      </c>
      <c r="I145" s="577">
        <f t="shared" si="34"/>
        <v>1233.945206809617</v>
      </c>
      <c r="J145" s="514">
        <f t="shared" si="29"/>
        <v>0</v>
      </c>
      <c r="K145" s="514"/>
      <c r="L145" s="525"/>
      <c r="M145" s="514">
        <f t="shared" si="35"/>
        <v>0</v>
      </c>
      <c r="N145" s="525"/>
      <c r="O145" s="514">
        <f t="shared" si="36"/>
        <v>0</v>
      </c>
      <c r="P145" s="514">
        <f t="shared" si="37"/>
        <v>0</v>
      </c>
    </row>
    <row r="146" spans="2:16" ht="12.5">
      <c r="B146" s="195" t="str">
        <f t="shared" si="26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 t="shared" si="30"/>
        <v>0</v>
      </c>
      <c r="F146" s="523">
        <f t="shared" si="31"/>
        <v>0</v>
      </c>
      <c r="G146" s="523">
        <f t="shared" si="32"/>
        <v>0</v>
      </c>
      <c r="H146" s="526">
        <f t="shared" si="33"/>
        <v>0</v>
      </c>
      <c r="I146" s="577">
        <f t="shared" si="34"/>
        <v>0</v>
      </c>
      <c r="J146" s="514">
        <f t="shared" si="29"/>
        <v>0</v>
      </c>
      <c r="K146" s="514"/>
      <c r="L146" s="525"/>
      <c r="M146" s="514">
        <f t="shared" si="35"/>
        <v>0</v>
      </c>
      <c r="N146" s="525"/>
      <c r="O146" s="514">
        <f t="shared" si="36"/>
        <v>0</v>
      </c>
      <c r="P146" s="514">
        <f t="shared" si="37"/>
        <v>0</v>
      </c>
    </row>
    <row r="147" spans="2:16" ht="12.5">
      <c r="B147" s="195" t="str">
        <f t="shared" si="26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 t="shared" si="30"/>
        <v>0</v>
      </c>
      <c r="F147" s="523">
        <f t="shared" si="31"/>
        <v>0</v>
      </c>
      <c r="G147" s="523">
        <f t="shared" si="32"/>
        <v>0</v>
      </c>
      <c r="H147" s="526">
        <f t="shared" si="33"/>
        <v>0</v>
      </c>
      <c r="I147" s="577">
        <f t="shared" si="34"/>
        <v>0</v>
      </c>
      <c r="J147" s="514">
        <f t="shared" si="29"/>
        <v>0</v>
      </c>
      <c r="K147" s="514"/>
      <c r="L147" s="525"/>
      <c r="M147" s="514">
        <f t="shared" si="35"/>
        <v>0</v>
      </c>
      <c r="N147" s="525"/>
      <c r="O147" s="514">
        <f t="shared" si="36"/>
        <v>0</v>
      </c>
      <c r="P147" s="514">
        <f t="shared" si="37"/>
        <v>0</v>
      </c>
    </row>
    <row r="148" spans="2:16" ht="12.5">
      <c r="B148" s="195" t="str">
        <f t="shared" si="26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 t="shared" si="30"/>
        <v>0</v>
      </c>
      <c r="F148" s="523">
        <f t="shared" si="31"/>
        <v>0</v>
      </c>
      <c r="G148" s="523">
        <f t="shared" si="32"/>
        <v>0</v>
      </c>
      <c r="H148" s="526">
        <f t="shared" si="33"/>
        <v>0</v>
      </c>
      <c r="I148" s="577">
        <f t="shared" si="34"/>
        <v>0</v>
      </c>
      <c r="J148" s="514">
        <f t="shared" si="29"/>
        <v>0</v>
      </c>
      <c r="K148" s="514"/>
      <c r="L148" s="525"/>
      <c r="M148" s="514">
        <f t="shared" si="35"/>
        <v>0</v>
      </c>
      <c r="N148" s="525"/>
      <c r="O148" s="514">
        <f t="shared" si="36"/>
        <v>0</v>
      </c>
      <c r="P148" s="514">
        <f t="shared" si="37"/>
        <v>0</v>
      </c>
    </row>
    <row r="149" spans="2:16" ht="12.5">
      <c r="B149" s="195" t="str">
        <f t="shared" si="26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 t="shared" si="30"/>
        <v>0</v>
      </c>
      <c r="F149" s="523">
        <f t="shared" si="31"/>
        <v>0</v>
      </c>
      <c r="G149" s="523">
        <f t="shared" si="32"/>
        <v>0</v>
      </c>
      <c r="H149" s="526">
        <f t="shared" si="33"/>
        <v>0</v>
      </c>
      <c r="I149" s="577">
        <f t="shared" si="34"/>
        <v>0</v>
      </c>
      <c r="J149" s="514">
        <f t="shared" si="29"/>
        <v>0</v>
      </c>
      <c r="K149" s="514"/>
      <c r="L149" s="525"/>
      <c r="M149" s="514">
        <f t="shared" si="35"/>
        <v>0</v>
      </c>
      <c r="N149" s="525"/>
      <c r="O149" s="514">
        <f t="shared" si="36"/>
        <v>0</v>
      </c>
      <c r="P149" s="514">
        <f t="shared" si="37"/>
        <v>0</v>
      </c>
    </row>
    <row r="150" spans="2:16" ht="12.5">
      <c r="B150" s="195" t="str">
        <f t="shared" si="26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 t="shared" si="30"/>
        <v>0</v>
      </c>
      <c r="F150" s="523">
        <f t="shared" si="31"/>
        <v>0</v>
      </c>
      <c r="G150" s="523">
        <f t="shared" si="32"/>
        <v>0</v>
      </c>
      <c r="H150" s="526">
        <f t="shared" si="33"/>
        <v>0</v>
      </c>
      <c r="I150" s="577">
        <f t="shared" si="34"/>
        <v>0</v>
      </c>
      <c r="J150" s="514">
        <f t="shared" si="29"/>
        <v>0</v>
      </c>
      <c r="K150" s="514"/>
      <c r="L150" s="525"/>
      <c r="M150" s="514">
        <f t="shared" si="35"/>
        <v>0</v>
      </c>
      <c r="N150" s="525"/>
      <c r="O150" s="514">
        <f t="shared" si="36"/>
        <v>0</v>
      </c>
      <c r="P150" s="514">
        <f t="shared" si="37"/>
        <v>0</v>
      </c>
    </row>
    <row r="151" spans="2:16" ht="12.5">
      <c r="B151" s="195" t="str">
        <f t="shared" si="26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 t="shared" si="30"/>
        <v>0</v>
      </c>
      <c r="F151" s="523">
        <f t="shared" si="31"/>
        <v>0</v>
      </c>
      <c r="G151" s="523">
        <f t="shared" si="32"/>
        <v>0</v>
      </c>
      <c r="H151" s="526">
        <f t="shared" si="33"/>
        <v>0</v>
      </c>
      <c r="I151" s="577">
        <f t="shared" si="34"/>
        <v>0</v>
      </c>
      <c r="J151" s="514">
        <f t="shared" si="29"/>
        <v>0</v>
      </c>
      <c r="K151" s="514"/>
      <c r="L151" s="525"/>
      <c r="M151" s="514">
        <f t="shared" si="35"/>
        <v>0</v>
      </c>
      <c r="N151" s="525"/>
      <c r="O151" s="514">
        <f t="shared" si="36"/>
        <v>0</v>
      </c>
      <c r="P151" s="514">
        <f t="shared" si="37"/>
        <v>0</v>
      </c>
    </row>
    <row r="152" spans="2:16" ht="12.5">
      <c r="B152" s="195" t="str">
        <f t="shared" si="26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 t="shared" si="30"/>
        <v>0</v>
      </c>
      <c r="F152" s="523">
        <f t="shared" si="31"/>
        <v>0</v>
      </c>
      <c r="G152" s="523">
        <f t="shared" si="32"/>
        <v>0</v>
      </c>
      <c r="H152" s="526">
        <f t="shared" si="33"/>
        <v>0</v>
      </c>
      <c r="I152" s="577">
        <f t="shared" si="34"/>
        <v>0</v>
      </c>
      <c r="J152" s="514">
        <f t="shared" si="29"/>
        <v>0</v>
      </c>
      <c r="K152" s="514"/>
      <c r="L152" s="525"/>
      <c r="M152" s="514">
        <f t="shared" si="35"/>
        <v>0</v>
      </c>
      <c r="N152" s="525"/>
      <c r="O152" s="514">
        <f t="shared" si="36"/>
        <v>0</v>
      </c>
      <c r="P152" s="514">
        <f t="shared" si="37"/>
        <v>0</v>
      </c>
    </row>
    <row r="153" spans="2:16" ht="12.5">
      <c r="B153" s="195" t="str">
        <f t="shared" si="26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 t="shared" si="30"/>
        <v>0</v>
      </c>
      <c r="F153" s="523">
        <f t="shared" si="31"/>
        <v>0</v>
      </c>
      <c r="G153" s="523">
        <f t="shared" si="32"/>
        <v>0</v>
      </c>
      <c r="H153" s="526">
        <f t="shared" si="33"/>
        <v>0</v>
      </c>
      <c r="I153" s="577">
        <f t="shared" si="34"/>
        <v>0</v>
      </c>
      <c r="J153" s="514">
        <f t="shared" si="29"/>
        <v>0</v>
      </c>
      <c r="K153" s="514"/>
      <c r="L153" s="525"/>
      <c r="M153" s="514">
        <f t="shared" si="35"/>
        <v>0</v>
      </c>
      <c r="N153" s="525"/>
      <c r="O153" s="514">
        <f t="shared" si="36"/>
        <v>0</v>
      </c>
      <c r="P153" s="514">
        <f t="shared" si="37"/>
        <v>0</v>
      </c>
    </row>
    <row r="154" spans="2:16" ht="13" thickBot="1">
      <c r="B154" s="195" t="str">
        <f t="shared" si="26"/>
        <v/>
      </c>
      <c r="C154" s="527">
        <f>IF(D93="","-",+C153+1)</f>
        <v>2065</v>
      </c>
      <c r="D154" s="374">
        <f>IF(F153+SUM(E$99:E153)=D$92,F153,D$92-SUM(E$99:E153))</f>
        <v>0</v>
      </c>
      <c r="E154" s="522">
        <f t="shared" si="30"/>
        <v>0</v>
      </c>
      <c r="F154" s="523">
        <f t="shared" si="31"/>
        <v>0</v>
      </c>
      <c r="G154" s="523">
        <f t="shared" si="32"/>
        <v>0</v>
      </c>
      <c r="H154" s="526">
        <f t="shared" si="33"/>
        <v>0</v>
      </c>
      <c r="I154" s="577">
        <f t="shared" si="34"/>
        <v>0</v>
      </c>
      <c r="J154" s="514">
        <f t="shared" si="29"/>
        <v>0</v>
      </c>
      <c r="K154" s="514"/>
      <c r="L154" s="532"/>
      <c r="M154" s="533">
        <f t="shared" si="35"/>
        <v>0</v>
      </c>
      <c r="N154" s="532"/>
      <c r="O154" s="533">
        <f t="shared" si="36"/>
        <v>0</v>
      </c>
      <c r="P154" s="533">
        <f t="shared" si="37"/>
        <v>0</v>
      </c>
    </row>
    <row r="155" spans="2:16" ht="12.5">
      <c r="C155" s="374" t="s">
        <v>78</v>
      </c>
      <c r="D155" s="375"/>
      <c r="E155" s="375">
        <f>SUM(E99:E154)</f>
        <v>160296.00000000006</v>
      </c>
      <c r="F155" s="375"/>
      <c r="G155" s="375"/>
      <c r="H155" s="375">
        <f>SUM(H99:H154)</f>
        <v>539402.73502967518</v>
      </c>
      <c r="I155" s="375">
        <f>SUM(I99:I154)</f>
        <v>539402.73502967518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4" priority="1" stopIfTrue="1" operator="equal">
      <formula>$I$10</formula>
    </cfRule>
  </conditionalFormatting>
  <conditionalFormatting sqref="C99:C154">
    <cfRule type="cellIs" dxfId="6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98">
    <tabColor theme="9" tint="-0.249977111117893"/>
  </sheetPr>
  <dimension ref="A1:P162"/>
  <sheetViews>
    <sheetView view="pageBreakPreview" zoomScale="82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49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2655.7484318113256</v>
      </c>
      <c r="P5" s="269"/>
    </row>
    <row r="6" spans="1:16" ht="15.5">
      <c r="C6" s="274"/>
      <c r="D6" s="645" t="s">
        <v>354</v>
      </c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2655.7484318113256</v>
      </c>
      <c r="O6" s="269"/>
      <c r="P6" s="269"/>
    </row>
    <row r="7" spans="1:16" ht="13.5" thickBot="1">
      <c r="C7" s="467" t="s">
        <v>48</v>
      </c>
      <c r="D7" s="624" t="s">
        <v>337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>DOES NOT MEET SPP $100,000 MINIMUM INVESTMENT FOR REGIONAL BPU SHARING.</v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336</v>
      </c>
      <c r="E9" s="637" t="s">
        <v>504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23215.78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2010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552.75666666666666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2010</v>
      </c>
      <c r="D17" s="629">
        <v>23215.78</v>
      </c>
      <c r="E17" s="638">
        <v>92.126111111111115</v>
      </c>
      <c r="F17" s="629">
        <v>23123.653888888886</v>
      </c>
      <c r="G17" s="638">
        <v>3211.7500098580754</v>
      </c>
      <c r="H17" s="639">
        <v>3211.7500098580754</v>
      </c>
      <c r="I17" s="511">
        <v>0</v>
      </c>
      <c r="J17" s="511"/>
      <c r="K17" s="512">
        <f t="shared" ref="K17:K22" si="0">G17</f>
        <v>3211.7500098580754</v>
      </c>
      <c r="L17" s="597">
        <f t="shared" ref="L17:L22" si="1">IF(K17&lt;&gt;0,+G17-K17,0)</f>
        <v>0</v>
      </c>
      <c r="M17" s="512">
        <f t="shared" ref="M17:M22" si="2">H17</f>
        <v>3211.7500098580754</v>
      </c>
      <c r="N17" s="513">
        <f t="shared" ref="N17:N22" si="3">IF(M17&lt;&gt;0,+H17-M17,0)</f>
        <v>0</v>
      </c>
      <c r="O17" s="514">
        <f t="shared" ref="O17:O22" si="4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2011</v>
      </c>
      <c r="D18" s="631">
        <v>23215.78</v>
      </c>
      <c r="E18" s="630">
        <v>92.126111111111115</v>
      </c>
      <c r="F18" s="631">
        <v>23123.653888888886</v>
      </c>
      <c r="G18" s="630">
        <v>3211.7500098580754</v>
      </c>
      <c r="H18" s="639">
        <v>3211.7500098580754</v>
      </c>
      <c r="I18" s="511">
        <v>0</v>
      </c>
      <c r="J18" s="511"/>
      <c r="K18" s="518">
        <f t="shared" si="0"/>
        <v>3211.7500098580754</v>
      </c>
      <c r="L18" s="519">
        <f t="shared" si="1"/>
        <v>0</v>
      </c>
      <c r="M18" s="518">
        <f t="shared" si="2"/>
        <v>3211.7500098580754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2012</v>
      </c>
      <c r="D19" s="631">
        <v>23123.653888888886</v>
      </c>
      <c r="E19" s="630">
        <v>552.75666666666666</v>
      </c>
      <c r="F19" s="631">
        <v>22570.897222222218</v>
      </c>
      <c r="G19" s="630">
        <v>3597.8078825750581</v>
      </c>
      <c r="H19" s="639">
        <v>3597.8078825750581</v>
      </c>
      <c r="I19" s="511">
        <v>0</v>
      </c>
      <c r="J19" s="511"/>
      <c r="K19" s="518">
        <f t="shared" si="0"/>
        <v>3597.8078825750581</v>
      </c>
      <c r="L19" s="519">
        <f t="shared" si="1"/>
        <v>0</v>
      </c>
      <c r="M19" s="518">
        <f t="shared" si="2"/>
        <v>3597.8078825750581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5">IF(D20=F19,"","IU")</f>
        <v/>
      </c>
      <c r="C20" s="507">
        <f>IF(D11="","-",+C19+1)</f>
        <v>2013</v>
      </c>
      <c r="D20" s="631">
        <v>22570.897222222218</v>
      </c>
      <c r="E20" s="630">
        <v>552.75666666666666</v>
      </c>
      <c r="F20" s="631">
        <v>22018.14055555555</v>
      </c>
      <c r="G20" s="630">
        <v>3523.2351997364849</v>
      </c>
      <c r="H20" s="639">
        <v>3523.2351997364849</v>
      </c>
      <c r="I20" s="511">
        <v>0</v>
      </c>
      <c r="J20" s="511"/>
      <c r="K20" s="518">
        <f t="shared" si="0"/>
        <v>3523.2351997364849</v>
      </c>
      <c r="L20" s="519">
        <f t="shared" si="1"/>
        <v>0</v>
      </c>
      <c r="M20" s="518">
        <f t="shared" si="2"/>
        <v>3523.2351997364849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5"/>
        <v/>
      </c>
      <c r="C21" s="507">
        <f>IF(D11="","-",+C20+1)</f>
        <v>2014</v>
      </c>
      <c r="D21" s="631">
        <v>22018.14055555555</v>
      </c>
      <c r="E21" s="630">
        <v>552.75666666666666</v>
      </c>
      <c r="F21" s="631">
        <v>21465.383888888882</v>
      </c>
      <c r="G21" s="630">
        <v>3448.6625168979117</v>
      </c>
      <c r="H21" s="639">
        <v>3448.6625168979117</v>
      </c>
      <c r="I21" s="511">
        <v>0</v>
      </c>
      <c r="J21" s="511"/>
      <c r="K21" s="518">
        <f t="shared" si="0"/>
        <v>3448.6625168979117</v>
      </c>
      <c r="L21" s="519">
        <f t="shared" si="1"/>
        <v>0</v>
      </c>
      <c r="M21" s="518">
        <f t="shared" si="2"/>
        <v>3448.6625168979117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5"/>
        <v/>
      </c>
      <c r="C22" s="507">
        <f>IF(D11="","-",+C21+1)</f>
        <v>2015</v>
      </c>
      <c r="D22" s="631">
        <v>21465.383888888882</v>
      </c>
      <c r="E22" s="630">
        <v>552.75666666666666</v>
      </c>
      <c r="F22" s="631">
        <v>20912.627222222214</v>
      </c>
      <c r="G22" s="630">
        <v>3307.050072836138</v>
      </c>
      <c r="H22" s="639">
        <v>3307.050072836138</v>
      </c>
      <c r="I22" s="511">
        <f t="shared" ref="I22:I33" si="6">H22-G22</f>
        <v>0</v>
      </c>
      <c r="J22" s="511"/>
      <c r="K22" s="518">
        <f t="shared" si="0"/>
        <v>3307.050072836138</v>
      </c>
      <c r="L22" s="519">
        <f t="shared" si="1"/>
        <v>0</v>
      </c>
      <c r="M22" s="518">
        <f t="shared" si="2"/>
        <v>3307.050072836138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5"/>
        <v/>
      </c>
      <c r="C23" s="507">
        <f>IF(D11="","-",+C22+1)</f>
        <v>2016</v>
      </c>
      <c r="D23" s="631">
        <v>20912.627222222214</v>
      </c>
      <c r="E23" s="630">
        <v>552.75666666666666</v>
      </c>
      <c r="F23" s="631">
        <v>20359.870555555546</v>
      </c>
      <c r="G23" s="630">
        <v>3201.1681199217446</v>
      </c>
      <c r="H23" s="639">
        <v>3201.1681199217446</v>
      </c>
      <c r="I23" s="511">
        <f t="shared" si="6"/>
        <v>0</v>
      </c>
      <c r="J23" s="511"/>
      <c r="K23" s="518">
        <f t="shared" ref="K23:K28" si="7">G23</f>
        <v>3201.1681199217446</v>
      </c>
      <c r="L23" s="519">
        <f t="shared" ref="L23:L28" si="8">IF(K23&lt;&gt;0,+G23-K23,0)</f>
        <v>0</v>
      </c>
      <c r="M23" s="518">
        <f t="shared" ref="M23:M28" si="9">H23</f>
        <v>3201.1681199217446</v>
      </c>
      <c r="N23" s="514">
        <f>IF(M23&lt;&gt;0,+H23-M23,0)</f>
        <v>0</v>
      </c>
      <c r="O23" s="514">
        <f>+N23-L23</f>
        <v>0</v>
      </c>
      <c r="P23" s="272"/>
    </row>
    <row r="24" spans="2:16" ht="12.5">
      <c r="B24" s="195" t="str">
        <f t="shared" si="5"/>
        <v/>
      </c>
      <c r="C24" s="507">
        <f>IF(D11="","-",+C23+1)</f>
        <v>2017</v>
      </c>
      <c r="D24" s="631">
        <v>20359.870555555546</v>
      </c>
      <c r="E24" s="630">
        <v>539.90186046511621</v>
      </c>
      <c r="F24" s="631">
        <v>19819.968695090429</v>
      </c>
      <c r="G24" s="630">
        <v>3028.8929029965175</v>
      </c>
      <c r="H24" s="639">
        <v>3028.8929029965175</v>
      </c>
      <c r="I24" s="511">
        <f t="shared" si="6"/>
        <v>0</v>
      </c>
      <c r="J24" s="511"/>
      <c r="K24" s="518">
        <f t="shared" si="7"/>
        <v>3028.8929029965175</v>
      </c>
      <c r="L24" s="519">
        <f t="shared" si="8"/>
        <v>0</v>
      </c>
      <c r="M24" s="518">
        <f t="shared" si="9"/>
        <v>3028.8929029965175</v>
      </c>
      <c r="N24" s="514">
        <f>IF(M24&lt;&gt;0,+H24-M24,0)</f>
        <v>0</v>
      </c>
      <c r="O24" s="514">
        <f>+N24-L24</f>
        <v>0</v>
      </c>
      <c r="P24" s="272"/>
    </row>
    <row r="25" spans="2:16" ht="12.5">
      <c r="B25" s="195" t="str">
        <f t="shared" si="5"/>
        <v/>
      </c>
      <c r="C25" s="507">
        <f>IF(D11="","-",+C24+1)</f>
        <v>2018</v>
      </c>
      <c r="D25" s="631">
        <v>19819.968695090429</v>
      </c>
      <c r="E25" s="630">
        <v>566.23853658536586</v>
      </c>
      <c r="F25" s="631">
        <v>19253.730158505063</v>
      </c>
      <c r="G25" s="630">
        <v>3049.2568103813055</v>
      </c>
      <c r="H25" s="639">
        <v>3049.2568103813055</v>
      </c>
      <c r="I25" s="511">
        <f t="shared" si="6"/>
        <v>0</v>
      </c>
      <c r="J25" s="511"/>
      <c r="K25" s="518">
        <f t="shared" si="7"/>
        <v>3049.2568103813055</v>
      </c>
      <c r="L25" s="519">
        <f t="shared" si="8"/>
        <v>0</v>
      </c>
      <c r="M25" s="518">
        <f t="shared" si="9"/>
        <v>3049.2568103813055</v>
      </c>
      <c r="N25" s="514">
        <f t="shared" ref="N25:N72" si="10">IF(M25&lt;&gt;0,+H25-M25,0)</f>
        <v>0</v>
      </c>
      <c r="O25" s="514">
        <f t="shared" ref="O25:O72" si="11">+N25-L25</f>
        <v>0</v>
      </c>
      <c r="P25" s="272"/>
    </row>
    <row r="26" spans="2:16" ht="12.5">
      <c r="B26" s="195" t="str">
        <f t="shared" si="5"/>
        <v/>
      </c>
      <c r="C26" s="507">
        <f>IF(D11="","-",+C25+1)</f>
        <v>2019</v>
      </c>
      <c r="D26" s="631">
        <v>19253.730158505063</v>
      </c>
      <c r="E26" s="630">
        <v>566.23853658536586</v>
      </c>
      <c r="F26" s="631">
        <v>18687.491621919697</v>
      </c>
      <c r="G26" s="630">
        <v>2977.2912337955331</v>
      </c>
      <c r="H26" s="639">
        <v>2977.2912337955331</v>
      </c>
      <c r="I26" s="511">
        <f t="shared" si="6"/>
        <v>0</v>
      </c>
      <c r="J26" s="511"/>
      <c r="K26" s="518">
        <f t="shared" si="7"/>
        <v>2977.2912337955331</v>
      </c>
      <c r="L26" s="519">
        <f t="shared" si="8"/>
        <v>0</v>
      </c>
      <c r="M26" s="518">
        <f t="shared" si="9"/>
        <v>2977.2912337955331</v>
      </c>
      <c r="N26" s="514">
        <f t="shared" si="10"/>
        <v>0</v>
      </c>
      <c r="O26" s="514">
        <f t="shared" si="11"/>
        <v>0</v>
      </c>
      <c r="P26" s="272"/>
    </row>
    <row r="27" spans="2:16" ht="12.5">
      <c r="B27" s="195" t="str">
        <f t="shared" si="5"/>
        <v>IU</v>
      </c>
      <c r="C27" s="507">
        <f>IF(D11="","-",+C26+1)</f>
        <v>2020</v>
      </c>
      <c r="D27" s="631">
        <v>18595.365510808595</v>
      </c>
      <c r="E27" s="630">
        <v>566.23853658536586</v>
      </c>
      <c r="F27" s="631">
        <v>18029.126974223229</v>
      </c>
      <c r="G27" s="630">
        <v>2440.2305931372539</v>
      </c>
      <c r="H27" s="639">
        <v>2440.2305931372539</v>
      </c>
      <c r="I27" s="511">
        <f t="shared" si="6"/>
        <v>0</v>
      </c>
      <c r="J27" s="511"/>
      <c r="K27" s="518">
        <f t="shared" si="7"/>
        <v>2440.2305931372539</v>
      </c>
      <c r="L27" s="519">
        <f t="shared" si="8"/>
        <v>0</v>
      </c>
      <c r="M27" s="518">
        <f t="shared" si="9"/>
        <v>2440.2305931372539</v>
      </c>
      <c r="N27" s="514">
        <f t="shared" si="10"/>
        <v>0</v>
      </c>
      <c r="O27" s="514">
        <f t="shared" si="11"/>
        <v>0</v>
      </c>
      <c r="P27" s="272"/>
    </row>
    <row r="28" spans="2:16" ht="12.5">
      <c r="B28" s="195" t="str">
        <f t="shared" si="5"/>
        <v>IU</v>
      </c>
      <c r="C28" s="507">
        <f>IF(D11="","-",+C27+1)</f>
        <v>2021</v>
      </c>
      <c r="D28" s="631">
        <v>18055.463650343478</v>
      </c>
      <c r="E28" s="630">
        <v>552.75666666666666</v>
      </c>
      <c r="F28" s="631">
        <v>17502.70698367681</v>
      </c>
      <c r="G28" s="630">
        <v>2437.4205169702896</v>
      </c>
      <c r="H28" s="639">
        <v>2437.4205169702896</v>
      </c>
      <c r="I28" s="511">
        <f t="shared" si="6"/>
        <v>0</v>
      </c>
      <c r="J28" s="511"/>
      <c r="K28" s="518">
        <f t="shared" si="7"/>
        <v>2437.4205169702896</v>
      </c>
      <c r="L28" s="519">
        <f t="shared" si="8"/>
        <v>0</v>
      </c>
      <c r="M28" s="518">
        <f t="shared" si="9"/>
        <v>2437.4205169702896</v>
      </c>
      <c r="N28" s="514">
        <f t="shared" si="10"/>
        <v>0</v>
      </c>
      <c r="O28" s="514">
        <f t="shared" si="11"/>
        <v>0</v>
      </c>
      <c r="P28" s="272"/>
    </row>
    <row r="29" spans="2:16" ht="12.5">
      <c r="B29" s="195" t="str">
        <f t="shared" si="5"/>
        <v>IU</v>
      </c>
      <c r="C29" s="507">
        <f>IF(D11="","-",+C28+1)</f>
        <v>2022</v>
      </c>
      <c r="D29" s="631">
        <v>17476.370307556565</v>
      </c>
      <c r="E29" s="630">
        <v>552.75666666666666</v>
      </c>
      <c r="F29" s="631">
        <v>16923.613640889896</v>
      </c>
      <c r="G29" s="630">
        <v>2486.7942306042569</v>
      </c>
      <c r="H29" s="639">
        <v>2486.7942306042569</v>
      </c>
      <c r="I29" s="511">
        <f t="shared" si="6"/>
        <v>0</v>
      </c>
      <c r="J29" s="511"/>
      <c r="K29" s="518">
        <f t="shared" ref="K29" si="12">G29</f>
        <v>2486.7942306042569</v>
      </c>
      <c r="L29" s="519">
        <f t="shared" ref="L29" si="13">IF(K29&lt;&gt;0,+G29-K29,0)</f>
        <v>0</v>
      </c>
      <c r="M29" s="518">
        <f t="shared" ref="M29" si="14">H29</f>
        <v>2486.7942306042569</v>
      </c>
      <c r="N29" s="514">
        <f t="shared" si="10"/>
        <v>0</v>
      </c>
      <c r="O29" s="514">
        <f t="shared" si="11"/>
        <v>0</v>
      </c>
      <c r="P29" s="272"/>
    </row>
    <row r="30" spans="2:16" ht="12.5">
      <c r="B30" s="195" t="str">
        <f t="shared" si="5"/>
        <v/>
      </c>
      <c r="C30" s="507">
        <f>IF(D11="","-",+C29+1)</f>
        <v>2023</v>
      </c>
      <c r="D30" s="523">
        <f>IF(F29+SUM(E$17:E29)=D$10,F29,D$10-SUM(E$17:E29))</f>
        <v>16923.613640889896</v>
      </c>
      <c r="E30" s="522">
        <f>IF(+I14&lt;F29,I14,D30)</f>
        <v>552.75666666666666</v>
      </c>
      <c r="F30" s="523">
        <f t="shared" ref="F30:F33" si="15">+D30-E30</f>
        <v>16370.85697422323</v>
      </c>
      <c r="G30" s="524">
        <f t="shared" ref="G30:G54" si="16">+I$12*((D30+F30)/2)+E30</f>
        <v>2655.7484318113256</v>
      </c>
      <c r="H30" s="491">
        <f t="shared" ref="H30:H54" si="17">+I$13*((D30+F30)/2)+E30</f>
        <v>2655.7484318113256</v>
      </c>
      <c r="I30" s="511">
        <f t="shared" si="6"/>
        <v>0</v>
      </c>
      <c r="J30" s="511"/>
      <c r="K30" s="525"/>
      <c r="L30" s="514">
        <f t="shared" ref="L30:L72" si="18">IF(K30&lt;&gt;0,+G30-K30,0)</f>
        <v>0</v>
      </c>
      <c r="M30" s="525"/>
      <c r="N30" s="514">
        <f t="shared" si="10"/>
        <v>0</v>
      </c>
      <c r="O30" s="514">
        <f t="shared" si="11"/>
        <v>0</v>
      </c>
      <c r="P30" s="272"/>
    </row>
    <row r="31" spans="2:16" ht="12.5">
      <c r="B31" s="195" t="str">
        <f t="shared" si="5"/>
        <v/>
      </c>
      <c r="C31" s="507">
        <f>IF(D11="","-",+C30+1)</f>
        <v>2024</v>
      </c>
      <c r="D31" s="523">
        <f>IF(F30+SUM(E$17:E30)=D$10,F30,D$10-SUM(E$17:E30))</f>
        <v>16370.85697422323</v>
      </c>
      <c r="E31" s="522">
        <f>IF(+I14&lt;F30,I14,D31)</f>
        <v>552.75666666666666</v>
      </c>
      <c r="F31" s="523">
        <f t="shared" si="15"/>
        <v>15818.100307556564</v>
      </c>
      <c r="G31" s="524">
        <f t="shared" si="16"/>
        <v>2585.9204575770004</v>
      </c>
      <c r="H31" s="491">
        <f t="shared" si="17"/>
        <v>2585.9204575770004</v>
      </c>
      <c r="I31" s="511">
        <f t="shared" si="6"/>
        <v>0</v>
      </c>
      <c r="J31" s="511"/>
      <c r="K31" s="525"/>
      <c r="L31" s="514">
        <f t="shared" si="18"/>
        <v>0</v>
      </c>
      <c r="M31" s="525"/>
      <c r="N31" s="514">
        <f t="shared" si="10"/>
        <v>0</v>
      </c>
      <c r="O31" s="514">
        <f t="shared" si="11"/>
        <v>0</v>
      </c>
      <c r="P31" s="272"/>
    </row>
    <row r="32" spans="2:16" ht="12.5">
      <c r="B32" s="195" t="str">
        <f t="shared" si="5"/>
        <v/>
      </c>
      <c r="C32" s="507">
        <f>IF(D11="","-",+C31+1)</f>
        <v>2025</v>
      </c>
      <c r="D32" s="523">
        <f>IF(F31+SUM(E$17:E31)=D$10,F31,D$10-SUM(E$17:E31))</f>
        <v>15818.100307556564</v>
      </c>
      <c r="E32" s="522">
        <f>IF(+I14&lt;F31,I14,D32)</f>
        <v>552.75666666666666</v>
      </c>
      <c r="F32" s="523">
        <f t="shared" si="15"/>
        <v>15265.343640889898</v>
      </c>
      <c r="G32" s="524">
        <f t="shared" si="16"/>
        <v>2516.0924833426748</v>
      </c>
      <c r="H32" s="491">
        <f t="shared" si="17"/>
        <v>2516.0924833426748</v>
      </c>
      <c r="I32" s="511">
        <f t="shared" si="6"/>
        <v>0</v>
      </c>
      <c r="J32" s="511"/>
      <c r="K32" s="525"/>
      <c r="L32" s="514">
        <f t="shared" si="18"/>
        <v>0</v>
      </c>
      <c r="M32" s="525"/>
      <c r="N32" s="514">
        <f t="shared" si="10"/>
        <v>0</v>
      </c>
      <c r="O32" s="514">
        <f t="shared" si="11"/>
        <v>0</v>
      </c>
      <c r="P32" s="272"/>
    </row>
    <row r="33" spans="2:16" ht="12.5">
      <c r="B33" s="195" t="str">
        <f t="shared" si="5"/>
        <v/>
      </c>
      <c r="C33" s="507">
        <f>IF(D11="","-",+C32+1)</f>
        <v>2026</v>
      </c>
      <c r="D33" s="523">
        <f>IF(F32+SUM(E$17:E32)=D$10,F32,D$10-SUM(E$17:E32))</f>
        <v>15265.343640889898</v>
      </c>
      <c r="E33" s="522">
        <f>IF(+I14&lt;F32,I14,D33)</f>
        <v>552.75666666666666</v>
      </c>
      <c r="F33" s="523">
        <f t="shared" si="15"/>
        <v>14712.586974223232</v>
      </c>
      <c r="G33" s="524">
        <f t="shared" si="16"/>
        <v>2446.2645091083496</v>
      </c>
      <c r="H33" s="491">
        <f t="shared" si="17"/>
        <v>2446.2645091083496</v>
      </c>
      <c r="I33" s="511">
        <f t="shared" si="6"/>
        <v>0</v>
      </c>
      <c r="J33" s="511"/>
      <c r="K33" s="525"/>
      <c r="L33" s="514">
        <f t="shared" si="18"/>
        <v>0</v>
      </c>
      <c r="M33" s="525"/>
      <c r="N33" s="514">
        <f t="shared" si="10"/>
        <v>0</v>
      </c>
      <c r="O33" s="514">
        <f t="shared" si="11"/>
        <v>0</v>
      </c>
      <c r="P33" s="272"/>
    </row>
    <row r="34" spans="2:16" ht="12.5">
      <c r="B34" s="195" t="str">
        <f t="shared" si="5"/>
        <v/>
      </c>
      <c r="C34" s="507">
        <f>IF(D11="","-",+C33+1)</f>
        <v>2027</v>
      </c>
      <c r="D34" s="523">
        <f>IF(F33+SUM(E$17:E33)=D$10,F33,D$10-SUM(E$17:E33))</f>
        <v>14712.586974223232</v>
      </c>
      <c r="E34" s="522">
        <f>IF(+I14&lt;F33,I14,D34)</f>
        <v>552.75666666666666</v>
      </c>
      <c r="F34" s="523">
        <f t="shared" ref="F34:F72" si="19">+D34-E34</f>
        <v>14159.830307556565</v>
      </c>
      <c r="G34" s="524">
        <f t="shared" si="16"/>
        <v>2376.4365348740239</v>
      </c>
      <c r="H34" s="491">
        <f t="shared" si="17"/>
        <v>2376.4365348740239</v>
      </c>
      <c r="I34" s="511">
        <f t="shared" ref="I34:I72" si="20">H34-G34</f>
        <v>0</v>
      </c>
      <c r="J34" s="511"/>
      <c r="K34" s="525"/>
      <c r="L34" s="514">
        <f t="shared" si="18"/>
        <v>0</v>
      </c>
      <c r="M34" s="525"/>
      <c r="N34" s="514">
        <f t="shared" si="10"/>
        <v>0</v>
      </c>
      <c r="O34" s="514">
        <f t="shared" si="11"/>
        <v>0</v>
      </c>
      <c r="P34" s="272"/>
    </row>
    <row r="35" spans="2:16" ht="12.5">
      <c r="B35" s="195" t="str">
        <f t="shared" si="5"/>
        <v/>
      </c>
      <c r="C35" s="507">
        <f>IF(D11="","-",+C34+1)</f>
        <v>2028</v>
      </c>
      <c r="D35" s="523">
        <f>IF(F34+SUM(E$17:E34)=D$10,F34,D$10-SUM(E$17:E34))</f>
        <v>14159.830307556565</v>
      </c>
      <c r="E35" s="522">
        <f>IF(+I14&lt;F34,I14,D35)</f>
        <v>552.75666666666666</v>
      </c>
      <c r="F35" s="523">
        <f t="shared" si="19"/>
        <v>13607.073640889899</v>
      </c>
      <c r="G35" s="524">
        <f t="shared" si="16"/>
        <v>2306.6085606396991</v>
      </c>
      <c r="H35" s="491">
        <f t="shared" si="17"/>
        <v>2306.6085606396991</v>
      </c>
      <c r="I35" s="511">
        <f t="shared" si="20"/>
        <v>0</v>
      </c>
      <c r="J35" s="511"/>
      <c r="K35" s="525"/>
      <c r="L35" s="514">
        <f t="shared" si="18"/>
        <v>0</v>
      </c>
      <c r="M35" s="525"/>
      <c r="N35" s="514">
        <f t="shared" si="10"/>
        <v>0</v>
      </c>
      <c r="O35" s="514">
        <f t="shared" si="11"/>
        <v>0</v>
      </c>
      <c r="P35" s="272"/>
    </row>
    <row r="36" spans="2:16" ht="12.5">
      <c r="B36" s="195" t="str">
        <f t="shared" si="5"/>
        <v/>
      </c>
      <c r="C36" s="507">
        <f>IF(D11="","-",+C35+1)</f>
        <v>2029</v>
      </c>
      <c r="D36" s="523">
        <f>IF(F35+SUM(E$17:E35)=D$10,F35,D$10-SUM(E$17:E35))</f>
        <v>13607.073640889899</v>
      </c>
      <c r="E36" s="522">
        <f>IF(+I14&lt;F35,I14,D36)</f>
        <v>552.75666666666666</v>
      </c>
      <c r="F36" s="523">
        <f t="shared" si="19"/>
        <v>13054.316974223233</v>
      </c>
      <c r="G36" s="524">
        <f t="shared" si="16"/>
        <v>2236.7805864053735</v>
      </c>
      <c r="H36" s="491">
        <f t="shared" si="17"/>
        <v>2236.7805864053735</v>
      </c>
      <c r="I36" s="511">
        <f t="shared" si="20"/>
        <v>0</v>
      </c>
      <c r="J36" s="511"/>
      <c r="K36" s="525"/>
      <c r="L36" s="514">
        <f t="shared" si="18"/>
        <v>0</v>
      </c>
      <c r="M36" s="525"/>
      <c r="N36" s="514">
        <f t="shared" si="10"/>
        <v>0</v>
      </c>
      <c r="O36" s="514">
        <f t="shared" si="11"/>
        <v>0</v>
      </c>
      <c r="P36" s="272"/>
    </row>
    <row r="37" spans="2:16" ht="12.5">
      <c r="B37" s="195" t="str">
        <f t="shared" si="5"/>
        <v/>
      </c>
      <c r="C37" s="507">
        <f>IF(D11="","-",+C36+1)</f>
        <v>2030</v>
      </c>
      <c r="D37" s="523">
        <f>IF(F36+SUM(E$17:E36)=D$10,F36,D$10-SUM(E$17:E36))</f>
        <v>13054.316974223233</v>
      </c>
      <c r="E37" s="522">
        <f>IF(+I14&lt;F36,I14,D37)</f>
        <v>552.75666666666666</v>
      </c>
      <c r="F37" s="523">
        <f t="shared" si="19"/>
        <v>12501.560307556567</v>
      </c>
      <c r="G37" s="524">
        <f t="shared" si="16"/>
        <v>2166.9526121710487</v>
      </c>
      <c r="H37" s="491">
        <f t="shared" si="17"/>
        <v>2166.9526121710487</v>
      </c>
      <c r="I37" s="511">
        <f t="shared" si="20"/>
        <v>0</v>
      </c>
      <c r="J37" s="511"/>
      <c r="K37" s="525"/>
      <c r="L37" s="514">
        <f t="shared" si="18"/>
        <v>0</v>
      </c>
      <c r="M37" s="525"/>
      <c r="N37" s="514">
        <f t="shared" si="10"/>
        <v>0</v>
      </c>
      <c r="O37" s="514">
        <f t="shared" si="11"/>
        <v>0</v>
      </c>
      <c r="P37" s="272"/>
    </row>
    <row r="38" spans="2:16" ht="12.5">
      <c r="B38" s="195" t="str">
        <f t="shared" si="5"/>
        <v/>
      </c>
      <c r="C38" s="507">
        <f>IF(D11="","-",+C37+1)</f>
        <v>2031</v>
      </c>
      <c r="D38" s="523">
        <f>IF(F37+SUM(E$17:E37)=D$10,F37,D$10-SUM(E$17:E37))</f>
        <v>12501.560307556567</v>
      </c>
      <c r="E38" s="522">
        <f>IF(+I14&lt;F37,I14,D38)</f>
        <v>552.75666666666666</v>
      </c>
      <c r="F38" s="523">
        <f t="shared" si="19"/>
        <v>11948.803640889901</v>
      </c>
      <c r="G38" s="524">
        <f t="shared" si="16"/>
        <v>2097.124637936723</v>
      </c>
      <c r="H38" s="491">
        <f t="shared" si="17"/>
        <v>2097.124637936723</v>
      </c>
      <c r="I38" s="511">
        <f t="shared" si="20"/>
        <v>0</v>
      </c>
      <c r="J38" s="511"/>
      <c r="K38" s="525"/>
      <c r="L38" s="514">
        <f t="shared" si="18"/>
        <v>0</v>
      </c>
      <c r="M38" s="525"/>
      <c r="N38" s="514">
        <f t="shared" si="10"/>
        <v>0</v>
      </c>
      <c r="O38" s="514">
        <f t="shared" si="11"/>
        <v>0</v>
      </c>
      <c r="P38" s="272"/>
    </row>
    <row r="39" spans="2:16" ht="12.5">
      <c r="B39" s="195" t="str">
        <f t="shared" si="5"/>
        <v/>
      </c>
      <c r="C39" s="507">
        <f>IF(D11="","-",+C38+1)</f>
        <v>2032</v>
      </c>
      <c r="D39" s="523">
        <f>IF(F38+SUM(E$17:E38)=D$10,F38,D$10-SUM(E$17:E38))</f>
        <v>11948.803640889901</v>
      </c>
      <c r="E39" s="522">
        <f>IF(+I14&lt;F38,I14,D39)</f>
        <v>552.75666666666666</v>
      </c>
      <c r="F39" s="523">
        <f t="shared" si="19"/>
        <v>11396.046974223234</v>
      </c>
      <c r="G39" s="524">
        <f t="shared" si="16"/>
        <v>2027.2966637023978</v>
      </c>
      <c r="H39" s="491">
        <f t="shared" si="17"/>
        <v>2027.2966637023978</v>
      </c>
      <c r="I39" s="511">
        <f t="shared" si="20"/>
        <v>0</v>
      </c>
      <c r="J39" s="511"/>
      <c r="K39" s="525"/>
      <c r="L39" s="514">
        <f t="shared" si="18"/>
        <v>0</v>
      </c>
      <c r="M39" s="525"/>
      <c r="N39" s="514">
        <f t="shared" si="10"/>
        <v>0</v>
      </c>
      <c r="O39" s="514">
        <f t="shared" si="11"/>
        <v>0</v>
      </c>
      <c r="P39" s="272"/>
    </row>
    <row r="40" spans="2:16" ht="12.5">
      <c r="B40" s="195" t="str">
        <f t="shared" si="5"/>
        <v/>
      </c>
      <c r="C40" s="507">
        <f>IF(D11="","-",+C39+1)</f>
        <v>2033</v>
      </c>
      <c r="D40" s="523">
        <f>IF(F39+SUM(E$17:E39)=D$10,F39,D$10-SUM(E$17:E39))</f>
        <v>11396.046974223234</v>
      </c>
      <c r="E40" s="522">
        <f>IF(+I14&lt;F39,I14,D40)</f>
        <v>552.75666666666666</v>
      </c>
      <c r="F40" s="523">
        <f t="shared" si="19"/>
        <v>10843.290307556568</v>
      </c>
      <c r="G40" s="524">
        <f t="shared" si="16"/>
        <v>1957.4686894680724</v>
      </c>
      <c r="H40" s="491">
        <f t="shared" si="17"/>
        <v>1957.4686894680724</v>
      </c>
      <c r="I40" s="511">
        <f t="shared" si="20"/>
        <v>0</v>
      </c>
      <c r="J40" s="511"/>
      <c r="K40" s="525"/>
      <c r="L40" s="514">
        <f t="shared" si="18"/>
        <v>0</v>
      </c>
      <c r="M40" s="525"/>
      <c r="N40" s="514">
        <f t="shared" si="10"/>
        <v>0</v>
      </c>
      <c r="O40" s="514">
        <f t="shared" si="11"/>
        <v>0</v>
      </c>
      <c r="P40" s="272"/>
    </row>
    <row r="41" spans="2:16" ht="12.5">
      <c r="B41" s="195" t="str">
        <f t="shared" si="5"/>
        <v/>
      </c>
      <c r="C41" s="507">
        <f>IF(D11="","-",+C40+1)</f>
        <v>2034</v>
      </c>
      <c r="D41" s="523">
        <f>IF(F40+SUM(E$17:E40)=D$10,F40,D$10-SUM(E$17:E40))</f>
        <v>10843.290307556568</v>
      </c>
      <c r="E41" s="522">
        <f>IF(+I14&lt;F40,I14,D41)</f>
        <v>552.75666666666666</v>
      </c>
      <c r="F41" s="523">
        <f t="shared" si="19"/>
        <v>10290.533640889902</v>
      </c>
      <c r="G41" s="524">
        <f t="shared" si="16"/>
        <v>1887.6407152337474</v>
      </c>
      <c r="H41" s="491">
        <f t="shared" si="17"/>
        <v>1887.6407152337474</v>
      </c>
      <c r="I41" s="511">
        <f t="shared" si="20"/>
        <v>0</v>
      </c>
      <c r="J41" s="511"/>
      <c r="K41" s="525"/>
      <c r="L41" s="514">
        <f t="shared" si="18"/>
        <v>0</v>
      </c>
      <c r="M41" s="525"/>
      <c r="N41" s="514">
        <f t="shared" si="10"/>
        <v>0</v>
      </c>
      <c r="O41" s="514">
        <f t="shared" si="11"/>
        <v>0</v>
      </c>
      <c r="P41" s="272"/>
    </row>
    <row r="42" spans="2:16" ht="12.5">
      <c r="B42" s="195" t="str">
        <f t="shared" si="5"/>
        <v/>
      </c>
      <c r="C42" s="507">
        <f>IF(D11="","-",+C41+1)</f>
        <v>2035</v>
      </c>
      <c r="D42" s="523">
        <f>IF(F41+SUM(E$17:E41)=D$10,F41,D$10-SUM(E$17:E41))</f>
        <v>10290.533640889902</v>
      </c>
      <c r="E42" s="522">
        <f>IF(+I14&lt;F41,I14,D42)</f>
        <v>552.75666666666666</v>
      </c>
      <c r="F42" s="523">
        <f t="shared" si="19"/>
        <v>9737.7769742232358</v>
      </c>
      <c r="G42" s="524">
        <f t="shared" si="16"/>
        <v>1817.8127409994217</v>
      </c>
      <c r="H42" s="491">
        <f t="shared" si="17"/>
        <v>1817.8127409994217</v>
      </c>
      <c r="I42" s="511">
        <f t="shared" si="20"/>
        <v>0</v>
      </c>
      <c r="J42" s="511"/>
      <c r="K42" s="525"/>
      <c r="L42" s="514">
        <f t="shared" si="18"/>
        <v>0</v>
      </c>
      <c r="M42" s="525"/>
      <c r="N42" s="514">
        <f t="shared" si="10"/>
        <v>0</v>
      </c>
      <c r="O42" s="514">
        <f t="shared" si="11"/>
        <v>0</v>
      </c>
      <c r="P42" s="272"/>
    </row>
    <row r="43" spans="2:16" ht="12.5">
      <c r="B43" s="195" t="str">
        <f t="shared" si="5"/>
        <v/>
      </c>
      <c r="C43" s="507">
        <f>IF(D11="","-",+C42+1)</f>
        <v>2036</v>
      </c>
      <c r="D43" s="523">
        <f>IF(F42+SUM(E$17:E42)=D$10,F42,D$10-SUM(E$17:E42))</f>
        <v>9737.7769742232358</v>
      </c>
      <c r="E43" s="522">
        <f>IF(+I14&lt;F42,I14,D43)</f>
        <v>552.75666666666666</v>
      </c>
      <c r="F43" s="523">
        <f t="shared" si="19"/>
        <v>9185.0203075565696</v>
      </c>
      <c r="G43" s="524">
        <f t="shared" si="16"/>
        <v>1747.9847667650968</v>
      </c>
      <c r="H43" s="491">
        <f t="shared" si="17"/>
        <v>1747.9847667650968</v>
      </c>
      <c r="I43" s="511">
        <f t="shared" si="20"/>
        <v>0</v>
      </c>
      <c r="J43" s="511"/>
      <c r="K43" s="525"/>
      <c r="L43" s="514">
        <f t="shared" si="18"/>
        <v>0</v>
      </c>
      <c r="M43" s="525"/>
      <c r="N43" s="514">
        <f t="shared" si="10"/>
        <v>0</v>
      </c>
      <c r="O43" s="514">
        <f t="shared" si="11"/>
        <v>0</v>
      </c>
      <c r="P43" s="272"/>
    </row>
    <row r="44" spans="2:16" ht="12.5">
      <c r="B44" s="195" t="str">
        <f t="shared" si="5"/>
        <v/>
      </c>
      <c r="C44" s="507">
        <f>IF(D11="","-",+C43+1)</f>
        <v>2037</v>
      </c>
      <c r="D44" s="523">
        <f>IF(F43+SUM(E$17:E43)=D$10,F43,D$10-SUM(E$17:E43))</f>
        <v>9185.0203075565696</v>
      </c>
      <c r="E44" s="522">
        <f>IF(+I14&lt;F43,I14,D44)</f>
        <v>552.75666666666666</v>
      </c>
      <c r="F44" s="523">
        <f t="shared" si="19"/>
        <v>8632.2636408899034</v>
      </c>
      <c r="G44" s="524">
        <f t="shared" si="16"/>
        <v>1678.1567925307711</v>
      </c>
      <c r="H44" s="491">
        <f t="shared" si="17"/>
        <v>1678.1567925307711</v>
      </c>
      <c r="I44" s="511">
        <f t="shared" si="20"/>
        <v>0</v>
      </c>
      <c r="J44" s="511"/>
      <c r="K44" s="525"/>
      <c r="L44" s="514">
        <f t="shared" si="18"/>
        <v>0</v>
      </c>
      <c r="M44" s="525"/>
      <c r="N44" s="514">
        <f t="shared" si="10"/>
        <v>0</v>
      </c>
      <c r="O44" s="514">
        <f t="shared" si="11"/>
        <v>0</v>
      </c>
      <c r="P44" s="272"/>
    </row>
    <row r="45" spans="2:16" ht="12.5">
      <c r="B45" s="195" t="str">
        <f t="shared" si="5"/>
        <v/>
      </c>
      <c r="C45" s="507">
        <f>IF(D11="","-",+C44+1)</f>
        <v>2038</v>
      </c>
      <c r="D45" s="523">
        <f>IF(F44+SUM(E$17:E44)=D$10,F44,D$10-SUM(E$17:E44))</f>
        <v>8632.2636408899034</v>
      </c>
      <c r="E45" s="522">
        <f>IF(+I14&lt;F44,I14,D45)</f>
        <v>552.75666666666666</v>
      </c>
      <c r="F45" s="523">
        <f t="shared" si="19"/>
        <v>8079.5069742232372</v>
      </c>
      <c r="G45" s="524">
        <f t="shared" si="16"/>
        <v>1608.3288182964461</v>
      </c>
      <c r="H45" s="491">
        <f t="shared" si="17"/>
        <v>1608.3288182964461</v>
      </c>
      <c r="I45" s="511">
        <f t="shared" si="20"/>
        <v>0</v>
      </c>
      <c r="J45" s="511"/>
      <c r="K45" s="525"/>
      <c r="L45" s="514">
        <f t="shared" si="18"/>
        <v>0</v>
      </c>
      <c r="M45" s="525"/>
      <c r="N45" s="514">
        <f t="shared" si="10"/>
        <v>0</v>
      </c>
      <c r="O45" s="514">
        <f t="shared" si="11"/>
        <v>0</v>
      </c>
      <c r="P45" s="272"/>
    </row>
    <row r="46" spans="2:16" ht="12.5">
      <c r="B46" s="195" t="str">
        <f t="shared" si="5"/>
        <v/>
      </c>
      <c r="C46" s="507">
        <f>IF(D11="","-",+C45+1)</f>
        <v>2039</v>
      </c>
      <c r="D46" s="523">
        <f>IF(F45+SUM(E$17:E45)=D$10,F45,D$10-SUM(E$17:E45))</f>
        <v>8079.5069742232372</v>
      </c>
      <c r="E46" s="522">
        <f>IF(+I14&lt;F45,I14,D46)</f>
        <v>552.75666666666666</v>
      </c>
      <c r="F46" s="523">
        <f t="shared" si="19"/>
        <v>7526.750307556571</v>
      </c>
      <c r="G46" s="524">
        <f t="shared" si="16"/>
        <v>1538.5008440621207</v>
      </c>
      <c r="H46" s="491">
        <f t="shared" si="17"/>
        <v>1538.5008440621207</v>
      </c>
      <c r="I46" s="511">
        <f t="shared" si="20"/>
        <v>0</v>
      </c>
      <c r="J46" s="511"/>
      <c r="K46" s="525"/>
      <c r="L46" s="514">
        <f t="shared" si="18"/>
        <v>0</v>
      </c>
      <c r="M46" s="525"/>
      <c r="N46" s="514">
        <f t="shared" si="10"/>
        <v>0</v>
      </c>
      <c r="O46" s="514">
        <f t="shared" si="11"/>
        <v>0</v>
      </c>
      <c r="P46" s="272"/>
    </row>
    <row r="47" spans="2:16" ht="12.5">
      <c r="B47" s="195" t="str">
        <f t="shared" si="5"/>
        <v/>
      </c>
      <c r="C47" s="507">
        <f>IF(D11="","-",+C46+1)</f>
        <v>2040</v>
      </c>
      <c r="D47" s="523">
        <f>IF(F46+SUM(E$17:E46)=D$10,F46,D$10-SUM(E$17:E46))</f>
        <v>7526.750307556571</v>
      </c>
      <c r="E47" s="522">
        <f>IF(+I14&lt;F46,I14,D47)</f>
        <v>552.75666666666666</v>
      </c>
      <c r="F47" s="523">
        <f t="shared" si="19"/>
        <v>6973.9936408899048</v>
      </c>
      <c r="G47" s="524">
        <f t="shared" si="16"/>
        <v>1468.6728698277952</v>
      </c>
      <c r="H47" s="491">
        <f t="shared" si="17"/>
        <v>1468.6728698277952</v>
      </c>
      <c r="I47" s="511">
        <f t="shared" si="20"/>
        <v>0</v>
      </c>
      <c r="J47" s="511"/>
      <c r="K47" s="525"/>
      <c r="L47" s="514">
        <f t="shared" si="18"/>
        <v>0</v>
      </c>
      <c r="M47" s="525"/>
      <c r="N47" s="514">
        <f t="shared" si="10"/>
        <v>0</v>
      </c>
      <c r="O47" s="514">
        <f t="shared" si="11"/>
        <v>0</v>
      </c>
      <c r="P47" s="272"/>
    </row>
    <row r="48" spans="2:16" ht="12.5">
      <c r="B48" s="195" t="str">
        <f t="shared" si="5"/>
        <v/>
      </c>
      <c r="C48" s="507">
        <f>IF(D11="","-",+C47+1)</f>
        <v>2041</v>
      </c>
      <c r="D48" s="523">
        <f>IF(F47+SUM(E$17:E47)=D$10,F47,D$10-SUM(E$17:E47))</f>
        <v>6973.9936408899048</v>
      </c>
      <c r="E48" s="522">
        <f>IF(+I14&lt;F47,I14,D48)</f>
        <v>552.75666666666666</v>
      </c>
      <c r="F48" s="523">
        <f t="shared" si="19"/>
        <v>6421.2369742232386</v>
      </c>
      <c r="G48" s="524">
        <f t="shared" si="16"/>
        <v>1398.84489559347</v>
      </c>
      <c r="H48" s="491">
        <f t="shared" si="17"/>
        <v>1398.84489559347</v>
      </c>
      <c r="I48" s="511">
        <f t="shared" si="20"/>
        <v>0</v>
      </c>
      <c r="J48" s="511"/>
      <c r="K48" s="525"/>
      <c r="L48" s="514">
        <f t="shared" si="18"/>
        <v>0</v>
      </c>
      <c r="M48" s="525"/>
      <c r="N48" s="514">
        <f t="shared" si="10"/>
        <v>0</v>
      </c>
      <c r="O48" s="514">
        <f t="shared" si="11"/>
        <v>0</v>
      </c>
      <c r="P48" s="272"/>
    </row>
    <row r="49" spans="2:16" ht="12.5">
      <c r="B49" s="195" t="str">
        <f t="shared" si="5"/>
        <v/>
      </c>
      <c r="C49" s="507">
        <f>IF(D11="","-",+C48+1)</f>
        <v>2042</v>
      </c>
      <c r="D49" s="523">
        <f>IF(F48+SUM(E$17:E48)=D$10,F48,D$10-SUM(E$17:E48))</f>
        <v>6421.2369742232386</v>
      </c>
      <c r="E49" s="522">
        <f>IF(+I14&lt;F48,I14,D49)</f>
        <v>552.75666666666666</v>
      </c>
      <c r="F49" s="523">
        <f t="shared" si="19"/>
        <v>5868.4803075565724</v>
      </c>
      <c r="G49" s="524">
        <f t="shared" si="16"/>
        <v>1329.0169213591448</v>
      </c>
      <c r="H49" s="491">
        <f t="shared" si="17"/>
        <v>1329.0169213591448</v>
      </c>
      <c r="I49" s="511">
        <f t="shared" si="20"/>
        <v>0</v>
      </c>
      <c r="J49" s="511"/>
      <c r="K49" s="525"/>
      <c r="L49" s="514">
        <f t="shared" si="18"/>
        <v>0</v>
      </c>
      <c r="M49" s="525"/>
      <c r="N49" s="514">
        <f t="shared" si="10"/>
        <v>0</v>
      </c>
      <c r="O49" s="514">
        <f t="shared" si="11"/>
        <v>0</v>
      </c>
      <c r="P49" s="272"/>
    </row>
    <row r="50" spans="2:16" ht="12.5">
      <c r="B50" s="195" t="str">
        <f t="shared" si="5"/>
        <v/>
      </c>
      <c r="C50" s="507">
        <f>IF(D11="","-",+C49+1)</f>
        <v>2043</v>
      </c>
      <c r="D50" s="523">
        <f>IF(F49+SUM(E$17:E49)=D$10,F49,D$10-SUM(E$17:E49))</f>
        <v>5868.4803075565724</v>
      </c>
      <c r="E50" s="522">
        <f>IF(+I14&lt;F49,I14,D50)</f>
        <v>552.75666666666666</v>
      </c>
      <c r="F50" s="523">
        <f t="shared" si="19"/>
        <v>5315.7236408899062</v>
      </c>
      <c r="G50" s="524">
        <f t="shared" si="16"/>
        <v>1259.1889471248196</v>
      </c>
      <c r="H50" s="491">
        <f t="shared" si="17"/>
        <v>1259.1889471248196</v>
      </c>
      <c r="I50" s="511">
        <f t="shared" si="20"/>
        <v>0</v>
      </c>
      <c r="J50" s="511"/>
      <c r="K50" s="525"/>
      <c r="L50" s="514">
        <f t="shared" si="18"/>
        <v>0</v>
      </c>
      <c r="M50" s="525"/>
      <c r="N50" s="514">
        <f t="shared" si="10"/>
        <v>0</v>
      </c>
      <c r="O50" s="514">
        <f t="shared" si="11"/>
        <v>0</v>
      </c>
      <c r="P50" s="272"/>
    </row>
    <row r="51" spans="2:16" ht="12.5">
      <c r="B51" s="195" t="str">
        <f t="shared" si="5"/>
        <v/>
      </c>
      <c r="C51" s="507">
        <f>IF(D11="","-",+C50+1)</f>
        <v>2044</v>
      </c>
      <c r="D51" s="523">
        <f>IF(F50+SUM(E$17:E50)=D$10,F50,D$10-SUM(E$17:E50))</f>
        <v>5315.7236408899062</v>
      </c>
      <c r="E51" s="522">
        <f>IF(+I14&lt;F50,I14,D51)</f>
        <v>552.75666666666666</v>
      </c>
      <c r="F51" s="523">
        <f t="shared" si="19"/>
        <v>4762.96697422324</v>
      </c>
      <c r="G51" s="524">
        <f t="shared" si="16"/>
        <v>1189.3609728904942</v>
      </c>
      <c r="H51" s="491">
        <f t="shared" si="17"/>
        <v>1189.3609728904942</v>
      </c>
      <c r="I51" s="511">
        <f t="shared" si="20"/>
        <v>0</v>
      </c>
      <c r="J51" s="511"/>
      <c r="K51" s="525"/>
      <c r="L51" s="514">
        <f t="shared" si="18"/>
        <v>0</v>
      </c>
      <c r="M51" s="525"/>
      <c r="N51" s="514">
        <f t="shared" si="10"/>
        <v>0</v>
      </c>
      <c r="O51" s="514">
        <f t="shared" si="11"/>
        <v>0</v>
      </c>
      <c r="P51" s="272"/>
    </row>
    <row r="52" spans="2:16" ht="12.5">
      <c r="B52" s="195" t="str">
        <f t="shared" si="5"/>
        <v/>
      </c>
      <c r="C52" s="507">
        <f>IF(D11="","-",+C51+1)</f>
        <v>2045</v>
      </c>
      <c r="D52" s="523">
        <f>IF(F51+SUM(E$17:E51)=D$10,F51,D$10-SUM(E$17:E51))</f>
        <v>4762.96697422324</v>
      </c>
      <c r="E52" s="522">
        <f>IF(+I14&lt;F51,I14,D52)</f>
        <v>552.75666666666666</v>
      </c>
      <c r="F52" s="523">
        <f t="shared" si="19"/>
        <v>4210.2103075565738</v>
      </c>
      <c r="G52" s="524">
        <f t="shared" si="16"/>
        <v>1119.5329986561687</v>
      </c>
      <c r="H52" s="491">
        <f t="shared" si="17"/>
        <v>1119.5329986561687</v>
      </c>
      <c r="I52" s="511">
        <f t="shared" si="20"/>
        <v>0</v>
      </c>
      <c r="J52" s="511"/>
      <c r="K52" s="525"/>
      <c r="L52" s="514">
        <f t="shared" si="18"/>
        <v>0</v>
      </c>
      <c r="M52" s="525"/>
      <c r="N52" s="514">
        <f t="shared" si="10"/>
        <v>0</v>
      </c>
      <c r="O52" s="514">
        <f t="shared" si="11"/>
        <v>0</v>
      </c>
      <c r="P52" s="272"/>
    </row>
    <row r="53" spans="2:16" ht="12.5">
      <c r="B53" s="195" t="str">
        <f t="shared" si="5"/>
        <v/>
      </c>
      <c r="C53" s="507">
        <f>IF(D11="","-",+C52+1)</f>
        <v>2046</v>
      </c>
      <c r="D53" s="523">
        <f>IF(F52+SUM(E$17:E52)=D$10,F52,D$10-SUM(E$17:E52))</f>
        <v>4210.2103075565738</v>
      </c>
      <c r="E53" s="522">
        <f>IF(+I14&lt;F52,I14,D53)</f>
        <v>552.75666666666666</v>
      </c>
      <c r="F53" s="523">
        <f t="shared" si="19"/>
        <v>3657.4536408899071</v>
      </c>
      <c r="G53" s="524">
        <f t="shared" si="16"/>
        <v>1049.7050244218435</v>
      </c>
      <c r="H53" s="491">
        <f t="shared" si="17"/>
        <v>1049.7050244218435</v>
      </c>
      <c r="I53" s="511">
        <f t="shared" si="20"/>
        <v>0</v>
      </c>
      <c r="J53" s="511"/>
      <c r="K53" s="525"/>
      <c r="L53" s="514">
        <f t="shared" si="18"/>
        <v>0</v>
      </c>
      <c r="M53" s="525"/>
      <c r="N53" s="514">
        <f t="shared" si="10"/>
        <v>0</v>
      </c>
      <c r="O53" s="514">
        <f t="shared" si="11"/>
        <v>0</v>
      </c>
      <c r="P53" s="272"/>
    </row>
    <row r="54" spans="2:16" ht="12.5">
      <c r="B54" s="195" t="str">
        <f t="shared" si="5"/>
        <v/>
      </c>
      <c r="C54" s="507">
        <f>IF(D11="","-",+C53+1)</f>
        <v>2047</v>
      </c>
      <c r="D54" s="523">
        <f>IF(F53+SUM(E$17:E53)=D$10,F53,D$10-SUM(E$17:E53))</f>
        <v>3657.4536408899071</v>
      </c>
      <c r="E54" s="522">
        <f>IF(+I14&lt;F53,I14,D54)</f>
        <v>552.75666666666666</v>
      </c>
      <c r="F54" s="523">
        <f t="shared" si="19"/>
        <v>3104.6969742232404</v>
      </c>
      <c r="G54" s="524">
        <f t="shared" si="16"/>
        <v>979.87705018751808</v>
      </c>
      <c r="H54" s="491">
        <f t="shared" si="17"/>
        <v>979.87705018751808</v>
      </c>
      <c r="I54" s="511">
        <f t="shared" si="20"/>
        <v>0</v>
      </c>
      <c r="J54" s="511"/>
      <c r="K54" s="525"/>
      <c r="L54" s="514">
        <f t="shared" si="18"/>
        <v>0</v>
      </c>
      <c r="M54" s="525"/>
      <c r="N54" s="514">
        <f t="shared" si="10"/>
        <v>0</v>
      </c>
      <c r="O54" s="514">
        <f t="shared" si="11"/>
        <v>0</v>
      </c>
      <c r="P54" s="272"/>
    </row>
    <row r="55" spans="2:16" ht="12.5">
      <c r="B55" s="195" t="str">
        <f t="shared" si="5"/>
        <v/>
      </c>
      <c r="C55" s="507">
        <f>IF(D11="","-",+C54+1)</f>
        <v>2048</v>
      </c>
      <c r="D55" s="523">
        <f>IF(F54+SUM(E$17:E54)=D$10,F54,D$10-SUM(E$17:E54))</f>
        <v>3104.6969742232404</v>
      </c>
      <c r="E55" s="522">
        <f>IF(+I14&lt;F54,I14,D55)</f>
        <v>552.75666666666666</v>
      </c>
      <c r="F55" s="523">
        <f t="shared" si="19"/>
        <v>2551.9403075565738</v>
      </c>
      <c r="G55" s="524">
        <f t="shared" ref="G55:G72" si="21">+I$12*((D55+F55)/2)+E55</f>
        <v>910.04907595319287</v>
      </c>
      <c r="H55" s="491">
        <f t="shared" ref="H55:H72" si="22">+I$13*((D55+F55)/2)+E55</f>
        <v>910.04907595319287</v>
      </c>
      <c r="I55" s="511">
        <f t="shared" si="20"/>
        <v>0</v>
      </c>
      <c r="J55" s="511"/>
      <c r="K55" s="525"/>
      <c r="L55" s="514">
        <f t="shared" si="18"/>
        <v>0</v>
      </c>
      <c r="M55" s="525"/>
      <c r="N55" s="514">
        <f t="shared" si="10"/>
        <v>0</v>
      </c>
      <c r="O55" s="514">
        <f t="shared" si="11"/>
        <v>0</v>
      </c>
      <c r="P55" s="272"/>
    </row>
    <row r="56" spans="2:16" ht="12.5">
      <c r="B56" s="195" t="str">
        <f t="shared" si="5"/>
        <v/>
      </c>
      <c r="C56" s="507">
        <f>IF(D11="","-",+C55+1)</f>
        <v>2049</v>
      </c>
      <c r="D56" s="523">
        <f>IF(F55+SUM(E$17:E55)=D$10,F55,D$10-SUM(E$17:E55))</f>
        <v>2551.9403075565738</v>
      </c>
      <c r="E56" s="522">
        <f>IF(+I14&lt;F55,I14,D56)</f>
        <v>552.75666666666666</v>
      </c>
      <c r="F56" s="523">
        <f t="shared" si="19"/>
        <v>1999.1836408899071</v>
      </c>
      <c r="G56" s="524">
        <f t="shared" si="21"/>
        <v>840.22110171886743</v>
      </c>
      <c r="H56" s="491">
        <f t="shared" si="22"/>
        <v>840.22110171886743</v>
      </c>
      <c r="I56" s="511">
        <f t="shared" si="20"/>
        <v>0</v>
      </c>
      <c r="J56" s="511"/>
      <c r="K56" s="525"/>
      <c r="L56" s="514">
        <f t="shared" si="18"/>
        <v>0</v>
      </c>
      <c r="M56" s="525"/>
      <c r="N56" s="514">
        <f t="shared" si="10"/>
        <v>0</v>
      </c>
      <c r="O56" s="514">
        <f t="shared" si="11"/>
        <v>0</v>
      </c>
      <c r="P56" s="272"/>
    </row>
    <row r="57" spans="2:16" ht="12.5">
      <c r="B57" s="195" t="str">
        <f t="shared" si="5"/>
        <v/>
      </c>
      <c r="C57" s="507">
        <f>IF(D11="","-",+C56+1)</f>
        <v>2050</v>
      </c>
      <c r="D57" s="523">
        <f>IF(F56+SUM(E$17:E56)=D$10,F56,D$10-SUM(E$17:E56))</f>
        <v>1999.1836408899071</v>
      </c>
      <c r="E57" s="522">
        <f>IF(+I14&lt;F56,I14,D57)</f>
        <v>552.75666666666666</v>
      </c>
      <c r="F57" s="523">
        <f t="shared" si="19"/>
        <v>1446.4269742232404</v>
      </c>
      <c r="G57" s="524">
        <f t="shared" si="21"/>
        <v>770.39312748454211</v>
      </c>
      <c r="H57" s="491">
        <f t="shared" si="22"/>
        <v>770.39312748454211</v>
      </c>
      <c r="I57" s="511">
        <f t="shared" si="20"/>
        <v>0</v>
      </c>
      <c r="J57" s="511"/>
      <c r="K57" s="525"/>
      <c r="L57" s="514">
        <f t="shared" si="18"/>
        <v>0</v>
      </c>
      <c r="M57" s="525"/>
      <c r="N57" s="514">
        <f t="shared" si="10"/>
        <v>0</v>
      </c>
      <c r="O57" s="514">
        <f t="shared" si="11"/>
        <v>0</v>
      </c>
      <c r="P57" s="272"/>
    </row>
    <row r="58" spans="2:16" ht="12.5">
      <c r="B58" s="195" t="str">
        <f t="shared" si="5"/>
        <v/>
      </c>
      <c r="C58" s="507">
        <f>IF(D11="","-",+C57+1)</f>
        <v>2051</v>
      </c>
      <c r="D58" s="523">
        <f>IF(F57+SUM(E$17:E57)=D$10,F57,D$10-SUM(E$17:E57))</f>
        <v>1446.4269742232404</v>
      </c>
      <c r="E58" s="522">
        <f>IF(+I14&lt;F57,I14,D58)</f>
        <v>552.75666666666666</v>
      </c>
      <c r="F58" s="523">
        <f t="shared" si="19"/>
        <v>893.67030755657379</v>
      </c>
      <c r="G58" s="524">
        <f t="shared" si="21"/>
        <v>700.56515325021667</v>
      </c>
      <c r="H58" s="491">
        <f t="shared" si="22"/>
        <v>700.56515325021667</v>
      </c>
      <c r="I58" s="511">
        <f t="shared" si="20"/>
        <v>0</v>
      </c>
      <c r="J58" s="511"/>
      <c r="K58" s="525"/>
      <c r="L58" s="514">
        <f t="shared" si="18"/>
        <v>0</v>
      </c>
      <c r="M58" s="525"/>
      <c r="N58" s="514">
        <f t="shared" si="10"/>
        <v>0</v>
      </c>
      <c r="O58" s="514">
        <f t="shared" si="11"/>
        <v>0</v>
      </c>
      <c r="P58" s="272"/>
    </row>
    <row r="59" spans="2:16" ht="12.5">
      <c r="B59" s="195" t="str">
        <f t="shared" si="5"/>
        <v/>
      </c>
      <c r="C59" s="507">
        <f>IF(D11="","-",+C58+1)</f>
        <v>2052</v>
      </c>
      <c r="D59" s="523">
        <f>IF(F58+SUM(E$17:E58)=D$10,F58,D$10-SUM(E$17:E58))</f>
        <v>893.67030755657379</v>
      </c>
      <c r="E59" s="522">
        <f>IF(+I14&lt;F58,I14,D59)</f>
        <v>552.75666666666666</v>
      </c>
      <c r="F59" s="523">
        <f t="shared" si="19"/>
        <v>340.91364088990713</v>
      </c>
      <c r="G59" s="524">
        <f t="shared" si="21"/>
        <v>630.73717901589134</v>
      </c>
      <c r="H59" s="491">
        <f t="shared" si="22"/>
        <v>630.73717901589134</v>
      </c>
      <c r="I59" s="511">
        <f t="shared" si="20"/>
        <v>0</v>
      </c>
      <c r="J59" s="511"/>
      <c r="K59" s="525"/>
      <c r="L59" s="514">
        <f t="shared" si="18"/>
        <v>0</v>
      </c>
      <c r="M59" s="525"/>
      <c r="N59" s="514">
        <f t="shared" si="10"/>
        <v>0</v>
      </c>
      <c r="O59" s="514">
        <f t="shared" si="11"/>
        <v>0</v>
      </c>
      <c r="P59" s="272"/>
    </row>
    <row r="60" spans="2:16" ht="12.5">
      <c r="B60" s="195" t="str">
        <f t="shared" si="5"/>
        <v/>
      </c>
      <c r="C60" s="507">
        <f>IF(D11="","-",+C59+1)</f>
        <v>2053</v>
      </c>
      <c r="D60" s="523">
        <f>IF(F59+SUM(E$17:E59)=D$10,F59,D$10-SUM(E$17:E59))</f>
        <v>340.91364088990713</v>
      </c>
      <c r="E60" s="522">
        <f>IF(+I14&lt;F59,I14,D60)</f>
        <v>340.91364088990713</v>
      </c>
      <c r="F60" s="523">
        <f t="shared" si="19"/>
        <v>0</v>
      </c>
      <c r="G60" s="524">
        <f t="shared" si="21"/>
        <v>362.44690350593811</v>
      </c>
      <c r="H60" s="491">
        <f t="shared" si="22"/>
        <v>362.44690350593811</v>
      </c>
      <c r="I60" s="511">
        <f t="shared" si="20"/>
        <v>0</v>
      </c>
      <c r="J60" s="511"/>
      <c r="K60" s="525"/>
      <c r="L60" s="514">
        <f t="shared" si="18"/>
        <v>0</v>
      </c>
      <c r="M60" s="525"/>
      <c r="N60" s="514">
        <f t="shared" si="10"/>
        <v>0</v>
      </c>
      <c r="O60" s="514">
        <f t="shared" si="11"/>
        <v>0</v>
      </c>
      <c r="P60" s="272"/>
    </row>
    <row r="61" spans="2:16" ht="12.5">
      <c r="B61" s="195" t="str">
        <f t="shared" si="5"/>
        <v/>
      </c>
      <c r="C61" s="507">
        <f>IF(D11="","-",+C60+1)</f>
        <v>2054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9"/>
        <v>0</v>
      </c>
      <c r="G61" s="526">
        <f t="shared" si="21"/>
        <v>0</v>
      </c>
      <c r="H61" s="491">
        <f t="shared" si="22"/>
        <v>0</v>
      </c>
      <c r="I61" s="511">
        <f t="shared" si="20"/>
        <v>0</v>
      </c>
      <c r="J61" s="511"/>
      <c r="K61" s="525"/>
      <c r="L61" s="514">
        <f t="shared" si="18"/>
        <v>0</v>
      </c>
      <c r="M61" s="525"/>
      <c r="N61" s="514">
        <f t="shared" si="10"/>
        <v>0</v>
      </c>
      <c r="O61" s="514">
        <f t="shared" si="11"/>
        <v>0</v>
      </c>
      <c r="P61" s="272"/>
    </row>
    <row r="62" spans="2:16" ht="12.5">
      <c r="B62" s="195" t="str">
        <f t="shared" si="5"/>
        <v/>
      </c>
      <c r="C62" s="507">
        <f>IF(D11="","-",+C61+1)</f>
        <v>2055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9"/>
        <v>0</v>
      </c>
      <c r="G62" s="526">
        <f t="shared" si="21"/>
        <v>0</v>
      </c>
      <c r="H62" s="491">
        <f t="shared" si="22"/>
        <v>0</v>
      </c>
      <c r="I62" s="511">
        <f t="shared" si="20"/>
        <v>0</v>
      </c>
      <c r="J62" s="511"/>
      <c r="K62" s="525"/>
      <c r="L62" s="514">
        <f t="shared" si="18"/>
        <v>0</v>
      </c>
      <c r="M62" s="525"/>
      <c r="N62" s="514">
        <f t="shared" si="10"/>
        <v>0</v>
      </c>
      <c r="O62" s="514">
        <f t="shared" si="11"/>
        <v>0</v>
      </c>
      <c r="P62" s="272"/>
    </row>
    <row r="63" spans="2:16" ht="12.5">
      <c r="B63" s="195" t="str">
        <f t="shared" si="5"/>
        <v/>
      </c>
      <c r="C63" s="507">
        <f>IF(D11="","-",+C62+1)</f>
        <v>2056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9"/>
        <v>0</v>
      </c>
      <c r="G63" s="526">
        <f t="shared" si="21"/>
        <v>0</v>
      </c>
      <c r="H63" s="491">
        <f t="shared" si="22"/>
        <v>0</v>
      </c>
      <c r="I63" s="511">
        <f t="shared" si="20"/>
        <v>0</v>
      </c>
      <c r="J63" s="511"/>
      <c r="K63" s="525"/>
      <c r="L63" s="514">
        <f t="shared" si="18"/>
        <v>0</v>
      </c>
      <c r="M63" s="525"/>
      <c r="N63" s="514">
        <f t="shared" si="10"/>
        <v>0</v>
      </c>
      <c r="O63" s="514">
        <f t="shared" si="11"/>
        <v>0</v>
      </c>
      <c r="P63" s="272"/>
    </row>
    <row r="64" spans="2:16" ht="12.5">
      <c r="B64" s="195" t="str">
        <f t="shared" si="5"/>
        <v/>
      </c>
      <c r="C64" s="507">
        <f>IF(D11="","-",+C63+1)</f>
        <v>2057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9"/>
        <v>0</v>
      </c>
      <c r="G64" s="526">
        <f t="shared" si="21"/>
        <v>0</v>
      </c>
      <c r="H64" s="491">
        <f t="shared" si="22"/>
        <v>0</v>
      </c>
      <c r="I64" s="511">
        <f t="shared" si="20"/>
        <v>0</v>
      </c>
      <c r="J64" s="511"/>
      <c r="K64" s="525"/>
      <c r="L64" s="514">
        <f t="shared" si="18"/>
        <v>0</v>
      </c>
      <c r="M64" s="525"/>
      <c r="N64" s="514">
        <f t="shared" si="10"/>
        <v>0</v>
      </c>
      <c r="O64" s="514">
        <f t="shared" si="11"/>
        <v>0</v>
      </c>
      <c r="P64" s="272"/>
    </row>
    <row r="65" spans="2:16" ht="12.5">
      <c r="B65" s="195" t="str">
        <f t="shared" si="5"/>
        <v/>
      </c>
      <c r="C65" s="507">
        <f>IF(D11="","-",+C64+1)</f>
        <v>2058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9"/>
        <v>0</v>
      </c>
      <c r="G65" s="526">
        <f t="shared" si="21"/>
        <v>0</v>
      </c>
      <c r="H65" s="491">
        <f t="shared" si="22"/>
        <v>0</v>
      </c>
      <c r="I65" s="511">
        <f t="shared" si="20"/>
        <v>0</v>
      </c>
      <c r="J65" s="511"/>
      <c r="K65" s="525"/>
      <c r="L65" s="514">
        <f t="shared" si="18"/>
        <v>0</v>
      </c>
      <c r="M65" s="525"/>
      <c r="N65" s="514">
        <f t="shared" si="10"/>
        <v>0</v>
      </c>
      <c r="O65" s="514">
        <f t="shared" si="11"/>
        <v>0</v>
      </c>
      <c r="P65" s="272"/>
    </row>
    <row r="66" spans="2:16" ht="12.5">
      <c r="B66" s="195" t="str">
        <f t="shared" si="5"/>
        <v/>
      </c>
      <c r="C66" s="507">
        <f>IF(D11="","-",+C65+1)</f>
        <v>2059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9"/>
        <v>0</v>
      </c>
      <c r="G66" s="526">
        <f t="shared" si="21"/>
        <v>0</v>
      </c>
      <c r="H66" s="491">
        <f t="shared" si="22"/>
        <v>0</v>
      </c>
      <c r="I66" s="511">
        <f t="shared" si="20"/>
        <v>0</v>
      </c>
      <c r="J66" s="511"/>
      <c r="K66" s="525"/>
      <c r="L66" s="514">
        <f t="shared" si="18"/>
        <v>0</v>
      </c>
      <c r="M66" s="525"/>
      <c r="N66" s="514">
        <f t="shared" si="10"/>
        <v>0</v>
      </c>
      <c r="O66" s="514">
        <f t="shared" si="11"/>
        <v>0</v>
      </c>
      <c r="P66" s="272"/>
    </row>
    <row r="67" spans="2:16" ht="12.5">
      <c r="B67" s="195" t="str">
        <f t="shared" si="5"/>
        <v/>
      </c>
      <c r="C67" s="507">
        <f>IF(D11="","-",+C66+1)</f>
        <v>2060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9"/>
        <v>0</v>
      </c>
      <c r="G67" s="526">
        <f t="shared" si="21"/>
        <v>0</v>
      </c>
      <c r="H67" s="491">
        <f t="shared" si="22"/>
        <v>0</v>
      </c>
      <c r="I67" s="511">
        <f t="shared" si="20"/>
        <v>0</v>
      </c>
      <c r="J67" s="511"/>
      <c r="K67" s="525"/>
      <c r="L67" s="514">
        <f t="shared" si="18"/>
        <v>0</v>
      </c>
      <c r="M67" s="525"/>
      <c r="N67" s="514">
        <f t="shared" si="10"/>
        <v>0</v>
      </c>
      <c r="O67" s="514">
        <f t="shared" si="11"/>
        <v>0</v>
      </c>
      <c r="P67" s="272"/>
    </row>
    <row r="68" spans="2:16" ht="12.5">
      <c r="B68" s="195" t="str">
        <f t="shared" si="5"/>
        <v/>
      </c>
      <c r="C68" s="507">
        <f>IF(D11="","-",+C67+1)</f>
        <v>2061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9"/>
        <v>0</v>
      </c>
      <c r="G68" s="526">
        <f t="shared" si="21"/>
        <v>0</v>
      </c>
      <c r="H68" s="491">
        <f t="shared" si="22"/>
        <v>0</v>
      </c>
      <c r="I68" s="511">
        <f t="shared" si="20"/>
        <v>0</v>
      </c>
      <c r="J68" s="511"/>
      <c r="K68" s="525"/>
      <c r="L68" s="514">
        <f t="shared" si="18"/>
        <v>0</v>
      </c>
      <c r="M68" s="525"/>
      <c r="N68" s="514">
        <f t="shared" si="10"/>
        <v>0</v>
      </c>
      <c r="O68" s="514">
        <f t="shared" si="11"/>
        <v>0</v>
      </c>
      <c r="P68" s="272"/>
    </row>
    <row r="69" spans="2:16" ht="12.5">
      <c r="B69" s="195" t="str">
        <f t="shared" si="5"/>
        <v/>
      </c>
      <c r="C69" s="507">
        <f>IF(D11="","-",+C68+1)</f>
        <v>2062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9"/>
        <v>0</v>
      </c>
      <c r="G69" s="526">
        <f t="shared" si="21"/>
        <v>0</v>
      </c>
      <c r="H69" s="491">
        <f t="shared" si="22"/>
        <v>0</v>
      </c>
      <c r="I69" s="511">
        <f t="shared" si="20"/>
        <v>0</v>
      </c>
      <c r="J69" s="511"/>
      <c r="K69" s="525"/>
      <c r="L69" s="514">
        <f t="shared" si="18"/>
        <v>0</v>
      </c>
      <c r="M69" s="525"/>
      <c r="N69" s="514">
        <f t="shared" si="10"/>
        <v>0</v>
      </c>
      <c r="O69" s="514">
        <f t="shared" si="11"/>
        <v>0</v>
      </c>
      <c r="P69" s="272"/>
    </row>
    <row r="70" spans="2:16" ht="12.5">
      <c r="B70" s="195" t="str">
        <f t="shared" si="5"/>
        <v/>
      </c>
      <c r="C70" s="507">
        <f>IF(D11="","-",+C69+1)</f>
        <v>2063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9"/>
        <v>0</v>
      </c>
      <c r="G70" s="526">
        <f t="shared" si="21"/>
        <v>0</v>
      </c>
      <c r="H70" s="491">
        <f t="shared" si="22"/>
        <v>0</v>
      </c>
      <c r="I70" s="511">
        <f t="shared" si="20"/>
        <v>0</v>
      </c>
      <c r="J70" s="511"/>
      <c r="K70" s="525"/>
      <c r="L70" s="514">
        <f t="shared" si="18"/>
        <v>0</v>
      </c>
      <c r="M70" s="525"/>
      <c r="N70" s="514">
        <f t="shared" si="10"/>
        <v>0</v>
      </c>
      <c r="O70" s="514">
        <f t="shared" si="11"/>
        <v>0</v>
      </c>
      <c r="P70" s="272"/>
    </row>
    <row r="71" spans="2:16" ht="12.5">
      <c r="B71" s="195" t="str">
        <f t="shared" si="5"/>
        <v/>
      </c>
      <c r="C71" s="507">
        <f>IF(D11="","-",+C70+1)</f>
        <v>2064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9"/>
        <v>0</v>
      </c>
      <c r="G71" s="526">
        <f t="shared" si="21"/>
        <v>0</v>
      </c>
      <c r="H71" s="491">
        <f t="shared" si="22"/>
        <v>0</v>
      </c>
      <c r="I71" s="511">
        <f t="shared" si="20"/>
        <v>0</v>
      </c>
      <c r="J71" s="511"/>
      <c r="K71" s="525"/>
      <c r="L71" s="514">
        <f t="shared" si="18"/>
        <v>0</v>
      </c>
      <c r="M71" s="525"/>
      <c r="N71" s="514">
        <f t="shared" si="10"/>
        <v>0</v>
      </c>
      <c r="O71" s="514">
        <f t="shared" si="11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2065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9"/>
        <v>0</v>
      </c>
      <c r="G72" s="530">
        <f t="shared" si="21"/>
        <v>0</v>
      </c>
      <c r="H72" s="471">
        <f t="shared" si="22"/>
        <v>0</v>
      </c>
      <c r="I72" s="531">
        <f t="shared" si="20"/>
        <v>0</v>
      </c>
      <c r="J72" s="511"/>
      <c r="K72" s="532"/>
      <c r="L72" s="533">
        <f t="shared" si="18"/>
        <v>0</v>
      </c>
      <c r="M72" s="532"/>
      <c r="N72" s="533">
        <f t="shared" si="10"/>
        <v>0</v>
      </c>
      <c r="O72" s="533">
        <f t="shared" si="11"/>
        <v>0</v>
      </c>
      <c r="P72" s="272"/>
    </row>
    <row r="73" spans="2:16" ht="12.5">
      <c r="C73" s="374" t="s">
        <v>78</v>
      </c>
      <c r="D73" s="375"/>
      <c r="E73" s="375">
        <f>SUM(E17:E72)</f>
        <v>23215.780000000017</v>
      </c>
      <c r="F73" s="375"/>
      <c r="G73" s="375">
        <f>SUM(G17:G72)</f>
        <v>89581.041165482849</v>
      </c>
      <c r="H73" s="375">
        <f>SUM(H17:H72)</f>
        <v>89581.041165482849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49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2437.4205169702896</v>
      </c>
      <c r="N87" s="546">
        <f>IF(J92&lt;D11,0,VLOOKUP(J92,C17:O72,11))</f>
        <v>2437.4205169702896</v>
      </c>
      <c r="O87" s="547">
        <f>+N87-M87</f>
        <v>0</v>
      </c>
      <c r="P87" s="269"/>
    </row>
    <row r="88" spans="1:16" ht="15.5">
      <c r="C88" s="274"/>
      <c r="D88" s="537" t="str">
        <f>S.048!D90</f>
        <v xml:space="preserve">***Sch. 11 recovery commenced in the 2015 rate year.  Beg Bal = to depreciated balance as of 1/1/15. *** </v>
      </c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2739.3365089519757</v>
      </c>
      <c r="N88" s="550">
        <f>IF(J92&lt;D11,0,VLOOKUP(J92,C99:P154,7))</f>
        <v>2739.3365089519757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 xml:space="preserve">SUGAR HILL 138/69KV TRANSFORMER CKT 1 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301.91599198168615</v>
      </c>
      <c r="N89" s="555">
        <f>+N88-N87</f>
        <v>301.91599198168615</v>
      </c>
      <c r="O89" s="556">
        <f>+O88-O87</f>
        <v>0</v>
      </c>
      <c r="P89" s="269"/>
    </row>
    <row r="90" spans="1:16" ht="13.5" thickBot="1">
      <c r="C90" s="534"/>
      <c r="D90" s="557" t="str">
        <f>D8</f>
        <v>DOES NOT MEET SPP $100,000 MINIMUM INVESTMENT FOR REGIONAL BPU SHARING.</v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TP2004032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23216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D11</f>
        <v>2010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3">
        <f>D12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566.2439024390244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2010</v>
      </c>
      <c r="D99" s="374"/>
      <c r="E99" s="524"/>
      <c r="F99" s="523"/>
      <c r="G99" s="603"/>
      <c r="H99" s="604"/>
      <c r="I99" s="605"/>
      <c r="J99" s="514"/>
      <c r="K99" s="514"/>
      <c r="L99" s="512"/>
      <c r="M99" s="513">
        <f t="shared" ref="M99:M130" si="23">IF(L99&lt;&gt;0,+H99-L99,0)</f>
        <v>0</v>
      </c>
      <c r="N99" s="512"/>
      <c r="O99" s="513">
        <f t="shared" ref="O99:O130" si="24">IF(N99&lt;&gt;0,+I99-N99,0)</f>
        <v>0</v>
      </c>
      <c r="P99" s="513">
        <f t="shared" ref="P99:P130" si="25">+O99-M99</f>
        <v>0</v>
      </c>
    </row>
    <row r="100" spans="1:16" ht="12.5">
      <c r="B100" s="195" t="str">
        <f>IF(D100=F99,"","IU")</f>
        <v/>
      </c>
      <c r="C100" s="507">
        <f>IF(D93="","-",+C99+1)</f>
        <v>2011</v>
      </c>
      <c r="D100" s="374"/>
      <c r="E100" s="522"/>
      <c r="F100" s="523"/>
      <c r="G100" s="523"/>
      <c r="H100" s="526"/>
      <c r="I100" s="577"/>
      <c r="J100" s="514"/>
      <c r="K100" s="514"/>
      <c r="L100" s="518"/>
      <c r="M100" s="514">
        <f t="shared" si="23"/>
        <v>0</v>
      </c>
      <c r="N100" s="518"/>
      <c r="O100" s="514">
        <f t="shared" si="24"/>
        <v>0</v>
      </c>
      <c r="P100" s="514">
        <f t="shared" si="25"/>
        <v>0</v>
      </c>
    </row>
    <row r="101" spans="1:16" ht="12.5">
      <c r="B101" s="195" t="str">
        <f t="shared" ref="B101:B154" si="26">IF(D101=F100,"","IU")</f>
        <v/>
      </c>
      <c r="C101" s="507">
        <f>IF(D93="","-",+C100+1)</f>
        <v>2012</v>
      </c>
      <c r="D101" s="374"/>
      <c r="E101" s="522"/>
      <c r="F101" s="523"/>
      <c r="G101" s="523"/>
      <c r="H101" s="526"/>
      <c r="I101" s="577"/>
      <c r="J101" s="514"/>
      <c r="K101" s="514"/>
      <c r="L101" s="518"/>
      <c r="M101" s="514">
        <f t="shared" si="23"/>
        <v>0</v>
      </c>
      <c r="N101" s="518"/>
      <c r="O101" s="514">
        <f t="shared" si="24"/>
        <v>0</v>
      </c>
      <c r="P101" s="514">
        <f t="shared" si="25"/>
        <v>0</v>
      </c>
    </row>
    <row r="102" spans="1:16" ht="12.5">
      <c r="B102" s="195" t="str">
        <f t="shared" si="26"/>
        <v/>
      </c>
      <c r="C102" s="507">
        <f>IF(D93="","-",+C101+1)</f>
        <v>2013</v>
      </c>
      <c r="D102" s="374"/>
      <c r="E102" s="522"/>
      <c r="F102" s="523"/>
      <c r="G102" s="523"/>
      <c r="H102" s="526"/>
      <c r="I102" s="577"/>
      <c r="J102" s="514"/>
      <c r="K102" s="514"/>
      <c r="L102" s="518"/>
      <c r="M102" s="514">
        <f t="shared" si="23"/>
        <v>0</v>
      </c>
      <c r="N102" s="518"/>
      <c r="O102" s="514">
        <f t="shared" si="24"/>
        <v>0</v>
      </c>
      <c r="P102" s="514">
        <f t="shared" si="25"/>
        <v>0</v>
      </c>
    </row>
    <row r="103" spans="1:16" ht="12.5">
      <c r="B103" s="195" t="str">
        <f t="shared" si="26"/>
        <v>IU</v>
      </c>
      <c r="C103" s="507">
        <f>IF(D93="","-",+C102+1)</f>
        <v>2014</v>
      </c>
      <c r="D103" s="629">
        <v>21465.383888888882</v>
      </c>
      <c r="E103" s="630">
        <v>511.0805687830686</v>
      </c>
      <c r="F103" s="631">
        <v>20954.303320105813</v>
      </c>
      <c r="G103" s="631">
        <v>21209.84360449735</v>
      </c>
      <c r="H103" s="633">
        <v>3305.8778604517456</v>
      </c>
      <c r="I103" s="634">
        <v>3305.8778604517456</v>
      </c>
      <c r="J103" s="514">
        <f>+I103-H103</f>
        <v>0</v>
      </c>
      <c r="K103" s="514"/>
      <c r="L103" s="518">
        <f t="shared" ref="L103:L109" si="27">+H103</f>
        <v>3305.8778604517456</v>
      </c>
      <c r="M103" s="514">
        <f t="shared" si="23"/>
        <v>0</v>
      </c>
      <c r="N103" s="518">
        <f t="shared" ref="N103:N109" si="28">+I103</f>
        <v>3305.8778604517456</v>
      </c>
      <c r="O103" s="514">
        <f t="shared" si="24"/>
        <v>0</v>
      </c>
      <c r="P103" s="514">
        <f t="shared" si="25"/>
        <v>0</v>
      </c>
    </row>
    <row r="104" spans="1:16" ht="12.5">
      <c r="B104" s="195" t="str">
        <f t="shared" si="26"/>
        <v>IU</v>
      </c>
      <c r="C104" s="507">
        <f>IF(D93="","-",+C103+1)</f>
        <v>2015</v>
      </c>
      <c r="D104" s="629">
        <v>22704.919431216931</v>
      </c>
      <c r="E104" s="630">
        <v>539.90697674418607</v>
      </c>
      <c r="F104" s="631">
        <v>22165.012454472744</v>
      </c>
      <c r="G104" s="631">
        <v>22434.965942844836</v>
      </c>
      <c r="H104" s="633">
        <v>3388.0256404381366</v>
      </c>
      <c r="I104" s="634">
        <v>3388.0256404381366</v>
      </c>
      <c r="J104" s="514">
        <f>+I104-H104</f>
        <v>0</v>
      </c>
      <c r="K104" s="514"/>
      <c r="L104" s="518">
        <f t="shared" si="27"/>
        <v>3388.0256404381366</v>
      </c>
      <c r="M104" s="514">
        <f t="shared" ref="M104:M109" si="29">IF(L104&lt;&gt;0,+H104-L104,0)</f>
        <v>0</v>
      </c>
      <c r="N104" s="518">
        <f t="shared" si="28"/>
        <v>3388.0256404381366</v>
      </c>
      <c r="O104" s="514">
        <f>IF(N104&lt;&gt;0,+I104-N104,0)</f>
        <v>0</v>
      </c>
      <c r="P104" s="514">
        <f>+O104-M104</f>
        <v>0</v>
      </c>
    </row>
    <row r="105" spans="1:16" ht="12.5">
      <c r="B105" s="195" t="str">
        <f t="shared" si="26"/>
        <v/>
      </c>
      <c r="C105" s="507">
        <f>IF(D93="","-",+C104+1)</f>
        <v>2016</v>
      </c>
      <c r="D105" s="629">
        <v>22165.012454472744</v>
      </c>
      <c r="E105" s="630">
        <v>552.76190476190482</v>
      </c>
      <c r="F105" s="631">
        <v>21612.25054971084</v>
      </c>
      <c r="G105" s="631">
        <v>21888.63150209179</v>
      </c>
      <c r="H105" s="633">
        <v>3211.6058800285246</v>
      </c>
      <c r="I105" s="634">
        <v>3211.6058800285246</v>
      </c>
      <c r="J105" s="514">
        <f t="shared" ref="J105:J154" si="30">+I105-H105</f>
        <v>0</v>
      </c>
      <c r="K105" s="514"/>
      <c r="L105" s="518">
        <f t="shared" si="27"/>
        <v>3211.6058800285246</v>
      </c>
      <c r="M105" s="514">
        <f t="shared" si="29"/>
        <v>0</v>
      </c>
      <c r="N105" s="518">
        <f t="shared" si="28"/>
        <v>3211.6058800285246</v>
      </c>
      <c r="O105" s="514">
        <f>IF(N105&lt;&gt;0,+I105-N105,0)</f>
        <v>0</v>
      </c>
      <c r="P105" s="514">
        <f>+O105-M105</f>
        <v>0</v>
      </c>
    </row>
    <row r="106" spans="1:16" ht="12.5">
      <c r="B106" s="195" t="str">
        <f t="shared" si="26"/>
        <v/>
      </c>
      <c r="C106" s="507">
        <f>IF(D93="","-",+C105+1)</f>
        <v>2017</v>
      </c>
      <c r="D106" s="629">
        <v>21612.25054971084</v>
      </c>
      <c r="E106" s="630">
        <v>552.76190476190482</v>
      </c>
      <c r="F106" s="631">
        <v>21059.488644948935</v>
      </c>
      <c r="G106" s="631">
        <v>21335.869597329889</v>
      </c>
      <c r="H106" s="633">
        <v>2805.9275766929632</v>
      </c>
      <c r="I106" s="634">
        <v>2805.9275766929632</v>
      </c>
      <c r="J106" s="514">
        <f t="shared" si="30"/>
        <v>0</v>
      </c>
      <c r="K106" s="514"/>
      <c r="L106" s="518">
        <f t="shared" si="27"/>
        <v>2805.9275766929632</v>
      </c>
      <c r="M106" s="514">
        <f t="shared" si="29"/>
        <v>0</v>
      </c>
      <c r="N106" s="518">
        <f t="shared" si="28"/>
        <v>2805.9275766929632</v>
      </c>
      <c r="O106" s="514">
        <f>IF(N106&lt;&gt;0,+I106-N106,0)</f>
        <v>0</v>
      </c>
      <c r="P106" s="514">
        <f t="shared" si="25"/>
        <v>0</v>
      </c>
    </row>
    <row r="107" spans="1:16" ht="12.5">
      <c r="B107" s="195" t="str">
        <f t="shared" si="26"/>
        <v/>
      </c>
      <c r="C107" s="507">
        <f>IF(D93="","-",+C106+1)</f>
        <v>2018</v>
      </c>
      <c r="D107" s="629">
        <v>21059.488644948935</v>
      </c>
      <c r="E107" s="630">
        <v>539.90697674418607</v>
      </c>
      <c r="F107" s="631">
        <v>20519.581668204748</v>
      </c>
      <c r="G107" s="631">
        <v>20789.535156576843</v>
      </c>
      <c r="H107" s="633">
        <v>2765.2301822595773</v>
      </c>
      <c r="I107" s="634">
        <v>2765.2301822595773</v>
      </c>
      <c r="J107" s="514">
        <f t="shared" si="30"/>
        <v>0</v>
      </c>
      <c r="K107" s="514"/>
      <c r="L107" s="518">
        <f t="shared" si="27"/>
        <v>2765.2301822595773</v>
      </c>
      <c r="M107" s="514">
        <f t="shared" si="29"/>
        <v>0</v>
      </c>
      <c r="N107" s="518">
        <f t="shared" si="28"/>
        <v>2765.2301822595773</v>
      </c>
      <c r="O107" s="514">
        <f t="shared" si="24"/>
        <v>0</v>
      </c>
      <c r="P107" s="514">
        <f t="shared" si="25"/>
        <v>0</v>
      </c>
    </row>
    <row r="108" spans="1:16" ht="12.5">
      <c r="B108" s="195" t="str">
        <f t="shared" si="26"/>
        <v/>
      </c>
      <c r="C108" s="507">
        <f>IF(D93="","-",+C107+1)</f>
        <v>2019</v>
      </c>
      <c r="D108" s="629">
        <v>20519.581668204748</v>
      </c>
      <c r="E108" s="630">
        <v>539.90697674418607</v>
      </c>
      <c r="F108" s="631">
        <v>19979.674691460561</v>
      </c>
      <c r="G108" s="631">
        <v>20249.628179832653</v>
      </c>
      <c r="H108" s="633">
        <v>2707.4382443870068</v>
      </c>
      <c r="I108" s="634">
        <v>2707.4382443870068</v>
      </c>
      <c r="J108" s="514">
        <f t="shared" si="30"/>
        <v>0</v>
      </c>
      <c r="K108" s="514"/>
      <c r="L108" s="518">
        <f t="shared" si="27"/>
        <v>2707.4382443870068</v>
      </c>
      <c r="M108" s="514">
        <f t="shared" si="29"/>
        <v>0</v>
      </c>
      <c r="N108" s="518">
        <f t="shared" si="28"/>
        <v>2707.4382443870068</v>
      </c>
      <c r="O108" s="514">
        <f t="shared" si="24"/>
        <v>0</v>
      </c>
      <c r="P108" s="514">
        <f t="shared" si="25"/>
        <v>0</v>
      </c>
    </row>
    <row r="109" spans="1:16" ht="12.5">
      <c r="B109" s="195" t="str">
        <f t="shared" si="26"/>
        <v/>
      </c>
      <c r="C109" s="507">
        <f>IF(D93="","-",+C108+1)</f>
        <v>2020</v>
      </c>
      <c r="D109" s="629">
        <v>19979.674691460561</v>
      </c>
      <c r="E109" s="630">
        <v>552.76190476190482</v>
      </c>
      <c r="F109" s="631">
        <v>19426.912786698656</v>
      </c>
      <c r="G109" s="631">
        <v>19703.293739079607</v>
      </c>
      <c r="H109" s="633">
        <v>2672.3207251624854</v>
      </c>
      <c r="I109" s="634">
        <v>2672.3207251624854</v>
      </c>
      <c r="J109" s="514">
        <f t="shared" si="30"/>
        <v>0</v>
      </c>
      <c r="K109" s="514"/>
      <c r="L109" s="518">
        <f t="shared" si="27"/>
        <v>2672.3207251624854</v>
      </c>
      <c r="M109" s="514">
        <f t="shared" si="29"/>
        <v>0</v>
      </c>
      <c r="N109" s="518">
        <f t="shared" si="28"/>
        <v>2672.3207251624854</v>
      </c>
      <c r="O109" s="514">
        <f t="shared" si="24"/>
        <v>0</v>
      </c>
      <c r="P109" s="514">
        <f t="shared" si="25"/>
        <v>0</v>
      </c>
    </row>
    <row r="110" spans="1:16" ht="12.5">
      <c r="B110" s="195" t="str">
        <f t="shared" si="26"/>
        <v/>
      </c>
      <c r="C110" s="507">
        <f>IF(D93="","-",+C109+1)</f>
        <v>2021</v>
      </c>
      <c r="D110" s="374">
        <f>IF(F109+SUM(E$99:E109)=D$92,F109,D$92-SUM(E$99:E109))</f>
        <v>19426.912786698656</v>
      </c>
      <c r="E110" s="522">
        <f t="shared" ref="E110:E154" si="31">IF(+$J$96&lt;F109,$J$96,D110)</f>
        <v>566.2439024390244</v>
      </c>
      <c r="F110" s="523">
        <f t="shared" ref="F110:F154" si="32">+D110-E110</f>
        <v>18860.66888425963</v>
      </c>
      <c r="G110" s="523">
        <f t="shared" ref="G110:G154" si="33">+(F110+D110)/2</f>
        <v>19143.790835479143</v>
      </c>
      <c r="H110" s="526">
        <f t="shared" ref="H110:H154" si="34">+J$94*G110+E110</f>
        <v>2739.3365089519757</v>
      </c>
      <c r="I110" s="577">
        <f t="shared" ref="I110:I154" si="35">+J$95*G110+E110</f>
        <v>2739.3365089519757</v>
      </c>
      <c r="J110" s="514">
        <f t="shared" si="30"/>
        <v>0</v>
      </c>
      <c r="K110" s="514"/>
      <c r="L110" s="525"/>
      <c r="M110" s="514">
        <f t="shared" si="23"/>
        <v>0</v>
      </c>
      <c r="N110" s="525"/>
      <c r="O110" s="514">
        <f t="shared" si="24"/>
        <v>0</v>
      </c>
      <c r="P110" s="514">
        <f t="shared" si="25"/>
        <v>0</v>
      </c>
    </row>
    <row r="111" spans="1:16" ht="12.5">
      <c r="B111" s="195" t="str">
        <f t="shared" si="26"/>
        <v/>
      </c>
      <c r="C111" s="507">
        <f>IF(D93="","-",+C110+1)</f>
        <v>2022</v>
      </c>
      <c r="D111" s="374">
        <f>IF(F110+SUM(E$99:E110)=D$92,F110,D$92-SUM(E$99:E110))</f>
        <v>18860.66888425963</v>
      </c>
      <c r="E111" s="522">
        <f t="shared" si="31"/>
        <v>566.2439024390244</v>
      </c>
      <c r="F111" s="523">
        <f t="shared" si="32"/>
        <v>18294.424981820604</v>
      </c>
      <c r="G111" s="523">
        <f t="shared" si="33"/>
        <v>18577.546933040117</v>
      </c>
      <c r="H111" s="526">
        <f t="shared" si="34"/>
        <v>2675.0597704288621</v>
      </c>
      <c r="I111" s="577">
        <f t="shared" si="35"/>
        <v>2675.0597704288621</v>
      </c>
      <c r="J111" s="514">
        <f t="shared" si="30"/>
        <v>0</v>
      </c>
      <c r="K111" s="514"/>
      <c r="L111" s="525"/>
      <c r="M111" s="514">
        <f t="shared" si="23"/>
        <v>0</v>
      </c>
      <c r="N111" s="525"/>
      <c r="O111" s="514">
        <f t="shared" si="24"/>
        <v>0</v>
      </c>
      <c r="P111" s="514">
        <f t="shared" si="25"/>
        <v>0</v>
      </c>
    </row>
    <row r="112" spans="1:16" ht="12.5">
      <c r="B112" s="195" t="str">
        <f t="shared" si="26"/>
        <v/>
      </c>
      <c r="C112" s="507">
        <f>IF(D93="","-",+C111+1)</f>
        <v>2023</v>
      </c>
      <c r="D112" s="374">
        <f>IF(F111+SUM(E$99:E111)=D$92,F111,D$92-SUM(E$99:E111))</f>
        <v>18294.424981820604</v>
      </c>
      <c r="E112" s="522">
        <f t="shared" si="31"/>
        <v>566.2439024390244</v>
      </c>
      <c r="F112" s="523">
        <f t="shared" si="32"/>
        <v>17728.181079381578</v>
      </c>
      <c r="G112" s="523">
        <f t="shared" si="33"/>
        <v>18011.303030601091</v>
      </c>
      <c r="H112" s="526">
        <f t="shared" si="34"/>
        <v>2610.7830319057471</v>
      </c>
      <c r="I112" s="577">
        <f t="shared" si="35"/>
        <v>2610.7830319057471</v>
      </c>
      <c r="J112" s="514">
        <f t="shared" si="30"/>
        <v>0</v>
      </c>
      <c r="K112" s="514"/>
      <c r="L112" s="525"/>
      <c r="M112" s="514">
        <f t="shared" si="23"/>
        <v>0</v>
      </c>
      <c r="N112" s="525"/>
      <c r="O112" s="514">
        <f t="shared" si="24"/>
        <v>0</v>
      </c>
      <c r="P112" s="514">
        <f t="shared" si="25"/>
        <v>0</v>
      </c>
    </row>
    <row r="113" spans="2:16" ht="12.5">
      <c r="B113" s="195" t="str">
        <f t="shared" si="26"/>
        <v/>
      </c>
      <c r="C113" s="507">
        <f>IF(D93="","-",+C112+1)</f>
        <v>2024</v>
      </c>
      <c r="D113" s="374">
        <f>IF(F112+SUM(E$99:E112)=D$92,F112,D$92-SUM(E$99:E112))</f>
        <v>17728.181079381578</v>
      </c>
      <c r="E113" s="522">
        <f t="shared" si="31"/>
        <v>566.2439024390244</v>
      </c>
      <c r="F113" s="523">
        <f t="shared" si="32"/>
        <v>17161.937176942552</v>
      </c>
      <c r="G113" s="523">
        <f t="shared" si="33"/>
        <v>17445.059128162065</v>
      </c>
      <c r="H113" s="526">
        <f t="shared" si="34"/>
        <v>2546.506293382633</v>
      </c>
      <c r="I113" s="577">
        <f t="shared" si="35"/>
        <v>2546.506293382633</v>
      </c>
      <c r="J113" s="514">
        <f t="shared" si="30"/>
        <v>0</v>
      </c>
      <c r="K113" s="514"/>
      <c r="L113" s="525"/>
      <c r="M113" s="514">
        <f t="shared" si="23"/>
        <v>0</v>
      </c>
      <c r="N113" s="525"/>
      <c r="O113" s="514">
        <f t="shared" si="24"/>
        <v>0</v>
      </c>
      <c r="P113" s="514">
        <f t="shared" si="25"/>
        <v>0</v>
      </c>
    </row>
    <row r="114" spans="2:16" ht="12.5">
      <c r="B114" s="195" t="str">
        <f t="shared" si="26"/>
        <v/>
      </c>
      <c r="C114" s="507">
        <f>IF(D93="","-",+C113+1)</f>
        <v>2025</v>
      </c>
      <c r="D114" s="374">
        <f>IF(F113+SUM(E$99:E113)=D$92,F113,D$92-SUM(E$99:E113))</f>
        <v>17161.937176942552</v>
      </c>
      <c r="E114" s="522">
        <f t="shared" si="31"/>
        <v>566.2439024390244</v>
      </c>
      <c r="F114" s="523">
        <f t="shared" si="32"/>
        <v>16595.693274503526</v>
      </c>
      <c r="G114" s="523">
        <f t="shared" si="33"/>
        <v>16878.815225723039</v>
      </c>
      <c r="H114" s="526">
        <f t="shared" si="34"/>
        <v>2482.2295548595184</v>
      </c>
      <c r="I114" s="577">
        <f t="shared" si="35"/>
        <v>2482.2295548595184</v>
      </c>
      <c r="J114" s="514">
        <f t="shared" si="30"/>
        <v>0</v>
      </c>
      <c r="K114" s="514"/>
      <c r="L114" s="525"/>
      <c r="M114" s="514">
        <f t="shared" si="23"/>
        <v>0</v>
      </c>
      <c r="N114" s="525"/>
      <c r="O114" s="514">
        <f t="shared" si="24"/>
        <v>0</v>
      </c>
      <c r="P114" s="514">
        <f t="shared" si="25"/>
        <v>0</v>
      </c>
    </row>
    <row r="115" spans="2:16" ht="12.5">
      <c r="B115" s="195" t="str">
        <f t="shared" si="26"/>
        <v/>
      </c>
      <c r="C115" s="507">
        <f>IF(D93="","-",+C114+1)</f>
        <v>2026</v>
      </c>
      <c r="D115" s="374">
        <f>IF(F114+SUM(E$99:E114)=D$92,F114,D$92-SUM(E$99:E114))</f>
        <v>16595.693274503526</v>
      </c>
      <c r="E115" s="522">
        <f t="shared" si="31"/>
        <v>566.2439024390244</v>
      </c>
      <c r="F115" s="523">
        <f t="shared" si="32"/>
        <v>16029.449372064502</v>
      </c>
      <c r="G115" s="523">
        <f t="shared" si="33"/>
        <v>16312.571323284013</v>
      </c>
      <c r="H115" s="526">
        <f t="shared" si="34"/>
        <v>2417.9528163364039</v>
      </c>
      <c r="I115" s="577">
        <f t="shared" si="35"/>
        <v>2417.9528163364039</v>
      </c>
      <c r="J115" s="514">
        <f t="shared" si="30"/>
        <v>0</v>
      </c>
      <c r="K115" s="514"/>
      <c r="L115" s="525"/>
      <c r="M115" s="514">
        <f t="shared" si="23"/>
        <v>0</v>
      </c>
      <c r="N115" s="525"/>
      <c r="O115" s="514">
        <f t="shared" si="24"/>
        <v>0</v>
      </c>
      <c r="P115" s="514">
        <f t="shared" si="25"/>
        <v>0</v>
      </c>
    </row>
    <row r="116" spans="2:16" ht="12.5">
      <c r="B116" s="195" t="str">
        <f t="shared" si="26"/>
        <v/>
      </c>
      <c r="C116" s="507">
        <f>IF(D93="","-",+C115+1)</f>
        <v>2027</v>
      </c>
      <c r="D116" s="374">
        <f>IF(F115+SUM(E$99:E115)=D$92,F115,D$92-SUM(E$99:E115))</f>
        <v>16029.449372064502</v>
      </c>
      <c r="E116" s="522">
        <f t="shared" si="31"/>
        <v>566.2439024390244</v>
      </c>
      <c r="F116" s="523">
        <f t="shared" si="32"/>
        <v>15463.205469625478</v>
      </c>
      <c r="G116" s="523">
        <f t="shared" si="33"/>
        <v>15746.327420844991</v>
      </c>
      <c r="H116" s="526">
        <f t="shared" si="34"/>
        <v>2353.6760778132893</v>
      </c>
      <c r="I116" s="577">
        <f t="shared" si="35"/>
        <v>2353.6760778132893</v>
      </c>
      <c r="J116" s="514">
        <f t="shared" si="30"/>
        <v>0</v>
      </c>
      <c r="K116" s="514"/>
      <c r="L116" s="525"/>
      <c r="M116" s="514">
        <f t="shared" si="23"/>
        <v>0</v>
      </c>
      <c r="N116" s="525"/>
      <c r="O116" s="514">
        <f t="shared" si="24"/>
        <v>0</v>
      </c>
      <c r="P116" s="514">
        <f t="shared" si="25"/>
        <v>0</v>
      </c>
    </row>
    <row r="117" spans="2:16" ht="12.5">
      <c r="B117" s="195" t="str">
        <f t="shared" si="26"/>
        <v/>
      </c>
      <c r="C117" s="507">
        <f>IF(D93="","-",+C116+1)</f>
        <v>2028</v>
      </c>
      <c r="D117" s="374">
        <f>IF(F116+SUM(E$99:E116)=D$92,F116,D$92-SUM(E$99:E116))</f>
        <v>15463.205469625478</v>
      </c>
      <c r="E117" s="522">
        <f t="shared" si="31"/>
        <v>566.2439024390244</v>
      </c>
      <c r="F117" s="523">
        <f t="shared" si="32"/>
        <v>14896.961567186454</v>
      </c>
      <c r="G117" s="523">
        <f t="shared" si="33"/>
        <v>15180.083518405965</v>
      </c>
      <c r="H117" s="526">
        <f t="shared" si="34"/>
        <v>2289.3993392901748</v>
      </c>
      <c r="I117" s="577">
        <f t="shared" si="35"/>
        <v>2289.3993392901748</v>
      </c>
      <c r="J117" s="514">
        <f t="shared" si="30"/>
        <v>0</v>
      </c>
      <c r="K117" s="514"/>
      <c r="L117" s="525"/>
      <c r="M117" s="514">
        <f t="shared" si="23"/>
        <v>0</v>
      </c>
      <c r="N117" s="525"/>
      <c r="O117" s="514">
        <f t="shared" si="24"/>
        <v>0</v>
      </c>
      <c r="P117" s="514">
        <f t="shared" si="25"/>
        <v>0</v>
      </c>
    </row>
    <row r="118" spans="2:16" ht="12.5">
      <c r="B118" s="195" t="str">
        <f t="shared" si="26"/>
        <v/>
      </c>
      <c r="C118" s="507">
        <f>IF(D93="","-",+C117+1)</f>
        <v>2029</v>
      </c>
      <c r="D118" s="374">
        <f>IF(F117+SUM(E$99:E117)=D$92,F117,D$92-SUM(E$99:E117))</f>
        <v>14896.961567186454</v>
      </c>
      <c r="E118" s="522">
        <f t="shared" si="31"/>
        <v>566.2439024390244</v>
      </c>
      <c r="F118" s="523">
        <f t="shared" si="32"/>
        <v>14330.71766474743</v>
      </c>
      <c r="G118" s="523">
        <f t="shared" si="33"/>
        <v>14613.839615966943</v>
      </c>
      <c r="H118" s="526">
        <f t="shared" si="34"/>
        <v>2225.1226007670612</v>
      </c>
      <c r="I118" s="577">
        <f t="shared" si="35"/>
        <v>2225.1226007670612</v>
      </c>
      <c r="J118" s="514">
        <f t="shared" si="30"/>
        <v>0</v>
      </c>
      <c r="K118" s="514"/>
      <c r="L118" s="525"/>
      <c r="M118" s="514">
        <f t="shared" si="23"/>
        <v>0</v>
      </c>
      <c r="N118" s="525"/>
      <c r="O118" s="514">
        <f t="shared" si="24"/>
        <v>0</v>
      </c>
      <c r="P118" s="514">
        <f t="shared" si="25"/>
        <v>0</v>
      </c>
    </row>
    <row r="119" spans="2:16" ht="12.5">
      <c r="B119" s="195" t="str">
        <f t="shared" si="26"/>
        <v/>
      </c>
      <c r="C119" s="507">
        <f>IF(D93="","-",+C118+1)</f>
        <v>2030</v>
      </c>
      <c r="D119" s="374">
        <f>IF(F118+SUM(E$99:E118)=D$92,F118,D$92-SUM(E$99:E118))</f>
        <v>14330.71766474743</v>
      </c>
      <c r="E119" s="522">
        <f t="shared" si="31"/>
        <v>566.2439024390244</v>
      </c>
      <c r="F119" s="523">
        <f t="shared" si="32"/>
        <v>13764.473762308406</v>
      </c>
      <c r="G119" s="523">
        <f t="shared" si="33"/>
        <v>14047.595713527917</v>
      </c>
      <c r="H119" s="526">
        <f t="shared" si="34"/>
        <v>2160.8458622439466</v>
      </c>
      <c r="I119" s="577">
        <f t="shared" si="35"/>
        <v>2160.8458622439466</v>
      </c>
      <c r="J119" s="514">
        <f t="shared" si="30"/>
        <v>0</v>
      </c>
      <c r="K119" s="514"/>
      <c r="L119" s="525"/>
      <c r="M119" s="514">
        <f t="shared" si="23"/>
        <v>0</v>
      </c>
      <c r="N119" s="525"/>
      <c r="O119" s="514">
        <f t="shared" si="24"/>
        <v>0</v>
      </c>
      <c r="P119" s="514">
        <f t="shared" si="25"/>
        <v>0</v>
      </c>
    </row>
    <row r="120" spans="2:16" ht="12.5">
      <c r="B120" s="195" t="str">
        <f t="shared" si="26"/>
        <v/>
      </c>
      <c r="C120" s="507">
        <f>IF(D93="","-",+C119+1)</f>
        <v>2031</v>
      </c>
      <c r="D120" s="374">
        <f>IF(F119+SUM(E$99:E119)=D$92,F119,D$92-SUM(E$99:E119))</f>
        <v>13764.473762308406</v>
      </c>
      <c r="E120" s="522">
        <f t="shared" si="31"/>
        <v>566.2439024390244</v>
      </c>
      <c r="F120" s="523">
        <f t="shared" si="32"/>
        <v>13198.229859869381</v>
      </c>
      <c r="G120" s="523">
        <f t="shared" si="33"/>
        <v>13481.351811088894</v>
      </c>
      <c r="H120" s="526">
        <f t="shared" si="34"/>
        <v>2096.5691237208321</v>
      </c>
      <c r="I120" s="577">
        <f t="shared" si="35"/>
        <v>2096.5691237208321</v>
      </c>
      <c r="J120" s="514">
        <f t="shared" si="30"/>
        <v>0</v>
      </c>
      <c r="K120" s="514"/>
      <c r="L120" s="525"/>
      <c r="M120" s="514">
        <f t="shared" si="23"/>
        <v>0</v>
      </c>
      <c r="N120" s="525"/>
      <c r="O120" s="514">
        <f t="shared" si="24"/>
        <v>0</v>
      </c>
      <c r="P120" s="514">
        <f t="shared" si="25"/>
        <v>0</v>
      </c>
    </row>
    <row r="121" spans="2:16" ht="12.5">
      <c r="B121" s="195" t="str">
        <f t="shared" si="26"/>
        <v/>
      </c>
      <c r="C121" s="507">
        <f>IF(D93="","-",+C120+1)</f>
        <v>2032</v>
      </c>
      <c r="D121" s="374">
        <f>IF(F120+SUM(E$99:E120)=D$92,F120,D$92-SUM(E$99:E120))</f>
        <v>13198.229859869381</v>
      </c>
      <c r="E121" s="522">
        <f t="shared" si="31"/>
        <v>566.2439024390244</v>
      </c>
      <c r="F121" s="523">
        <f t="shared" si="32"/>
        <v>12631.985957430357</v>
      </c>
      <c r="G121" s="523">
        <f t="shared" si="33"/>
        <v>12915.107908649868</v>
      </c>
      <c r="H121" s="526">
        <f t="shared" si="34"/>
        <v>2032.292385197718</v>
      </c>
      <c r="I121" s="577">
        <f t="shared" si="35"/>
        <v>2032.292385197718</v>
      </c>
      <c r="J121" s="514">
        <f t="shared" si="30"/>
        <v>0</v>
      </c>
      <c r="K121" s="514"/>
      <c r="L121" s="525"/>
      <c r="M121" s="514">
        <f t="shared" si="23"/>
        <v>0</v>
      </c>
      <c r="N121" s="525"/>
      <c r="O121" s="514">
        <f t="shared" si="24"/>
        <v>0</v>
      </c>
      <c r="P121" s="514">
        <f t="shared" si="25"/>
        <v>0</v>
      </c>
    </row>
    <row r="122" spans="2:16" ht="12.5">
      <c r="B122" s="195" t="str">
        <f t="shared" si="26"/>
        <v/>
      </c>
      <c r="C122" s="507">
        <f>IF(D93="","-",+C121+1)</f>
        <v>2033</v>
      </c>
      <c r="D122" s="374">
        <f>IF(F121+SUM(E$99:E121)=D$92,F121,D$92-SUM(E$99:E121))</f>
        <v>12631.985957430357</v>
      </c>
      <c r="E122" s="522">
        <f t="shared" si="31"/>
        <v>566.2439024390244</v>
      </c>
      <c r="F122" s="523">
        <f t="shared" si="32"/>
        <v>12065.742054991333</v>
      </c>
      <c r="G122" s="523">
        <f t="shared" si="33"/>
        <v>12348.864006210846</v>
      </c>
      <c r="H122" s="526">
        <f t="shared" si="34"/>
        <v>1968.0156466746039</v>
      </c>
      <c r="I122" s="577">
        <f t="shared" si="35"/>
        <v>1968.0156466746039</v>
      </c>
      <c r="J122" s="514">
        <f t="shared" si="30"/>
        <v>0</v>
      </c>
      <c r="K122" s="514"/>
      <c r="L122" s="525"/>
      <c r="M122" s="514">
        <f t="shared" si="23"/>
        <v>0</v>
      </c>
      <c r="N122" s="525"/>
      <c r="O122" s="514">
        <f t="shared" si="24"/>
        <v>0</v>
      </c>
      <c r="P122" s="514">
        <f t="shared" si="25"/>
        <v>0</v>
      </c>
    </row>
    <row r="123" spans="2:16" ht="12.5">
      <c r="B123" s="195" t="str">
        <f t="shared" si="26"/>
        <v/>
      </c>
      <c r="C123" s="507">
        <f>IF(D93="","-",+C122+1)</f>
        <v>2034</v>
      </c>
      <c r="D123" s="374">
        <f>IF(F122+SUM(E$99:E122)=D$92,F122,D$92-SUM(E$99:E122))</f>
        <v>12065.742054991333</v>
      </c>
      <c r="E123" s="522">
        <f t="shared" si="31"/>
        <v>566.2439024390244</v>
      </c>
      <c r="F123" s="523">
        <f t="shared" si="32"/>
        <v>11499.498152552309</v>
      </c>
      <c r="G123" s="523">
        <f t="shared" si="33"/>
        <v>11782.62010377182</v>
      </c>
      <c r="H123" s="526">
        <f t="shared" si="34"/>
        <v>1903.7389081514893</v>
      </c>
      <c r="I123" s="577">
        <f t="shared" si="35"/>
        <v>1903.7389081514893</v>
      </c>
      <c r="J123" s="514">
        <f t="shared" si="30"/>
        <v>0</v>
      </c>
      <c r="K123" s="514"/>
      <c r="L123" s="525"/>
      <c r="M123" s="514">
        <f t="shared" si="23"/>
        <v>0</v>
      </c>
      <c r="N123" s="525"/>
      <c r="O123" s="514">
        <f t="shared" si="24"/>
        <v>0</v>
      </c>
      <c r="P123" s="514">
        <f t="shared" si="25"/>
        <v>0</v>
      </c>
    </row>
    <row r="124" spans="2:16" ht="12.5">
      <c r="B124" s="195" t="str">
        <f t="shared" si="26"/>
        <v/>
      </c>
      <c r="C124" s="507">
        <f>IF(D93="","-",+C123+1)</f>
        <v>2035</v>
      </c>
      <c r="D124" s="374">
        <f>IF(F123+SUM(E$99:E123)=D$92,F123,D$92-SUM(E$99:E123))</f>
        <v>11499.498152552309</v>
      </c>
      <c r="E124" s="522">
        <f t="shared" si="31"/>
        <v>566.2439024390244</v>
      </c>
      <c r="F124" s="523">
        <f t="shared" si="32"/>
        <v>10933.254250113285</v>
      </c>
      <c r="G124" s="523">
        <f t="shared" si="33"/>
        <v>11216.376201332798</v>
      </c>
      <c r="H124" s="526">
        <f t="shared" si="34"/>
        <v>1839.4621696283752</v>
      </c>
      <c r="I124" s="577">
        <f t="shared" si="35"/>
        <v>1839.4621696283752</v>
      </c>
      <c r="J124" s="514">
        <f t="shared" si="30"/>
        <v>0</v>
      </c>
      <c r="K124" s="514"/>
      <c r="L124" s="525"/>
      <c r="M124" s="514">
        <f t="shared" si="23"/>
        <v>0</v>
      </c>
      <c r="N124" s="525"/>
      <c r="O124" s="514">
        <f t="shared" si="24"/>
        <v>0</v>
      </c>
      <c r="P124" s="514">
        <f t="shared" si="25"/>
        <v>0</v>
      </c>
    </row>
    <row r="125" spans="2:16" ht="12.5">
      <c r="B125" s="195" t="str">
        <f t="shared" si="26"/>
        <v/>
      </c>
      <c r="C125" s="507">
        <f>IF(D93="","-",+C124+1)</f>
        <v>2036</v>
      </c>
      <c r="D125" s="374">
        <f>IF(F124+SUM(E$99:E124)=D$92,F124,D$92-SUM(E$99:E124))</f>
        <v>10933.254250113285</v>
      </c>
      <c r="E125" s="522">
        <f t="shared" si="31"/>
        <v>566.2439024390244</v>
      </c>
      <c r="F125" s="523">
        <f t="shared" si="32"/>
        <v>10367.010347674261</v>
      </c>
      <c r="G125" s="523">
        <f t="shared" si="33"/>
        <v>10650.132298893772</v>
      </c>
      <c r="H125" s="526">
        <f t="shared" si="34"/>
        <v>1775.1854311052607</v>
      </c>
      <c r="I125" s="577">
        <f t="shared" si="35"/>
        <v>1775.1854311052607</v>
      </c>
      <c r="J125" s="514">
        <f t="shared" si="30"/>
        <v>0</v>
      </c>
      <c r="K125" s="514"/>
      <c r="L125" s="525"/>
      <c r="M125" s="514">
        <f t="shared" si="23"/>
        <v>0</v>
      </c>
      <c r="N125" s="525"/>
      <c r="O125" s="514">
        <f t="shared" si="24"/>
        <v>0</v>
      </c>
      <c r="P125" s="514">
        <f t="shared" si="25"/>
        <v>0</v>
      </c>
    </row>
    <row r="126" spans="2:16" ht="12.5">
      <c r="B126" s="195" t="str">
        <f t="shared" si="26"/>
        <v/>
      </c>
      <c r="C126" s="507">
        <f>IF(D93="","-",+C125+1)</f>
        <v>2037</v>
      </c>
      <c r="D126" s="374">
        <f>IF(F125+SUM(E$99:E125)=D$92,F125,D$92-SUM(E$99:E125))</f>
        <v>10367.010347674261</v>
      </c>
      <c r="E126" s="522">
        <f t="shared" si="31"/>
        <v>566.2439024390244</v>
      </c>
      <c r="F126" s="523">
        <f t="shared" si="32"/>
        <v>9800.7664452352365</v>
      </c>
      <c r="G126" s="523">
        <f t="shared" si="33"/>
        <v>10083.888396454749</v>
      </c>
      <c r="H126" s="526">
        <f t="shared" si="34"/>
        <v>1710.9086925821466</v>
      </c>
      <c r="I126" s="577">
        <f t="shared" si="35"/>
        <v>1710.9086925821466</v>
      </c>
      <c r="J126" s="514">
        <f t="shared" si="30"/>
        <v>0</v>
      </c>
      <c r="K126" s="514"/>
      <c r="L126" s="525"/>
      <c r="M126" s="514">
        <f t="shared" si="23"/>
        <v>0</v>
      </c>
      <c r="N126" s="525"/>
      <c r="O126" s="514">
        <f t="shared" si="24"/>
        <v>0</v>
      </c>
      <c r="P126" s="514">
        <f t="shared" si="25"/>
        <v>0</v>
      </c>
    </row>
    <row r="127" spans="2:16" ht="12.5">
      <c r="B127" s="195" t="str">
        <f t="shared" si="26"/>
        <v/>
      </c>
      <c r="C127" s="507">
        <f>IF(D93="","-",+C126+1)</f>
        <v>2038</v>
      </c>
      <c r="D127" s="374">
        <f>IF(F126+SUM(E$99:E126)=D$92,F126,D$92-SUM(E$99:E126))</f>
        <v>9800.7664452352365</v>
      </c>
      <c r="E127" s="522">
        <f t="shared" si="31"/>
        <v>566.2439024390244</v>
      </c>
      <c r="F127" s="523">
        <f t="shared" si="32"/>
        <v>9234.5225427962123</v>
      </c>
      <c r="G127" s="523">
        <f t="shared" si="33"/>
        <v>9517.6444940157235</v>
      </c>
      <c r="H127" s="526">
        <f t="shared" si="34"/>
        <v>1646.6319540590321</v>
      </c>
      <c r="I127" s="577">
        <f t="shared" si="35"/>
        <v>1646.6319540590321</v>
      </c>
      <c r="J127" s="514">
        <f t="shared" si="30"/>
        <v>0</v>
      </c>
      <c r="K127" s="514"/>
      <c r="L127" s="525"/>
      <c r="M127" s="514">
        <f t="shared" si="23"/>
        <v>0</v>
      </c>
      <c r="N127" s="525"/>
      <c r="O127" s="514">
        <f t="shared" si="24"/>
        <v>0</v>
      </c>
      <c r="P127" s="514">
        <f t="shared" si="25"/>
        <v>0</v>
      </c>
    </row>
    <row r="128" spans="2:16" ht="12.5">
      <c r="B128" s="195" t="str">
        <f t="shared" si="26"/>
        <v/>
      </c>
      <c r="C128" s="507">
        <f>IF(D93="","-",+C127+1)</f>
        <v>2039</v>
      </c>
      <c r="D128" s="374">
        <f>IF(F127+SUM(E$99:E127)=D$92,F127,D$92-SUM(E$99:E127))</f>
        <v>9234.5225427962123</v>
      </c>
      <c r="E128" s="522">
        <f t="shared" si="31"/>
        <v>566.2439024390244</v>
      </c>
      <c r="F128" s="523">
        <f t="shared" si="32"/>
        <v>8668.2786403571881</v>
      </c>
      <c r="G128" s="523">
        <f t="shared" si="33"/>
        <v>8951.4005915767011</v>
      </c>
      <c r="H128" s="526">
        <f t="shared" si="34"/>
        <v>1582.355215535918</v>
      </c>
      <c r="I128" s="577">
        <f t="shared" si="35"/>
        <v>1582.355215535918</v>
      </c>
      <c r="J128" s="514">
        <f t="shared" si="30"/>
        <v>0</v>
      </c>
      <c r="K128" s="514"/>
      <c r="L128" s="525"/>
      <c r="M128" s="514">
        <f t="shared" si="23"/>
        <v>0</v>
      </c>
      <c r="N128" s="525"/>
      <c r="O128" s="514">
        <f t="shared" si="24"/>
        <v>0</v>
      </c>
      <c r="P128" s="514">
        <f t="shared" si="25"/>
        <v>0</v>
      </c>
    </row>
    <row r="129" spans="2:16" ht="12.5">
      <c r="B129" s="195" t="str">
        <f t="shared" si="26"/>
        <v/>
      </c>
      <c r="C129" s="507">
        <f>IF(D93="","-",+C128+1)</f>
        <v>2040</v>
      </c>
      <c r="D129" s="374">
        <f>IF(F128+SUM(E$99:E128)=D$92,F128,D$92-SUM(E$99:E128))</f>
        <v>8668.2786403571881</v>
      </c>
      <c r="E129" s="522">
        <f t="shared" si="31"/>
        <v>566.2439024390244</v>
      </c>
      <c r="F129" s="523">
        <f t="shared" si="32"/>
        <v>8102.034737918164</v>
      </c>
      <c r="G129" s="523">
        <f t="shared" si="33"/>
        <v>8385.1566891376751</v>
      </c>
      <c r="H129" s="526">
        <f t="shared" si="34"/>
        <v>1518.0784770128034</v>
      </c>
      <c r="I129" s="577">
        <f t="shared" si="35"/>
        <v>1518.0784770128034</v>
      </c>
      <c r="J129" s="514">
        <f t="shared" si="30"/>
        <v>0</v>
      </c>
      <c r="K129" s="514"/>
      <c r="L129" s="525"/>
      <c r="M129" s="514">
        <f t="shared" si="23"/>
        <v>0</v>
      </c>
      <c r="N129" s="525"/>
      <c r="O129" s="514">
        <f t="shared" si="24"/>
        <v>0</v>
      </c>
      <c r="P129" s="514">
        <f t="shared" si="25"/>
        <v>0</v>
      </c>
    </row>
    <row r="130" spans="2:16" ht="12.5">
      <c r="B130" s="195" t="str">
        <f t="shared" si="26"/>
        <v/>
      </c>
      <c r="C130" s="507">
        <f>IF(D93="","-",+C129+1)</f>
        <v>2041</v>
      </c>
      <c r="D130" s="374">
        <f>IF(F129+SUM(E$99:E129)=D$92,F129,D$92-SUM(E$99:E129))</f>
        <v>8102.034737918164</v>
      </c>
      <c r="E130" s="522">
        <f t="shared" si="31"/>
        <v>566.2439024390244</v>
      </c>
      <c r="F130" s="523">
        <f t="shared" si="32"/>
        <v>7535.7908354791398</v>
      </c>
      <c r="G130" s="523">
        <f t="shared" si="33"/>
        <v>7818.9127866986519</v>
      </c>
      <c r="H130" s="526">
        <f t="shared" si="34"/>
        <v>1453.8017384896893</v>
      </c>
      <c r="I130" s="577">
        <f t="shared" si="35"/>
        <v>1453.8017384896893</v>
      </c>
      <c r="J130" s="514">
        <f t="shared" si="30"/>
        <v>0</v>
      </c>
      <c r="K130" s="514"/>
      <c r="L130" s="525"/>
      <c r="M130" s="514">
        <f t="shared" si="23"/>
        <v>0</v>
      </c>
      <c r="N130" s="525"/>
      <c r="O130" s="514">
        <f t="shared" si="24"/>
        <v>0</v>
      </c>
      <c r="P130" s="514">
        <f t="shared" si="25"/>
        <v>0</v>
      </c>
    </row>
    <row r="131" spans="2:16" ht="12.5">
      <c r="B131" s="195" t="str">
        <f t="shared" si="26"/>
        <v/>
      </c>
      <c r="C131" s="507">
        <f>IF(D93="","-",+C130+1)</f>
        <v>2042</v>
      </c>
      <c r="D131" s="374">
        <f>IF(F130+SUM(E$99:E130)=D$92,F130,D$92-SUM(E$99:E130))</f>
        <v>7535.7908354791398</v>
      </c>
      <c r="E131" s="522">
        <f t="shared" si="31"/>
        <v>566.2439024390244</v>
      </c>
      <c r="F131" s="523">
        <f t="shared" si="32"/>
        <v>6969.5469330401156</v>
      </c>
      <c r="G131" s="523">
        <f t="shared" si="33"/>
        <v>7252.6688842596277</v>
      </c>
      <c r="H131" s="526">
        <f t="shared" si="34"/>
        <v>1389.5249999665753</v>
      </c>
      <c r="I131" s="577">
        <f t="shared" si="35"/>
        <v>1389.5249999665753</v>
      </c>
      <c r="J131" s="514">
        <f t="shared" si="30"/>
        <v>0</v>
      </c>
      <c r="K131" s="514"/>
      <c r="L131" s="525"/>
      <c r="M131" s="514">
        <f t="shared" ref="M131:M154" si="36">IF(L541&lt;&gt;0,+H541-L541,0)</f>
        <v>0</v>
      </c>
      <c r="N131" s="525"/>
      <c r="O131" s="514">
        <f t="shared" ref="O131:O154" si="37">IF(N541&lt;&gt;0,+I541-N541,0)</f>
        <v>0</v>
      </c>
      <c r="P131" s="514">
        <f t="shared" ref="P131:P154" si="38">+O541-M541</f>
        <v>0</v>
      </c>
    </row>
    <row r="132" spans="2:16" ht="12.5">
      <c r="B132" s="195" t="str">
        <f t="shared" si="26"/>
        <v/>
      </c>
      <c r="C132" s="507">
        <f>IF(D93="","-",+C131+1)</f>
        <v>2043</v>
      </c>
      <c r="D132" s="374">
        <f>IF(F131+SUM(E$99:E131)=D$92,F131,D$92-SUM(E$99:E131))</f>
        <v>6969.5469330401156</v>
      </c>
      <c r="E132" s="522">
        <f t="shared" si="31"/>
        <v>566.2439024390244</v>
      </c>
      <c r="F132" s="523">
        <f t="shared" si="32"/>
        <v>6403.3030306010915</v>
      </c>
      <c r="G132" s="523">
        <f t="shared" si="33"/>
        <v>6686.4249818206035</v>
      </c>
      <c r="H132" s="526">
        <f t="shared" si="34"/>
        <v>1325.2482614434607</v>
      </c>
      <c r="I132" s="577">
        <f t="shared" si="35"/>
        <v>1325.2482614434607</v>
      </c>
      <c r="J132" s="514">
        <f t="shared" si="30"/>
        <v>0</v>
      </c>
      <c r="K132" s="514"/>
      <c r="L132" s="525"/>
      <c r="M132" s="514">
        <f t="shared" si="36"/>
        <v>0</v>
      </c>
      <c r="N132" s="525"/>
      <c r="O132" s="514">
        <f t="shared" si="37"/>
        <v>0</v>
      </c>
      <c r="P132" s="514">
        <f t="shared" si="38"/>
        <v>0</v>
      </c>
    </row>
    <row r="133" spans="2:16" ht="12.5">
      <c r="B133" s="195" t="str">
        <f t="shared" si="26"/>
        <v/>
      </c>
      <c r="C133" s="507">
        <f>IF(D93="","-",+C132+1)</f>
        <v>2044</v>
      </c>
      <c r="D133" s="374">
        <f>IF(F132+SUM(E$99:E132)=D$92,F132,D$92-SUM(E$99:E132))</f>
        <v>6403.3030306010915</v>
      </c>
      <c r="E133" s="522">
        <f t="shared" si="31"/>
        <v>566.2439024390244</v>
      </c>
      <c r="F133" s="523">
        <f t="shared" si="32"/>
        <v>5837.0591281620673</v>
      </c>
      <c r="G133" s="523">
        <f t="shared" si="33"/>
        <v>6120.1810793815794</v>
      </c>
      <c r="H133" s="526">
        <f t="shared" si="34"/>
        <v>1260.9715229203466</v>
      </c>
      <c r="I133" s="577">
        <f t="shared" si="35"/>
        <v>1260.9715229203466</v>
      </c>
      <c r="J133" s="514">
        <f t="shared" si="30"/>
        <v>0</v>
      </c>
      <c r="K133" s="514"/>
      <c r="L133" s="525"/>
      <c r="M133" s="514">
        <f t="shared" si="36"/>
        <v>0</v>
      </c>
      <c r="N133" s="525"/>
      <c r="O133" s="514">
        <f t="shared" si="37"/>
        <v>0</v>
      </c>
      <c r="P133" s="514">
        <f t="shared" si="38"/>
        <v>0</v>
      </c>
    </row>
    <row r="134" spans="2:16" ht="12.5">
      <c r="B134" s="195" t="str">
        <f t="shared" si="26"/>
        <v/>
      </c>
      <c r="C134" s="507">
        <f>IF(D93="","-",+C133+1)</f>
        <v>2045</v>
      </c>
      <c r="D134" s="374">
        <f>IF(F133+SUM(E$99:E133)=D$92,F133,D$92-SUM(E$99:E133))</f>
        <v>5837.0591281620673</v>
      </c>
      <c r="E134" s="522">
        <f t="shared" si="31"/>
        <v>566.2439024390244</v>
      </c>
      <c r="F134" s="523">
        <f t="shared" si="32"/>
        <v>5270.8152257230431</v>
      </c>
      <c r="G134" s="523">
        <f t="shared" si="33"/>
        <v>5553.9371769425552</v>
      </c>
      <c r="H134" s="526">
        <f t="shared" si="34"/>
        <v>1196.6947843972321</v>
      </c>
      <c r="I134" s="577">
        <f t="shared" si="35"/>
        <v>1196.6947843972321</v>
      </c>
      <c r="J134" s="514">
        <f t="shared" si="30"/>
        <v>0</v>
      </c>
      <c r="K134" s="514"/>
      <c r="L134" s="525"/>
      <c r="M134" s="514">
        <f t="shared" si="36"/>
        <v>0</v>
      </c>
      <c r="N134" s="525"/>
      <c r="O134" s="514">
        <f t="shared" si="37"/>
        <v>0</v>
      </c>
      <c r="P134" s="514">
        <f t="shared" si="38"/>
        <v>0</v>
      </c>
    </row>
    <row r="135" spans="2:16" ht="12.5">
      <c r="B135" s="195" t="str">
        <f t="shared" si="26"/>
        <v/>
      </c>
      <c r="C135" s="507">
        <f>IF(D93="","-",+C134+1)</f>
        <v>2046</v>
      </c>
      <c r="D135" s="374">
        <f>IF(F134+SUM(E$99:E134)=D$92,F134,D$92-SUM(E$99:E134))</f>
        <v>5270.8152257230431</v>
      </c>
      <c r="E135" s="522">
        <f t="shared" si="31"/>
        <v>566.2439024390244</v>
      </c>
      <c r="F135" s="523">
        <f t="shared" si="32"/>
        <v>4704.5713232840189</v>
      </c>
      <c r="G135" s="523">
        <f t="shared" si="33"/>
        <v>4987.693274503531</v>
      </c>
      <c r="H135" s="526">
        <f t="shared" si="34"/>
        <v>1132.418045874118</v>
      </c>
      <c r="I135" s="577">
        <f t="shared" si="35"/>
        <v>1132.418045874118</v>
      </c>
      <c r="J135" s="514">
        <f t="shared" si="30"/>
        <v>0</v>
      </c>
      <c r="K135" s="514"/>
      <c r="L135" s="525"/>
      <c r="M135" s="514">
        <f t="shared" si="36"/>
        <v>0</v>
      </c>
      <c r="N135" s="525"/>
      <c r="O135" s="514">
        <f t="shared" si="37"/>
        <v>0</v>
      </c>
      <c r="P135" s="514">
        <f t="shared" si="38"/>
        <v>0</v>
      </c>
    </row>
    <row r="136" spans="2:16" ht="12.5">
      <c r="B136" s="195" t="str">
        <f t="shared" si="26"/>
        <v/>
      </c>
      <c r="C136" s="507">
        <f>IF(D93="","-",+C135+1)</f>
        <v>2047</v>
      </c>
      <c r="D136" s="374">
        <f>IF(F135+SUM(E$99:E135)=D$92,F135,D$92-SUM(E$99:E135))</f>
        <v>4704.5713232840189</v>
      </c>
      <c r="E136" s="522">
        <f t="shared" si="31"/>
        <v>566.2439024390244</v>
      </c>
      <c r="F136" s="523">
        <f t="shared" si="32"/>
        <v>4138.3274208449948</v>
      </c>
      <c r="G136" s="523">
        <f t="shared" si="33"/>
        <v>4421.4493720645069</v>
      </c>
      <c r="H136" s="526">
        <f t="shared" si="34"/>
        <v>1068.1413073510037</v>
      </c>
      <c r="I136" s="577">
        <f t="shared" si="35"/>
        <v>1068.1413073510037</v>
      </c>
      <c r="J136" s="514">
        <f t="shared" si="30"/>
        <v>0</v>
      </c>
      <c r="K136" s="514"/>
      <c r="L136" s="525"/>
      <c r="M136" s="514">
        <f t="shared" si="36"/>
        <v>0</v>
      </c>
      <c r="N136" s="525"/>
      <c r="O136" s="514">
        <f t="shared" si="37"/>
        <v>0</v>
      </c>
      <c r="P136" s="514">
        <f t="shared" si="38"/>
        <v>0</v>
      </c>
    </row>
    <row r="137" spans="2:16" ht="12.5">
      <c r="B137" s="195" t="str">
        <f t="shared" si="26"/>
        <v/>
      </c>
      <c r="C137" s="507">
        <f>IF(D93="","-",+C136+1)</f>
        <v>2048</v>
      </c>
      <c r="D137" s="374">
        <f>IF(F136+SUM(E$99:E136)=D$92,F136,D$92-SUM(E$99:E136))</f>
        <v>4138.3274208449948</v>
      </c>
      <c r="E137" s="522">
        <f t="shared" si="31"/>
        <v>566.2439024390244</v>
      </c>
      <c r="F137" s="523">
        <f t="shared" si="32"/>
        <v>3572.0835184059706</v>
      </c>
      <c r="G137" s="523">
        <f t="shared" si="33"/>
        <v>3855.2054696254827</v>
      </c>
      <c r="H137" s="526">
        <f t="shared" si="34"/>
        <v>1003.8645688278893</v>
      </c>
      <c r="I137" s="577">
        <f t="shared" si="35"/>
        <v>1003.8645688278893</v>
      </c>
      <c r="J137" s="514">
        <f t="shared" si="30"/>
        <v>0</v>
      </c>
      <c r="K137" s="514"/>
      <c r="L137" s="525"/>
      <c r="M137" s="514">
        <f t="shared" si="36"/>
        <v>0</v>
      </c>
      <c r="N137" s="525"/>
      <c r="O137" s="514">
        <f t="shared" si="37"/>
        <v>0</v>
      </c>
      <c r="P137" s="514">
        <f t="shared" si="38"/>
        <v>0</v>
      </c>
    </row>
    <row r="138" spans="2:16" ht="12.5">
      <c r="B138" s="195" t="str">
        <f t="shared" si="26"/>
        <v/>
      </c>
      <c r="C138" s="507">
        <f>IF(D93="","-",+C137+1)</f>
        <v>2049</v>
      </c>
      <c r="D138" s="374">
        <f>IF(F137+SUM(E$99:E137)=D$92,F137,D$92-SUM(E$99:E137))</f>
        <v>3572.0835184059706</v>
      </c>
      <c r="E138" s="522">
        <f t="shared" si="31"/>
        <v>566.2439024390244</v>
      </c>
      <c r="F138" s="523">
        <f t="shared" si="32"/>
        <v>3005.8396159669464</v>
      </c>
      <c r="G138" s="523">
        <f t="shared" si="33"/>
        <v>3288.9615671864585</v>
      </c>
      <c r="H138" s="526">
        <f t="shared" si="34"/>
        <v>939.58783030477503</v>
      </c>
      <c r="I138" s="577">
        <f t="shared" si="35"/>
        <v>939.58783030477503</v>
      </c>
      <c r="J138" s="514">
        <f t="shared" si="30"/>
        <v>0</v>
      </c>
      <c r="K138" s="514"/>
      <c r="L138" s="525"/>
      <c r="M138" s="514">
        <f t="shared" si="36"/>
        <v>0</v>
      </c>
      <c r="N138" s="525"/>
      <c r="O138" s="514">
        <f t="shared" si="37"/>
        <v>0</v>
      </c>
      <c r="P138" s="514">
        <f t="shared" si="38"/>
        <v>0</v>
      </c>
    </row>
    <row r="139" spans="2:16" ht="12.5">
      <c r="B139" s="195" t="str">
        <f t="shared" si="26"/>
        <v/>
      </c>
      <c r="C139" s="507">
        <f>IF(D93="","-",+C138+1)</f>
        <v>2050</v>
      </c>
      <c r="D139" s="374">
        <f>IF(F138+SUM(E$99:E138)=D$92,F138,D$92-SUM(E$99:E138))</f>
        <v>3005.8396159669464</v>
      </c>
      <c r="E139" s="522">
        <f t="shared" si="31"/>
        <v>566.2439024390244</v>
      </c>
      <c r="F139" s="523">
        <f t="shared" si="32"/>
        <v>2439.5957135279223</v>
      </c>
      <c r="G139" s="523">
        <f t="shared" si="33"/>
        <v>2722.7176647474344</v>
      </c>
      <c r="H139" s="526">
        <f t="shared" si="34"/>
        <v>875.31109178166071</v>
      </c>
      <c r="I139" s="577">
        <f t="shared" si="35"/>
        <v>875.31109178166071</v>
      </c>
      <c r="J139" s="514">
        <f t="shared" si="30"/>
        <v>0</v>
      </c>
      <c r="K139" s="514"/>
      <c r="L139" s="525"/>
      <c r="M139" s="514">
        <f t="shared" si="36"/>
        <v>0</v>
      </c>
      <c r="N139" s="525"/>
      <c r="O139" s="514">
        <f t="shared" si="37"/>
        <v>0</v>
      </c>
      <c r="P139" s="514">
        <f t="shared" si="38"/>
        <v>0</v>
      </c>
    </row>
    <row r="140" spans="2:16" ht="12.5">
      <c r="B140" s="195" t="str">
        <f t="shared" si="26"/>
        <v/>
      </c>
      <c r="C140" s="507">
        <f>IF(D93="","-",+C139+1)</f>
        <v>2051</v>
      </c>
      <c r="D140" s="374">
        <f>IF(F139+SUM(E$99:E139)=D$92,F139,D$92-SUM(E$99:E139))</f>
        <v>2439.5957135279223</v>
      </c>
      <c r="E140" s="522">
        <f t="shared" si="31"/>
        <v>566.2439024390244</v>
      </c>
      <c r="F140" s="523">
        <f t="shared" si="32"/>
        <v>1873.3518110888979</v>
      </c>
      <c r="G140" s="523">
        <f t="shared" si="33"/>
        <v>2156.4737623084102</v>
      </c>
      <c r="H140" s="526">
        <f t="shared" si="34"/>
        <v>811.0343532585465</v>
      </c>
      <c r="I140" s="577">
        <f t="shared" si="35"/>
        <v>811.0343532585465</v>
      </c>
      <c r="J140" s="514">
        <f t="shared" si="30"/>
        <v>0</v>
      </c>
      <c r="K140" s="514"/>
      <c r="L140" s="525"/>
      <c r="M140" s="514">
        <f t="shared" si="36"/>
        <v>0</v>
      </c>
      <c r="N140" s="525"/>
      <c r="O140" s="514">
        <f t="shared" si="37"/>
        <v>0</v>
      </c>
      <c r="P140" s="514">
        <f t="shared" si="38"/>
        <v>0</v>
      </c>
    </row>
    <row r="141" spans="2:16" ht="12.5">
      <c r="B141" s="195" t="str">
        <f t="shared" si="26"/>
        <v/>
      </c>
      <c r="C141" s="507">
        <f>IF(D93="","-",+C140+1)</f>
        <v>2052</v>
      </c>
      <c r="D141" s="374">
        <f>IF(F140+SUM(E$99:E140)=D$92,F140,D$92-SUM(E$99:E140))</f>
        <v>1873.3518110888979</v>
      </c>
      <c r="E141" s="522">
        <f t="shared" si="31"/>
        <v>566.2439024390244</v>
      </c>
      <c r="F141" s="523">
        <f t="shared" si="32"/>
        <v>1307.1079086498735</v>
      </c>
      <c r="G141" s="523">
        <f t="shared" si="33"/>
        <v>1590.2298598693856</v>
      </c>
      <c r="H141" s="526">
        <f t="shared" si="34"/>
        <v>746.75761473543207</v>
      </c>
      <c r="I141" s="577">
        <f t="shared" si="35"/>
        <v>746.75761473543207</v>
      </c>
      <c r="J141" s="514">
        <f t="shared" si="30"/>
        <v>0</v>
      </c>
      <c r="K141" s="514"/>
      <c r="L141" s="525"/>
      <c r="M141" s="514">
        <f t="shared" si="36"/>
        <v>0</v>
      </c>
      <c r="N141" s="525"/>
      <c r="O141" s="514">
        <f t="shared" si="37"/>
        <v>0</v>
      </c>
      <c r="P141" s="514">
        <f t="shared" si="38"/>
        <v>0</v>
      </c>
    </row>
    <row r="142" spans="2:16" ht="12.5">
      <c r="B142" s="195" t="str">
        <f t="shared" si="26"/>
        <v/>
      </c>
      <c r="C142" s="507">
        <f>IF(D93="","-",+C141+1)</f>
        <v>2053</v>
      </c>
      <c r="D142" s="374">
        <f>IF(F141+SUM(E$99:E141)=D$92,F141,D$92-SUM(E$99:E141))</f>
        <v>1307.1079086498735</v>
      </c>
      <c r="E142" s="522">
        <f t="shared" si="31"/>
        <v>566.2439024390244</v>
      </c>
      <c r="F142" s="523">
        <f t="shared" si="32"/>
        <v>740.86400621084908</v>
      </c>
      <c r="G142" s="523">
        <f t="shared" si="33"/>
        <v>1023.9859574303613</v>
      </c>
      <c r="H142" s="526">
        <f t="shared" si="34"/>
        <v>682.48087621231787</v>
      </c>
      <c r="I142" s="577">
        <f t="shared" si="35"/>
        <v>682.48087621231787</v>
      </c>
      <c r="J142" s="514">
        <f t="shared" si="30"/>
        <v>0</v>
      </c>
      <c r="K142" s="514"/>
      <c r="L142" s="525"/>
      <c r="M142" s="514">
        <f t="shared" si="36"/>
        <v>0</v>
      </c>
      <c r="N142" s="525"/>
      <c r="O142" s="514">
        <f t="shared" si="37"/>
        <v>0</v>
      </c>
      <c r="P142" s="514">
        <f t="shared" si="38"/>
        <v>0</v>
      </c>
    </row>
    <row r="143" spans="2:16" ht="12.5">
      <c r="B143" s="195" t="str">
        <f t="shared" si="26"/>
        <v/>
      </c>
      <c r="C143" s="507">
        <f>IF(D93="","-",+C142+1)</f>
        <v>2054</v>
      </c>
      <c r="D143" s="374">
        <f>IF(F142+SUM(E$99:E142)=D$92,F142,D$92-SUM(E$99:E142))</f>
        <v>740.86400621084908</v>
      </c>
      <c r="E143" s="522">
        <f t="shared" si="31"/>
        <v>566.2439024390244</v>
      </c>
      <c r="F143" s="523">
        <f t="shared" si="32"/>
        <v>174.62010377182469</v>
      </c>
      <c r="G143" s="523">
        <f t="shared" si="33"/>
        <v>457.74205499133689</v>
      </c>
      <c r="H143" s="526">
        <f t="shared" si="34"/>
        <v>618.20413768920355</v>
      </c>
      <c r="I143" s="577">
        <f t="shared" si="35"/>
        <v>618.20413768920355</v>
      </c>
      <c r="J143" s="514">
        <f t="shared" si="30"/>
        <v>0</v>
      </c>
      <c r="K143" s="514"/>
      <c r="L143" s="525"/>
      <c r="M143" s="514">
        <f t="shared" si="36"/>
        <v>0</v>
      </c>
      <c r="N143" s="525"/>
      <c r="O143" s="514">
        <f t="shared" si="37"/>
        <v>0</v>
      </c>
      <c r="P143" s="514">
        <f t="shared" si="38"/>
        <v>0</v>
      </c>
    </row>
    <row r="144" spans="2:16" ht="12.5">
      <c r="B144" s="195" t="str">
        <f t="shared" si="26"/>
        <v/>
      </c>
      <c r="C144" s="507">
        <f>IF(D93="","-",+C143+1)</f>
        <v>2055</v>
      </c>
      <c r="D144" s="374">
        <f>IF(F143+SUM(E$99:E143)=D$92,F143,D$92-SUM(E$99:E143))</f>
        <v>174.62010377182469</v>
      </c>
      <c r="E144" s="522">
        <f t="shared" si="31"/>
        <v>174.62010377182469</v>
      </c>
      <c r="F144" s="523">
        <f t="shared" si="32"/>
        <v>0</v>
      </c>
      <c r="G144" s="523">
        <f t="shared" si="33"/>
        <v>87.310051885912344</v>
      </c>
      <c r="H144" s="526">
        <f t="shared" si="34"/>
        <v>184.53103676613566</v>
      </c>
      <c r="I144" s="577">
        <f t="shared" si="35"/>
        <v>184.53103676613566</v>
      </c>
      <c r="J144" s="514">
        <f t="shared" si="30"/>
        <v>0</v>
      </c>
      <c r="K144" s="514"/>
      <c r="L144" s="525"/>
      <c r="M144" s="514">
        <f t="shared" si="36"/>
        <v>0</v>
      </c>
      <c r="N144" s="525"/>
      <c r="O144" s="514">
        <f t="shared" si="37"/>
        <v>0</v>
      </c>
      <c r="P144" s="514">
        <f t="shared" si="38"/>
        <v>0</v>
      </c>
    </row>
    <row r="145" spans="2:16" ht="12.5">
      <c r="B145" s="195" t="str">
        <f t="shared" si="26"/>
        <v/>
      </c>
      <c r="C145" s="507">
        <f>IF(D93="","-",+C144+1)</f>
        <v>2056</v>
      </c>
      <c r="D145" s="374">
        <f>IF(F144+SUM(E$99:E144)=D$92,F144,D$92-SUM(E$99:E144))</f>
        <v>0</v>
      </c>
      <c r="E145" s="522">
        <f t="shared" si="31"/>
        <v>0</v>
      </c>
      <c r="F145" s="523">
        <f t="shared" si="32"/>
        <v>0</v>
      </c>
      <c r="G145" s="523">
        <f t="shared" si="33"/>
        <v>0</v>
      </c>
      <c r="H145" s="526">
        <f t="shared" si="34"/>
        <v>0</v>
      </c>
      <c r="I145" s="577">
        <f t="shared" si="35"/>
        <v>0</v>
      </c>
      <c r="J145" s="514">
        <f t="shared" si="30"/>
        <v>0</v>
      </c>
      <c r="K145" s="514"/>
      <c r="L145" s="525"/>
      <c r="M145" s="514">
        <f t="shared" si="36"/>
        <v>0</v>
      </c>
      <c r="N145" s="525"/>
      <c r="O145" s="514">
        <f t="shared" si="37"/>
        <v>0</v>
      </c>
      <c r="P145" s="514">
        <f t="shared" si="38"/>
        <v>0</v>
      </c>
    </row>
    <row r="146" spans="2:16" ht="12.5">
      <c r="B146" s="195" t="str">
        <f t="shared" si="26"/>
        <v/>
      </c>
      <c r="C146" s="507">
        <f>IF(D93="","-",+C145+1)</f>
        <v>2057</v>
      </c>
      <c r="D146" s="374">
        <f>IF(F145+SUM(E$99:E145)=D$92,F145,D$92-SUM(E$99:E145))</f>
        <v>0</v>
      </c>
      <c r="E146" s="522">
        <f t="shared" si="31"/>
        <v>0</v>
      </c>
      <c r="F146" s="523">
        <f t="shared" si="32"/>
        <v>0</v>
      </c>
      <c r="G146" s="523">
        <f t="shared" si="33"/>
        <v>0</v>
      </c>
      <c r="H146" s="526">
        <f t="shared" si="34"/>
        <v>0</v>
      </c>
      <c r="I146" s="577">
        <f t="shared" si="35"/>
        <v>0</v>
      </c>
      <c r="J146" s="514">
        <f t="shared" si="30"/>
        <v>0</v>
      </c>
      <c r="K146" s="514"/>
      <c r="L146" s="525"/>
      <c r="M146" s="514">
        <f t="shared" si="36"/>
        <v>0</v>
      </c>
      <c r="N146" s="525"/>
      <c r="O146" s="514">
        <f t="shared" si="37"/>
        <v>0</v>
      </c>
      <c r="P146" s="514">
        <f t="shared" si="38"/>
        <v>0</v>
      </c>
    </row>
    <row r="147" spans="2:16" ht="12.5">
      <c r="B147" s="195" t="str">
        <f t="shared" si="26"/>
        <v/>
      </c>
      <c r="C147" s="507">
        <f>IF(D93="","-",+C146+1)</f>
        <v>2058</v>
      </c>
      <c r="D147" s="374">
        <f>IF(F146+SUM(E$99:E146)=D$92,F146,D$92-SUM(E$99:E146))</f>
        <v>0</v>
      </c>
      <c r="E147" s="522">
        <f t="shared" si="31"/>
        <v>0</v>
      </c>
      <c r="F147" s="523">
        <f t="shared" si="32"/>
        <v>0</v>
      </c>
      <c r="G147" s="523">
        <f t="shared" si="33"/>
        <v>0</v>
      </c>
      <c r="H147" s="526">
        <f t="shared" si="34"/>
        <v>0</v>
      </c>
      <c r="I147" s="577">
        <f t="shared" si="35"/>
        <v>0</v>
      </c>
      <c r="J147" s="514">
        <f t="shared" si="30"/>
        <v>0</v>
      </c>
      <c r="K147" s="514"/>
      <c r="L147" s="525"/>
      <c r="M147" s="514">
        <f t="shared" si="36"/>
        <v>0</v>
      </c>
      <c r="N147" s="525"/>
      <c r="O147" s="514">
        <f t="shared" si="37"/>
        <v>0</v>
      </c>
      <c r="P147" s="514">
        <f t="shared" si="38"/>
        <v>0</v>
      </c>
    </row>
    <row r="148" spans="2:16" ht="12.5">
      <c r="B148" s="195" t="str">
        <f t="shared" si="26"/>
        <v/>
      </c>
      <c r="C148" s="507">
        <f>IF(D93="","-",+C147+1)</f>
        <v>2059</v>
      </c>
      <c r="D148" s="374">
        <f>IF(F147+SUM(E$99:E147)=D$92,F147,D$92-SUM(E$99:E147))</f>
        <v>0</v>
      </c>
      <c r="E148" s="522">
        <f t="shared" si="31"/>
        <v>0</v>
      </c>
      <c r="F148" s="523">
        <f t="shared" si="32"/>
        <v>0</v>
      </c>
      <c r="G148" s="523">
        <f t="shared" si="33"/>
        <v>0</v>
      </c>
      <c r="H148" s="526">
        <f t="shared" si="34"/>
        <v>0</v>
      </c>
      <c r="I148" s="577">
        <f t="shared" si="35"/>
        <v>0</v>
      </c>
      <c r="J148" s="514">
        <f t="shared" si="30"/>
        <v>0</v>
      </c>
      <c r="K148" s="514"/>
      <c r="L148" s="525"/>
      <c r="M148" s="514">
        <f t="shared" si="36"/>
        <v>0</v>
      </c>
      <c r="N148" s="525"/>
      <c r="O148" s="514">
        <f t="shared" si="37"/>
        <v>0</v>
      </c>
      <c r="P148" s="514">
        <f t="shared" si="38"/>
        <v>0</v>
      </c>
    </row>
    <row r="149" spans="2:16" ht="12.5">
      <c r="B149" s="195" t="str">
        <f t="shared" si="26"/>
        <v/>
      </c>
      <c r="C149" s="507">
        <f>IF(D93="","-",+C148+1)</f>
        <v>2060</v>
      </c>
      <c r="D149" s="374">
        <f>IF(F148+SUM(E$99:E148)=D$92,F148,D$92-SUM(E$99:E148))</f>
        <v>0</v>
      </c>
      <c r="E149" s="522">
        <f t="shared" si="31"/>
        <v>0</v>
      </c>
      <c r="F149" s="523">
        <f t="shared" si="32"/>
        <v>0</v>
      </c>
      <c r="G149" s="523">
        <f t="shared" si="33"/>
        <v>0</v>
      </c>
      <c r="H149" s="526">
        <f t="shared" si="34"/>
        <v>0</v>
      </c>
      <c r="I149" s="577">
        <f t="shared" si="35"/>
        <v>0</v>
      </c>
      <c r="J149" s="514">
        <f t="shared" si="30"/>
        <v>0</v>
      </c>
      <c r="K149" s="514"/>
      <c r="L149" s="525"/>
      <c r="M149" s="514">
        <f t="shared" si="36"/>
        <v>0</v>
      </c>
      <c r="N149" s="525"/>
      <c r="O149" s="514">
        <f t="shared" si="37"/>
        <v>0</v>
      </c>
      <c r="P149" s="514">
        <f t="shared" si="38"/>
        <v>0</v>
      </c>
    </row>
    <row r="150" spans="2:16" ht="12.5">
      <c r="B150" s="195" t="str">
        <f t="shared" si="26"/>
        <v/>
      </c>
      <c r="C150" s="507">
        <f>IF(D93="","-",+C149+1)</f>
        <v>2061</v>
      </c>
      <c r="D150" s="374">
        <f>IF(F149+SUM(E$99:E149)=D$92,F149,D$92-SUM(E$99:E149))</f>
        <v>0</v>
      </c>
      <c r="E150" s="522">
        <f t="shared" si="31"/>
        <v>0</v>
      </c>
      <c r="F150" s="523">
        <f t="shared" si="32"/>
        <v>0</v>
      </c>
      <c r="G150" s="523">
        <f t="shared" si="33"/>
        <v>0</v>
      </c>
      <c r="H150" s="526">
        <f t="shared" si="34"/>
        <v>0</v>
      </c>
      <c r="I150" s="577">
        <f t="shared" si="35"/>
        <v>0</v>
      </c>
      <c r="J150" s="514">
        <f t="shared" si="30"/>
        <v>0</v>
      </c>
      <c r="K150" s="514"/>
      <c r="L150" s="525"/>
      <c r="M150" s="514">
        <f t="shared" si="36"/>
        <v>0</v>
      </c>
      <c r="N150" s="525"/>
      <c r="O150" s="514">
        <f t="shared" si="37"/>
        <v>0</v>
      </c>
      <c r="P150" s="514">
        <f t="shared" si="38"/>
        <v>0</v>
      </c>
    </row>
    <row r="151" spans="2:16" ht="12.5">
      <c r="B151" s="195" t="str">
        <f t="shared" si="26"/>
        <v/>
      </c>
      <c r="C151" s="507">
        <f>IF(D93="","-",+C150+1)</f>
        <v>2062</v>
      </c>
      <c r="D151" s="374">
        <f>IF(F150+SUM(E$99:E150)=D$92,F150,D$92-SUM(E$99:E150))</f>
        <v>0</v>
      </c>
      <c r="E151" s="522">
        <f t="shared" si="31"/>
        <v>0</v>
      </c>
      <c r="F151" s="523">
        <f t="shared" si="32"/>
        <v>0</v>
      </c>
      <c r="G151" s="523">
        <f t="shared" si="33"/>
        <v>0</v>
      </c>
      <c r="H151" s="526">
        <f t="shared" si="34"/>
        <v>0</v>
      </c>
      <c r="I151" s="577">
        <f t="shared" si="35"/>
        <v>0</v>
      </c>
      <c r="J151" s="514">
        <f t="shared" si="30"/>
        <v>0</v>
      </c>
      <c r="K151" s="514"/>
      <c r="L151" s="525"/>
      <c r="M151" s="514">
        <f t="shared" si="36"/>
        <v>0</v>
      </c>
      <c r="N151" s="525"/>
      <c r="O151" s="514">
        <f t="shared" si="37"/>
        <v>0</v>
      </c>
      <c r="P151" s="514">
        <f t="shared" si="38"/>
        <v>0</v>
      </c>
    </row>
    <row r="152" spans="2:16" ht="12.5">
      <c r="B152" s="195" t="str">
        <f t="shared" si="26"/>
        <v/>
      </c>
      <c r="C152" s="507">
        <f>IF(D93="","-",+C151+1)</f>
        <v>2063</v>
      </c>
      <c r="D152" s="374">
        <f>IF(F151+SUM(E$99:E151)=D$92,F151,D$92-SUM(E$99:E151))</f>
        <v>0</v>
      </c>
      <c r="E152" s="522">
        <f t="shared" si="31"/>
        <v>0</v>
      </c>
      <c r="F152" s="523">
        <f t="shared" si="32"/>
        <v>0</v>
      </c>
      <c r="G152" s="523">
        <f t="shared" si="33"/>
        <v>0</v>
      </c>
      <c r="H152" s="526">
        <f t="shared" si="34"/>
        <v>0</v>
      </c>
      <c r="I152" s="577">
        <f t="shared" si="35"/>
        <v>0</v>
      </c>
      <c r="J152" s="514">
        <f t="shared" si="30"/>
        <v>0</v>
      </c>
      <c r="K152" s="514"/>
      <c r="L152" s="525"/>
      <c r="M152" s="514">
        <f t="shared" si="36"/>
        <v>0</v>
      </c>
      <c r="N152" s="525"/>
      <c r="O152" s="514">
        <f t="shared" si="37"/>
        <v>0</v>
      </c>
      <c r="P152" s="514">
        <f t="shared" si="38"/>
        <v>0</v>
      </c>
    </row>
    <row r="153" spans="2:16" ht="12.5">
      <c r="B153" s="195" t="str">
        <f t="shared" si="26"/>
        <v/>
      </c>
      <c r="C153" s="507">
        <f>IF(D93="","-",+C152+1)</f>
        <v>2064</v>
      </c>
      <c r="D153" s="374">
        <f>IF(F152+SUM(E$99:E152)=D$92,F152,D$92-SUM(E$99:E152))</f>
        <v>0</v>
      </c>
      <c r="E153" s="522">
        <f t="shared" si="31"/>
        <v>0</v>
      </c>
      <c r="F153" s="523">
        <f t="shared" si="32"/>
        <v>0</v>
      </c>
      <c r="G153" s="523">
        <f t="shared" si="33"/>
        <v>0</v>
      </c>
      <c r="H153" s="526">
        <f t="shared" si="34"/>
        <v>0</v>
      </c>
      <c r="I153" s="577">
        <f t="shared" si="35"/>
        <v>0</v>
      </c>
      <c r="J153" s="514">
        <f t="shared" si="30"/>
        <v>0</v>
      </c>
      <c r="K153" s="514"/>
      <c r="L153" s="525"/>
      <c r="M153" s="514">
        <f t="shared" si="36"/>
        <v>0</v>
      </c>
      <c r="N153" s="525"/>
      <c r="O153" s="514">
        <f t="shared" si="37"/>
        <v>0</v>
      </c>
      <c r="P153" s="514">
        <f t="shared" si="38"/>
        <v>0</v>
      </c>
    </row>
    <row r="154" spans="2:16" ht="13" thickBot="1">
      <c r="B154" s="195" t="str">
        <f t="shared" si="26"/>
        <v/>
      </c>
      <c r="C154" s="527">
        <f>IF(D93="","-",+C153+1)</f>
        <v>2065</v>
      </c>
      <c r="D154" s="374">
        <f>IF(F153+SUM(E$99:E153)=D$92,F153,D$92-SUM(E$99:E153))</f>
        <v>0</v>
      </c>
      <c r="E154" s="522">
        <f t="shared" si="31"/>
        <v>0</v>
      </c>
      <c r="F154" s="523">
        <f t="shared" si="32"/>
        <v>0</v>
      </c>
      <c r="G154" s="523">
        <f t="shared" si="33"/>
        <v>0</v>
      </c>
      <c r="H154" s="526">
        <f t="shared" si="34"/>
        <v>0</v>
      </c>
      <c r="I154" s="577">
        <f t="shared" si="35"/>
        <v>0</v>
      </c>
      <c r="J154" s="514">
        <f t="shared" si="30"/>
        <v>0</v>
      </c>
      <c r="K154" s="514"/>
      <c r="L154" s="532"/>
      <c r="M154" s="533">
        <f t="shared" si="36"/>
        <v>0</v>
      </c>
      <c r="N154" s="532"/>
      <c r="O154" s="533">
        <f t="shared" si="37"/>
        <v>0</v>
      </c>
      <c r="P154" s="533">
        <f t="shared" si="38"/>
        <v>0</v>
      </c>
    </row>
    <row r="155" spans="2:16" ht="12.5">
      <c r="C155" s="374" t="s">
        <v>78</v>
      </c>
      <c r="D155" s="375"/>
      <c r="E155" s="375">
        <f>SUM(E99:E154)</f>
        <v>23216.000000000007</v>
      </c>
      <c r="F155" s="375"/>
      <c r="G155" s="375"/>
      <c r="H155" s="375">
        <f>SUM(H99:H154)</f>
        <v>78119.148139086581</v>
      </c>
      <c r="I155" s="375">
        <f>SUM(I99:I154)</f>
        <v>78119.148139086581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2" priority="1" stopIfTrue="1" operator="equal">
      <formula>$I$10</formula>
    </cfRule>
  </conditionalFormatting>
  <conditionalFormatting sqref="C99:C154">
    <cfRule type="cellIs" dxfId="61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99"/>
  <dimension ref="A1:P162"/>
  <sheetViews>
    <sheetView view="pageBreakPreview" zoomScale="82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50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2005673.6176458267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2005673.6176458267</v>
      </c>
      <c r="O6" s="269"/>
      <c r="P6" s="269"/>
    </row>
    <row r="7" spans="1:16" ht="13.5" thickBot="1">
      <c r="C7" s="467" t="s">
        <v>48</v>
      </c>
      <c r="D7" s="624" t="s">
        <v>338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465</v>
      </c>
      <c r="E9" s="637" t="s">
        <v>397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15930624.490000006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379300.58309523825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15500000</v>
      </c>
      <c r="E17" s="638">
        <v>184523.80952380953</v>
      </c>
      <c r="F17" s="629">
        <v>15315476.19047619</v>
      </c>
      <c r="G17" s="638">
        <v>2201645.5530295321</v>
      </c>
      <c r="H17" s="639">
        <v>2201645.5530295321</v>
      </c>
      <c r="I17" s="511">
        <v>0</v>
      </c>
      <c r="J17" s="511"/>
      <c r="K17" s="518">
        <f t="shared" ref="K17:K22" si="0">G17</f>
        <v>2201645.5530295321</v>
      </c>
      <c r="L17" s="519">
        <f t="shared" ref="L17:L22" si="1">IF(K17&lt;&gt;0,+G17-K17,0)</f>
        <v>0</v>
      </c>
      <c r="M17" s="518">
        <f t="shared" ref="M17:M22" si="2">H17</f>
        <v>2201645.5530295321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15593387.19047619</v>
      </c>
      <c r="E18" s="630">
        <v>375664.54761904763</v>
      </c>
      <c r="F18" s="631">
        <v>15217722.642857142</v>
      </c>
      <c r="G18" s="630">
        <v>2355185.5288467337</v>
      </c>
      <c r="H18" s="639">
        <v>2355185.5288467337</v>
      </c>
      <c r="I18" s="511">
        <f>H18-G18</f>
        <v>0</v>
      </c>
      <c r="J18" s="511"/>
      <c r="K18" s="518">
        <f t="shared" si="0"/>
        <v>2355185.5288467337</v>
      </c>
      <c r="L18" s="519">
        <f t="shared" si="1"/>
        <v>0</v>
      </c>
      <c r="M18" s="518">
        <f t="shared" si="2"/>
        <v>2355185.5288467337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15438728.642857144</v>
      </c>
      <c r="E19" s="630">
        <v>372067.83720930235</v>
      </c>
      <c r="F19" s="631">
        <v>15066660.805647841</v>
      </c>
      <c r="G19" s="630">
        <v>2261762.8310746681</v>
      </c>
      <c r="H19" s="639">
        <v>2261762.8310746681</v>
      </c>
      <c r="I19" s="511">
        <f t="shared" ref="I19:I72" si="3">H19-G19</f>
        <v>0</v>
      </c>
      <c r="J19" s="511"/>
      <c r="K19" s="518">
        <f t="shared" si="0"/>
        <v>2261762.8310746681</v>
      </c>
      <c r="L19" s="519">
        <f t="shared" si="1"/>
        <v>0</v>
      </c>
      <c r="M19" s="518">
        <f t="shared" si="2"/>
        <v>2261762.8310746681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15066660.805647841</v>
      </c>
      <c r="E20" s="630">
        <v>390217.48780487804</v>
      </c>
      <c r="F20" s="631">
        <v>14676443.317842962</v>
      </c>
      <c r="G20" s="630">
        <v>2280303.9967571078</v>
      </c>
      <c r="H20" s="639">
        <v>2280303.9967571078</v>
      </c>
      <c r="I20" s="511">
        <f t="shared" si="3"/>
        <v>0</v>
      </c>
      <c r="J20" s="511"/>
      <c r="K20" s="518">
        <f t="shared" si="0"/>
        <v>2280303.9967571078</v>
      </c>
      <c r="L20" s="519">
        <f t="shared" si="1"/>
        <v>0</v>
      </c>
      <c r="M20" s="518">
        <f t="shared" si="2"/>
        <v>2280303.9967571078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14676443.317842962</v>
      </c>
      <c r="E21" s="630">
        <v>390217.48780487804</v>
      </c>
      <c r="F21" s="631">
        <v>14286225.830038084</v>
      </c>
      <c r="G21" s="630">
        <v>2230709.6567584975</v>
      </c>
      <c r="H21" s="639">
        <v>2230709.6567584975</v>
      </c>
      <c r="I21" s="511">
        <f t="shared" si="3"/>
        <v>0</v>
      </c>
      <c r="J21" s="511"/>
      <c r="K21" s="518">
        <f t="shared" si="0"/>
        <v>2230709.6567584975</v>
      </c>
      <c r="L21" s="519">
        <f t="shared" si="1"/>
        <v>0</v>
      </c>
      <c r="M21" s="518">
        <f t="shared" si="2"/>
        <v>2230709.6567584975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>IU</v>
      </c>
      <c r="C22" s="507">
        <f>IF(D11="","-",+C21+1)</f>
        <v>2020</v>
      </c>
      <c r="D22" s="631">
        <v>14496645.830038084</v>
      </c>
      <c r="E22" s="630">
        <v>395349.68292682926</v>
      </c>
      <c r="F22" s="631">
        <v>14101296.147111254</v>
      </c>
      <c r="G22" s="630">
        <v>1858641.3891753859</v>
      </c>
      <c r="H22" s="639">
        <v>1858641.3891753859</v>
      </c>
      <c r="I22" s="511">
        <f t="shared" si="3"/>
        <v>0</v>
      </c>
      <c r="J22" s="511"/>
      <c r="K22" s="518">
        <f t="shared" si="0"/>
        <v>1858641.3891753859</v>
      </c>
      <c r="L22" s="519">
        <f t="shared" si="1"/>
        <v>0</v>
      </c>
      <c r="M22" s="518">
        <f t="shared" si="2"/>
        <v>1858641.3891753859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631">
        <v>13840732.797706831</v>
      </c>
      <c r="E23" s="630">
        <v>379300.57142857142</v>
      </c>
      <c r="F23" s="631">
        <v>13461432.22627826</v>
      </c>
      <c r="G23" s="630">
        <v>1826377.362451636</v>
      </c>
      <c r="H23" s="639">
        <v>1826377.362451636</v>
      </c>
      <c r="I23" s="511">
        <f t="shared" si="3"/>
        <v>0</v>
      </c>
      <c r="J23" s="511"/>
      <c r="K23" s="518">
        <f t="shared" ref="K23" si="7">G23</f>
        <v>1826377.362451636</v>
      </c>
      <c r="L23" s="519">
        <f t="shared" ref="L23" si="8">IF(K23&lt;&gt;0,+G23-K23,0)</f>
        <v>0</v>
      </c>
      <c r="M23" s="518">
        <f t="shared" ref="M23" si="9">H23</f>
        <v>1826377.362451636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>IU</v>
      </c>
      <c r="C24" s="507">
        <f>IF(D11="","-",+C23+1)</f>
        <v>2022</v>
      </c>
      <c r="D24" s="631">
        <v>13443282.575682685</v>
      </c>
      <c r="E24" s="630">
        <v>379300.57142857142</v>
      </c>
      <c r="F24" s="631">
        <v>13063982.004254114</v>
      </c>
      <c r="G24" s="630">
        <v>1869593.2846943685</v>
      </c>
      <c r="H24" s="639">
        <v>1869593.2846943685</v>
      </c>
      <c r="I24" s="511">
        <f t="shared" si="3"/>
        <v>0</v>
      </c>
      <c r="J24" s="511"/>
      <c r="K24" s="518">
        <f t="shared" ref="K24" si="10">G24</f>
        <v>1869593.2846943685</v>
      </c>
      <c r="L24" s="519">
        <f t="shared" ref="L24" si="11">IF(K24&lt;&gt;0,+G24-K24,0)</f>
        <v>0</v>
      </c>
      <c r="M24" s="518">
        <f t="shared" ref="M24" si="12">H24</f>
        <v>1869593.2846943685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>IU</v>
      </c>
      <c r="C25" s="507">
        <f>IF(D11="","-",+C24+1)</f>
        <v>2023</v>
      </c>
      <c r="D25" s="523">
        <f>IF(F24+SUM(E$17:E24)=D$10,F24,D$10-SUM(E$17:E24))</f>
        <v>13063982.494254118</v>
      </c>
      <c r="E25" s="522">
        <f t="shared" ref="E25:E72" si="13">IF(+$I$14&lt;F24,$I$14,D25)</f>
        <v>379300.58309523825</v>
      </c>
      <c r="F25" s="523">
        <f t="shared" ref="F25:F72" si="14">+D25-E25</f>
        <v>12684681.91115888</v>
      </c>
      <c r="G25" s="524">
        <f t="shared" ref="G25:G50" si="15">+I$12*((D25+F25)/2)+E25</f>
        <v>2005673.6176458267</v>
      </c>
      <c r="H25" s="491">
        <f t="shared" ref="H25:H50" si="16">+I$13*((D25+F25)/2)+E25</f>
        <v>2005673.6176458267</v>
      </c>
      <c r="I25" s="511">
        <f t="shared" si="3"/>
        <v>0</v>
      </c>
      <c r="J25" s="511"/>
      <c r="K25" s="525"/>
      <c r="L25" s="514">
        <f t="shared" ref="L25:L72" si="17">IF(K25&lt;&gt;0,+G25-K25,0)</f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12684681.91115888</v>
      </c>
      <c r="E26" s="522">
        <f t="shared" si="13"/>
        <v>379300.58309523825</v>
      </c>
      <c r="F26" s="523">
        <f t="shared" si="14"/>
        <v>12305381.328063643</v>
      </c>
      <c r="G26" s="524">
        <f t="shared" si="15"/>
        <v>1957757.7933046056</v>
      </c>
      <c r="H26" s="491">
        <f t="shared" si="16"/>
        <v>1957757.7933046056</v>
      </c>
      <c r="I26" s="511">
        <f t="shared" si="3"/>
        <v>0</v>
      </c>
      <c r="J26" s="511"/>
      <c r="K26" s="525"/>
      <c r="L26" s="514">
        <f t="shared" si="17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12305381.328063643</v>
      </c>
      <c r="E27" s="522">
        <f t="shared" si="13"/>
        <v>379300.58309523825</v>
      </c>
      <c r="F27" s="523">
        <f t="shared" si="14"/>
        <v>11926080.744968405</v>
      </c>
      <c r="G27" s="524">
        <f t="shared" si="15"/>
        <v>1909841.9689633846</v>
      </c>
      <c r="H27" s="491">
        <f t="shared" si="16"/>
        <v>1909841.9689633846</v>
      </c>
      <c r="I27" s="511">
        <f t="shared" si="3"/>
        <v>0</v>
      </c>
      <c r="J27" s="511"/>
      <c r="K27" s="525"/>
      <c r="L27" s="514">
        <f t="shared" si="17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11926080.744968405</v>
      </c>
      <c r="E28" s="522">
        <f t="shared" si="13"/>
        <v>379300.58309523825</v>
      </c>
      <c r="F28" s="523">
        <f t="shared" si="14"/>
        <v>11546780.161873167</v>
      </c>
      <c r="G28" s="524">
        <f t="shared" si="15"/>
        <v>1861926.1446221636</v>
      </c>
      <c r="H28" s="491">
        <f t="shared" si="16"/>
        <v>1861926.1446221636</v>
      </c>
      <c r="I28" s="511">
        <f t="shared" si="3"/>
        <v>0</v>
      </c>
      <c r="J28" s="511"/>
      <c r="K28" s="525"/>
      <c r="L28" s="514">
        <f t="shared" si="1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11546780.161873167</v>
      </c>
      <c r="E29" s="522">
        <f t="shared" si="13"/>
        <v>379300.58309523825</v>
      </c>
      <c r="F29" s="523">
        <f t="shared" si="14"/>
        <v>11167479.57877793</v>
      </c>
      <c r="G29" s="524">
        <f t="shared" si="15"/>
        <v>1814010.3202809428</v>
      </c>
      <c r="H29" s="491">
        <f t="shared" si="16"/>
        <v>1814010.3202809428</v>
      </c>
      <c r="I29" s="511">
        <f t="shared" si="3"/>
        <v>0</v>
      </c>
      <c r="J29" s="511"/>
      <c r="K29" s="525"/>
      <c r="L29" s="514">
        <f t="shared" si="1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11167479.57877793</v>
      </c>
      <c r="E30" s="522">
        <f t="shared" si="13"/>
        <v>379300.58309523825</v>
      </c>
      <c r="F30" s="523">
        <f t="shared" si="14"/>
        <v>10788178.995682692</v>
      </c>
      <c r="G30" s="524">
        <f t="shared" si="15"/>
        <v>1766094.4959397218</v>
      </c>
      <c r="H30" s="491">
        <f t="shared" si="16"/>
        <v>1766094.4959397218</v>
      </c>
      <c r="I30" s="511">
        <f t="shared" si="3"/>
        <v>0</v>
      </c>
      <c r="J30" s="511"/>
      <c r="K30" s="525"/>
      <c r="L30" s="514">
        <f t="shared" si="1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10788178.995682692</v>
      </c>
      <c r="E31" s="522">
        <f t="shared" si="13"/>
        <v>379300.58309523825</v>
      </c>
      <c r="F31" s="523">
        <f t="shared" si="14"/>
        <v>10408878.412587455</v>
      </c>
      <c r="G31" s="524">
        <f t="shared" si="15"/>
        <v>1718178.6715985008</v>
      </c>
      <c r="H31" s="491">
        <f t="shared" si="16"/>
        <v>1718178.6715985008</v>
      </c>
      <c r="I31" s="511">
        <f t="shared" si="3"/>
        <v>0</v>
      </c>
      <c r="J31" s="511"/>
      <c r="K31" s="525"/>
      <c r="L31" s="514">
        <f t="shared" si="1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10408878.412587455</v>
      </c>
      <c r="E32" s="522">
        <f t="shared" si="13"/>
        <v>379300.58309523825</v>
      </c>
      <c r="F32" s="523">
        <f t="shared" si="14"/>
        <v>10029577.829492217</v>
      </c>
      <c r="G32" s="524">
        <f t="shared" si="15"/>
        <v>1670262.8472572798</v>
      </c>
      <c r="H32" s="491">
        <f t="shared" si="16"/>
        <v>1670262.8472572798</v>
      </c>
      <c r="I32" s="511">
        <f t="shared" si="3"/>
        <v>0</v>
      </c>
      <c r="J32" s="511"/>
      <c r="K32" s="525"/>
      <c r="L32" s="514">
        <f t="shared" si="1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10029577.829492217</v>
      </c>
      <c r="E33" s="522">
        <f t="shared" si="13"/>
        <v>379300.58309523825</v>
      </c>
      <c r="F33" s="523">
        <f t="shared" si="14"/>
        <v>9650277.2463969793</v>
      </c>
      <c r="G33" s="524">
        <f t="shared" si="15"/>
        <v>1622347.0229160588</v>
      </c>
      <c r="H33" s="491">
        <f t="shared" si="16"/>
        <v>1622347.0229160588</v>
      </c>
      <c r="I33" s="511">
        <f t="shared" si="3"/>
        <v>0</v>
      </c>
      <c r="J33" s="511"/>
      <c r="K33" s="525"/>
      <c r="L33" s="514">
        <f t="shared" si="1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9650277.2463969793</v>
      </c>
      <c r="E34" s="522">
        <f t="shared" si="13"/>
        <v>379300.58309523825</v>
      </c>
      <c r="F34" s="523">
        <f t="shared" si="14"/>
        <v>9270976.6633017417</v>
      </c>
      <c r="G34" s="524">
        <f t="shared" si="15"/>
        <v>1574431.1985748378</v>
      </c>
      <c r="H34" s="491">
        <f t="shared" si="16"/>
        <v>1574431.1985748378</v>
      </c>
      <c r="I34" s="511">
        <f t="shared" si="3"/>
        <v>0</v>
      </c>
      <c r="J34" s="511"/>
      <c r="K34" s="525"/>
      <c r="L34" s="514">
        <f t="shared" si="1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9270976.6633017417</v>
      </c>
      <c r="E35" s="522">
        <f t="shared" si="13"/>
        <v>379300.58309523825</v>
      </c>
      <c r="F35" s="523">
        <f t="shared" si="14"/>
        <v>8891676.0802065041</v>
      </c>
      <c r="G35" s="524">
        <f t="shared" si="15"/>
        <v>1526515.3742336167</v>
      </c>
      <c r="H35" s="491">
        <f t="shared" si="16"/>
        <v>1526515.3742336167</v>
      </c>
      <c r="I35" s="511">
        <f t="shared" si="3"/>
        <v>0</v>
      </c>
      <c r="J35" s="511"/>
      <c r="K35" s="525"/>
      <c r="L35" s="514">
        <f t="shared" si="1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8891676.0802065041</v>
      </c>
      <c r="E36" s="522">
        <f t="shared" si="13"/>
        <v>379300.58309523825</v>
      </c>
      <c r="F36" s="523">
        <f t="shared" si="14"/>
        <v>8512375.4971112665</v>
      </c>
      <c r="G36" s="524">
        <f t="shared" si="15"/>
        <v>1478599.549892396</v>
      </c>
      <c r="H36" s="491">
        <f t="shared" si="16"/>
        <v>1478599.549892396</v>
      </c>
      <c r="I36" s="511">
        <f t="shared" si="3"/>
        <v>0</v>
      </c>
      <c r="J36" s="511"/>
      <c r="K36" s="525"/>
      <c r="L36" s="514">
        <f t="shared" si="1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8512375.4971112665</v>
      </c>
      <c r="E37" s="522">
        <f t="shared" si="13"/>
        <v>379300.58309523825</v>
      </c>
      <c r="F37" s="523">
        <f t="shared" si="14"/>
        <v>8133074.9140160279</v>
      </c>
      <c r="G37" s="524">
        <f t="shared" si="15"/>
        <v>1430683.725551175</v>
      </c>
      <c r="H37" s="491">
        <f t="shared" si="16"/>
        <v>1430683.725551175</v>
      </c>
      <c r="I37" s="511">
        <f t="shared" si="3"/>
        <v>0</v>
      </c>
      <c r="J37" s="511"/>
      <c r="K37" s="525"/>
      <c r="L37" s="514">
        <f t="shared" si="1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8133074.9140160279</v>
      </c>
      <c r="E38" s="522">
        <f t="shared" si="13"/>
        <v>379300.58309523825</v>
      </c>
      <c r="F38" s="523">
        <f t="shared" si="14"/>
        <v>7753774.3309207894</v>
      </c>
      <c r="G38" s="524">
        <f t="shared" si="15"/>
        <v>1382767.9012099537</v>
      </c>
      <c r="H38" s="491">
        <f t="shared" si="16"/>
        <v>1382767.9012099537</v>
      </c>
      <c r="I38" s="511">
        <f t="shared" si="3"/>
        <v>0</v>
      </c>
      <c r="J38" s="511"/>
      <c r="K38" s="525"/>
      <c r="L38" s="514">
        <f t="shared" si="1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7753774.3309207894</v>
      </c>
      <c r="E39" s="522">
        <f t="shared" si="13"/>
        <v>379300.58309523825</v>
      </c>
      <c r="F39" s="523">
        <f t="shared" si="14"/>
        <v>7374473.7478255508</v>
      </c>
      <c r="G39" s="524">
        <f t="shared" si="15"/>
        <v>1334852.0768687327</v>
      </c>
      <c r="H39" s="491">
        <f t="shared" si="16"/>
        <v>1334852.0768687327</v>
      </c>
      <c r="I39" s="511">
        <f t="shared" si="3"/>
        <v>0</v>
      </c>
      <c r="J39" s="511"/>
      <c r="K39" s="525"/>
      <c r="L39" s="514">
        <f t="shared" si="1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7374473.7478255508</v>
      </c>
      <c r="E40" s="522">
        <f t="shared" si="13"/>
        <v>379300.58309523825</v>
      </c>
      <c r="F40" s="523">
        <f t="shared" si="14"/>
        <v>6995173.1647303123</v>
      </c>
      <c r="G40" s="524">
        <f t="shared" si="15"/>
        <v>1286936.2525275114</v>
      </c>
      <c r="H40" s="491">
        <f t="shared" si="16"/>
        <v>1286936.2525275114</v>
      </c>
      <c r="I40" s="511">
        <f t="shared" si="3"/>
        <v>0</v>
      </c>
      <c r="J40" s="511"/>
      <c r="K40" s="525"/>
      <c r="L40" s="514">
        <f t="shared" si="1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6995173.1647303123</v>
      </c>
      <c r="E41" s="522">
        <f t="shared" si="13"/>
        <v>379300.58309523825</v>
      </c>
      <c r="F41" s="523">
        <f t="shared" si="14"/>
        <v>6615872.5816350738</v>
      </c>
      <c r="G41" s="524">
        <f t="shared" si="15"/>
        <v>1239020.4281862904</v>
      </c>
      <c r="H41" s="491">
        <f t="shared" si="16"/>
        <v>1239020.4281862904</v>
      </c>
      <c r="I41" s="511">
        <f t="shared" si="3"/>
        <v>0</v>
      </c>
      <c r="J41" s="511"/>
      <c r="K41" s="525"/>
      <c r="L41" s="514">
        <f t="shared" si="1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6615872.5816350738</v>
      </c>
      <c r="E42" s="522">
        <f t="shared" si="13"/>
        <v>379300.58309523825</v>
      </c>
      <c r="F42" s="523">
        <f t="shared" si="14"/>
        <v>6236571.9985398352</v>
      </c>
      <c r="G42" s="524">
        <f t="shared" si="15"/>
        <v>1191104.6038450692</v>
      </c>
      <c r="H42" s="491">
        <f t="shared" si="16"/>
        <v>1191104.6038450692</v>
      </c>
      <c r="I42" s="511">
        <f t="shared" si="3"/>
        <v>0</v>
      </c>
      <c r="J42" s="511"/>
      <c r="K42" s="525"/>
      <c r="L42" s="514">
        <f t="shared" si="1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6236571.9985398352</v>
      </c>
      <c r="E43" s="522">
        <f t="shared" si="13"/>
        <v>379300.58309523825</v>
      </c>
      <c r="F43" s="523">
        <f t="shared" si="14"/>
        <v>5857271.4154445967</v>
      </c>
      <c r="G43" s="524">
        <f t="shared" si="15"/>
        <v>1143188.7795038482</v>
      </c>
      <c r="H43" s="491">
        <f t="shared" si="16"/>
        <v>1143188.7795038482</v>
      </c>
      <c r="I43" s="511">
        <f t="shared" si="3"/>
        <v>0</v>
      </c>
      <c r="J43" s="511"/>
      <c r="K43" s="525"/>
      <c r="L43" s="514">
        <f t="shared" si="1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5857271.4154445967</v>
      </c>
      <c r="E44" s="522">
        <f t="shared" si="13"/>
        <v>379300.58309523825</v>
      </c>
      <c r="F44" s="523">
        <f t="shared" si="14"/>
        <v>5477970.8323493581</v>
      </c>
      <c r="G44" s="524">
        <f t="shared" si="15"/>
        <v>1095272.9551626269</v>
      </c>
      <c r="H44" s="491">
        <f t="shared" si="16"/>
        <v>1095272.9551626269</v>
      </c>
      <c r="I44" s="511">
        <f t="shared" si="3"/>
        <v>0</v>
      </c>
      <c r="J44" s="511"/>
      <c r="K44" s="525"/>
      <c r="L44" s="514">
        <f t="shared" si="1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5477970.8323493581</v>
      </c>
      <c r="E45" s="522">
        <f t="shared" si="13"/>
        <v>379300.58309523825</v>
      </c>
      <c r="F45" s="523">
        <f t="shared" si="14"/>
        <v>5098670.2492541196</v>
      </c>
      <c r="G45" s="524">
        <f t="shared" si="15"/>
        <v>1047357.1308214061</v>
      </c>
      <c r="H45" s="491">
        <f t="shared" si="16"/>
        <v>1047357.1308214061</v>
      </c>
      <c r="I45" s="511">
        <f t="shared" si="3"/>
        <v>0</v>
      </c>
      <c r="J45" s="511"/>
      <c r="K45" s="525"/>
      <c r="L45" s="514">
        <f t="shared" si="1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5098670.2492541196</v>
      </c>
      <c r="E46" s="522">
        <f t="shared" si="13"/>
        <v>379300.58309523825</v>
      </c>
      <c r="F46" s="523">
        <f t="shared" si="14"/>
        <v>4719369.666158881</v>
      </c>
      <c r="G46" s="524">
        <f t="shared" si="15"/>
        <v>999441.3064801849</v>
      </c>
      <c r="H46" s="491">
        <f t="shared" si="16"/>
        <v>999441.3064801849</v>
      </c>
      <c r="I46" s="511">
        <f t="shared" si="3"/>
        <v>0</v>
      </c>
      <c r="J46" s="511"/>
      <c r="K46" s="525"/>
      <c r="L46" s="514">
        <f t="shared" si="1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4719369.666158881</v>
      </c>
      <c r="E47" s="522">
        <f t="shared" si="13"/>
        <v>379300.58309523825</v>
      </c>
      <c r="F47" s="523">
        <f t="shared" si="14"/>
        <v>4340069.0830636425</v>
      </c>
      <c r="G47" s="524">
        <f t="shared" si="15"/>
        <v>951525.48213896388</v>
      </c>
      <c r="H47" s="491">
        <f t="shared" si="16"/>
        <v>951525.48213896388</v>
      </c>
      <c r="I47" s="511">
        <f t="shared" si="3"/>
        <v>0</v>
      </c>
      <c r="J47" s="511"/>
      <c r="K47" s="525"/>
      <c r="L47" s="514">
        <f t="shared" si="1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4340069.0830636425</v>
      </c>
      <c r="E48" s="522">
        <f t="shared" si="13"/>
        <v>379300.58309523825</v>
      </c>
      <c r="F48" s="523">
        <f t="shared" si="14"/>
        <v>3960768.4999684044</v>
      </c>
      <c r="G48" s="524">
        <f t="shared" si="15"/>
        <v>903609.65779774287</v>
      </c>
      <c r="H48" s="491">
        <f t="shared" si="16"/>
        <v>903609.65779774287</v>
      </c>
      <c r="I48" s="511">
        <f t="shared" si="3"/>
        <v>0</v>
      </c>
      <c r="J48" s="511"/>
      <c r="K48" s="525"/>
      <c r="L48" s="514">
        <f t="shared" si="1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3960768.4999684044</v>
      </c>
      <c r="E49" s="522">
        <f t="shared" si="13"/>
        <v>379300.58309523825</v>
      </c>
      <c r="F49" s="523">
        <f t="shared" si="14"/>
        <v>3581467.9168731663</v>
      </c>
      <c r="G49" s="524">
        <f t="shared" si="15"/>
        <v>855693.83345652162</v>
      </c>
      <c r="H49" s="491">
        <f t="shared" si="16"/>
        <v>855693.83345652162</v>
      </c>
      <c r="I49" s="511">
        <f t="shared" si="3"/>
        <v>0</v>
      </c>
      <c r="J49" s="511"/>
      <c r="K49" s="525"/>
      <c r="L49" s="514">
        <f t="shared" si="1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3581467.9168731663</v>
      </c>
      <c r="E50" s="522">
        <f t="shared" si="13"/>
        <v>379300.58309523825</v>
      </c>
      <c r="F50" s="523">
        <f t="shared" si="14"/>
        <v>3202167.3337779283</v>
      </c>
      <c r="G50" s="524">
        <f t="shared" si="15"/>
        <v>807778.00911530061</v>
      </c>
      <c r="H50" s="491">
        <f t="shared" si="16"/>
        <v>807778.00911530061</v>
      </c>
      <c r="I50" s="511">
        <f t="shared" si="3"/>
        <v>0</v>
      </c>
      <c r="J50" s="511"/>
      <c r="K50" s="525"/>
      <c r="L50" s="514">
        <f t="shared" si="1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3202167.3337779283</v>
      </c>
      <c r="E51" s="522">
        <f t="shared" si="13"/>
        <v>379300.58309523825</v>
      </c>
      <c r="F51" s="523">
        <f t="shared" si="14"/>
        <v>2822866.7506826902</v>
      </c>
      <c r="G51" s="524">
        <f t="shared" ref="G51:G72" si="18">+I$12*((D51+F51)/2)+E51</f>
        <v>759862.18477407959</v>
      </c>
      <c r="H51" s="491">
        <f t="shared" ref="H51:H72" si="19">+I$13*((D51+F51)/2)+E51</f>
        <v>759862.18477407959</v>
      </c>
      <c r="I51" s="511">
        <f t="shared" si="3"/>
        <v>0</v>
      </c>
      <c r="J51" s="511"/>
      <c r="K51" s="525"/>
      <c r="L51" s="514">
        <f t="shared" si="1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2822866.7506826902</v>
      </c>
      <c r="E52" s="522">
        <f t="shared" si="13"/>
        <v>379300.58309523825</v>
      </c>
      <c r="F52" s="523">
        <f t="shared" si="14"/>
        <v>2443566.1675874521</v>
      </c>
      <c r="G52" s="524">
        <f t="shared" si="18"/>
        <v>711946.36043285858</v>
      </c>
      <c r="H52" s="491">
        <f t="shared" si="19"/>
        <v>711946.36043285858</v>
      </c>
      <c r="I52" s="511">
        <f t="shared" si="3"/>
        <v>0</v>
      </c>
      <c r="J52" s="511"/>
      <c r="K52" s="525"/>
      <c r="L52" s="514">
        <f t="shared" si="1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2443566.1675874521</v>
      </c>
      <c r="E53" s="522">
        <f t="shared" si="13"/>
        <v>379300.58309523825</v>
      </c>
      <c r="F53" s="523">
        <f t="shared" si="14"/>
        <v>2064265.5844922138</v>
      </c>
      <c r="G53" s="524">
        <f t="shared" si="18"/>
        <v>664030.53609163756</v>
      </c>
      <c r="H53" s="491">
        <f t="shared" si="19"/>
        <v>664030.53609163756</v>
      </c>
      <c r="I53" s="511">
        <f t="shared" si="3"/>
        <v>0</v>
      </c>
      <c r="J53" s="511"/>
      <c r="K53" s="525"/>
      <c r="L53" s="514">
        <f t="shared" si="1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2064265.5844922138</v>
      </c>
      <c r="E54" s="522">
        <f t="shared" si="13"/>
        <v>379300.58309523825</v>
      </c>
      <c r="F54" s="523">
        <f t="shared" si="14"/>
        <v>1684965.0013969755</v>
      </c>
      <c r="G54" s="524">
        <f t="shared" si="18"/>
        <v>616114.71175041643</v>
      </c>
      <c r="H54" s="491">
        <f t="shared" si="19"/>
        <v>616114.71175041643</v>
      </c>
      <c r="I54" s="511">
        <f t="shared" si="3"/>
        <v>0</v>
      </c>
      <c r="J54" s="511"/>
      <c r="K54" s="525"/>
      <c r="L54" s="514">
        <f t="shared" si="1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1684965.0013969755</v>
      </c>
      <c r="E55" s="522">
        <f t="shared" si="13"/>
        <v>379300.58309523825</v>
      </c>
      <c r="F55" s="523">
        <f t="shared" si="14"/>
        <v>1305664.4183017372</v>
      </c>
      <c r="G55" s="524">
        <f t="shared" si="18"/>
        <v>568198.8874091953</v>
      </c>
      <c r="H55" s="491">
        <f t="shared" si="19"/>
        <v>568198.8874091953</v>
      </c>
      <c r="I55" s="511">
        <f t="shared" si="3"/>
        <v>0</v>
      </c>
      <c r="J55" s="511"/>
      <c r="K55" s="525"/>
      <c r="L55" s="514">
        <f t="shared" si="1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1305664.4183017372</v>
      </c>
      <c r="E56" s="522">
        <f t="shared" si="13"/>
        <v>379300.58309523825</v>
      </c>
      <c r="F56" s="523">
        <f t="shared" si="14"/>
        <v>926363.83520649886</v>
      </c>
      <c r="G56" s="524">
        <f t="shared" si="18"/>
        <v>520283.06306797429</v>
      </c>
      <c r="H56" s="491">
        <f t="shared" si="19"/>
        <v>520283.06306797429</v>
      </c>
      <c r="I56" s="511">
        <f t="shared" si="3"/>
        <v>0</v>
      </c>
      <c r="J56" s="511"/>
      <c r="K56" s="525"/>
      <c r="L56" s="514">
        <f t="shared" si="1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926363.83520649886</v>
      </c>
      <c r="E57" s="522">
        <f t="shared" si="13"/>
        <v>379300.58309523825</v>
      </c>
      <c r="F57" s="523">
        <f t="shared" si="14"/>
        <v>547063.25211126055</v>
      </c>
      <c r="G57" s="524">
        <f t="shared" si="18"/>
        <v>472367.23872675322</v>
      </c>
      <c r="H57" s="491">
        <f t="shared" si="19"/>
        <v>472367.23872675322</v>
      </c>
      <c r="I57" s="511">
        <f t="shared" si="3"/>
        <v>0</v>
      </c>
      <c r="J57" s="511"/>
      <c r="K57" s="525"/>
      <c r="L57" s="514">
        <f t="shared" si="1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547063.25211126055</v>
      </c>
      <c r="E58" s="522">
        <f t="shared" si="13"/>
        <v>379300.58309523825</v>
      </c>
      <c r="F58" s="523">
        <f t="shared" si="14"/>
        <v>167762.66901602229</v>
      </c>
      <c r="G58" s="524">
        <f t="shared" si="18"/>
        <v>424451.41438553215</v>
      </c>
      <c r="H58" s="491">
        <f t="shared" si="19"/>
        <v>424451.41438553215</v>
      </c>
      <c r="I58" s="511">
        <f t="shared" si="3"/>
        <v>0</v>
      </c>
      <c r="J58" s="511"/>
      <c r="K58" s="525"/>
      <c r="L58" s="514">
        <f t="shared" si="1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167762.66901602229</v>
      </c>
      <c r="E59" s="522">
        <f t="shared" si="13"/>
        <v>167762.66901602229</v>
      </c>
      <c r="F59" s="523">
        <f t="shared" si="14"/>
        <v>0</v>
      </c>
      <c r="G59" s="524">
        <f t="shared" si="18"/>
        <v>178359.12857586399</v>
      </c>
      <c r="H59" s="491">
        <f t="shared" si="19"/>
        <v>178359.12857586399</v>
      </c>
      <c r="I59" s="511">
        <f t="shared" si="3"/>
        <v>0</v>
      </c>
      <c r="J59" s="511"/>
      <c r="K59" s="525"/>
      <c r="L59" s="514">
        <f t="shared" si="1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3"/>
        <v>0</v>
      </c>
      <c r="F60" s="523">
        <f t="shared" si="14"/>
        <v>0</v>
      </c>
      <c r="G60" s="524">
        <f t="shared" si="18"/>
        <v>0</v>
      </c>
      <c r="H60" s="491">
        <f t="shared" si="19"/>
        <v>0</v>
      </c>
      <c r="I60" s="511">
        <f t="shared" si="3"/>
        <v>0</v>
      </c>
      <c r="J60" s="511"/>
      <c r="K60" s="525"/>
      <c r="L60" s="514">
        <f t="shared" si="1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3"/>
        <v>0</v>
      </c>
      <c r="F61" s="523">
        <f t="shared" si="14"/>
        <v>0</v>
      </c>
      <c r="G61" s="524">
        <f t="shared" si="18"/>
        <v>0</v>
      </c>
      <c r="H61" s="491">
        <f t="shared" si="19"/>
        <v>0</v>
      </c>
      <c r="I61" s="511">
        <f t="shared" si="3"/>
        <v>0</v>
      </c>
      <c r="J61" s="511"/>
      <c r="K61" s="525"/>
      <c r="L61" s="514">
        <f t="shared" si="1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3"/>
        <v>0</v>
      </c>
      <c r="F62" s="523">
        <f t="shared" si="14"/>
        <v>0</v>
      </c>
      <c r="G62" s="524">
        <f t="shared" si="18"/>
        <v>0</v>
      </c>
      <c r="H62" s="491">
        <f t="shared" si="19"/>
        <v>0</v>
      </c>
      <c r="I62" s="511">
        <f t="shared" si="3"/>
        <v>0</v>
      </c>
      <c r="J62" s="511"/>
      <c r="K62" s="525"/>
      <c r="L62" s="514">
        <f t="shared" si="1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3"/>
        <v>0</v>
      </c>
      <c r="F63" s="523">
        <f t="shared" si="14"/>
        <v>0</v>
      </c>
      <c r="G63" s="524">
        <f t="shared" si="18"/>
        <v>0</v>
      </c>
      <c r="H63" s="491">
        <f t="shared" si="19"/>
        <v>0</v>
      </c>
      <c r="I63" s="511">
        <f t="shared" si="3"/>
        <v>0</v>
      </c>
      <c r="J63" s="511"/>
      <c r="K63" s="525"/>
      <c r="L63" s="514">
        <f t="shared" si="1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3"/>
        <v>0</v>
      </c>
      <c r="F64" s="523">
        <f t="shared" si="14"/>
        <v>0</v>
      </c>
      <c r="G64" s="524">
        <f t="shared" si="18"/>
        <v>0</v>
      </c>
      <c r="H64" s="491">
        <f t="shared" si="19"/>
        <v>0</v>
      </c>
      <c r="I64" s="511">
        <f t="shared" si="3"/>
        <v>0</v>
      </c>
      <c r="J64" s="511"/>
      <c r="K64" s="525"/>
      <c r="L64" s="514">
        <f t="shared" si="1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3"/>
        <v>0</v>
      </c>
      <c r="F65" s="523">
        <f t="shared" si="14"/>
        <v>0</v>
      </c>
      <c r="G65" s="524">
        <f t="shared" si="18"/>
        <v>0</v>
      </c>
      <c r="H65" s="491">
        <f t="shared" si="19"/>
        <v>0</v>
      </c>
      <c r="I65" s="511">
        <f t="shared" si="3"/>
        <v>0</v>
      </c>
      <c r="J65" s="511"/>
      <c r="K65" s="525"/>
      <c r="L65" s="514">
        <f t="shared" si="1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3"/>
        <v>0</v>
      </c>
      <c r="F66" s="523">
        <f t="shared" si="14"/>
        <v>0</v>
      </c>
      <c r="G66" s="524">
        <f t="shared" si="18"/>
        <v>0</v>
      </c>
      <c r="H66" s="491">
        <f t="shared" si="19"/>
        <v>0</v>
      </c>
      <c r="I66" s="511">
        <f t="shared" si="3"/>
        <v>0</v>
      </c>
      <c r="J66" s="511"/>
      <c r="K66" s="525"/>
      <c r="L66" s="514">
        <f t="shared" si="1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3"/>
        <v>0</v>
      </c>
      <c r="F67" s="523">
        <f t="shared" si="14"/>
        <v>0</v>
      </c>
      <c r="G67" s="524">
        <f t="shared" si="18"/>
        <v>0</v>
      </c>
      <c r="H67" s="491">
        <f t="shared" si="19"/>
        <v>0</v>
      </c>
      <c r="I67" s="511">
        <f t="shared" si="3"/>
        <v>0</v>
      </c>
      <c r="J67" s="511"/>
      <c r="K67" s="525"/>
      <c r="L67" s="514">
        <f t="shared" si="1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3"/>
        <v>0</v>
      </c>
      <c r="F68" s="523">
        <f t="shared" si="14"/>
        <v>0</v>
      </c>
      <c r="G68" s="524">
        <f t="shared" si="18"/>
        <v>0</v>
      </c>
      <c r="H68" s="491">
        <f t="shared" si="19"/>
        <v>0</v>
      </c>
      <c r="I68" s="511">
        <f t="shared" si="3"/>
        <v>0</v>
      </c>
      <c r="J68" s="511"/>
      <c r="K68" s="525"/>
      <c r="L68" s="514">
        <f t="shared" si="1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3"/>
        <v>0</v>
      </c>
      <c r="F69" s="523">
        <f t="shared" si="14"/>
        <v>0</v>
      </c>
      <c r="G69" s="524">
        <f t="shared" si="18"/>
        <v>0</v>
      </c>
      <c r="H69" s="491">
        <f t="shared" si="19"/>
        <v>0</v>
      </c>
      <c r="I69" s="511">
        <f t="shared" si="3"/>
        <v>0</v>
      </c>
      <c r="J69" s="511"/>
      <c r="K69" s="525"/>
      <c r="L69" s="514">
        <f t="shared" si="1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3"/>
        <v>0</v>
      </c>
      <c r="F70" s="523">
        <f t="shared" si="14"/>
        <v>0</v>
      </c>
      <c r="G70" s="524">
        <f t="shared" si="18"/>
        <v>0</v>
      </c>
      <c r="H70" s="491">
        <f t="shared" si="19"/>
        <v>0</v>
      </c>
      <c r="I70" s="511">
        <f t="shared" si="3"/>
        <v>0</v>
      </c>
      <c r="J70" s="511"/>
      <c r="K70" s="525"/>
      <c r="L70" s="514">
        <f t="shared" si="1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3"/>
        <v>0</v>
      </c>
      <c r="F71" s="523">
        <f t="shared" si="14"/>
        <v>0</v>
      </c>
      <c r="G71" s="524">
        <f t="shared" si="18"/>
        <v>0</v>
      </c>
      <c r="H71" s="491">
        <f t="shared" si="19"/>
        <v>0</v>
      </c>
      <c r="I71" s="511">
        <f t="shared" si="3"/>
        <v>0</v>
      </c>
      <c r="J71" s="511"/>
      <c r="K71" s="525"/>
      <c r="L71" s="514">
        <f t="shared" si="1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3"/>
        <v>0</v>
      </c>
      <c r="F72" s="523">
        <f t="shared" si="14"/>
        <v>0</v>
      </c>
      <c r="G72" s="524">
        <f t="shared" si="18"/>
        <v>0</v>
      </c>
      <c r="H72" s="491">
        <f t="shared" si="19"/>
        <v>0</v>
      </c>
      <c r="I72" s="511">
        <f t="shared" si="3"/>
        <v>0</v>
      </c>
      <c r="J72" s="511"/>
      <c r="K72" s="532"/>
      <c r="L72" s="533">
        <f t="shared" si="1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15930624.49</v>
      </c>
      <c r="F73" s="375"/>
      <c r="G73" s="375">
        <f>SUM(G17:G72)</f>
        <v>58374704.275896899</v>
      </c>
      <c r="H73" s="375">
        <f>SUM(H17:H72)</f>
        <v>58374704.275896899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50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1826377.362451636</v>
      </c>
      <c r="N87" s="546">
        <f>IF(J92&lt;D11,0,VLOOKUP(J92,C17:O72,11))</f>
        <v>1826377.362451636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1938765.1732345268</v>
      </c>
      <c r="N88" s="550">
        <f>IF(J92&lt;D11,0,VLOOKUP(J92,C99:P154,7))</f>
        <v>1938765.1732345268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Dekalb-New Boston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112387.81078289077</v>
      </c>
      <c r="N89" s="555">
        <f>+N88-N87</f>
        <v>112387.81078289077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TP2012144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15930624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388551.80487804877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187832.27380952382</v>
      </c>
      <c r="F99" s="631">
        <v>15590078.726190476</v>
      </c>
      <c r="G99" s="632">
        <v>7795039.3630952379</v>
      </c>
      <c r="H99" s="633">
        <v>1214975.8636759706</v>
      </c>
      <c r="I99" s="634">
        <v>1214975.8636759706</v>
      </c>
      <c r="J99" s="514">
        <f>+I99-H99</f>
        <v>0</v>
      </c>
      <c r="K99" s="514"/>
      <c r="L99" s="512">
        <f t="shared" ref="L99:L104" si="20">+H99</f>
        <v>1214975.8636759706</v>
      </c>
      <c r="M99" s="513">
        <f t="shared" ref="M99:M130" si="21">IF(L99&lt;&gt;0,+H99-L99,0)</f>
        <v>0</v>
      </c>
      <c r="N99" s="512">
        <f t="shared" ref="N99:N104" si="22">+I99</f>
        <v>1214975.8636759706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15804084.726190476</v>
      </c>
      <c r="E100" s="630">
        <v>371905.04651162791</v>
      </c>
      <c r="F100" s="631">
        <v>15432179.679678848</v>
      </c>
      <c r="G100" s="631">
        <v>15618132.202934662</v>
      </c>
      <c r="H100" s="633">
        <v>2354626.7467602715</v>
      </c>
      <c r="I100" s="634">
        <v>2354626.7467602715</v>
      </c>
      <c r="J100" s="514">
        <f>+I100-H100</f>
        <v>0</v>
      </c>
      <c r="K100" s="514"/>
      <c r="L100" s="518">
        <f t="shared" si="20"/>
        <v>2354626.7467602715</v>
      </c>
      <c r="M100" s="514">
        <f>IF(L100&lt;&gt;0,+H100-L100,0)</f>
        <v>0</v>
      </c>
      <c r="N100" s="518">
        <f t="shared" si="22"/>
        <v>2354626.7467602715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5">IF(D101=F100,"","IU")</f>
        <v>IU</v>
      </c>
      <c r="C101" s="507">
        <f>IF(D93="","-",+C100+1)</f>
        <v>2017</v>
      </c>
      <c r="D101" s="629">
        <v>15582465.679678848</v>
      </c>
      <c r="E101" s="630">
        <v>384338.16666666669</v>
      </c>
      <c r="F101" s="631">
        <v>15198127.513012182</v>
      </c>
      <c r="G101" s="631">
        <v>15390296.596345514</v>
      </c>
      <c r="H101" s="633">
        <v>2253819.9284135839</v>
      </c>
      <c r="I101" s="634">
        <v>2253819.9284135839</v>
      </c>
      <c r="J101" s="514">
        <f t="shared" ref="J101:J154" si="26">+I101-H101</f>
        <v>0</v>
      </c>
      <c r="K101" s="514"/>
      <c r="L101" s="518">
        <f t="shared" si="20"/>
        <v>2253819.9284135839</v>
      </c>
      <c r="M101" s="514">
        <f>IF(L101&lt;&gt;0,+H101-L101,0)</f>
        <v>0</v>
      </c>
      <c r="N101" s="518">
        <f t="shared" si="22"/>
        <v>2253819.9284135839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5"/>
        <v>IU</v>
      </c>
      <c r="C102" s="507">
        <f>IF(D93="","-",+C101+1)</f>
        <v>2018</v>
      </c>
      <c r="D102" s="629">
        <v>15265261.513012182</v>
      </c>
      <c r="E102" s="630">
        <v>385936.59523809527</v>
      </c>
      <c r="F102" s="631">
        <v>14879324.917774087</v>
      </c>
      <c r="G102" s="631">
        <v>15072293.215393133</v>
      </c>
      <c r="H102" s="633">
        <v>1977639.8776041078</v>
      </c>
      <c r="I102" s="634">
        <v>1977639.8776041078</v>
      </c>
      <c r="J102" s="514">
        <f t="shared" si="26"/>
        <v>0</v>
      </c>
      <c r="K102" s="514"/>
      <c r="L102" s="518">
        <f t="shared" si="20"/>
        <v>1977639.8776041078</v>
      </c>
      <c r="M102" s="514">
        <f>IF(L102&lt;&gt;0,+H102-L102,0)</f>
        <v>0</v>
      </c>
      <c r="N102" s="518">
        <f t="shared" si="22"/>
        <v>1977639.8776041078</v>
      </c>
      <c r="O102" s="514">
        <f>IF(N102&lt;&gt;0,+I102-N102,0)</f>
        <v>0</v>
      </c>
      <c r="P102" s="514">
        <f>+O102-M102</f>
        <v>0</v>
      </c>
    </row>
    <row r="103" spans="1:16" ht="12.5">
      <c r="B103" s="195" t="str">
        <f t="shared" si="25"/>
        <v>IU</v>
      </c>
      <c r="C103" s="507">
        <f>IF(D93="","-",+C102+1)</f>
        <v>2019</v>
      </c>
      <c r="D103" s="629">
        <v>14600611.917774087</v>
      </c>
      <c r="E103" s="630">
        <v>370479.62790697673</v>
      </c>
      <c r="F103" s="631">
        <v>14230132.289867111</v>
      </c>
      <c r="G103" s="631">
        <v>14415372.1038206</v>
      </c>
      <c r="H103" s="633">
        <v>1913508.9365071231</v>
      </c>
      <c r="I103" s="634">
        <v>1913508.9365071231</v>
      </c>
      <c r="J103" s="514">
        <f t="shared" si="26"/>
        <v>0</v>
      </c>
      <c r="K103" s="514"/>
      <c r="L103" s="518">
        <f t="shared" si="20"/>
        <v>1913508.9365071231</v>
      </c>
      <c r="M103" s="514">
        <f>IF(L103&lt;&gt;0,+H103-L103,0)</f>
        <v>0</v>
      </c>
      <c r="N103" s="518">
        <f t="shared" si="22"/>
        <v>1913508.9365071231</v>
      </c>
      <c r="O103" s="514">
        <f t="shared" si="23"/>
        <v>0</v>
      </c>
      <c r="P103" s="514">
        <f t="shared" si="24"/>
        <v>0</v>
      </c>
    </row>
    <row r="104" spans="1:16" ht="12.5">
      <c r="B104" s="195" t="str">
        <f t="shared" si="25"/>
        <v/>
      </c>
      <c r="C104" s="507">
        <f>IF(D93="","-",+C103+1)</f>
        <v>2020</v>
      </c>
      <c r="D104" s="629">
        <v>14230132.289867111</v>
      </c>
      <c r="E104" s="630">
        <v>379300.57142857142</v>
      </c>
      <c r="F104" s="631">
        <v>13850831.71843854</v>
      </c>
      <c r="G104" s="631">
        <v>14040482.004152825</v>
      </c>
      <c r="H104" s="633">
        <v>1889689.0307729272</v>
      </c>
      <c r="I104" s="634">
        <v>1889689.0307729272</v>
      </c>
      <c r="J104" s="514">
        <f t="shared" si="26"/>
        <v>0</v>
      </c>
      <c r="K104" s="514"/>
      <c r="L104" s="518">
        <f t="shared" si="20"/>
        <v>1889689.0307729272</v>
      </c>
      <c r="M104" s="514">
        <f>IF(L104&lt;&gt;0,+H104-L104,0)</f>
        <v>0</v>
      </c>
      <c r="N104" s="518">
        <f t="shared" si="22"/>
        <v>1889689.0307729272</v>
      </c>
      <c r="O104" s="514">
        <f t="shared" si="23"/>
        <v>0</v>
      </c>
      <c r="P104" s="514">
        <f t="shared" si="24"/>
        <v>0</v>
      </c>
    </row>
    <row r="105" spans="1:16" ht="12.5">
      <c r="B105" s="195" t="str">
        <f t="shared" si="25"/>
        <v/>
      </c>
      <c r="C105" s="507">
        <f>IF(D93="","-",+C104+1)</f>
        <v>2021</v>
      </c>
      <c r="D105" s="374">
        <f>IF(F104+SUM(E$99:E104)=D$92,F104,D$92-SUM(E$99:E104))</f>
        <v>13850831.71843854</v>
      </c>
      <c r="E105" s="522">
        <f t="shared" ref="E105:E154" si="27">IF(+$J$96&lt;F104,$J$96,D105)</f>
        <v>388551.80487804877</v>
      </c>
      <c r="F105" s="523">
        <f t="shared" ref="F105:F154" si="28">+D105-E105</f>
        <v>13462279.913560491</v>
      </c>
      <c r="G105" s="523">
        <f t="shared" ref="G105:G154" si="29">+(F105+D105)/2</f>
        <v>13656555.815999515</v>
      </c>
      <c r="H105" s="526">
        <f t="shared" ref="H105:H154" si="30">+J$94*G105+E105</f>
        <v>1938765.1732345268</v>
      </c>
      <c r="I105" s="577">
        <f t="shared" ref="I105:I154" si="31">+J$95*G105+E105</f>
        <v>1938765.1732345268</v>
      </c>
      <c r="J105" s="514">
        <f t="shared" si="26"/>
        <v>0</v>
      </c>
      <c r="K105" s="514"/>
      <c r="L105" s="525"/>
      <c r="M105" s="514">
        <f t="shared" si="21"/>
        <v>0</v>
      </c>
      <c r="N105" s="525"/>
      <c r="O105" s="514">
        <f t="shared" si="23"/>
        <v>0</v>
      </c>
      <c r="P105" s="514">
        <f t="shared" si="24"/>
        <v>0</v>
      </c>
    </row>
    <row r="106" spans="1:16" ht="12.5">
      <c r="B106" s="195" t="str">
        <f t="shared" si="25"/>
        <v/>
      </c>
      <c r="C106" s="507">
        <f>IF(D93="","-",+C105+1)</f>
        <v>2022</v>
      </c>
      <c r="D106" s="374">
        <f>IF(F105+SUM(E$99:E105)=D$92,F105,D$92-SUM(E$99:E105))</f>
        <v>13462279.913560491</v>
      </c>
      <c r="E106" s="522">
        <f t="shared" si="27"/>
        <v>388551.80487804877</v>
      </c>
      <c r="F106" s="523">
        <f t="shared" si="28"/>
        <v>13073728.108682442</v>
      </c>
      <c r="G106" s="523">
        <f t="shared" si="29"/>
        <v>13268004.011121467</v>
      </c>
      <c r="H106" s="526">
        <f t="shared" si="30"/>
        <v>1894659.015698429</v>
      </c>
      <c r="I106" s="577">
        <f t="shared" si="31"/>
        <v>1894659.015698429</v>
      </c>
      <c r="J106" s="514">
        <f t="shared" si="26"/>
        <v>0</v>
      </c>
      <c r="K106" s="514"/>
      <c r="L106" s="525"/>
      <c r="M106" s="514">
        <f t="shared" si="21"/>
        <v>0</v>
      </c>
      <c r="N106" s="525"/>
      <c r="O106" s="514">
        <f t="shared" si="23"/>
        <v>0</v>
      </c>
      <c r="P106" s="514">
        <f t="shared" si="24"/>
        <v>0</v>
      </c>
    </row>
    <row r="107" spans="1:16" ht="12.5">
      <c r="B107" s="195" t="str">
        <f t="shared" si="25"/>
        <v/>
      </c>
      <c r="C107" s="507">
        <f>IF(D93="","-",+C106+1)</f>
        <v>2023</v>
      </c>
      <c r="D107" s="374">
        <f>IF(F106+SUM(E$99:E106)=D$92,F106,D$92-SUM(E$99:E106))</f>
        <v>13073728.108682442</v>
      </c>
      <c r="E107" s="522">
        <f t="shared" si="27"/>
        <v>388551.80487804877</v>
      </c>
      <c r="F107" s="523">
        <f t="shared" si="28"/>
        <v>12685176.303804394</v>
      </c>
      <c r="G107" s="523">
        <f t="shared" si="29"/>
        <v>12879452.206243418</v>
      </c>
      <c r="H107" s="526">
        <f t="shared" si="30"/>
        <v>1850552.8581623309</v>
      </c>
      <c r="I107" s="577">
        <f t="shared" si="31"/>
        <v>1850552.8581623309</v>
      </c>
      <c r="J107" s="514">
        <f t="shared" si="26"/>
        <v>0</v>
      </c>
      <c r="K107" s="514"/>
      <c r="L107" s="525"/>
      <c r="M107" s="514">
        <f t="shared" si="21"/>
        <v>0</v>
      </c>
      <c r="N107" s="525"/>
      <c r="O107" s="514">
        <f t="shared" si="23"/>
        <v>0</v>
      </c>
      <c r="P107" s="514">
        <f t="shared" si="24"/>
        <v>0</v>
      </c>
    </row>
    <row r="108" spans="1:16" ht="12.5">
      <c r="B108" s="195" t="str">
        <f t="shared" si="25"/>
        <v/>
      </c>
      <c r="C108" s="507">
        <f>IF(D93="","-",+C107+1)</f>
        <v>2024</v>
      </c>
      <c r="D108" s="374">
        <f>IF(F107+SUM(E$99:E107)=D$92,F107,D$92-SUM(E$99:E107))</f>
        <v>12685176.303804394</v>
      </c>
      <c r="E108" s="522">
        <f t="shared" si="27"/>
        <v>388551.80487804877</v>
      </c>
      <c r="F108" s="523">
        <f t="shared" si="28"/>
        <v>12296624.498926345</v>
      </c>
      <c r="G108" s="523">
        <f t="shared" si="29"/>
        <v>12490900.40136537</v>
      </c>
      <c r="H108" s="526">
        <f t="shared" si="30"/>
        <v>1806446.7006262331</v>
      </c>
      <c r="I108" s="577">
        <f t="shared" si="31"/>
        <v>1806446.7006262331</v>
      </c>
      <c r="J108" s="514">
        <f t="shared" si="26"/>
        <v>0</v>
      </c>
      <c r="K108" s="514"/>
      <c r="L108" s="525"/>
      <c r="M108" s="514">
        <f t="shared" si="21"/>
        <v>0</v>
      </c>
      <c r="N108" s="525"/>
      <c r="O108" s="514">
        <f t="shared" si="23"/>
        <v>0</v>
      </c>
      <c r="P108" s="514">
        <f t="shared" si="24"/>
        <v>0</v>
      </c>
    </row>
    <row r="109" spans="1:16" ht="12.5">
      <c r="B109" s="195" t="str">
        <f t="shared" si="25"/>
        <v/>
      </c>
      <c r="C109" s="507">
        <f>IF(D93="","-",+C108+1)</f>
        <v>2025</v>
      </c>
      <c r="D109" s="374">
        <f>IF(F108+SUM(E$99:E108)=D$92,F108,D$92-SUM(E$99:E108))</f>
        <v>12296624.498926345</v>
      </c>
      <c r="E109" s="522">
        <f t="shared" si="27"/>
        <v>388551.80487804877</v>
      </c>
      <c r="F109" s="523">
        <f t="shared" si="28"/>
        <v>11908072.694048297</v>
      </c>
      <c r="G109" s="523">
        <f t="shared" si="29"/>
        <v>12102348.596487321</v>
      </c>
      <c r="H109" s="526">
        <f t="shared" si="30"/>
        <v>1762340.5430901353</v>
      </c>
      <c r="I109" s="577">
        <f t="shared" si="31"/>
        <v>1762340.5430901353</v>
      </c>
      <c r="J109" s="514">
        <f t="shared" si="26"/>
        <v>0</v>
      </c>
      <c r="K109" s="514"/>
      <c r="L109" s="525"/>
      <c r="M109" s="514">
        <f t="shared" si="21"/>
        <v>0</v>
      </c>
      <c r="N109" s="525"/>
      <c r="O109" s="514">
        <f t="shared" si="23"/>
        <v>0</v>
      </c>
      <c r="P109" s="514">
        <f t="shared" si="24"/>
        <v>0</v>
      </c>
    </row>
    <row r="110" spans="1:16" ht="12.5">
      <c r="B110" s="195" t="str">
        <f t="shared" si="25"/>
        <v/>
      </c>
      <c r="C110" s="507">
        <f>IF(D93="","-",+C109+1)</f>
        <v>2026</v>
      </c>
      <c r="D110" s="374">
        <f>IF(F109+SUM(E$99:E109)=D$92,F109,D$92-SUM(E$99:E109))</f>
        <v>11908072.694048297</v>
      </c>
      <c r="E110" s="522">
        <f t="shared" si="27"/>
        <v>388551.80487804877</v>
      </c>
      <c r="F110" s="523">
        <f t="shared" si="28"/>
        <v>11519520.889170248</v>
      </c>
      <c r="G110" s="523">
        <f t="shared" si="29"/>
        <v>11713796.791609272</v>
      </c>
      <c r="H110" s="526">
        <f t="shared" si="30"/>
        <v>1718234.3855540373</v>
      </c>
      <c r="I110" s="577">
        <f t="shared" si="31"/>
        <v>1718234.3855540373</v>
      </c>
      <c r="J110" s="514">
        <f t="shared" si="26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</row>
    <row r="111" spans="1:16" ht="12.5">
      <c r="B111" s="195" t="str">
        <f t="shared" si="25"/>
        <v/>
      </c>
      <c r="C111" s="507">
        <f>IF(D93="","-",+C110+1)</f>
        <v>2027</v>
      </c>
      <c r="D111" s="374">
        <f>IF(F110+SUM(E$99:E110)=D$92,F110,D$92-SUM(E$99:E110))</f>
        <v>11519520.889170248</v>
      </c>
      <c r="E111" s="522">
        <f t="shared" si="27"/>
        <v>388551.80487804877</v>
      </c>
      <c r="F111" s="523">
        <f t="shared" si="28"/>
        <v>11130969.084292199</v>
      </c>
      <c r="G111" s="523">
        <f t="shared" si="29"/>
        <v>11325244.986731224</v>
      </c>
      <c r="H111" s="526">
        <f t="shared" si="30"/>
        <v>1674128.2280179395</v>
      </c>
      <c r="I111" s="577">
        <f t="shared" si="31"/>
        <v>1674128.2280179395</v>
      </c>
      <c r="J111" s="514">
        <f t="shared" si="26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</row>
    <row r="112" spans="1:16" ht="12.5">
      <c r="B112" s="195" t="str">
        <f t="shared" si="25"/>
        <v/>
      </c>
      <c r="C112" s="507">
        <f>IF(D93="","-",+C111+1)</f>
        <v>2028</v>
      </c>
      <c r="D112" s="374">
        <f>IF(F111+SUM(E$99:E111)=D$92,F111,D$92-SUM(E$99:E111))</f>
        <v>11130969.084292199</v>
      </c>
      <c r="E112" s="522">
        <f t="shared" si="27"/>
        <v>388551.80487804877</v>
      </c>
      <c r="F112" s="523">
        <f t="shared" si="28"/>
        <v>10742417.279414151</v>
      </c>
      <c r="G112" s="523">
        <f t="shared" si="29"/>
        <v>10936693.181853175</v>
      </c>
      <c r="H112" s="526">
        <f t="shared" si="30"/>
        <v>1630022.0704818415</v>
      </c>
      <c r="I112" s="577">
        <f t="shared" si="31"/>
        <v>1630022.0704818415</v>
      </c>
      <c r="J112" s="514">
        <f t="shared" si="26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</row>
    <row r="113" spans="2:16" ht="12.5">
      <c r="B113" s="195" t="str">
        <f t="shared" si="25"/>
        <v/>
      </c>
      <c r="C113" s="507">
        <f>IF(D93="","-",+C112+1)</f>
        <v>2029</v>
      </c>
      <c r="D113" s="374">
        <f>IF(F112+SUM(E$99:E112)=D$92,F112,D$92-SUM(E$99:E112))</f>
        <v>10742417.279414151</v>
      </c>
      <c r="E113" s="522">
        <f t="shared" si="27"/>
        <v>388551.80487804877</v>
      </c>
      <c r="F113" s="523">
        <f t="shared" si="28"/>
        <v>10353865.474536102</v>
      </c>
      <c r="G113" s="523">
        <f t="shared" si="29"/>
        <v>10548141.376975127</v>
      </c>
      <c r="H113" s="526">
        <f t="shared" si="30"/>
        <v>1585915.9129457437</v>
      </c>
      <c r="I113" s="577">
        <f t="shared" si="31"/>
        <v>1585915.9129457437</v>
      </c>
      <c r="J113" s="514">
        <f t="shared" si="26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</row>
    <row r="114" spans="2:16" ht="12.5">
      <c r="B114" s="195" t="str">
        <f t="shared" si="25"/>
        <v/>
      </c>
      <c r="C114" s="507">
        <f>IF(D93="","-",+C113+1)</f>
        <v>2030</v>
      </c>
      <c r="D114" s="374">
        <f>IF(F113+SUM(E$99:E113)=D$92,F113,D$92-SUM(E$99:E113))</f>
        <v>10353865.474536102</v>
      </c>
      <c r="E114" s="522">
        <f t="shared" si="27"/>
        <v>388551.80487804877</v>
      </c>
      <c r="F114" s="523">
        <f t="shared" si="28"/>
        <v>9965313.6696580537</v>
      </c>
      <c r="G114" s="523">
        <f t="shared" si="29"/>
        <v>10159589.572097078</v>
      </c>
      <c r="H114" s="526">
        <f t="shared" si="30"/>
        <v>1541809.7554096456</v>
      </c>
      <c r="I114" s="577">
        <f t="shared" si="31"/>
        <v>1541809.7554096456</v>
      </c>
      <c r="J114" s="514">
        <f t="shared" si="26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</row>
    <row r="115" spans="2:16" ht="12.5">
      <c r="B115" s="195" t="str">
        <f t="shared" si="25"/>
        <v/>
      </c>
      <c r="C115" s="507">
        <f>IF(D93="","-",+C114+1)</f>
        <v>2031</v>
      </c>
      <c r="D115" s="374">
        <f>IF(F114+SUM(E$99:E114)=D$92,F114,D$92-SUM(E$99:E114))</f>
        <v>9965313.6696580537</v>
      </c>
      <c r="E115" s="522">
        <f t="shared" si="27"/>
        <v>388551.80487804877</v>
      </c>
      <c r="F115" s="523">
        <f t="shared" si="28"/>
        <v>9576761.8647800051</v>
      </c>
      <c r="G115" s="523">
        <f t="shared" si="29"/>
        <v>9771037.7672190294</v>
      </c>
      <c r="H115" s="526">
        <f t="shared" si="30"/>
        <v>1497703.5978735478</v>
      </c>
      <c r="I115" s="577">
        <f t="shared" si="31"/>
        <v>1497703.5978735478</v>
      </c>
      <c r="J115" s="514">
        <f t="shared" si="26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</row>
    <row r="116" spans="2:16" ht="12.5">
      <c r="B116" s="195" t="str">
        <f t="shared" si="25"/>
        <v/>
      </c>
      <c r="C116" s="507">
        <f>IF(D93="","-",+C115+1)</f>
        <v>2032</v>
      </c>
      <c r="D116" s="374">
        <f>IF(F115+SUM(E$99:E115)=D$92,F115,D$92-SUM(E$99:E115))</f>
        <v>9576761.8647800051</v>
      </c>
      <c r="E116" s="522">
        <f t="shared" si="27"/>
        <v>388551.80487804877</v>
      </c>
      <c r="F116" s="523">
        <f t="shared" si="28"/>
        <v>9188210.0599019565</v>
      </c>
      <c r="G116" s="523">
        <f t="shared" si="29"/>
        <v>9382485.9623409808</v>
      </c>
      <c r="H116" s="526">
        <f t="shared" si="30"/>
        <v>1453597.4403374498</v>
      </c>
      <c r="I116" s="577">
        <f t="shared" si="31"/>
        <v>1453597.4403374498</v>
      </c>
      <c r="J116" s="514">
        <f t="shared" si="26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</row>
    <row r="117" spans="2:16" ht="12.5">
      <c r="B117" s="195" t="str">
        <f t="shared" si="25"/>
        <v/>
      </c>
      <c r="C117" s="507">
        <f>IF(D93="","-",+C116+1)</f>
        <v>2033</v>
      </c>
      <c r="D117" s="374">
        <f>IF(F116+SUM(E$99:E116)=D$92,F116,D$92-SUM(E$99:E116))</f>
        <v>9188210.0599019565</v>
      </c>
      <c r="E117" s="522">
        <f t="shared" si="27"/>
        <v>388551.80487804877</v>
      </c>
      <c r="F117" s="523">
        <f t="shared" si="28"/>
        <v>8799658.2550239079</v>
      </c>
      <c r="G117" s="523">
        <f t="shared" si="29"/>
        <v>8993934.1574629322</v>
      </c>
      <c r="H117" s="526">
        <f t="shared" si="30"/>
        <v>1409491.282801352</v>
      </c>
      <c r="I117" s="577">
        <f t="shared" si="31"/>
        <v>1409491.282801352</v>
      </c>
      <c r="J117" s="514">
        <f t="shared" si="26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</row>
    <row r="118" spans="2:16" ht="12.5">
      <c r="B118" s="195" t="str">
        <f t="shared" si="25"/>
        <v/>
      </c>
      <c r="C118" s="507">
        <f>IF(D93="","-",+C117+1)</f>
        <v>2034</v>
      </c>
      <c r="D118" s="374">
        <f>IF(F117+SUM(E$99:E117)=D$92,F117,D$92-SUM(E$99:E117))</f>
        <v>8799658.2550239079</v>
      </c>
      <c r="E118" s="522">
        <f t="shared" si="27"/>
        <v>388551.80487804877</v>
      </c>
      <c r="F118" s="523">
        <f t="shared" si="28"/>
        <v>8411106.4501458593</v>
      </c>
      <c r="G118" s="523">
        <f t="shared" si="29"/>
        <v>8605382.3525848836</v>
      </c>
      <c r="H118" s="526">
        <f t="shared" si="30"/>
        <v>1365385.1252652539</v>
      </c>
      <c r="I118" s="577">
        <f t="shared" si="31"/>
        <v>1365385.1252652539</v>
      </c>
      <c r="J118" s="514">
        <f t="shared" si="26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</row>
    <row r="119" spans="2:16" ht="12.5">
      <c r="B119" s="195" t="str">
        <f t="shared" si="25"/>
        <v/>
      </c>
      <c r="C119" s="507">
        <f>IF(D93="","-",+C118+1)</f>
        <v>2035</v>
      </c>
      <c r="D119" s="374">
        <f>IF(F118+SUM(E$99:E118)=D$92,F118,D$92-SUM(E$99:E118))</f>
        <v>8411106.4501458593</v>
      </c>
      <c r="E119" s="522">
        <f t="shared" si="27"/>
        <v>388551.80487804877</v>
      </c>
      <c r="F119" s="523">
        <f t="shared" si="28"/>
        <v>8022554.6452678107</v>
      </c>
      <c r="G119" s="523">
        <f t="shared" si="29"/>
        <v>8216830.547706835</v>
      </c>
      <c r="H119" s="526">
        <f t="shared" si="30"/>
        <v>1321278.9677291561</v>
      </c>
      <c r="I119" s="577">
        <f t="shared" si="31"/>
        <v>1321278.9677291561</v>
      </c>
      <c r="J119" s="514">
        <f t="shared" si="26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</row>
    <row r="120" spans="2:16" ht="12.5">
      <c r="B120" s="195" t="str">
        <f t="shared" si="25"/>
        <v/>
      </c>
      <c r="C120" s="507">
        <f>IF(D93="","-",+C119+1)</f>
        <v>2036</v>
      </c>
      <c r="D120" s="374">
        <f>IF(F119+SUM(E$99:E119)=D$92,F119,D$92-SUM(E$99:E119))</f>
        <v>8022554.6452678107</v>
      </c>
      <c r="E120" s="522">
        <f t="shared" si="27"/>
        <v>388551.80487804877</v>
      </c>
      <c r="F120" s="523">
        <f t="shared" si="28"/>
        <v>7634002.8403897621</v>
      </c>
      <c r="G120" s="523">
        <f t="shared" si="29"/>
        <v>7828278.7428287864</v>
      </c>
      <c r="H120" s="526">
        <f t="shared" si="30"/>
        <v>1277172.8101930581</v>
      </c>
      <c r="I120" s="577">
        <f t="shared" si="31"/>
        <v>1277172.8101930581</v>
      </c>
      <c r="J120" s="514">
        <f t="shared" si="26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</row>
    <row r="121" spans="2:16" ht="12.5">
      <c r="B121" s="195" t="str">
        <f t="shared" si="25"/>
        <v/>
      </c>
      <c r="C121" s="507">
        <f>IF(D93="","-",+C120+1)</f>
        <v>2037</v>
      </c>
      <c r="D121" s="374">
        <f>IF(F120+SUM(E$99:E120)=D$92,F120,D$92-SUM(E$99:E120))</f>
        <v>7634002.8403897621</v>
      </c>
      <c r="E121" s="522">
        <f t="shared" si="27"/>
        <v>388551.80487804877</v>
      </c>
      <c r="F121" s="523">
        <f t="shared" si="28"/>
        <v>7245451.0355117135</v>
      </c>
      <c r="G121" s="523">
        <f t="shared" si="29"/>
        <v>7439726.9379507378</v>
      </c>
      <c r="H121" s="526">
        <f t="shared" si="30"/>
        <v>1233066.6526569603</v>
      </c>
      <c r="I121" s="577">
        <f t="shared" si="31"/>
        <v>1233066.6526569603</v>
      </c>
      <c r="J121" s="514">
        <f t="shared" si="26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</row>
    <row r="122" spans="2:16" ht="12.5">
      <c r="B122" s="195" t="str">
        <f t="shared" si="25"/>
        <v/>
      </c>
      <c r="C122" s="507">
        <f>IF(D93="","-",+C121+1)</f>
        <v>2038</v>
      </c>
      <c r="D122" s="374">
        <f>IF(F121+SUM(E$99:E121)=D$92,F121,D$92-SUM(E$99:E121))</f>
        <v>7245451.0355117135</v>
      </c>
      <c r="E122" s="522">
        <f t="shared" si="27"/>
        <v>388551.80487804877</v>
      </c>
      <c r="F122" s="523">
        <f t="shared" si="28"/>
        <v>6856899.2306336649</v>
      </c>
      <c r="G122" s="523">
        <f t="shared" si="29"/>
        <v>7051175.1330726892</v>
      </c>
      <c r="H122" s="526">
        <f t="shared" si="30"/>
        <v>1188960.4951208623</v>
      </c>
      <c r="I122" s="577">
        <f t="shared" si="31"/>
        <v>1188960.4951208623</v>
      </c>
      <c r="J122" s="514">
        <f t="shared" si="26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</row>
    <row r="123" spans="2:16" ht="12.5">
      <c r="B123" s="195" t="str">
        <f t="shared" si="25"/>
        <v/>
      </c>
      <c r="C123" s="507">
        <f>IF(D93="","-",+C122+1)</f>
        <v>2039</v>
      </c>
      <c r="D123" s="374">
        <f>IF(F122+SUM(E$99:E122)=D$92,F122,D$92-SUM(E$99:E122))</f>
        <v>6856899.2306336649</v>
      </c>
      <c r="E123" s="522">
        <f t="shared" si="27"/>
        <v>388551.80487804877</v>
      </c>
      <c r="F123" s="523">
        <f t="shared" si="28"/>
        <v>6468347.4257556163</v>
      </c>
      <c r="G123" s="523">
        <f t="shared" si="29"/>
        <v>6662623.3281946406</v>
      </c>
      <c r="H123" s="526">
        <f t="shared" si="30"/>
        <v>1144854.3375847645</v>
      </c>
      <c r="I123" s="577">
        <f t="shared" si="31"/>
        <v>1144854.3375847645</v>
      </c>
      <c r="J123" s="514">
        <f t="shared" si="26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</row>
    <row r="124" spans="2:16" ht="12.5">
      <c r="B124" s="195" t="str">
        <f t="shared" si="25"/>
        <v/>
      </c>
      <c r="C124" s="507">
        <f>IF(D93="","-",+C123+1)</f>
        <v>2040</v>
      </c>
      <c r="D124" s="374">
        <f>IF(F123+SUM(E$99:E123)=D$92,F123,D$92-SUM(E$99:E123))</f>
        <v>6468347.4257556163</v>
      </c>
      <c r="E124" s="522">
        <f t="shared" si="27"/>
        <v>388551.80487804877</v>
      </c>
      <c r="F124" s="523">
        <f t="shared" si="28"/>
        <v>6079795.6208775677</v>
      </c>
      <c r="G124" s="523">
        <f t="shared" si="29"/>
        <v>6274071.523316592</v>
      </c>
      <c r="H124" s="526">
        <f t="shared" si="30"/>
        <v>1100748.1800486667</v>
      </c>
      <c r="I124" s="577">
        <f t="shared" si="31"/>
        <v>1100748.1800486667</v>
      </c>
      <c r="J124" s="514">
        <f t="shared" si="26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</row>
    <row r="125" spans="2:16" ht="12.5">
      <c r="B125" s="195" t="str">
        <f t="shared" si="25"/>
        <v/>
      </c>
      <c r="C125" s="507">
        <f>IF(D93="","-",+C124+1)</f>
        <v>2041</v>
      </c>
      <c r="D125" s="374">
        <f>IF(F124+SUM(E$99:E124)=D$92,F124,D$92-SUM(E$99:E124))</f>
        <v>6079795.6208775677</v>
      </c>
      <c r="E125" s="522">
        <f t="shared" si="27"/>
        <v>388551.80487804877</v>
      </c>
      <c r="F125" s="523">
        <f t="shared" si="28"/>
        <v>5691243.8159995191</v>
      </c>
      <c r="G125" s="523">
        <f t="shared" si="29"/>
        <v>5885519.7184385434</v>
      </c>
      <c r="H125" s="526">
        <f t="shared" si="30"/>
        <v>1056642.0225125686</v>
      </c>
      <c r="I125" s="577">
        <f t="shared" si="31"/>
        <v>1056642.0225125686</v>
      </c>
      <c r="J125" s="514">
        <f t="shared" si="26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</row>
    <row r="126" spans="2:16" ht="12.5">
      <c r="B126" s="195" t="str">
        <f t="shared" si="25"/>
        <v/>
      </c>
      <c r="C126" s="507">
        <f>IF(D93="","-",+C125+1)</f>
        <v>2042</v>
      </c>
      <c r="D126" s="374">
        <f>IF(F125+SUM(E$99:E125)=D$92,F125,D$92-SUM(E$99:E125))</f>
        <v>5691243.8159995191</v>
      </c>
      <c r="E126" s="522">
        <f t="shared" si="27"/>
        <v>388551.80487804877</v>
      </c>
      <c r="F126" s="523">
        <f t="shared" si="28"/>
        <v>5302692.0111214705</v>
      </c>
      <c r="G126" s="523">
        <f t="shared" si="29"/>
        <v>5496967.9135604948</v>
      </c>
      <c r="H126" s="526">
        <f t="shared" si="30"/>
        <v>1012535.8649764708</v>
      </c>
      <c r="I126" s="577">
        <f t="shared" si="31"/>
        <v>1012535.8649764708</v>
      </c>
      <c r="J126" s="514">
        <f t="shared" si="26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</row>
    <row r="127" spans="2:16" ht="12.5">
      <c r="B127" s="195" t="str">
        <f t="shared" si="25"/>
        <v/>
      </c>
      <c r="C127" s="507">
        <f>IF(D93="","-",+C126+1)</f>
        <v>2043</v>
      </c>
      <c r="D127" s="374">
        <f>IF(F126+SUM(E$99:E126)=D$92,F126,D$92-SUM(E$99:E126))</f>
        <v>5302692.0111214705</v>
      </c>
      <c r="E127" s="522">
        <f t="shared" si="27"/>
        <v>388551.80487804877</v>
      </c>
      <c r="F127" s="523">
        <f t="shared" si="28"/>
        <v>4914140.2062434219</v>
      </c>
      <c r="G127" s="523">
        <f t="shared" si="29"/>
        <v>5108416.1086824462</v>
      </c>
      <c r="H127" s="526">
        <f t="shared" si="30"/>
        <v>968429.70744037279</v>
      </c>
      <c r="I127" s="577">
        <f t="shared" si="31"/>
        <v>968429.70744037279</v>
      </c>
      <c r="J127" s="514">
        <f t="shared" si="26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</row>
    <row r="128" spans="2:16" ht="12.5">
      <c r="B128" s="195" t="str">
        <f t="shared" si="25"/>
        <v/>
      </c>
      <c r="C128" s="507">
        <f>IF(D93="","-",+C127+1)</f>
        <v>2044</v>
      </c>
      <c r="D128" s="374">
        <f>IF(F127+SUM(E$99:E127)=D$92,F127,D$92-SUM(E$99:E127))</f>
        <v>4914140.2062434219</v>
      </c>
      <c r="E128" s="522">
        <f t="shared" si="27"/>
        <v>388551.80487804877</v>
      </c>
      <c r="F128" s="523">
        <f t="shared" si="28"/>
        <v>4525588.4013653733</v>
      </c>
      <c r="G128" s="523">
        <f t="shared" si="29"/>
        <v>4719864.3038043976</v>
      </c>
      <c r="H128" s="526">
        <f t="shared" si="30"/>
        <v>924323.54990427499</v>
      </c>
      <c r="I128" s="577">
        <f t="shared" si="31"/>
        <v>924323.54990427499</v>
      </c>
      <c r="J128" s="514">
        <f t="shared" si="26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</row>
    <row r="129" spans="2:16" ht="12.5">
      <c r="B129" s="195" t="str">
        <f t="shared" si="25"/>
        <v/>
      </c>
      <c r="C129" s="507">
        <f>IF(D93="","-",+C128+1)</f>
        <v>2045</v>
      </c>
      <c r="D129" s="374">
        <f>IF(F128+SUM(E$99:E128)=D$92,F128,D$92-SUM(E$99:E128))</f>
        <v>4525588.4013653733</v>
      </c>
      <c r="E129" s="522">
        <f t="shared" si="27"/>
        <v>388551.80487804877</v>
      </c>
      <c r="F129" s="523">
        <f t="shared" si="28"/>
        <v>4137036.5964873247</v>
      </c>
      <c r="G129" s="523">
        <f t="shared" si="29"/>
        <v>4331312.498926349</v>
      </c>
      <c r="H129" s="526">
        <f t="shared" si="30"/>
        <v>880217.39236817695</v>
      </c>
      <c r="I129" s="577">
        <f t="shared" si="31"/>
        <v>880217.39236817695</v>
      </c>
      <c r="J129" s="514">
        <f t="shared" si="26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</row>
    <row r="130" spans="2:16" ht="12.5">
      <c r="B130" s="195" t="str">
        <f t="shared" si="25"/>
        <v/>
      </c>
      <c r="C130" s="507">
        <f>IF(D93="","-",+C129+1)</f>
        <v>2046</v>
      </c>
      <c r="D130" s="374">
        <f>IF(F129+SUM(E$99:E129)=D$92,F129,D$92-SUM(E$99:E129))</f>
        <v>4137036.5964873247</v>
      </c>
      <c r="E130" s="522">
        <f t="shared" si="27"/>
        <v>388551.80487804877</v>
      </c>
      <c r="F130" s="523">
        <f t="shared" si="28"/>
        <v>3748484.7916092761</v>
      </c>
      <c r="G130" s="523">
        <f t="shared" si="29"/>
        <v>3942760.6940483004</v>
      </c>
      <c r="H130" s="526">
        <f t="shared" si="30"/>
        <v>836111.23483207915</v>
      </c>
      <c r="I130" s="577">
        <f t="shared" si="31"/>
        <v>836111.23483207915</v>
      </c>
      <c r="J130" s="514">
        <f t="shared" si="26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</row>
    <row r="131" spans="2:16" ht="12.5">
      <c r="B131" s="195" t="str">
        <f t="shared" si="25"/>
        <v/>
      </c>
      <c r="C131" s="507">
        <f>IF(D93="","-",+C130+1)</f>
        <v>2047</v>
      </c>
      <c r="D131" s="374">
        <f>IF(F130+SUM(E$99:E130)=D$92,F130,D$92-SUM(E$99:E130))</f>
        <v>3748484.7916092761</v>
      </c>
      <c r="E131" s="522">
        <f t="shared" si="27"/>
        <v>388551.80487804877</v>
      </c>
      <c r="F131" s="523">
        <f t="shared" si="28"/>
        <v>3359932.9867312275</v>
      </c>
      <c r="G131" s="523">
        <f t="shared" si="29"/>
        <v>3554208.8891702518</v>
      </c>
      <c r="H131" s="526">
        <f t="shared" si="30"/>
        <v>792005.07729598123</v>
      </c>
      <c r="I131" s="577">
        <f t="shared" si="31"/>
        <v>792005.07729598123</v>
      </c>
      <c r="J131" s="514">
        <f t="shared" si="26"/>
        <v>0</v>
      </c>
      <c r="K131" s="514"/>
      <c r="L131" s="525"/>
      <c r="M131" s="514">
        <f t="shared" ref="M131:M154" si="32">IF(L541&lt;&gt;0,+H541-L541,0)</f>
        <v>0</v>
      </c>
      <c r="N131" s="525"/>
      <c r="O131" s="514">
        <f t="shared" ref="O131:O154" si="33">IF(N541&lt;&gt;0,+I541-N541,0)</f>
        <v>0</v>
      </c>
      <c r="P131" s="514">
        <f t="shared" ref="P131:P154" si="34">+O541-M541</f>
        <v>0</v>
      </c>
    </row>
    <row r="132" spans="2:16" ht="12.5">
      <c r="B132" s="195" t="str">
        <f t="shared" si="25"/>
        <v/>
      </c>
      <c r="C132" s="507">
        <f>IF(D93="","-",+C131+1)</f>
        <v>2048</v>
      </c>
      <c r="D132" s="374">
        <f>IF(F131+SUM(E$99:E131)=D$92,F131,D$92-SUM(E$99:E131))</f>
        <v>3359932.9867312275</v>
      </c>
      <c r="E132" s="522">
        <f t="shared" si="27"/>
        <v>388551.80487804877</v>
      </c>
      <c r="F132" s="523">
        <f t="shared" si="28"/>
        <v>2971381.1818531789</v>
      </c>
      <c r="G132" s="523">
        <f t="shared" si="29"/>
        <v>3165657.0842922032</v>
      </c>
      <c r="H132" s="526">
        <f t="shared" si="30"/>
        <v>747898.91975988331</v>
      </c>
      <c r="I132" s="577">
        <f t="shared" si="31"/>
        <v>747898.91975988331</v>
      </c>
      <c r="J132" s="514">
        <f t="shared" si="26"/>
        <v>0</v>
      </c>
      <c r="K132" s="514"/>
      <c r="L132" s="525"/>
      <c r="M132" s="514">
        <f t="shared" si="32"/>
        <v>0</v>
      </c>
      <c r="N132" s="525"/>
      <c r="O132" s="514">
        <f t="shared" si="33"/>
        <v>0</v>
      </c>
      <c r="P132" s="514">
        <f t="shared" si="34"/>
        <v>0</v>
      </c>
    </row>
    <row r="133" spans="2:16" ht="12.5">
      <c r="B133" s="195" t="str">
        <f t="shared" si="25"/>
        <v/>
      </c>
      <c r="C133" s="507">
        <f>IF(D93="","-",+C132+1)</f>
        <v>2049</v>
      </c>
      <c r="D133" s="374">
        <f>IF(F132+SUM(E$99:E132)=D$92,F132,D$92-SUM(E$99:E132))</f>
        <v>2971381.1818531789</v>
      </c>
      <c r="E133" s="522">
        <f t="shared" si="27"/>
        <v>388551.80487804877</v>
      </c>
      <c r="F133" s="523">
        <f t="shared" si="28"/>
        <v>2582829.3769751303</v>
      </c>
      <c r="G133" s="523">
        <f t="shared" si="29"/>
        <v>2777105.2794141546</v>
      </c>
      <c r="H133" s="526">
        <f t="shared" si="30"/>
        <v>703792.76222378539</v>
      </c>
      <c r="I133" s="577">
        <f t="shared" si="31"/>
        <v>703792.76222378539</v>
      </c>
      <c r="J133" s="514">
        <f t="shared" si="26"/>
        <v>0</v>
      </c>
      <c r="K133" s="514"/>
      <c r="L133" s="525"/>
      <c r="M133" s="514">
        <f t="shared" si="32"/>
        <v>0</v>
      </c>
      <c r="N133" s="525"/>
      <c r="O133" s="514">
        <f t="shared" si="33"/>
        <v>0</v>
      </c>
      <c r="P133" s="514">
        <f t="shared" si="34"/>
        <v>0</v>
      </c>
    </row>
    <row r="134" spans="2:16" ht="12.5">
      <c r="B134" s="195" t="str">
        <f t="shared" si="25"/>
        <v/>
      </c>
      <c r="C134" s="507">
        <f>IF(D93="","-",+C133+1)</f>
        <v>2050</v>
      </c>
      <c r="D134" s="374">
        <f>IF(F133+SUM(E$99:E133)=D$92,F133,D$92-SUM(E$99:E133))</f>
        <v>2582829.3769751303</v>
      </c>
      <c r="E134" s="522">
        <f t="shared" si="27"/>
        <v>388551.80487804877</v>
      </c>
      <c r="F134" s="523">
        <f t="shared" si="28"/>
        <v>2194277.5720970817</v>
      </c>
      <c r="G134" s="523">
        <f t="shared" si="29"/>
        <v>2388553.474536106</v>
      </c>
      <c r="H134" s="526">
        <f t="shared" si="30"/>
        <v>659686.60468768748</v>
      </c>
      <c r="I134" s="577">
        <f t="shared" si="31"/>
        <v>659686.60468768748</v>
      </c>
      <c r="J134" s="514">
        <f t="shared" si="26"/>
        <v>0</v>
      </c>
      <c r="K134" s="514"/>
      <c r="L134" s="525"/>
      <c r="M134" s="514">
        <f t="shared" si="32"/>
        <v>0</v>
      </c>
      <c r="N134" s="525"/>
      <c r="O134" s="514">
        <f t="shared" si="33"/>
        <v>0</v>
      </c>
      <c r="P134" s="514">
        <f t="shared" si="34"/>
        <v>0</v>
      </c>
    </row>
    <row r="135" spans="2:16" ht="12.5">
      <c r="B135" s="195" t="str">
        <f t="shared" si="25"/>
        <v/>
      </c>
      <c r="C135" s="507">
        <f>IF(D93="","-",+C134+1)</f>
        <v>2051</v>
      </c>
      <c r="D135" s="374">
        <f>IF(F134+SUM(E$99:E134)=D$92,F134,D$92-SUM(E$99:E134))</f>
        <v>2194277.5720970817</v>
      </c>
      <c r="E135" s="522">
        <f t="shared" si="27"/>
        <v>388551.80487804877</v>
      </c>
      <c r="F135" s="523">
        <f t="shared" si="28"/>
        <v>1805725.7672190329</v>
      </c>
      <c r="G135" s="523">
        <f t="shared" si="29"/>
        <v>2000001.6696580574</v>
      </c>
      <c r="H135" s="526">
        <f t="shared" si="30"/>
        <v>615580.44715158956</v>
      </c>
      <c r="I135" s="577">
        <f t="shared" si="31"/>
        <v>615580.44715158956</v>
      </c>
      <c r="J135" s="514">
        <f t="shared" si="26"/>
        <v>0</v>
      </c>
      <c r="K135" s="514"/>
      <c r="L135" s="525"/>
      <c r="M135" s="514">
        <f t="shared" si="32"/>
        <v>0</v>
      </c>
      <c r="N135" s="525"/>
      <c r="O135" s="514">
        <f t="shared" si="33"/>
        <v>0</v>
      </c>
      <c r="P135" s="514">
        <f t="shared" si="34"/>
        <v>0</v>
      </c>
    </row>
    <row r="136" spans="2:16" ht="12.5">
      <c r="B136" s="195" t="str">
        <f t="shared" si="25"/>
        <v/>
      </c>
      <c r="C136" s="507">
        <f>IF(D93="","-",+C135+1)</f>
        <v>2052</v>
      </c>
      <c r="D136" s="374">
        <f>IF(F135+SUM(E$99:E135)=D$92,F135,D$92-SUM(E$99:E135))</f>
        <v>1805725.7672190329</v>
      </c>
      <c r="E136" s="522">
        <f t="shared" si="27"/>
        <v>388551.80487804877</v>
      </c>
      <c r="F136" s="523">
        <f t="shared" si="28"/>
        <v>1417173.962340984</v>
      </c>
      <c r="G136" s="523">
        <f t="shared" si="29"/>
        <v>1611449.8647800083</v>
      </c>
      <c r="H136" s="526">
        <f t="shared" si="30"/>
        <v>571474.28961549164</v>
      </c>
      <c r="I136" s="577">
        <f t="shared" si="31"/>
        <v>571474.28961549164</v>
      </c>
      <c r="J136" s="514">
        <f t="shared" si="26"/>
        <v>0</v>
      </c>
      <c r="K136" s="514"/>
      <c r="L136" s="525"/>
      <c r="M136" s="514">
        <f t="shared" si="32"/>
        <v>0</v>
      </c>
      <c r="N136" s="525"/>
      <c r="O136" s="514">
        <f t="shared" si="33"/>
        <v>0</v>
      </c>
      <c r="P136" s="514">
        <f t="shared" si="34"/>
        <v>0</v>
      </c>
    </row>
    <row r="137" spans="2:16" ht="12.5">
      <c r="B137" s="195" t="str">
        <f t="shared" si="25"/>
        <v/>
      </c>
      <c r="C137" s="507">
        <f>IF(D93="","-",+C136+1)</f>
        <v>2053</v>
      </c>
      <c r="D137" s="374">
        <f>IF(F136+SUM(E$99:E136)=D$92,F136,D$92-SUM(E$99:E136))</f>
        <v>1417173.962340984</v>
      </c>
      <c r="E137" s="522">
        <f t="shared" si="27"/>
        <v>388551.80487804877</v>
      </c>
      <c r="F137" s="523">
        <f t="shared" si="28"/>
        <v>1028622.1574629352</v>
      </c>
      <c r="G137" s="523">
        <f t="shared" si="29"/>
        <v>1222898.0599019597</v>
      </c>
      <c r="H137" s="526">
        <f t="shared" si="30"/>
        <v>527368.13207939372</v>
      </c>
      <c r="I137" s="577">
        <f t="shared" si="31"/>
        <v>527368.13207939372</v>
      </c>
      <c r="J137" s="514">
        <f t="shared" si="26"/>
        <v>0</v>
      </c>
      <c r="K137" s="514"/>
      <c r="L137" s="525"/>
      <c r="M137" s="514">
        <f t="shared" si="32"/>
        <v>0</v>
      </c>
      <c r="N137" s="525"/>
      <c r="O137" s="514">
        <f t="shared" si="33"/>
        <v>0</v>
      </c>
      <c r="P137" s="514">
        <f t="shared" si="34"/>
        <v>0</v>
      </c>
    </row>
    <row r="138" spans="2:16" ht="12.5">
      <c r="B138" s="195" t="str">
        <f t="shared" si="25"/>
        <v/>
      </c>
      <c r="C138" s="507">
        <f>IF(D93="","-",+C137+1)</f>
        <v>2054</v>
      </c>
      <c r="D138" s="374">
        <f>IF(F137+SUM(E$99:E137)=D$92,F137,D$92-SUM(E$99:E137))</f>
        <v>1028622.1574629352</v>
      </c>
      <c r="E138" s="522">
        <f t="shared" si="27"/>
        <v>388551.80487804877</v>
      </c>
      <c r="F138" s="523">
        <f t="shared" si="28"/>
        <v>640070.35258488636</v>
      </c>
      <c r="G138" s="523">
        <f t="shared" si="29"/>
        <v>834346.25502391078</v>
      </c>
      <c r="H138" s="526">
        <f t="shared" si="30"/>
        <v>483261.9745432958</v>
      </c>
      <c r="I138" s="577">
        <f t="shared" si="31"/>
        <v>483261.9745432958</v>
      </c>
      <c r="J138" s="514">
        <f t="shared" si="26"/>
        <v>0</v>
      </c>
      <c r="K138" s="514"/>
      <c r="L138" s="525"/>
      <c r="M138" s="514">
        <f t="shared" si="32"/>
        <v>0</v>
      </c>
      <c r="N138" s="525"/>
      <c r="O138" s="514">
        <f t="shared" si="33"/>
        <v>0</v>
      </c>
      <c r="P138" s="514">
        <f t="shared" si="34"/>
        <v>0</v>
      </c>
    </row>
    <row r="139" spans="2:16" ht="12.5">
      <c r="B139" s="195" t="str">
        <f t="shared" si="25"/>
        <v/>
      </c>
      <c r="C139" s="507">
        <f>IF(D93="","-",+C138+1)</f>
        <v>2055</v>
      </c>
      <c r="D139" s="374">
        <f>IF(F138+SUM(E$99:E138)=D$92,F138,D$92-SUM(E$99:E138))</f>
        <v>640070.35258488636</v>
      </c>
      <c r="E139" s="522">
        <f t="shared" si="27"/>
        <v>388551.80487804877</v>
      </c>
      <c r="F139" s="523">
        <f t="shared" si="28"/>
        <v>251518.54770683759</v>
      </c>
      <c r="G139" s="523">
        <f t="shared" si="29"/>
        <v>445794.45014586195</v>
      </c>
      <c r="H139" s="526">
        <f t="shared" si="30"/>
        <v>439155.81700719782</v>
      </c>
      <c r="I139" s="577">
        <f t="shared" si="31"/>
        <v>439155.81700719782</v>
      </c>
      <c r="J139" s="514">
        <f t="shared" si="26"/>
        <v>0</v>
      </c>
      <c r="K139" s="514"/>
      <c r="L139" s="525"/>
      <c r="M139" s="514">
        <f t="shared" si="32"/>
        <v>0</v>
      </c>
      <c r="N139" s="525"/>
      <c r="O139" s="514">
        <f t="shared" si="33"/>
        <v>0</v>
      </c>
      <c r="P139" s="514">
        <f t="shared" si="34"/>
        <v>0</v>
      </c>
    </row>
    <row r="140" spans="2:16" ht="12.5">
      <c r="B140" s="195" t="str">
        <f t="shared" si="25"/>
        <v/>
      </c>
      <c r="C140" s="507">
        <f>IF(D93="","-",+C139+1)</f>
        <v>2056</v>
      </c>
      <c r="D140" s="374">
        <f>IF(F139+SUM(E$99:E139)=D$92,F139,D$92-SUM(E$99:E139))</f>
        <v>251518.54770683759</v>
      </c>
      <c r="E140" s="522">
        <f t="shared" si="27"/>
        <v>251518.54770683759</v>
      </c>
      <c r="F140" s="523">
        <f t="shared" si="28"/>
        <v>0</v>
      </c>
      <c r="G140" s="523">
        <f t="shared" si="29"/>
        <v>125759.2738534188</v>
      </c>
      <c r="H140" s="526">
        <f t="shared" si="30"/>
        <v>265794.01438738767</v>
      </c>
      <c r="I140" s="577">
        <f t="shared" si="31"/>
        <v>265794.01438738767</v>
      </c>
      <c r="J140" s="514">
        <f t="shared" si="26"/>
        <v>0</v>
      </c>
      <c r="K140" s="514"/>
      <c r="L140" s="525"/>
      <c r="M140" s="514">
        <f t="shared" si="32"/>
        <v>0</v>
      </c>
      <c r="N140" s="525"/>
      <c r="O140" s="514">
        <f t="shared" si="33"/>
        <v>0</v>
      </c>
      <c r="P140" s="514">
        <f t="shared" si="34"/>
        <v>0</v>
      </c>
    </row>
    <row r="141" spans="2:16" ht="12.5">
      <c r="B141" s="195" t="str">
        <f t="shared" si="25"/>
        <v/>
      </c>
      <c r="C141" s="507">
        <f>IF(D93="","-",+C140+1)</f>
        <v>2057</v>
      </c>
      <c r="D141" s="374">
        <f>IF(F140+SUM(E$99:E140)=D$92,F140,D$92-SUM(E$99:E140))</f>
        <v>0</v>
      </c>
      <c r="E141" s="522">
        <f t="shared" si="27"/>
        <v>0</v>
      </c>
      <c r="F141" s="523">
        <f t="shared" si="28"/>
        <v>0</v>
      </c>
      <c r="G141" s="523">
        <f t="shared" si="29"/>
        <v>0</v>
      </c>
      <c r="H141" s="526">
        <f t="shared" si="30"/>
        <v>0</v>
      </c>
      <c r="I141" s="577">
        <f t="shared" si="31"/>
        <v>0</v>
      </c>
      <c r="J141" s="514">
        <f t="shared" si="26"/>
        <v>0</v>
      </c>
      <c r="K141" s="514"/>
      <c r="L141" s="525"/>
      <c r="M141" s="514">
        <f t="shared" si="32"/>
        <v>0</v>
      </c>
      <c r="N141" s="525"/>
      <c r="O141" s="514">
        <f t="shared" si="33"/>
        <v>0</v>
      </c>
      <c r="P141" s="514">
        <f t="shared" si="34"/>
        <v>0</v>
      </c>
    </row>
    <row r="142" spans="2:16" ht="12.5">
      <c r="B142" s="195" t="str">
        <f t="shared" si="25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27"/>
        <v>0</v>
      </c>
      <c r="F142" s="523">
        <f t="shared" si="28"/>
        <v>0</v>
      </c>
      <c r="G142" s="523">
        <f t="shared" si="29"/>
        <v>0</v>
      </c>
      <c r="H142" s="526">
        <f t="shared" si="30"/>
        <v>0</v>
      </c>
      <c r="I142" s="577">
        <f t="shared" si="31"/>
        <v>0</v>
      </c>
      <c r="J142" s="514">
        <f t="shared" si="26"/>
        <v>0</v>
      </c>
      <c r="K142" s="514"/>
      <c r="L142" s="525"/>
      <c r="M142" s="514">
        <f t="shared" si="32"/>
        <v>0</v>
      </c>
      <c r="N142" s="525"/>
      <c r="O142" s="514">
        <f t="shared" si="33"/>
        <v>0</v>
      </c>
      <c r="P142" s="514">
        <f t="shared" si="34"/>
        <v>0</v>
      </c>
    </row>
    <row r="143" spans="2:16" ht="12.5">
      <c r="B143" s="195" t="str">
        <f t="shared" si="25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27"/>
        <v>0</v>
      </c>
      <c r="F143" s="523">
        <f t="shared" si="28"/>
        <v>0</v>
      </c>
      <c r="G143" s="523">
        <f t="shared" si="29"/>
        <v>0</v>
      </c>
      <c r="H143" s="526">
        <f t="shared" si="30"/>
        <v>0</v>
      </c>
      <c r="I143" s="577">
        <f t="shared" si="31"/>
        <v>0</v>
      </c>
      <c r="J143" s="514">
        <f t="shared" si="26"/>
        <v>0</v>
      </c>
      <c r="K143" s="514"/>
      <c r="L143" s="525"/>
      <c r="M143" s="514">
        <f t="shared" si="32"/>
        <v>0</v>
      </c>
      <c r="N143" s="525"/>
      <c r="O143" s="514">
        <f t="shared" si="33"/>
        <v>0</v>
      </c>
      <c r="P143" s="514">
        <f t="shared" si="34"/>
        <v>0</v>
      </c>
    </row>
    <row r="144" spans="2:16" ht="12.5">
      <c r="B144" s="195" t="str">
        <f t="shared" si="25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27"/>
        <v>0</v>
      </c>
      <c r="F144" s="523">
        <f t="shared" si="28"/>
        <v>0</v>
      </c>
      <c r="G144" s="523">
        <f t="shared" si="29"/>
        <v>0</v>
      </c>
      <c r="H144" s="526">
        <f t="shared" si="30"/>
        <v>0</v>
      </c>
      <c r="I144" s="577">
        <f t="shared" si="31"/>
        <v>0</v>
      </c>
      <c r="J144" s="514">
        <f t="shared" si="26"/>
        <v>0</v>
      </c>
      <c r="K144" s="514"/>
      <c r="L144" s="525"/>
      <c r="M144" s="514">
        <f t="shared" si="32"/>
        <v>0</v>
      </c>
      <c r="N144" s="525"/>
      <c r="O144" s="514">
        <f t="shared" si="33"/>
        <v>0</v>
      </c>
      <c r="P144" s="514">
        <f t="shared" si="34"/>
        <v>0</v>
      </c>
    </row>
    <row r="145" spans="2:16" ht="12.5">
      <c r="B145" s="195" t="str">
        <f t="shared" si="25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27"/>
        <v>0</v>
      </c>
      <c r="F145" s="523">
        <f t="shared" si="28"/>
        <v>0</v>
      </c>
      <c r="G145" s="523">
        <f t="shared" si="29"/>
        <v>0</v>
      </c>
      <c r="H145" s="526">
        <f t="shared" si="30"/>
        <v>0</v>
      </c>
      <c r="I145" s="577">
        <f t="shared" si="31"/>
        <v>0</v>
      </c>
      <c r="J145" s="514">
        <f t="shared" si="26"/>
        <v>0</v>
      </c>
      <c r="K145" s="514"/>
      <c r="L145" s="525"/>
      <c r="M145" s="514">
        <f t="shared" si="32"/>
        <v>0</v>
      </c>
      <c r="N145" s="525"/>
      <c r="O145" s="514">
        <f t="shared" si="33"/>
        <v>0</v>
      </c>
      <c r="P145" s="514">
        <f t="shared" si="34"/>
        <v>0</v>
      </c>
    </row>
    <row r="146" spans="2:16" ht="12.5">
      <c r="B146" s="195" t="str">
        <f t="shared" si="25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27"/>
        <v>0</v>
      </c>
      <c r="F146" s="523">
        <f t="shared" si="28"/>
        <v>0</v>
      </c>
      <c r="G146" s="523">
        <f t="shared" si="29"/>
        <v>0</v>
      </c>
      <c r="H146" s="526">
        <f t="shared" si="30"/>
        <v>0</v>
      </c>
      <c r="I146" s="577">
        <f t="shared" si="31"/>
        <v>0</v>
      </c>
      <c r="J146" s="514">
        <f t="shared" si="26"/>
        <v>0</v>
      </c>
      <c r="K146" s="514"/>
      <c r="L146" s="525"/>
      <c r="M146" s="514">
        <f t="shared" si="32"/>
        <v>0</v>
      </c>
      <c r="N146" s="525"/>
      <c r="O146" s="514">
        <f t="shared" si="33"/>
        <v>0</v>
      </c>
      <c r="P146" s="514">
        <f t="shared" si="34"/>
        <v>0</v>
      </c>
    </row>
    <row r="147" spans="2:16" ht="12.5">
      <c r="B147" s="195" t="str">
        <f t="shared" si="25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27"/>
        <v>0</v>
      </c>
      <c r="F147" s="523">
        <f t="shared" si="28"/>
        <v>0</v>
      </c>
      <c r="G147" s="523">
        <f t="shared" si="29"/>
        <v>0</v>
      </c>
      <c r="H147" s="526">
        <f t="shared" si="30"/>
        <v>0</v>
      </c>
      <c r="I147" s="577">
        <f t="shared" si="31"/>
        <v>0</v>
      </c>
      <c r="J147" s="514">
        <f t="shared" si="26"/>
        <v>0</v>
      </c>
      <c r="K147" s="514"/>
      <c r="L147" s="525"/>
      <c r="M147" s="514">
        <f t="shared" si="32"/>
        <v>0</v>
      </c>
      <c r="N147" s="525"/>
      <c r="O147" s="514">
        <f t="shared" si="33"/>
        <v>0</v>
      </c>
      <c r="P147" s="514">
        <f t="shared" si="34"/>
        <v>0</v>
      </c>
    </row>
    <row r="148" spans="2:16" ht="12.5">
      <c r="B148" s="195" t="str">
        <f t="shared" si="25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27"/>
        <v>0</v>
      </c>
      <c r="F148" s="523">
        <f t="shared" si="28"/>
        <v>0</v>
      </c>
      <c r="G148" s="523">
        <f t="shared" si="29"/>
        <v>0</v>
      </c>
      <c r="H148" s="526">
        <f t="shared" si="30"/>
        <v>0</v>
      </c>
      <c r="I148" s="577">
        <f t="shared" si="31"/>
        <v>0</v>
      </c>
      <c r="J148" s="514">
        <f t="shared" si="26"/>
        <v>0</v>
      </c>
      <c r="K148" s="514"/>
      <c r="L148" s="525"/>
      <c r="M148" s="514">
        <f t="shared" si="32"/>
        <v>0</v>
      </c>
      <c r="N148" s="525"/>
      <c r="O148" s="514">
        <f t="shared" si="33"/>
        <v>0</v>
      </c>
      <c r="P148" s="514">
        <f t="shared" si="34"/>
        <v>0</v>
      </c>
    </row>
    <row r="149" spans="2:16" ht="12.5">
      <c r="B149" s="195" t="str">
        <f t="shared" si="25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27"/>
        <v>0</v>
      </c>
      <c r="F149" s="523">
        <f t="shared" si="28"/>
        <v>0</v>
      </c>
      <c r="G149" s="523">
        <f t="shared" si="29"/>
        <v>0</v>
      </c>
      <c r="H149" s="526">
        <f t="shared" si="30"/>
        <v>0</v>
      </c>
      <c r="I149" s="577">
        <f t="shared" si="31"/>
        <v>0</v>
      </c>
      <c r="J149" s="514">
        <f t="shared" si="26"/>
        <v>0</v>
      </c>
      <c r="K149" s="514"/>
      <c r="L149" s="525"/>
      <c r="M149" s="514">
        <f t="shared" si="32"/>
        <v>0</v>
      </c>
      <c r="N149" s="525"/>
      <c r="O149" s="514">
        <f t="shared" si="33"/>
        <v>0</v>
      </c>
      <c r="P149" s="514">
        <f t="shared" si="34"/>
        <v>0</v>
      </c>
    </row>
    <row r="150" spans="2:16" ht="12.5">
      <c r="B150" s="195" t="str">
        <f t="shared" si="25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27"/>
        <v>0</v>
      </c>
      <c r="F150" s="523">
        <f t="shared" si="28"/>
        <v>0</v>
      </c>
      <c r="G150" s="523">
        <f t="shared" si="29"/>
        <v>0</v>
      </c>
      <c r="H150" s="526">
        <f t="shared" si="30"/>
        <v>0</v>
      </c>
      <c r="I150" s="577">
        <f t="shared" si="31"/>
        <v>0</v>
      </c>
      <c r="J150" s="514">
        <f t="shared" si="26"/>
        <v>0</v>
      </c>
      <c r="K150" s="514"/>
      <c r="L150" s="525"/>
      <c r="M150" s="514">
        <f t="shared" si="32"/>
        <v>0</v>
      </c>
      <c r="N150" s="525"/>
      <c r="O150" s="514">
        <f t="shared" si="33"/>
        <v>0</v>
      </c>
      <c r="P150" s="514">
        <f t="shared" si="34"/>
        <v>0</v>
      </c>
    </row>
    <row r="151" spans="2:16" ht="12.5">
      <c r="B151" s="195" t="str">
        <f t="shared" si="25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27"/>
        <v>0</v>
      </c>
      <c r="F151" s="523">
        <f t="shared" si="28"/>
        <v>0</v>
      </c>
      <c r="G151" s="523">
        <f t="shared" si="29"/>
        <v>0</v>
      </c>
      <c r="H151" s="526">
        <f t="shared" si="30"/>
        <v>0</v>
      </c>
      <c r="I151" s="577">
        <f t="shared" si="31"/>
        <v>0</v>
      </c>
      <c r="J151" s="514">
        <f t="shared" si="26"/>
        <v>0</v>
      </c>
      <c r="K151" s="514"/>
      <c r="L151" s="525"/>
      <c r="M151" s="514">
        <f t="shared" si="32"/>
        <v>0</v>
      </c>
      <c r="N151" s="525"/>
      <c r="O151" s="514">
        <f t="shared" si="33"/>
        <v>0</v>
      </c>
      <c r="P151" s="514">
        <f t="shared" si="34"/>
        <v>0</v>
      </c>
    </row>
    <row r="152" spans="2:16" ht="12.5">
      <c r="B152" s="195" t="str">
        <f t="shared" si="25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27"/>
        <v>0</v>
      </c>
      <c r="F152" s="523">
        <f t="shared" si="28"/>
        <v>0</v>
      </c>
      <c r="G152" s="523">
        <f t="shared" si="29"/>
        <v>0</v>
      </c>
      <c r="H152" s="526">
        <f t="shared" si="30"/>
        <v>0</v>
      </c>
      <c r="I152" s="577">
        <f t="shared" si="31"/>
        <v>0</v>
      </c>
      <c r="J152" s="514">
        <f t="shared" si="26"/>
        <v>0</v>
      </c>
      <c r="K152" s="514"/>
      <c r="L152" s="525"/>
      <c r="M152" s="514">
        <f t="shared" si="32"/>
        <v>0</v>
      </c>
      <c r="N152" s="525"/>
      <c r="O152" s="514">
        <f t="shared" si="33"/>
        <v>0</v>
      </c>
      <c r="P152" s="514">
        <f t="shared" si="34"/>
        <v>0</v>
      </c>
    </row>
    <row r="153" spans="2:16" ht="12.5">
      <c r="B153" s="195" t="str">
        <f t="shared" si="25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27"/>
        <v>0</v>
      </c>
      <c r="F153" s="523">
        <f t="shared" si="28"/>
        <v>0</v>
      </c>
      <c r="G153" s="523">
        <f t="shared" si="29"/>
        <v>0</v>
      </c>
      <c r="H153" s="526">
        <f t="shared" si="30"/>
        <v>0</v>
      </c>
      <c r="I153" s="577">
        <f t="shared" si="31"/>
        <v>0</v>
      </c>
      <c r="J153" s="514">
        <f t="shared" si="26"/>
        <v>0</v>
      </c>
      <c r="K153" s="514"/>
      <c r="L153" s="525"/>
      <c r="M153" s="514">
        <f t="shared" si="32"/>
        <v>0</v>
      </c>
      <c r="N153" s="525"/>
      <c r="O153" s="514">
        <f t="shared" si="33"/>
        <v>0</v>
      </c>
      <c r="P153" s="514">
        <f t="shared" si="34"/>
        <v>0</v>
      </c>
    </row>
    <row r="154" spans="2:16" ht="13" thickBot="1">
      <c r="B154" s="195" t="str">
        <f t="shared" si="25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27"/>
        <v>0</v>
      </c>
      <c r="F154" s="523">
        <f t="shared" si="28"/>
        <v>0</v>
      </c>
      <c r="G154" s="523">
        <f t="shared" si="29"/>
        <v>0</v>
      </c>
      <c r="H154" s="526">
        <f t="shared" si="30"/>
        <v>0</v>
      </c>
      <c r="I154" s="577">
        <f t="shared" si="31"/>
        <v>0</v>
      </c>
      <c r="J154" s="514">
        <f t="shared" si="26"/>
        <v>0</v>
      </c>
      <c r="K154" s="514"/>
      <c r="L154" s="532"/>
      <c r="M154" s="533">
        <f t="shared" si="32"/>
        <v>0</v>
      </c>
      <c r="N154" s="532"/>
      <c r="O154" s="533">
        <f t="shared" si="33"/>
        <v>0</v>
      </c>
      <c r="P154" s="533">
        <f t="shared" si="34"/>
        <v>0</v>
      </c>
    </row>
    <row r="155" spans="2:16" ht="12.5">
      <c r="C155" s="374" t="s">
        <v>78</v>
      </c>
      <c r="D155" s="375"/>
      <c r="E155" s="375">
        <f>SUM(E99:E154)</f>
        <v>15930624</v>
      </c>
      <c r="F155" s="375"/>
      <c r="G155" s="375"/>
      <c r="H155" s="375">
        <f>SUM(H99:H154)</f>
        <v>53483671.727351546</v>
      </c>
      <c r="I155" s="375">
        <f>SUM(I99:I154)</f>
        <v>53483671.727351546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60" priority="1" stopIfTrue="1" operator="equal">
      <formula>$I$10</formula>
    </cfRule>
  </conditionalFormatting>
  <conditionalFormatting sqref="C99:C154">
    <cfRule type="cellIs" dxfId="59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100"/>
  <dimension ref="A1:P162"/>
  <sheetViews>
    <sheetView view="pageBreakPreview" zoomScale="82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51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705021.28192113526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705021.28192113526</v>
      </c>
      <c r="O6" s="269"/>
      <c r="P6" s="269"/>
    </row>
    <row r="7" spans="1:16" ht="13.5" thickBot="1">
      <c r="C7" s="467" t="s">
        <v>48</v>
      </c>
      <c r="D7" s="624" t="s">
        <v>339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466</v>
      </c>
      <c r="E9" s="637" t="s">
        <v>398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5522411.1500000004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131485.97976190477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5200000</v>
      </c>
      <c r="E17" s="638">
        <v>0</v>
      </c>
      <c r="F17" s="629">
        <v>5200000</v>
      </c>
      <c r="G17" s="638">
        <v>684864.96507057885</v>
      </c>
      <c r="H17" s="639">
        <v>684864.96507057885</v>
      </c>
      <c r="I17" s="511">
        <v>0</v>
      </c>
      <c r="J17" s="511"/>
      <c r="K17" s="518">
        <f t="shared" ref="K17:K22" si="0">G17</f>
        <v>684864.96507057885</v>
      </c>
      <c r="L17" s="519">
        <f t="shared" ref="L17:L22" si="1">IF(K17&lt;&gt;0,+G17-K17,0)</f>
        <v>0</v>
      </c>
      <c r="M17" s="518">
        <f t="shared" ref="M17:M22" si="2">H17</f>
        <v>684864.96507057885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5366606</v>
      </c>
      <c r="E18" s="630">
        <v>127776.33333333333</v>
      </c>
      <c r="F18" s="631">
        <v>5238829.666666667</v>
      </c>
      <c r="G18" s="630">
        <v>809243.16550170211</v>
      </c>
      <c r="H18" s="639">
        <v>809243.16550170211</v>
      </c>
      <c r="I18" s="511">
        <f>H18-G18</f>
        <v>0</v>
      </c>
      <c r="J18" s="511"/>
      <c r="K18" s="518">
        <f t="shared" si="0"/>
        <v>809243.16550170211</v>
      </c>
      <c r="L18" s="519">
        <f t="shared" si="1"/>
        <v>0</v>
      </c>
      <c r="M18" s="518">
        <f t="shared" si="2"/>
        <v>809243.16550170211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5301908.666666667</v>
      </c>
      <c r="E19" s="630">
        <v>126271.74418604652</v>
      </c>
      <c r="F19" s="631">
        <v>5175636.9224806204</v>
      </c>
      <c r="G19" s="630">
        <v>775316.5787465215</v>
      </c>
      <c r="H19" s="639">
        <v>775316.5787465215</v>
      </c>
      <c r="I19" s="511">
        <f t="shared" ref="I19:I72" si="3">H19-G19</f>
        <v>0</v>
      </c>
      <c r="J19" s="511"/>
      <c r="K19" s="518">
        <f t="shared" si="0"/>
        <v>775316.5787465215</v>
      </c>
      <c r="L19" s="519">
        <f t="shared" si="1"/>
        <v>0</v>
      </c>
      <c r="M19" s="518">
        <f t="shared" si="2"/>
        <v>775316.5787465215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5175636.9224806204</v>
      </c>
      <c r="E20" s="630">
        <v>132431.34146341463</v>
      </c>
      <c r="F20" s="631">
        <v>5043205.5810172055</v>
      </c>
      <c r="G20" s="630">
        <v>781808.63149934181</v>
      </c>
      <c r="H20" s="639">
        <v>781808.63149934181</v>
      </c>
      <c r="I20" s="511">
        <f t="shared" si="3"/>
        <v>0</v>
      </c>
      <c r="J20" s="511"/>
      <c r="K20" s="518">
        <f t="shared" si="0"/>
        <v>781808.63149934181</v>
      </c>
      <c r="L20" s="519">
        <f t="shared" si="1"/>
        <v>0</v>
      </c>
      <c r="M20" s="518">
        <f t="shared" si="2"/>
        <v>781808.63149934181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5043205.5810172055</v>
      </c>
      <c r="E21" s="630">
        <v>132431.34146341463</v>
      </c>
      <c r="F21" s="631">
        <v>4910774.2395537905</v>
      </c>
      <c r="G21" s="630">
        <v>764977.38948618842</v>
      </c>
      <c r="H21" s="639">
        <v>764977.38948618842</v>
      </c>
      <c r="I21" s="511">
        <f t="shared" si="3"/>
        <v>0</v>
      </c>
      <c r="J21" s="511"/>
      <c r="K21" s="518">
        <f t="shared" si="0"/>
        <v>764977.38948618842</v>
      </c>
      <c r="L21" s="519">
        <f t="shared" si="1"/>
        <v>0</v>
      </c>
      <c r="M21" s="518">
        <f t="shared" si="2"/>
        <v>764977.38948618842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>IU</v>
      </c>
      <c r="C22" s="507">
        <f>IF(D11="","-",+C21+1)</f>
        <v>2020</v>
      </c>
      <c r="D22" s="631">
        <v>5003500.2395537905</v>
      </c>
      <c r="E22" s="630">
        <v>134692.95121951221</v>
      </c>
      <c r="F22" s="631">
        <v>4868807.2883342784</v>
      </c>
      <c r="G22" s="630">
        <v>639836.49401838449</v>
      </c>
      <c r="H22" s="639">
        <v>639836.49401838449</v>
      </c>
      <c r="I22" s="511">
        <f t="shared" si="3"/>
        <v>0</v>
      </c>
      <c r="J22" s="511"/>
      <c r="K22" s="518">
        <f t="shared" si="0"/>
        <v>639836.49401838449</v>
      </c>
      <c r="L22" s="519">
        <f t="shared" si="1"/>
        <v>0</v>
      </c>
      <c r="M22" s="518">
        <f t="shared" si="2"/>
        <v>639836.49401838449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631">
        <v>4874966.8856116468</v>
      </c>
      <c r="E23" s="630">
        <v>131485.97619047618</v>
      </c>
      <c r="F23" s="631">
        <v>4743480.9094211711</v>
      </c>
      <c r="G23" s="630">
        <v>641285.56745480897</v>
      </c>
      <c r="H23" s="639">
        <v>641285.56745480897</v>
      </c>
      <c r="I23" s="511">
        <f t="shared" si="3"/>
        <v>0</v>
      </c>
      <c r="J23" s="511"/>
      <c r="K23" s="518">
        <f t="shared" ref="K23" si="7">G23</f>
        <v>641285.56745480897</v>
      </c>
      <c r="L23" s="519">
        <f t="shared" ref="L23" si="8">IF(K23&lt;&gt;0,+G23-K23,0)</f>
        <v>0</v>
      </c>
      <c r="M23" s="518">
        <f t="shared" ref="M23" si="9">H23</f>
        <v>641285.56745480897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>IU</v>
      </c>
      <c r="C24" s="507">
        <f>IF(D11="","-",+C23+1)</f>
        <v>2022</v>
      </c>
      <c r="D24" s="631">
        <v>4737321.3121438026</v>
      </c>
      <c r="E24" s="630">
        <v>131485.97619047618</v>
      </c>
      <c r="F24" s="631">
        <v>4605835.3359533269</v>
      </c>
      <c r="G24" s="630">
        <v>656777.38185664476</v>
      </c>
      <c r="H24" s="639">
        <v>656777.38185664476</v>
      </c>
      <c r="I24" s="511">
        <f t="shared" si="3"/>
        <v>0</v>
      </c>
      <c r="J24" s="511"/>
      <c r="K24" s="518">
        <f t="shared" ref="K24" si="10">G24</f>
        <v>656777.38185664476</v>
      </c>
      <c r="L24" s="519">
        <f t="shared" ref="L24" si="11">IF(K24&lt;&gt;0,+G24-K24,0)</f>
        <v>0</v>
      </c>
      <c r="M24" s="518">
        <f t="shared" ref="M24" si="12">H24</f>
        <v>656777.38185664476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>IU</v>
      </c>
      <c r="C25" s="507">
        <f>IF(D11="","-",+C24+1)</f>
        <v>2023</v>
      </c>
      <c r="D25" s="523">
        <f>IF(F24+SUM(E$17:E24)=D$10,F24,D$10-SUM(E$17:E24))</f>
        <v>4605835.4859533263</v>
      </c>
      <c r="E25" s="522">
        <f t="shared" ref="E25:E72" si="13">IF(+$I$14&lt;F24,$I$14,D25)</f>
        <v>131485.97976190477</v>
      </c>
      <c r="F25" s="523">
        <f t="shared" ref="F25:F72" si="14">+D25-E25</f>
        <v>4474349.5061914213</v>
      </c>
      <c r="G25" s="524">
        <f t="shared" ref="G25:G50" si="15">+I$12*((D25+F25)/2)+E25</f>
        <v>705021.28192113526</v>
      </c>
      <c r="H25" s="491">
        <f t="shared" ref="H25:H50" si="16">+I$13*((D25+F25)/2)+E25</f>
        <v>705021.28192113526</v>
      </c>
      <c r="I25" s="511">
        <f t="shared" si="3"/>
        <v>0</v>
      </c>
      <c r="J25" s="511"/>
      <c r="K25" s="525"/>
      <c r="L25" s="514">
        <f t="shared" ref="L25:L72" si="17">IF(K25&lt;&gt;0,+G25-K25,0)</f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4474349.5061914213</v>
      </c>
      <c r="E26" s="522">
        <f t="shared" si="13"/>
        <v>131485.97976190477</v>
      </c>
      <c r="F26" s="523">
        <f t="shared" si="14"/>
        <v>4342863.5264295163</v>
      </c>
      <c r="G26" s="524">
        <f t="shared" si="15"/>
        <v>688411.08043345937</v>
      </c>
      <c r="H26" s="491">
        <f t="shared" si="16"/>
        <v>688411.08043345937</v>
      </c>
      <c r="I26" s="511">
        <f t="shared" si="3"/>
        <v>0</v>
      </c>
      <c r="J26" s="511"/>
      <c r="K26" s="525"/>
      <c r="L26" s="514">
        <f t="shared" si="17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4342863.5264295163</v>
      </c>
      <c r="E27" s="522">
        <f t="shared" si="13"/>
        <v>131485.97976190477</v>
      </c>
      <c r="F27" s="523">
        <f t="shared" si="14"/>
        <v>4211377.5466676112</v>
      </c>
      <c r="G27" s="524">
        <f t="shared" si="15"/>
        <v>671800.87894578383</v>
      </c>
      <c r="H27" s="491">
        <f t="shared" si="16"/>
        <v>671800.87894578383</v>
      </c>
      <c r="I27" s="511">
        <f t="shared" si="3"/>
        <v>0</v>
      </c>
      <c r="J27" s="511"/>
      <c r="K27" s="525"/>
      <c r="L27" s="514">
        <f t="shared" si="17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4211377.5466676112</v>
      </c>
      <c r="E28" s="522">
        <f t="shared" si="13"/>
        <v>131485.97976190477</v>
      </c>
      <c r="F28" s="523">
        <f t="shared" si="14"/>
        <v>4079891.5669057067</v>
      </c>
      <c r="G28" s="524">
        <f t="shared" si="15"/>
        <v>655190.67745810805</v>
      </c>
      <c r="H28" s="491">
        <f t="shared" si="16"/>
        <v>655190.67745810805</v>
      </c>
      <c r="I28" s="511">
        <f t="shared" si="3"/>
        <v>0</v>
      </c>
      <c r="J28" s="511"/>
      <c r="K28" s="525"/>
      <c r="L28" s="514">
        <f t="shared" si="1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4079891.5669057067</v>
      </c>
      <c r="E29" s="522">
        <f t="shared" si="13"/>
        <v>131485.97976190477</v>
      </c>
      <c r="F29" s="523">
        <f t="shared" si="14"/>
        <v>3948405.5871438021</v>
      </c>
      <c r="G29" s="524">
        <f t="shared" si="15"/>
        <v>638580.4759704324</v>
      </c>
      <c r="H29" s="491">
        <f t="shared" si="16"/>
        <v>638580.4759704324</v>
      </c>
      <c r="I29" s="511">
        <f t="shared" si="3"/>
        <v>0</v>
      </c>
      <c r="J29" s="511"/>
      <c r="K29" s="525"/>
      <c r="L29" s="514">
        <f t="shared" si="1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3948405.5871438021</v>
      </c>
      <c r="E30" s="522">
        <f t="shared" si="13"/>
        <v>131485.97976190477</v>
      </c>
      <c r="F30" s="523">
        <f t="shared" si="14"/>
        <v>3816919.6073818975</v>
      </c>
      <c r="G30" s="524">
        <f t="shared" si="15"/>
        <v>621970.27448275674</v>
      </c>
      <c r="H30" s="491">
        <f t="shared" si="16"/>
        <v>621970.27448275674</v>
      </c>
      <c r="I30" s="511">
        <f t="shared" si="3"/>
        <v>0</v>
      </c>
      <c r="J30" s="511"/>
      <c r="K30" s="525"/>
      <c r="L30" s="514">
        <f t="shared" si="1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3816919.6073818975</v>
      </c>
      <c r="E31" s="522">
        <f t="shared" si="13"/>
        <v>131485.97976190477</v>
      </c>
      <c r="F31" s="523">
        <f t="shared" si="14"/>
        <v>3685433.6276199929</v>
      </c>
      <c r="G31" s="524">
        <f t="shared" si="15"/>
        <v>605360.07299508108</v>
      </c>
      <c r="H31" s="491">
        <f t="shared" si="16"/>
        <v>605360.07299508108</v>
      </c>
      <c r="I31" s="511">
        <f t="shared" si="3"/>
        <v>0</v>
      </c>
      <c r="J31" s="511"/>
      <c r="K31" s="525"/>
      <c r="L31" s="514">
        <f t="shared" si="1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3685433.6276199929</v>
      </c>
      <c r="E32" s="522">
        <f t="shared" si="13"/>
        <v>131485.97976190477</v>
      </c>
      <c r="F32" s="523">
        <f t="shared" si="14"/>
        <v>3553947.6478580884</v>
      </c>
      <c r="G32" s="524">
        <f t="shared" si="15"/>
        <v>588749.87150740554</v>
      </c>
      <c r="H32" s="491">
        <f t="shared" si="16"/>
        <v>588749.87150740554</v>
      </c>
      <c r="I32" s="511">
        <f t="shared" si="3"/>
        <v>0</v>
      </c>
      <c r="J32" s="511"/>
      <c r="K32" s="525"/>
      <c r="L32" s="514">
        <f t="shared" si="1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3553947.6478580884</v>
      </c>
      <c r="E33" s="522">
        <f t="shared" si="13"/>
        <v>131485.97976190477</v>
      </c>
      <c r="F33" s="523">
        <f t="shared" si="14"/>
        <v>3422461.6680961838</v>
      </c>
      <c r="G33" s="524">
        <f t="shared" si="15"/>
        <v>572139.67001972976</v>
      </c>
      <c r="H33" s="491">
        <f t="shared" si="16"/>
        <v>572139.67001972976</v>
      </c>
      <c r="I33" s="511">
        <f t="shared" si="3"/>
        <v>0</v>
      </c>
      <c r="J33" s="511"/>
      <c r="K33" s="525"/>
      <c r="L33" s="514">
        <f t="shared" si="1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3422461.6680961838</v>
      </c>
      <c r="E34" s="522">
        <f t="shared" si="13"/>
        <v>131485.97976190477</v>
      </c>
      <c r="F34" s="523">
        <f t="shared" si="14"/>
        <v>3290975.6883342792</v>
      </c>
      <c r="G34" s="524">
        <f t="shared" si="15"/>
        <v>555529.46853205422</v>
      </c>
      <c r="H34" s="491">
        <f t="shared" si="16"/>
        <v>555529.46853205422</v>
      </c>
      <c r="I34" s="511">
        <f t="shared" si="3"/>
        <v>0</v>
      </c>
      <c r="J34" s="511"/>
      <c r="K34" s="525"/>
      <c r="L34" s="514">
        <f t="shared" si="1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3290975.6883342792</v>
      </c>
      <c r="E35" s="522">
        <f t="shared" si="13"/>
        <v>131485.97976190477</v>
      </c>
      <c r="F35" s="523">
        <f t="shared" si="14"/>
        <v>3159489.7085723747</v>
      </c>
      <c r="G35" s="524">
        <f t="shared" si="15"/>
        <v>538919.26704437844</v>
      </c>
      <c r="H35" s="491">
        <f t="shared" si="16"/>
        <v>538919.26704437844</v>
      </c>
      <c r="I35" s="511">
        <f t="shared" si="3"/>
        <v>0</v>
      </c>
      <c r="J35" s="511"/>
      <c r="K35" s="525"/>
      <c r="L35" s="514">
        <f t="shared" si="1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3159489.7085723747</v>
      </c>
      <c r="E36" s="522">
        <f t="shared" si="13"/>
        <v>131485.97976190477</v>
      </c>
      <c r="F36" s="523">
        <f t="shared" si="14"/>
        <v>3028003.7288104701</v>
      </c>
      <c r="G36" s="524">
        <f t="shared" si="15"/>
        <v>522309.0655567029</v>
      </c>
      <c r="H36" s="491">
        <f t="shared" si="16"/>
        <v>522309.0655567029</v>
      </c>
      <c r="I36" s="511">
        <f t="shared" si="3"/>
        <v>0</v>
      </c>
      <c r="J36" s="511"/>
      <c r="K36" s="525"/>
      <c r="L36" s="514">
        <f t="shared" si="1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3028003.7288104701</v>
      </c>
      <c r="E37" s="522">
        <f t="shared" si="13"/>
        <v>131485.97976190477</v>
      </c>
      <c r="F37" s="523">
        <f t="shared" si="14"/>
        <v>2896517.7490485655</v>
      </c>
      <c r="G37" s="524">
        <f t="shared" si="15"/>
        <v>505698.86406902724</v>
      </c>
      <c r="H37" s="491">
        <f t="shared" si="16"/>
        <v>505698.86406902724</v>
      </c>
      <c r="I37" s="511">
        <f t="shared" si="3"/>
        <v>0</v>
      </c>
      <c r="J37" s="511"/>
      <c r="K37" s="525"/>
      <c r="L37" s="514">
        <f t="shared" si="1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2896517.7490485655</v>
      </c>
      <c r="E38" s="522">
        <f t="shared" si="13"/>
        <v>131485.97976190477</v>
      </c>
      <c r="F38" s="523">
        <f t="shared" si="14"/>
        <v>2765031.7692866609</v>
      </c>
      <c r="G38" s="524">
        <f t="shared" si="15"/>
        <v>489088.66258135159</v>
      </c>
      <c r="H38" s="491">
        <f t="shared" si="16"/>
        <v>489088.66258135159</v>
      </c>
      <c r="I38" s="511">
        <f t="shared" si="3"/>
        <v>0</v>
      </c>
      <c r="J38" s="511"/>
      <c r="K38" s="525"/>
      <c r="L38" s="514">
        <f t="shared" si="1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2765031.7692866609</v>
      </c>
      <c r="E39" s="522">
        <f t="shared" si="13"/>
        <v>131485.97976190477</v>
      </c>
      <c r="F39" s="523">
        <f t="shared" si="14"/>
        <v>2633545.7895247564</v>
      </c>
      <c r="G39" s="524">
        <f t="shared" si="15"/>
        <v>472478.46109367593</v>
      </c>
      <c r="H39" s="491">
        <f t="shared" si="16"/>
        <v>472478.46109367593</v>
      </c>
      <c r="I39" s="511">
        <f t="shared" si="3"/>
        <v>0</v>
      </c>
      <c r="J39" s="511"/>
      <c r="K39" s="525"/>
      <c r="L39" s="514">
        <f t="shared" si="1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2633545.7895247564</v>
      </c>
      <c r="E40" s="522">
        <f t="shared" si="13"/>
        <v>131485.97976190477</v>
      </c>
      <c r="F40" s="523">
        <f t="shared" si="14"/>
        <v>2502059.8097628518</v>
      </c>
      <c r="G40" s="524">
        <f t="shared" si="15"/>
        <v>455868.25960600027</v>
      </c>
      <c r="H40" s="491">
        <f t="shared" si="16"/>
        <v>455868.25960600027</v>
      </c>
      <c r="I40" s="511">
        <f t="shared" si="3"/>
        <v>0</v>
      </c>
      <c r="J40" s="511"/>
      <c r="K40" s="525"/>
      <c r="L40" s="514">
        <f t="shared" si="1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2502059.8097628518</v>
      </c>
      <c r="E41" s="522">
        <f t="shared" si="13"/>
        <v>131485.97976190477</v>
      </c>
      <c r="F41" s="523">
        <f t="shared" si="14"/>
        <v>2370573.8300009472</v>
      </c>
      <c r="G41" s="524">
        <f t="shared" si="15"/>
        <v>439258.05811832461</v>
      </c>
      <c r="H41" s="491">
        <f t="shared" si="16"/>
        <v>439258.05811832461</v>
      </c>
      <c r="I41" s="511">
        <f t="shared" si="3"/>
        <v>0</v>
      </c>
      <c r="J41" s="511"/>
      <c r="K41" s="525"/>
      <c r="L41" s="514">
        <f t="shared" si="1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2370573.8300009472</v>
      </c>
      <c r="E42" s="522">
        <f t="shared" si="13"/>
        <v>131485.97976190477</v>
      </c>
      <c r="F42" s="523">
        <f t="shared" si="14"/>
        <v>2239087.8502390427</v>
      </c>
      <c r="G42" s="524">
        <f t="shared" si="15"/>
        <v>422647.85663064907</v>
      </c>
      <c r="H42" s="491">
        <f t="shared" si="16"/>
        <v>422647.85663064907</v>
      </c>
      <c r="I42" s="511">
        <f t="shared" si="3"/>
        <v>0</v>
      </c>
      <c r="J42" s="511"/>
      <c r="K42" s="525"/>
      <c r="L42" s="514">
        <f t="shared" si="1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2239087.8502390427</v>
      </c>
      <c r="E43" s="522">
        <f t="shared" si="13"/>
        <v>131485.97976190477</v>
      </c>
      <c r="F43" s="523">
        <f t="shared" si="14"/>
        <v>2107601.8704771381</v>
      </c>
      <c r="G43" s="524">
        <f t="shared" si="15"/>
        <v>406037.65514297329</v>
      </c>
      <c r="H43" s="491">
        <f t="shared" si="16"/>
        <v>406037.65514297329</v>
      </c>
      <c r="I43" s="511">
        <f t="shared" si="3"/>
        <v>0</v>
      </c>
      <c r="J43" s="511"/>
      <c r="K43" s="525"/>
      <c r="L43" s="514">
        <f t="shared" si="1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2107601.8704771381</v>
      </c>
      <c r="E44" s="522">
        <f t="shared" si="13"/>
        <v>131485.97976190477</v>
      </c>
      <c r="F44" s="523">
        <f t="shared" si="14"/>
        <v>1976115.8907152333</v>
      </c>
      <c r="G44" s="524">
        <f t="shared" si="15"/>
        <v>389427.45365529764</v>
      </c>
      <c r="H44" s="491">
        <f t="shared" si="16"/>
        <v>389427.45365529764</v>
      </c>
      <c r="I44" s="511">
        <f t="shared" si="3"/>
        <v>0</v>
      </c>
      <c r="J44" s="511"/>
      <c r="K44" s="525"/>
      <c r="L44" s="514">
        <f t="shared" si="1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1976115.8907152333</v>
      </c>
      <c r="E45" s="522">
        <f t="shared" si="13"/>
        <v>131485.97976190477</v>
      </c>
      <c r="F45" s="523">
        <f t="shared" si="14"/>
        <v>1844629.9109533285</v>
      </c>
      <c r="G45" s="524">
        <f t="shared" si="15"/>
        <v>372817.25216762198</v>
      </c>
      <c r="H45" s="491">
        <f t="shared" si="16"/>
        <v>372817.25216762198</v>
      </c>
      <c r="I45" s="511">
        <f t="shared" si="3"/>
        <v>0</v>
      </c>
      <c r="J45" s="511"/>
      <c r="K45" s="525"/>
      <c r="L45" s="514">
        <f t="shared" si="1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1844629.9109533285</v>
      </c>
      <c r="E46" s="522">
        <f t="shared" si="13"/>
        <v>131485.97976190477</v>
      </c>
      <c r="F46" s="523">
        <f t="shared" si="14"/>
        <v>1713143.9311914237</v>
      </c>
      <c r="G46" s="524">
        <f t="shared" si="15"/>
        <v>356207.05067994632</v>
      </c>
      <c r="H46" s="491">
        <f t="shared" si="16"/>
        <v>356207.05067994632</v>
      </c>
      <c r="I46" s="511">
        <f t="shared" si="3"/>
        <v>0</v>
      </c>
      <c r="J46" s="511"/>
      <c r="K46" s="525"/>
      <c r="L46" s="514">
        <f t="shared" si="1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1713143.9311914237</v>
      </c>
      <c r="E47" s="522">
        <f t="shared" si="13"/>
        <v>131485.97976190477</v>
      </c>
      <c r="F47" s="523">
        <f t="shared" si="14"/>
        <v>1581657.9514295189</v>
      </c>
      <c r="G47" s="524">
        <f t="shared" si="15"/>
        <v>339596.84919227066</v>
      </c>
      <c r="H47" s="491">
        <f t="shared" si="16"/>
        <v>339596.84919227066</v>
      </c>
      <c r="I47" s="511">
        <f t="shared" si="3"/>
        <v>0</v>
      </c>
      <c r="J47" s="511"/>
      <c r="K47" s="525"/>
      <c r="L47" s="514">
        <f t="shared" si="1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1581657.9514295189</v>
      </c>
      <c r="E48" s="522">
        <f t="shared" si="13"/>
        <v>131485.97976190477</v>
      </c>
      <c r="F48" s="523">
        <f t="shared" si="14"/>
        <v>1450171.9716676141</v>
      </c>
      <c r="G48" s="524">
        <f t="shared" si="15"/>
        <v>322986.64770459494</v>
      </c>
      <c r="H48" s="491">
        <f t="shared" si="16"/>
        <v>322986.64770459494</v>
      </c>
      <c r="I48" s="511">
        <f t="shared" si="3"/>
        <v>0</v>
      </c>
      <c r="J48" s="511"/>
      <c r="K48" s="525"/>
      <c r="L48" s="514">
        <f t="shared" si="1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1450171.9716676141</v>
      </c>
      <c r="E49" s="522">
        <f t="shared" si="13"/>
        <v>131485.97976190477</v>
      </c>
      <c r="F49" s="523">
        <f t="shared" si="14"/>
        <v>1318685.9919057093</v>
      </c>
      <c r="G49" s="524">
        <f t="shared" si="15"/>
        <v>306376.44621691934</v>
      </c>
      <c r="H49" s="491">
        <f t="shared" si="16"/>
        <v>306376.44621691934</v>
      </c>
      <c r="I49" s="511">
        <f t="shared" si="3"/>
        <v>0</v>
      </c>
      <c r="J49" s="511"/>
      <c r="K49" s="525"/>
      <c r="L49" s="514">
        <f t="shared" si="1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1318685.9919057093</v>
      </c>
      <c r="E50" s="522">
        <f t="shared" si="13"/>
        <v>131485.97976190477</v>
      </c>
      <c r="F50" s="523">
        <f t="shared" si="14"/>
        <v>1187200.0121438045</v>
      </c>
      <c r="G50" s="524">
        <f t="shared" si="15"/>
        <v>289766.24472924357</v>
      </c>
      <c r="H50" s="491">
        <f t="shared" si="16"/>
        <v>289766.24472924357</v>
      </c>
      <c r="I50" s="511">
        <f t="shared" si="3"/>
        <v>0</v>
      </c>
      <c r="J50" s="511"/>
      <c r="K50" s="525"/>
      <c r="L50" s="514">
        <f t="shared" si="1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1187200.0121438045</v>
      </c>
      <c r="E51" s="522">
        <f t="shared" si="13"/>
        <v>131485.97976190477</v>
      </c>
      <c r="F51" s="523">
        <f t="shared" si="14"/>
        <v>1055714.0323818997</v>
      </c>
      <c r="G51" s="524">
        <f t="shared" ref="G51:G72" si="18">+I$12*((D51+F51)/2)+E51</f>
        <v>273156.04324156797</v>
      </c>
      <c r="H51" s="491">
        <f t="shared" ref="H51:H72" si="19">+I$13*((D51+F51)/2)+E51</f>
        <v>273156.04324156797</v>
      </c>
      <c r="I51" s="511">
        <f t="shared" si="3"/>
        <v>0</v>
      </c>
      <c r="J51" s="511"/>
      <c r="K51" s="525"/>
      <c r="L51" s="514">
        <f t="shared" si="1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1055714.0323818997</v>
      </c>
      <c r="E52" s="522">
        <f t="shared" si="13"/>
        <v>131485.97976190477</v>
      </c>
      <c r="F52" s="523">
        <f t="shared" si="14"/>
        <v>924228.05261999485</v>
      </c>
      <c r="G52" s="524">
        <f t="shared" si="18"/>
        <v>256545.84175389225</v>
      </c>
      <c r="H52" s="491">
        <f t="shared" si="19"/>
        <v>256545.84175389225</v>
      </c>
      <c r="I52" s="511">
        <f t="shared" si="3"/>
        <v>0</v>
      </c>
      <c r="J52" s="511"/>
      <c r="K52" s="525"/>
      <c r="L52" s="514">
        <f t="shared" si="1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924228.05261999485</v>
      </c>
      <c r="E53" s="522">
        <f t="shared" si="13"/>
        <v>131485.97976190477</v>
      </c>
      <c r="F53" s="523">
        <f t="shared" si="14"/>
        <v>792742.07285809005</v>
      </c>
      <c r="G53" s="524">
        <f t="shared" si="18"/>
        <v>239935.64026621659</v>
      </c>
      <c r="H53" s="491">
        <f t="shared" si="19"/>
        <v>239935.64026621659</v>
      </c>
      <c r="I53" s="511">
        <f t="shared" si="3"/>
        <v>0</v>
      </c>
      <c r="J53" s="511"/>
      <c r="K53" s="525"/>
      <c r="L53" s="514">
        <f t="shared" si="1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792742.07285809005</v>
      </c>
      <c r="E54" s="522">
        <f t="shared" si="13"/>
        <v>131485.97976190477</v>
      </c>
      <c r="F54" s="523">
        <f t="shared" si="14"/>
        <v>661256.09309618524</v>
      </c>
      <c r="G54" s="524">
        <f t="shared" si="18"/>
        <v>223325.43877854091</v>
      </c>
      <c r="H54" s="491">
        <f t="shared" si="19"/>
        <v>223325.43877854091</v>
      </c>
      <c r="I54" s="511">
        <f t="shared" si="3"/>
        <v>0</v>
      </c>
      <c r="J54" s="511"/>
      <c r="K54" s="525"/>
      <c r="L54" s="514">
        <f t="shared" si="1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661256.09309618524</v>
      </c>
      <c r="E55" s="522">
        <f t="shared" si="13"/>
        <v>131485.97976190477</v>
      </c>
      <c r="F55" s="523">
        <f t="shared" si="14"/>
        <v>529770.11333428044</v>
      </c>
      <c r="G55" s="524">
        <f t="shared" si="18"/>
        <v>206715.23729086522</v>
      </c>
      <c r="H55" s="491">
        <f t="shared" si="19"/>
        <v>206715.23729086522</v>
      </c>
      <c r="I55" s="511">
        <f t="shared" si="3"/>
        <v>0</v>
      </c>
      <c r="J55" s="511"/>
      <c r="K55" s="525"/>
      <c r="L55" s="514">
        <f t="shared" si="1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529770.11333428044</v>
      </c>
      <c r="E56" s="522">
        <f t="shared" si="13"/>
        <v>131485.97976190477</v>
      </c>
      <c r="F56" s="523">
        <f t="shared" si="14"/>
        <v>398284.13357237563</v>
      </c>
      <c r="G56" s="524">
        <f t="shared" si="18"/>
        <v>190105.03580318956</v>
      </c>
      <c r="H56" s="491">
        <f t="shared" si="19"/>
        <v>190105.03580318956</v>
      </c>
      <c r="I56" s="511">
        <f t="shared" si="3"/>
        <v>0</v>
      </c>
      <c r="J56" s="511"/>
      <c r="K56" s="525"/>
      <c r="L56" s="514">
        <f t="shared" si="1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398284.13357237563</v>
      </c>
      <c r="E57" s="522">
        <f t="shared" si="13"/>
        <v>131485.97976190477</v>
      </c>
      <c r="F57" s="523">
        <f t="shared" si="14"/>
        <v>266798.15381047083</v>
      </c>
      <c r="G57" s="524">
        <f t="shared" si="18"/>
        <v>173494.83431551387</v>
      </c>
      <c r="H57" s="491">
        <f t="shared" si="19"/>
        <v>173494.83431551387</v>
      </c>
      <c r="I57" s="511">
        <f t="shared" si="3"/>
        <v>0</v>
      </c>
      <c r="J57" s="511"/>
      <c r="K57" s="525"/>
      <c r="L57" s="514">
        <f t="shared" si="1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266798.15381047083</v>
      </c>
      <c r="E58" s="522">
        <f t="shared" si="13"/>
        <v>131485.97976190477</v>
      </c>
      <c r="F58" s="523">
        <f t="shared" si="14"/>
        <v>135312.17404856606</v>
      </c>
      <c r="G58" s="524">
        <f t="shared" si="18"/>
        <v>156884.63282783821</v>
      </c>
      <c r="H58" s="491">
        <f t="shared" si="19"/>
        <v>156884.63282783821</v>
      </c>
      <c r="I58" s="511">
        <f t="shared" si="3"/>
        <v>0</v>
      </c>
      <c r="J58" s="511"/>
      <c r="K58" s="525"/>
      <c r="L58" s="514">
        <f t="shared" si="1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135312.17404856606</v>
      </c>
      <c r="E59" s="522">
        <f t="shared" si="13"/>
        <v>131485.97976190477</v>
      </c>
      <c r="F59" s="523">
        <f t="shared" si="14"/>
        <v>3826.1942866612808</v>
      </c>
      <c r="G59" s="524">
        <f t="shared" si="18"/>
        <v>140274.43134016253</v>
      </c>
      <c r="H59" s="491">
        <f t="shared" si="19"/>
        <v>140274.43134016253</v>
      </c>
      <c r="I59" s="511">
        <f t="shared" si="3"/>
        <v>0</v>
      </c>
      <c r="J59" s="511"/>
      <c r="K59" s="525"/>
      <c r="L59" s="514">
        <f t="shared" si="1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3826.1942866612808</v>
      </c>
      <c r="E60" s="522">
        <f t="shared" si="13"/>
        <v>3826.1942866612808</v>
      </c>
      <c r="F60" s="523">
        <f t="shared" si="14"/>
        <v>0</v>
      </c>
      <c r="G60" s="524">
        <f t="shared" si="18"/>
        <v>4067.8697038712407</v>
      </c>
      <c r="H60" s="491">
        <f t="shared" si="19"/>
        <v>4067.8697038712407</v>
      </c>
      <c r="I60" s="511">
        <f t="shared" si="3"/>
        <v>0</v>
      </c>
      <c r="J60" s="511"/>
      <c r="K60" s="525"/>
      <c r="L60" s="514">
        <f t="shared" si="1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3"/>
        <v>0</v>
      </c>
      <c r="F61" s="523">
        <f t="shared" si="14"/>
        <v>0</v>
      </c>
      <c r="G61" s="524">
        <f t="shared" si="18"/>
        <v>0</v>
      </c>
      <c r="H61" s="491">
        <f t="shared" si="19"/>
        <v>0</v>
      </c>
      <c r="I61" s="511">
        <f t="shared" si="3"/>
        <v>0</v>
      </c>
      <c r="J61" s="511"/>
      <c r="K61" s="525"/>
      <c r="L61" s="514">
        <f t="shared" si="1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3"/>
        <v>0</v>
      </c>
      <c r="F62" s="523">
        <f t="shared" si="14"/>
        <v>0</v>
      </c>
      <c r="G62" s="524">
        <f t="shared" si="18"/>
        <v>0</v>
      </c>
      <c r="H62" s="491">
        <f t="shared" si="19"/>
        <v>0</v>
      </c>
      <c r="I62" s="511">
        <f t="shared" si="3"/>
        <v>0</v>
      </c>
      <c r="J62" s="511"/>
      <c r="K62" s="525"/>
      <c r="L62" s="514">
        <f t="shared" si="1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3"/>
        <v>0</v>
      </c>
      <c r="F63" s="523">
        <f t="shared" si="14"/>
        <v>0</v>
      </c>
      <c r="G63" s="524">
        <f t="shared" si="18"/>
        <v>0</v>
      </c>
      <c r="H63" s="491">
        <f t="shared" si="19"/>
        <v>0</v>
      </c>
      <c r="I63" s="511">
        <f t="shared" si="3"/>
        <v>0</v>
      </c>
      <c r="J63" s="511"/>
      <c r="K63" s="525"/>
      <c r="L63" s="514">
        <f t="shared" si="1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3"/>
        <v>0</v>
      </c>
      <c r="F64" s="523">
        <f t="shared" si="14"/>
        <v>0</v>
      </c>
      <c r="G64" s="524">
        <f t="shared" si="18"/>
        <v>0</v>
      </c>
      <c r="H64" s="491">
        <f t="shared" si="19"/>
        <v>0</v>
      </c>
      <c r="I64" s="511">
        <f t="shared" si="3"/>
        <v>0</v>
      </c>
      <c r="J64" s="511"/>
      <c r="K64" s="525"/>
      <c r="L64" s="514">
        <f t="shared" si="1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3"/>
        <v>0</v>
      </c>
      <c r="F65" s="523">
        <f t="shared" si="14"/>
        <v>0</v>
      </c>
      <c r="G65" s="524">
        <f t="shared" si="18"/>
        <v>0</v>
      </c>
      <c r="H65" s="491">
        <f t="shared" si="19"/>
        <v>0</v>
      </c>
      <c r="I65" s="511">
        <f t="shared" si="3"/>
        <v>0</v>
      </c>
      <c r="J65" s="511"/>
      <c r="K65" s="525"/>
      <c r="L65" s="514">
        <f t="shared" si="1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3"/>
        <v>0</v>
      </c>
      <c r="F66" s="523">
        <f t="shared" si="14"/>
        <v>0</v>
      </c>
      <c r="G66" s="524">
        <f t="shared" si="18"/>
        <v>0</v>
      </c>
      <c r="H66" s="491">
        <f t="shared" si="19"/>
        <v>0</v>
      </c>
      <c r="I66" s="511">
        <f t="shared" si="3"/>
        <v>0</v>
      </c>
      <c r="J66" s="511"/>
      <c r="K66" s="525"/>
      <c r="L66" s="514">
        <f t="shared" si="1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3"/>
        <v>0</v>
      </c>
      <c r="F67" s="523">
        <f t="shared" si="14"/>
        <v>0</v>
      </c>
      <c r="G67" s="524">
        <f t="shared" si="18"/>
        <v>0</v>
      </c>
      <c r="H67" s="491">
        <f t="shared" si="19"/>
        <v>0</v>
      </c>
      <c r="I67" s="511">
        <f t="shared" si="3"/>
        <v>0</v>
      </c>
      <c r="J67" s="511"/>
      <c r="K67" s="525"/>
      <c r="L67" s="514">
        <f t="shared" si="1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3"/>
        <v>0</v>
      </c>
      <c r="F68" s="523">
        <f t="shared" si="14"/>
        <v>0</v>
      </c>
      <c r="G68" s="524">
        <f t="shared" si="18"/>
        <v>0</v>
      </c>
      <c r="H68" s="491">
        <f t="shared" si="19"/>
        <v>0</v>
      </c>
      <c r="I68" s="511">
        <f t="shared" si="3"/>
        <v>0</v>
      </c>
      <c r="J68" s="511"/>
      <c r="K68" s="525"/>
      <c r="L68" s="514">
        <f t="shared" si="1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3"/>
        <v>0</v>
      </c>
      <c r="F69" s="523">
        <f t="shared" si="14"/>
        <v>0</v>
      </c>
      <c r="G69" s="524">
        <f t="shared" si="18"/>
        <v>0</v>
      </c>
      <c r="H69" s="491">
        <f t="shared" si="19"/>
        <v>0</v>
      </c>
      <c r="I69" s="511">
        <f t="shared" si="3"/>
        <v>0</v>
      </c>
      <c r="J69" s="511"/>
      <c r="K69" s="525"/>
      <c r="L69" s="514">
        <f t="shared" si="1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3"/>
        <v>0</v>
      </c>
      <c r="F70" s="523">
        <f t="shared" si="14"/>
        <v>0</v>
      </c>
      <c r="G70" s="524">
        <f t="shared" si="18"/>
        <v>0</v>
      </c>
      <c r="H70" s="491">
        <f t="shared" si="19"/>
        <v>0</v>
      </c>
      <c r="I70" s="511">
        <f t="shared" si="3"/>
        <v>0</v>
      </c>
      <c r="J70" s="511"/>
      <c r="K70" s="525"/>
      <c r="L70" s="514">
        <f t="shared" si="1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3"/>
        <v>0</v>
      </c>
      <c r="F71" s="523">
        <f t="shared" si="14"/>
        <v>0</v>
      </c>
      <c r="G71" s="524">
        <f t="shared" si="18"/>
        <v>0</v>
      </c>
      <c r="H71" s="491">
        <f t="shared" si="19"/>
        <v>0</v>
      </c>
      <c r="I71" s="511">
        <f t="shared" si="3"/>
        <v>0</v>
      </c>
      <c r="J71" s="511"/>
      <c r="K71" s="525"/>
      <c r="L71" s="514">
        <f t="shared" si="1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3"/>
        <v>0</v>
      </c>
      <c r="F72" s="523">
        <f t="shared" si="14"/>
        <v>0</v>
      </c>
      <c r="G72" s="524">
        <f t="shared" si="18"/>
        <v>0</v>
      </c>
      <c r="H72" s="491">
        <f t="shared" si="19"/>
        <v>0</v>
      </c>
      <c r="I72" s="511">
        <f t="shared" si="3"/>
        <v>0</v>
      </c>
      <c r="J72" s="511"/>
      <c r="K72" s="532"/>
      <c r="L72" s="533">
        <f t="shared" si="1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5522411.1500000022</v>
      </c>
      <c r="F73" s="375"/>
      <c r="G73" s="375">
        <f>SUM(G17:G72)</f>
        <v>20550853.025410749</v>
      </c>
      <c r="H73" s="375">
        <f>SUM(H17:H72)</f>
        <v>20550853.025410749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51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641285.56745480897</v>
      </c>
      <c r="N87" s="546">
        <f>IF(J92&lt;D11,0,VLOOKUP(J92,C17:O72,11))</f>
        <v>641285.56745480897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680305.10608642804</v>
      </c>
      <c r="N88" s="550">
        <f>IF(J92&lt;D11,0,VLOOKUP(J92,C99:P154,7))</f>
        <v>680305.10608642804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Hardy Street-Waterworks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39019.538631619071</v>
      </c>
      <c r="N89" s="555">
        <f>+N88-N87</f>
        <v>39019.538631619071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TP2012146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5522411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134692.95121951221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0</v>
      </c>
      <c r="F99" s="631">
        <v>5366606</v>
      </c>
      <c r="G99" s="632">
        <v>2683303</v>
      </c>
      <c r="H99" s="633">
        <v>353575.82530859788</v>
      </c>
      <c r="I99" s="634">
        <v>353575.82530859788</v>
      </c>
      <c r="J99" s="514">
        <f>+I99-H99</f>
        <v>0</v>
      </c>
      <c r="K99" s="514"/>
      <c r="L99" s="512">
        <f t="shared" ref="L99:L104" si="20">+H99</f>
        <v>353575.82530859788</v>
      </c>
      <c r="M99" s="513">
        <f t="shared" ref="M99:M130" si="21">IF(L99&lt;&gt;0,+H99-L99,0)</f>
        <v>0</v>
      </c>
      <c r="N99" s="512">
        <f t="shared" ref="N99:N104" si="22">+I99</f>
        <v>353575.82530859788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5401890</v>
      </c>
      <c r="E100" s="630">
        <v>125625.3488372093</v>
      </c>
      <c r="F100" s="631">
        <v>5276264.6511627911</v>
      </c>
      <c r="G100" s="631">
        <v>5339077.325581396</v>
      </c>
      <c r="H100" s="633">
        <v>803421.15279042628</v>
      </c>
      <c r="I100" s="634">
        <v>803421.15279042628</v>
      </c>
      <c r="J100" s="514">
        <f>+I100-H100</f>
        <v>0</v>
      </c>
      <c r="K100" s="514"/>
      <c r="L100" s="518">
        <f t="shared" si="20"/>
        <v>803421.15279042628</v>
      </c>
      <c r="M100" s="514">
        <f>IF(L100&lt;&gt;0,+H100-L100,0)</f>
        <v>0</v>
      </c>
      <c r="N100" s="518">
        <f t="shared" si="22"/>
        <v>803421.15279042628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5">IF(D101=F100,"","IU")</f>
        <v>IU</v>
      </c>
      <c r="C101" s="507">
        <f>IF(D93="","-",+C100+1)</f>
        <v>2017</v>
      </c>
      <c r="D101" s="629">
        <v>5396785.6511627911</v>
      </c>
      <c r="E101" s="630">
        <v>131485.97619047618</v>
      </c>
      <c r="F101" s="631">
        <v>5265299.6749723153</v>
      </c>
      <c r="G101" s="631">
        <v>5331042.6630675532</v>
      </c>
      <c r="H101" s="633">
        <v>779055.49944878952</v>
      </c>
      <c r="I101" s="634">
        <v>779055.49944878952</v>
      </c>
      <c r="J101" s="514">
        <f t="shared" ref="J101:J154" si="26">+I101-H101</f>
        <v>0</v>
      </c>
      <c r="K101" s="514"/>
      <c r="L101" s="518">
        <f t="shared" si="20"/>
        <v>779055.49944878952</v>
      </c>
      <c r="M101" s="514">
        <f>IF(L101&lt;&gt;0,+H101-L101,0)</f>
        <v>0</v>
      </c>
      <c r="N101" s="518">
        <f t="shared" si="22"/>
        <v>779055.49944878952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5"/>
        <v/>
      </c>
      <c r="C102" s="507">
        <f>IF(D93="","-",+C101+1)</f>
        <v>2018</v>
      </c>
      <c r="D102" s="629">
        <v>5265299.6749723153</v>
      </c>
      <c r="E102" s="630">
        <v>131485.97619047618</v>
      </c>
      <c r="F102" s="631">
        <v>5133813.6987818396</v>
      </c>
      <c r="G102" s="631">
        <v>5199556.6868770774</v>
      </c>
      <c r="H102" s="633">
        <v>680583.00655464595</v>
      </c>
      <c r="I102" s="634">
        <v>680583.00655464595</v>
      </c>
      <c r="J102" s="514">
        <f t="shared" si="26"/>
        <v>0</v>
      </c>
      <c r="K102" s="514"/>
      <c r="L102" s="518">
        <f t="shared" si="20"/>
        <v>680583.00655464595</v>
      </c>
      <c r="M102" s="514">
        <f>IF(L102&lt;&gt;0,+H102-L102,0)</f>
        <v>0</v>
      </c>
      <c r="N102" s="518">
        <f t="shared" si="22"/>
        <v>680583.00655464595</v>
      </c>
      <c r="O102" s="514">
        <f>IF(N102&lt;&gt;0,+I102-N102,0)</f>
        <v>0</v>
      </c>
      <c r="P102" s="514">
        <f t="shared" si="24"/>
        <v>0</v>
      </c>
    </row>
    <row r="103" spans="1:16" ht="12.5">
      <c r="B103" s="195" t="str">
        <f t="shared" si="25"/>
        <v/>
      </c>
      <c r="C103" s="507">
        <f>IF(D93="","-",+C102+1)</f>
        <v>2019</v>
      </c>
      <c r="D103" s="629">
        <v>5133813.6987818396</v>
      </c>
      <c r="E103" s="630">
        <v>128428.16279069768</v>
      </c>
      <c r="F103" s="631">
        <v>5005385.5359911416</v>
      </c>
      <c r="G103" s="631">
        <v>5069599.6173864901</v>
      </c>
      <c r="H103" s="633">
        <v>671080.87658517435</v>
      </c>
      <c r="I103" s="634">
        <v>671080.87658517435</v>
      </c>
      <c r="J103" s="514">
        <f t="shared" si="26"/>
        <v>0</v>
      </c>
      <c r="K103" s="514"/>
      <c r="L103" s="518">
        <f t="shared" si="20"/>
        <v>671080.87658517435</v>
      </c>
      <c r="M103" s="514">
        <f>IF(L103&lt;&gt;0,+H103-L103,0)</f>
        <v>0</v>
      </c>
      <c r="N103" s="518">
        <f t="shared" si="22"/>
        <v>671080.87658517435</v>
      </c>
      <c r="O103" s="514">
        <f t="shared" si="23"/>
        <v>0</v>
      </c>
      <c r="P103" s="514">
        <f t="shared" si="24"/>
        <v>0</v>
      </c>
    </row>
    <row r="104" spans="1:16" ht="12.5">
      <c r="B104" s="195" t="str">
        <f t="shared" si="25"/>
        <v/>
      </c>
      <c r="C104" s="507">
        <f>IF(D93="","-",+C103+1)</f>
        <v>2020</v>
      </c>
      <c r="D104" s="629">
        <v>5005385.5359911416</v>
      </c>
      <c r="E104" s="630">
        <v>131485.97619047618</v>
      </c>
      <c r="F104" s="631">
        <v>4873899.5598006658</v>
      </c>
      <c r="G104" s="631">
        <v>4939642.5478959037</v>
      </c>
      <c r="H104" s="633">
        <v>662862.25625134655</v>
      </c>
      <c r="I104" s="634">
        <v>662862.25625134655</v>
      </c>
      <c r="J104" s="514">
        <f t="shared" si="26"/>
        <v>0</v>
      </c>
      <c r="K104" s="514"/>
      <c r="L104" s="518">
        <f t="shared" si="20"/>
        <v>662862.25625134655</v>
      </c>
      <c r="M104" s="514">
        <f>IF(L104&lt;&gt;0,+H104-L104,0)</f>
        <v>0</v>
      </c>
      <c r="N104" s="518">
        <f t="shared" si="22"/>
        <v>662862.25625134655</v>
      </c>
      <c r="O104" s="514">
        <f t="shared" si="23"/>
        <v>0</v>
      </c>
      <c r="P104" s="514">
        <f t="shared" si="24"/>
        <v>0</v>
      </c>
    </row>
    <row r="105" spans="1:16" ht="12.5">
      <c r="B105" s="195" t="str">
        <f t="shared" si="25"/>
        <v/>
      </c>
      <c r="C105" s="507">
        <f>IF(D93="","-",+C104+1)</f>
        <v>2021</v>
      </c>
      <c r="D105" s="374">
        <f>IF(F104+SUM(E$99:E104)=D$92,F104,D$92-SUM(E$99:E104))</f>
        <v>4873899.5598006658</v>
      </c>
      <c r="E105" s="522">
        <f t="shared" ref="E105:E154" si="27">IF(+$J$96&lt;F104,$J$96,D105)</f>
        <v>134692.95121951221</v>
      </c>
      <c r="F105" s="523">
        <f t="shared" ref="F105:F154" si="28">+D105-E105</f>
        <v>4739206.6085811537</v>
      </c>
      <c r="G105" s="523">
        <f t="shared" ref="G105:G154" si="29">+(F105+D105)/2</f>
        <v>4806553.0841909098</v>
      </c>
      <c r="H105" s="526">
        <f t="shared" ref="H105:H154" si="30">+J$94*G105+E105</f>
        <v>680305.10608642804</v>
      </c>
      <c r="I105" s="577">
        <f t="shared" ref="I105:I154" si="31">+J$95*G105+E105</f>
        <v>680305.10608642804</v>
      </c>
      <c r="J105" s="514">
        <f t="shared" si="26"/>
        <v>0</v>
      </c>
      <c r="K105" s="514"/>
      <c r="L105" s="525"/>
      <c r="M105" s="514">
        <f t="shared" si="21"/>
        <v>0</v>
      </c>
      <c r="N105" s="525"/>
      <c r="O105" s="514">
        <f t="shared" si="23"/>
        <v>0</v>
      </c>
      <c r="P105" s="514">
        <f t="shared" si="24"/>
        <v>0</v>
      </c>
    </row>
    <row r="106" spans="1:16" ht="12.5">
      <c r="B106" s="195" t="str">
        <f t="shared" si="25"/>
        <v/>
      </c>
      <c r="C106" s="507">
        <f>IF(D93="","-",+C105+1)</f>
        <v>2022</v>
      </c>
      <c r="D106" s="374">
        <f>IF(F105+SUM(E$99:E105)=D$92,F105,D$92-SUM(E$99:E105))</f>
        <v>4739206.6085811537</v>
      </c>
      <c r="E106" s="522">
        <f t="shared" si="27"/>
        <v>134692.95121951221</v>
      </c>
      <c r="F106" s="523">
        <f t="shared" si="28"/>
        <v>4604513.6573616415</v>
      </c>
      <c r="G106" s="523">
        <f t="shared" si="29"/>
        <v>4671860.1329713976</v>
      </c>
      <c r="H106" s="526">
        <f t="shared" si="30"/>
        <v>665015.53993101069</v>
      </c>
      <c r="I106" s="577">
        <f t="shared" si="31"/>
        <v>665015.53993101069</v>
      </c>
      <c r="J106" s="514">
        <f t="shared" si="26"/>
        <v>0</v>
      </c>
      <c r="K106" s="514"/>
      <c r="L106" s="525"/>
      <c r="M106" s="514">
        <f t="shared" si="21"/>
        <v>0</v>
      </c>
      <c r="N106" s="525"/>
      <c r="O106" s="514">
        <f t="shared" si="23"/>
        <v>0</v>
      </c>
      <c r="P106" s="514">
        <f t="shared" si="24"/>
        <v>0</v>
      </c>
    </row>
    <row r="107" spans="1:16" ht="12.5">
      <c r="B107" s="195" t="str">
        <f t="shared" si="25"/>
        <v/>
      </c>
      <c r="C107" s="507">
        <f>IF(D93="","-",+C106+1)</f>
        <v>2023</v>
      </c>
      <c r="D107" s="374">
        <f>IF(F106+SUM(E$99:E106)=D$92,F106,D$92-SUM(E$99:E106))</f>
        <v>4604513.6573616415</v>
      </c>
      <c r="E107" s="522">
        <f t="shared" si="27"/>
        <v>134692.95121951221</v>
      </c>
      <c r="F107" s="523">
        <f t="shared" si="28"/>
        <v>4469820.7061421294</v>
      </c>
      <c r="G107" s="523">
        <f t="shared" si="29"/>
        <v>4537167.1817518855</v>
      </c>
      <c r="H107" s="526">
        <f t="shared" si="30"/>
        <v>649725.97377559333</v>
      </c>
      <c r="I107" s="577">
        <f t="shared" si="31"/>
        <v>649725.97377559333</v>
      </c>
      <c r="J107" s="514">
        <f t="shared" si="26"/>
        <v>0</v>
      </c>
      <c r="K107" s="514"/>
      <c r="L107" s="525"/>
      <c r="M107" s="514">
        <f t="shared" si="21"/>
        <v>0</v>
      </c>
      <c r="N107" s="525"/>
      <c r="O107" s="514">
        <f t="shared" si="23"/>
        <v>0</v>
      </c>
      <c r="P107" s="514">
        <f t="shared" si="24"/>
        <v>0</v>
      </c>
    </row>
    <row r="108" spans="1:16" ht="12.5">
      <c r="B108" s="195" t="str">
        <f t="shared" si="25"/>
        <v/>
      </c>
      <c r="C108" s="507">
        <f>IF(D93="","-",+C107+1)</f>
        <v>2024</v>
      </c>
      <c r="D108" s="374">
        <f>IF(F107+SUM(E$99:E107)=D$92,F107,D$92-SUM(E$99:E107))</f>
        <v>4469820.7061421294</v>
      </c>
      <c r="E108" s="522">
        <f t="shared" si="27"/>
        <v>134692.95121951221</v>
      </c>
      <c r="F108" s="523">
        <f t="shared" si="28"/>
        <v>4335127.7549226172</v>
      </c>
      <c r="G108" s="523">
        <f t="shared" si="29"/>
        <v>4402474.2305323733</v>
      </c>
      <c r="H108" s="526">
        <f t="shared" si="30"/>
        <v>634436.40762017597</v>
      </c>
      <c r="I108" s="577">
        <f t="shared" si="31"/>
        <v>634436.40762017597</v>
      </c>
      <c r="J108" s="514">
        <f t="shared" si="26"/>
        <v>0</v>
      </c>
      <c r="K108" s="514"/>
      <c r="L108" s="525"/>
      <c r="M108" s="514">
        <f t="shared" si="21"/>
        <v>0</v>
      </c>
      <c r="N108" s="525"/>
      <c r="O108" s="514">
        <f t="shared" si="23"/>
        <v>0</v>
      </c>
      <c r="P108" s="514">
        <f t="shared" si="24"/>
        <v>0</v>
      </c>
    </row>
    <row r="109" spans="1:16" ht="12.5">
      <c r="B109" s="195" t="str">
        <f t="shared" si="25"/>
        <v/>
      </c>
      <c r="C109" s="507">
        <f>IF(D93="","-",+C108+1)</f>
        <v>2025</v>
      </c>
      <c r="D109" s="374">
        <f>IF(F108+SUM(E$99:E108)=D$92,F108,D$92-SUM(E$99:E108))</f>
        <v>4335127.7549226172</v>
      </c>
      <c r="E109" s="522">
        <f t="shared" si="27"/>
        <v>134692.95121951221</v>
      </c>
      <c r="F109" s="523">
        <f t="shared" si="28"/>
        <v>4200434.8037031051</v>
      </c>
      <c r="G109" s="523">
        <f t="shared" si="29"/>
        <v>4267781.2793128612</v>
      </c>
      <c r="H109" s="526">
        <f t="shared" si="30"/>
        <v>619146.8414647585</v>
      </c>
      <c r="I109" s="577">
        <f t="shared" si="31"/>
        <v>619146.8414647585</v>
      </c>
      <c r="J109" s="514">
        <f t="shared" si="26"/>
        <v>0</v>
      </c>
      <c r="K109" s="514"/>
      <c r="L109" s="525"/>
      <c r="M109" s="514">
        <f t="shared" si="21"/>
        <v>0</v>
      </c>
      <c r="N109" s="525"/>
      <c r="O109" s="514">
        <f t="shared" si="23"/>
        <v>0</v>
      </c>
      <c r="P109" s="514">
        <f t="shared" si="24"/>
        <v>0</v>
      </c>
    </row>
    <row r="110" spans="1:16" ht="12.5">
      <c r="B110" s="195" t="str">
        <f t="shared" si="25"/>
        <v/>
      </c>
      <c r="C110" s="507">
        <f>IF(D93="","-",+C109+1)</f>
        <v>2026</v>
      </c>
      <c r="D110" s="374">
        <f>IF(F109+SUM(E$99:E109)=D$92,F109,D$92-SUM(E$99:E109))</f>
        <v>4200434.8037031051</v>
      </c>
      <c r="E110" s="522">
        <f t="shared" si="27"/>
        <v>134692.95121951221</v>
      </c>
      <c r="F110" s="523">
        <f t="shared" si="28"/>
        <v>4065741.8524835929</v>
      </c>
      <c r="G110" s="523">
        <f t="shared" si="29"/>
        <v>4133088.328093349</v>
      </c>
      <c r="H110" s="526">
        <f t="shared" si="30"/>
        <v>603857.27530934114</v>
      </c>
      <c r="I110" s="577">
        <f t="shared" si="31"/>
        <v>603857.27530934114</v>
      </c>
      <c r="J110" s="514">
        <f t="shared" si="26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</row>
    <row r="111" spans="1:16" ht="12.5">
      <c r="B111" s="195" t="str">
        <f t="shared" si="25"/>
        <v/>
      </c>
      <c r="C111" s="507">
        <f>IF(D93="","-",+C110+1)</f>
        <v>2027</v>
      </c>
      <c r="D111" s="374">
        <f>IF(F110+SUM(E$99:E110)=D$92,F110,D$92-SUM(E$99:E110))</f>
        <v>4065741.8524835929</v>
      </c>
      <c r="E111" s="522">
        <f t="shared" si="27"/>
        <v>134692.95121951221</v>
      </c>
      <c r="F111" s="523">
        <f t="shared" si="28"/>
        <v>3931048.9012640808</v>
      </c>
      <c r="G111" s="523">
        <f t="shared" si="29"/>
        <v>3998395.3768738369</v>
      </c>
      <c r="H111" s="526">
        <f t="shared" si="30"/>
        <v>588567.70915392367</v>
      </c>
      <c r="I111" s="577">
        <f t="shared" si="31"/>
        <v>588567.70915392367</v>
      </c>
      <c r="J111" s="514">
        <f t="shared" si="26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</row>
    <row r="112" spans="1:16" ht="12.5">
      <c r="B112" s="195" t="str">
        <f t="shared" si="25"/>
        <v/>
      </c>
      <c r="C112" s="507">
        <f>IF(D93="","-",+C111+1)</f>
        <v>2028</v>
      </c>
      <c r="D112" s="374">
        <f>IF(F111+SUM(E$99:E111)=D$92,F111,D$92-SUM(E$99:E111))</f>
        <v>3931048.9012640808</v>
      </c>
      <c r="E112" s="522">
        <f t="shared" si="27"/>
        <v>134692.95121951221</v>
      </c>
      <c r="F112" s="523">
        <f t="shared" si="28"/>
        <v>3796355.9500445686</v>
      </c>
      <c r="G112" s="523">
        <f t="shared" si="29"/>
        <v>3863702.4256543247</v>
      </c>
      <c r="H112" s="526">
        <f t="shared" si="30"/>
        <v>573278.14299850632</v>
      </c>
      <c r="I112" s="577">
        <f t="shared" si="31"/>
        <v>573278.14299850632</v>
      </c>
      <c r="J112" s="514">
        <f t="shared" si="26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</row>
    <row r="113" spans="2:16" ht="12.5">
      <c r="B113" s="195" t="str">
        <f t="shared" si="25"/>
        <v/>
      </c>
      <c r="C113" s="507">
        <f>IF(D93="","-",+C112+1)</f>
        <v>2029</v>
      </c>
      <c r="D113" s="374">
        <f>IF(F112+SUM(E$99:E112)=D$92,F112,D$92-SUM(E$99:E112))</f>
        <v>3796355.9500445686</v>
      </c>
      <c r="E113" s="522">
        <f t="shared" si="27"/>
        <v>134692.95121951221</v>
      </c>
      <c r="F113" s="523">
        <f t="shared" si="28"/>
        <v>3661662.9988250565</v>
      </c>
      <c r="G113" s="523">
        <f t="shared" si="29"/>
        <v>3729009.4744348126</v>
      </c>
      <c r="H113" s="526">
        <f t="shared" si="30"/>
        <v>557988.57684308896</v>
      </c>
      <c r="I113" s="577">
        <f t="shared" si="31"/>
        <v>557988.57684308896</v>
      </c>
      <c r="J113" s="514">
        <f t="shared" si="26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</row>
    <row r="114" spans="2:16" ht="12.5">
      <c r="B114" s="195" t="str">
        <f t="shared" si="25"/>
        <v/>
      </c>
      <c r="C114" s="507">
        <f>IF(D93="","-",+C113+1)</f>
        <v>2030</v>
      </c>
      <c r="D114" s="374">
        <f>IF(F113+SUM(E$99:E113)=D$92,F113,D$92-SUM(E$99:E113))</f>
        <v>3661662.9988250565</v>
      </c>
      <c r="E114" s="522">
        <f t="shared" si="27"/>
        <v>134692.95121951221</v>
      </c>
      <c r="F114" s="523">
        <f t="shared" si="28"/>
        <v>3526970.0476055443</v>
      </c>
      <c r="G114" s="523">
        <f t="shared" si="29"/>
        <v>3594316.5232153004</v>
      </c>
      <c r="H114" s="526">
        <f t="shared" si="30"/>
        <v>542699.0106876716</v>
      </c>
      <c r="I114" s="577">
        <f t="shared" si="31"/>
        <v>542699.0106876716</v>
      </c>
      <c r="J114" s="514">
        <f t="shared" si="26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</row>
    <row r="115" spans="2:16" ht="12.5">
      <c r="B115" s="195" t="str">
        <f t="shared" si="25"/>
        <v/>
      </c>
      <c r="C115" s="507">
        <f>IF(D93="","-",+C114+1)</f>
        <v>2031</v>
      </c>
      <c r="D115" s="374">
        <f>IF(F114+SUM(E$99:E114)=D$92,F114,D$92-SUM(E$99:E114))</f>
        <v>3526970.0476055443</v>
      </c>
      <c r="E115" s="522">
        <f t="shared" si="27"/>
        <v>134692.95121951221</v>
      </c>
      <c r="F115" s="523">
        <f t="shared" si="28"/>
        <v>3392277.0963860322</v>
      </c>
      <c r="G115" s="523">
        <f t="shared" si="29"/>
        <v>3459623.5719957883</v>
      </c>
      <c r="H115" s="526">
        <f t="shared" si="30"/>
        <v>527409.44453225425</v>
      </c>
      <c r="I115" s="577">
        <f t="shared" si="31"/>
        <v>527409.44453225425</v>
      </c>
      <c r="J115" s="514">
        <f t="shared" si="26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</row>
    <row r="116" spans="2:16" ht="12.5">
      <c r="B116" s="195" t="str">
        <f t="shared" si="25"/>
        <v/>
      </c>
      <c r="C116" s="507">
        <f>IF(D93="","-",+C115+1)</f>
        <v>2032</v>
      </c>
      <c r="D116" s="374">
        <f>IF(F115+SUM(E$99:E115)=D$92,F115,D$92-SUM(E$99:E115))</f>
        <v>3392277.0963860322</v>
      </c>
      <c r="E116" s="522">
        <f t="shared" si="27"/>
        <v>134692.95121951221</v>
      </c>
      <c r="F116" s="523">
        <f t="shared" si="28"/>
        <v>3257584.14516652</v>
      </c>
      <c r="G116" s="523">
        <f t="shared" si="29"/>
        <v>3324930.6207762761</v>
      </c>
      <c r="H116" s="526">
        <f t="shared" si="30"/>
        <v>512119.87837683677</v>
      </c>
      <c r="I116" s="577">
        <f t="shared" si="31"/>
        <v>512119.87837683677</v>
      </c>
      <c r="J116" s="514">
        <f t="shared" si="26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</row>
    <row r="117" spans="2:16" ht="12.5">
      <c r="B117" s="195" t="str">
        <f t="shared" si="25"/>
        <v/>
      </c>
      <c r="C117" s="507">
        <f>IF(D93="","-",+C116+1)</f>
        <v>2033</v>
      </c>
      <c r="D117" s="374">
        <f>IF(F116+SUM(E$99:E116)=D$92,F116,D$92-SUM(E$99:E116))</f>
        <v>3257584.14516652</v>
      </c>
      <c r="E117" s="522">
        <f t="shared" si="27"/>
        <v>134692.95121951221</v>
      </c>
      <c r="F117" s="523">
        <f t="shared" si="28"/>
        <v>3122891.1939470079</v>
      </c>
      <c r="G117" s="523">
        <f t="shared" si="29"/>
        <v>3190237.669556764</v>
      </c>
      <c r="H117" s="526">
        <f t="shared" si="30"/>
        <v>496830.31222141942</v>
      </c>
      <c r="I117" s="577">
        <f t="shared" si="31"/>
        <v>496830.31222141942</v>
      </c>
      <c r="J117" s="514">
        <f t="shared" si="26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</row>
    <row r="118" spans="2:16" ht="12.5">
      <c r="B118" s="195" t="str">
        <f t="shared" si="25"/>
        <v/>
      </c>
      <c r="C118" s="507">
        <f>IF(D93="","-",+C117+1)</f>
        <v>2034</v>
      </c>
      <c r="D118" s="374">
        <f>IF(F117+SUM(E$99:E117)=D$92,F117,D$92-SUM(E$99:E117))</f>
        <v>3122891.1939470079</v>
      </c>
      <c r="E118" s="522">
        <f t="shared" si="27"/>
        <v>134692.95121951221</v>
      </c>
      <c r="F118" s="523">
        <f t="shared" si="28"/>
        <v>2988198.2427274957</v>
      </c>
      <c r="G118" s="523">
        <f t="shared" si="29"/>
        <v>3055544.7183372518</v>
      </c>
      <c r="H118" s="526">
        <f t="shared" si="30"/>
        <v>481540.746066002</v>
      </c>
      <c r="I118" s="577">
        <f t="shared" si="31"/>
        <v>481540.746066002</v>
      </c>
      <c r="J118" s="514">
        <f t="shared" si="26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</row>
    <row r="119" spans="2:16" ht="12.5">
      <c r="B119" s="195" t="str">
        <f t="shared" si="25"/>
        <v/>
      </c>
      <c r="C119" s="507">
        <f>IF(D93="","-",+C118+1)</f>
        <v>2035</v>
      </c>
      <c r="D119" s="374">
        <f>IF(F118+SUM(E$99:E118)=D$92,F118,D$92-SUM(E$99:E118))</f>
        <v>2988198.2427274957</v>
      </c>
      <c r="E119" s="522">
        <f t="shared" si="27"/>
        <v>134692.95121951221</v>
      </c>
      <c r="F119" s="523">
        <f t="shared" si="28"/>
        <v>2853505.2915079836</v>
      </c>
      <c r="G119" s="523">
        <f t="shared" si="29"/>
        <v>2920851.7671177397</v>
      </c>
      <c r="H119" s="526">
        <f t="shared" si="30"/>
        <v>466251.17991058464</v>
      </c>
      <c r="I119" s="577">
        <f t="shared" si="31"/>
        <v>466251.17991058464</v>
      </c>
      <c r="J119" s="514">
        <f t="shared" si="26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</row>
    <row r="120" spans="2:16" ht="12.5">
      <c r="B120" s="195" t="str">
        <f t="shared" si="25"/>
        <v/>
      </c>
      <c r="C120" s="507">
        <f>IF(D93="","-",+C119+1)</f>
        <v>2036</v>
      </c>
      <c r="D120" s="374">
        <f>IF(F119+SUM(E$99:E119)=D$92,F119,D$92-SUM(E$99:E119))</f>
        <v>2853505.2915079836</v>
      </c>
      <c r="E120" s="522">
        <f t="shared" si="27"/>
        <v>134692.95121951221</v>
      </c>
      <c r="F120" s="523">
        <f t="shared" si="28"/>
        <v>2718812.3402884714</v>
      </c>
      <c r="G120" s="523">
        <f t="shared" si="29"/>
        <v>2786158.8158982275</v>
      </c>
      <c r="H120" s="526">
        <f t="shared" si="30"/>
        <v>450961.61375516723</v>
      </c>
      <c r="I120" s="577">
        <f t="shared" si="31"/>
        <v>450961.61375516723</v>
      </c>
      <c r="J120" s="514">
        <f t="shared" si="26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</row>
    <row r="121" spans="2:16" ht="12.5">
      <c r="B121" s="195" t="str">
        <f t="shared" si="25"/>
        <v/>
      </c>
      <c r="C121" s="507">
        <f>IF(D93="","-",+C120+1)</f>
        <v>2037</v>
      </c>
      <c r="D121" s="374">
        <f>IF(F120+SUM(E$99:E120)=D$92,F120,D$92-SUM(E$99:E120))</f>
        <v>2718812.3402884714</v>
      </c>
      <c r="E121" s="522">
        <f t="shared" si="27"/>
        <v>134692.95121951221</v>
      </c>
      <c r="F121" s="523">
        <f t="shared" si="28"/>
        <v>2584119.3890689593</v>
      </c>
      <c r="G121" s="523">
        <f t="shared" si="29"/>
        <v>2651465.8646787154</v>
      </c>
      <c r="H121" s="526">
        <f t="shared" si="30"/>
        <v>435672.04759974981</v>
      </c>
      <c r="I121" s="577">
        <f t="shared" si="31"/>
        <v>435672.04759974981</v>
      </c>
      <c r="J121" s="514">
        <f t="shared" si="26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</row>
    <row r="122" spans="2:16" ht="12.5">
      <c r="B122" s="195" t="str">
        <f t="shared" si="25"/>
        <v/>
      </c>
      <c r="C122" s="507">
        <f>IF(D93="","-",+C121+1)</f>
        <v>2038</v>
      </c>
      <c r="D122" s="374">
        <f>IF(F121+SUM(E$99:E121)=D$92,F121,D$92-SUM(E$99:E121))</f>
        <v>2584119.3890689593</v>
      </c>
      <c r="E122" s="522">
        <f t="shared" si="27"/>
        <v>134692.95121951221</v>
      </c>
      <c r="F122" s="523">
        <f t="shared" si="28"/>
        <v>2449426.4378494471</v>
      </c>
      <c r="G122" s="523">
        <f t="shared" si="29"/>
        <v>2516772.9134592032</v>
      </c>
      <c r="H122" s="526">
        <f t="shared" si="30"/>
        <v>420382.48144433246</v>
      </c>
      <c r="I122" s="577">
        <f t="shared" si="31"/>
        <v>420382.48144433246</v>
      </c>
      <c r="J122" s="514">
        <f t="shared" si="26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</row>
    <row r="123" spans="2:16" ht="12.5">
      <c r="B123" s="195" t="str">
        <f t="shared" si="25"/>
        <v/>
      </c>
      <c r="C123" s="507">
        <f>IF(D93="","-",+C122+1)</f>
        <v>2039</v>
      </c>
      <c r="D123" s="374">
        <f>IF(F122+SUM(E$99:E122)=D$92,F122,D$92-SUM(E$99:E122))</f>
        <v>2449426.4378494471</v>
      </c>
      <c r="E123" s="522">
        <f t="shared" si="27"/>
        <v>134692.95121951221</v>
      </c>
      <c r="F123" s="523">
        <f t="shared" si="28"/>
        <v>2314733.486629935</v>
      </c>
      <c r="G123" s="523">
        <f t="shared" si="29"/>
        <v>2382079.9622396911</v>
      </c>
      <c r="H123" s="526">
        <f t="shared" si="30"/>
        <v>405092.91528891504</v>
      </c>
      <c r="I123" s="577">
        <f t="shared" si="31"/>
        <v>405092.91528891504</v>
      </c>
      <c r="J123" s="514">
        <f t="shared" si="26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</row>
    <row r="124" spans="2:16" ht="12.5">
      <c r="B124" s="195" t="str">
        <f t="shared" si="25"/>
        <v/>
      </c>
      <c r="C124" s="507">
        <f>IF(D93="","-",+C123+1)</f>
        <v>2040</v>
      </c>
      <c r="D124" s="374">
        <f>IF(F123+SUM(E$99:E123)=D$92,F123,D$92-SUM(E$99:E123))</f>
        <v>2314733.486629935</v>
      </c>
      <c r="E124" s="522">
        <f t="shared" si="27"/>
        <v>134692.95121951221</v>
      </c>
      <c r="F124" s="523">
        <f t="shared" si="28"/>
        <v>2180040.5354104228</v>
      </c>
      <c r="G124" s="523">
        <f t="shared" si="29"/>
        <v>2247387.0110201789</v>
      </c>
      <c r="H124" s="526">
        <f t="shared" si="30"/>
        <v>389803.34913349769</v>
      </c>
      <c r="I124" s="577">
        <f t="shared" si="31"/>
        <v>389803.34913349769</v>
      </c>
      <c r="J124" s="514">
        <f t="shared" si="26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</row>
    <row r="125" spans="2:16" ht="12.5">
      <c r="B125" s="195" t="str">
        <f t="shared" si="25"/>
        <v/>
      </c>
      <c r="C125" s="507">
        <f>IF(D93="","-",+C124+1)</f>
        <v>2041</v>
      </c>
      <c r="D125" s="374">
        <f>IF(F124+SUM(E$99:E124)=D$92,F124,D$92-SUM(E$99:E124))</f>
        <v>2180040.5354104228</v>
      </c>
      <c r="E125" s="522">
        <f t="shared" si="27"/>
        <v>134692.95121951221</v>
      </c>
      <c r="F125" s="523">
        <f t="shared" si="28"/>
        <v>2045347.5841909107</v>
      </c>
      <c r="G125" s="523">
        <f t="shared" si="29"/>
        <v>2112694.0598006668</v>
      </c>
      <c r="H125" s="526">
        <f t="shared" si="30"/>
        <v>374513.78297808027</v>
      </c>
      <c r="I125" s="577">
        <f t="shared" si="31"/>
        <v>374513.78297808027</v>
      </c>
      <c r="J125" s="514">
        <f t="shared" si="26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</row>
    <row r="126" spans="2:16" ht="12.5">
      <c r="B126" s="195" t="str">
        <f t="shared" si="25"/>
        <v/>
      </c>
      <c r="C126" s="507">
        <f>IF(D93="","-",+C125+1)</f>
        <v>2042</v>
      </c>
      <c r="D126" s="374">
        <f>IF(F125+SUM(E$99:E125)=D$92,F125,D$92-SUM(E$99:E125))</f>
        <v>2045347.5841909107</v>
      </c>
      <c r="E126" s="522">
        <f t="shared" si="27"/>
        <v>134692.95121951221</v>
      </c>
      <c r="F126" s="523">
        <f t="shared" si="28"/>
        <v>1910654.6329713985</v>
      </c>
      <c r="G126" s="523">
        <f t="shared" si="29"/>
        <v>1978001.1085811546</v>
      </c>
      <c r="H126" s="526">
        <f t="shared" si="30"/>
        <v>359224.21682266286</v>
      </c>
      <c r="I126" s="577">
        <f t="shared" si="31"/>
        <v>359224.21682266286</v>
      </c>
      <c r="J126" s="514">
        <f t="shared" si="26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</row>
    <row r="127" spans="2:16" ht="12.5">
      <c r="B127" s="195" t="str">
        <f t="shared" si="25"/>
        <v/>
      </c>
      <c r="C127" s="507">
        <f>IF(D93="","-",+C126+1)</f>
        <v>2043</v>
      </c>
      <c r="D127" s="374">
        <f>IF(F126+SUM(E$99:E126)=D$92,F126,D$92-SUM(E$99:E126))</f>
        <v>1910654.6329713985</v>
      </c>
      <c r="E127" s="522">
        <f t="shared" si="27"/>
        <v>134692.95121951221</v>
      </c>
      <c r="F127" s="523">
        <f t="shared" si="28"/>
        <v>1775961.6817518864</v>
      </c>
      <c r="G127" s="523">
        <f t="shared" si="29"/>
        <v>1843308.1573616425</v>
      </c>
      <c r="H127" s="526">
        <f t="shared" si="30"/>
        <v>343934.6506672455</v>
      </c>
      <c r="I127" s="577">
        <f t="shared" si="31"/>
        <v>343934.6506672455</v>
      </c>
      <c r="J127" s="514">
        <f t="shared" si="26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</row>
    <row r="128" spans="2:16" ht="12.5">
      <c r="B128" s="195" t="str">
        <f t="shared" si="25"/>
        <v/>
      </c>
      <c r="C128" s="507">
        <f>IF(D93="","-",+C127+1)</f>
        <v>2044</v>
      </c>
      <c r="D128" s="374">
        <f>IF(F127+SUM(E$99:E127)=D$92,F127,D$92-SUM(E$99:E127))</f>
        <v>1775961.6817518864</v>
      </c>
      <c r="E128" s="522">
        <f t="shared" si="27"/>
        <v>134692.95121951221</v>
      </c>
      <c r="F128" s="523">
        <f t="shared" si="28"/>
        <v>1641268.7305323742</v>
      </c>
      <c r="G128" s="523">
        <f t="shared" si="29"/>
        <v>1708615.2061421303</v>
      </c>
      <c r="H128" s="526">
        <f t="shared" si="30"/>
        <v>328645.08451182814</v>
      </c>
      <c r="I128" s="577">
        <f t="shared" si="31"/>
        <v>328645.08451182814</v>
      </c>
      <c r="J128" s="514">
        <f t="shared" si="26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</row>
    <row r="129" spans="2:16" ht="12.5">
      <c r="B129" s="195" t="str">
        <f t="shared" si="25"/>
        <v/>
      </c>
      <c r="C129" s="507">
        <f>IF(D93="","-",+C128+1)</f>
        <v>2045</v>
      </c>
      <c r="D129" s="374">
        <f>IF(F128+SUM(E$99:E128)=D$92,F128,D$92-SUM(E$99:E128))</f>
        <v>1641268.7305323742</v>
      </c>
      <c r="E129" s="522">
        <f t="shared" si="27"/>
        <v>134692.95121951221</v>
      </c>
      <c r="F129" s="523">
        <f t="shared" si="28"/>
        <v>1506575.7793128621</v>
      </c>
      <c r="G129" s="523">
        <f t="shared" si="29"/>
        <v>1573922.2549226182</v>
      </c>
      <c r="H129" s="526">
        <f t="shared" si="30"/>
        <v>313355.51835641067</v>
      </c>
      <c r="I129" s="577">
        <f t="shared" si="31"/>
        <v>313355.51835641067</v>
      </c>
      <c r="J129" s="514">
        <f t="shared" si="26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</row>
    <row r="130" spans="2:16" ht="12.5">
      <c r="B130" s="195" t="str">
        <f t="shared" si="25"/>
        <v/>
      </c>
      <c r="C130" s="507">
        <f>IF(D93="","-",+C129+1)</f>
        <v>2046</v>
      </c>
      <c r="D130" s="374">
        <f>IF(F129+SUM(E$99:E129)=D$92,F129,D$92-SUM(E$99:E129))</f>
        <v>1506575.7793128621</v>
      </c>
      <c r="E130" s="522">
        <f t="shared" si="27"/>
        <v>134692.95121951221</v>
      </c>
      <c r="F130" s="523">
        <f t="shared" si="28"/>
        <v>1371882.8280933499</v>
      </c>
      <c r="G130" s="523">
        <f t="shared" si="29"/>
        <v>1439229.303703106</v>
      </c>
      <c r="H130" s="526">
        <f t="shared" si="30"/>
        <v>298065.95220099331</v>
      </c>
      <c r="I130" s="577">
        <f t="shared" si="31"/>
        <v>298065.95220099331</v>
      </c>
      <c r="J130" s="514">
        <f t="shared" si="26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</row>
    <row r="131" spans="2:16" ht="12.5">
      <c r="B131" s="195" t="str">
        <f t="shared" si="25"/>
        <v/>
      </c>
      <c r="C131" s="507">
        <f>IF(D93="","-",+C130+1)</f>
        <v>2047</v>
      </c>
      <c r="D131" s="374">
        <f>IF(F130+SUM(E$99:E130)=D$92,F130,D$92-SUM(E$99:E130))</f>
        <v>1371882.8280933499</v>
      </c>
      <c r="E131" s="522">
        <f t="shared" si="27"/>
        <v>134692.95121951221</v>
      </c>
      <c r="F131" s="523">
        <f t="shared" si="28"/>
        <v>1237189.8768738378</v>
      </c>
      <c r="G131" s="523">
        <f t="shared" si="29"/>
        <v>1304536.3524835939</v>
      </c>
      <c r="H131" s="526">
        <f t="shared" si="30"/>
        <v>282776.38604557596</v>
      </c>
      <c r="I131" s="577">
        <f t="shared" si="31"/>
        <v>282776.38604557596</v>
      </c>
      <c r="J131" s="514">
        <f t="shared" si="26"/>
        <v>0</v>
      </c>
      <c r="K131" s="514"/>
      <c r="L131" s="525"/>
      <c r="M131" s="514">
        <f t="shared" ref="M131:M154" si="32">IF(L541&lt;&gt;0,+H541-L541,0)</f>
        <v>0</v>
      </c>
      <c r="N131" s="525"/>
      <c r="O131" s="514">
        <f t="shared" ref="O131:O154" si="33">IF(N541&lt;&gt;0,+I541-N541,0)</f>
        <v>0</v>
      </c>
      <c r="P131" s="514">
        <f t="shared" ref="P131:P154" si="34">+O541-M541</f>
        <v>0</v>
      </c>
    </row>
    <row r="132" spans="2:16" ht="12.5">
      <c r="B132" s="195" t="str">
        <f t="shared" si="25"/>
        <v/>
      </c>
      <c r="C132" s="507">
        <f>IF(D93="","-",+C131+1)</f>
        <v>2048</v>
      </c>
      <c r="D132" s="374">
        <f>IF(F131+SUM(E$99:E131)=D$92,F131,D$92-SUM(E$99:E131))</f>
        <v>1237189.8768738378</v>
      </c>
      <c r="E132" s="522">
        <f t="shared" si="27"/>
        <v>134692.95121951221</v>
      </c>
      <c r="F132" s="523">
        <f t="shared" si="28"/>
        <v>1102496.9256543256</v>
      </c>
      <c r="G132" s="523">
        <f t="shared" si="29"/>
        <v>1169843.4012640817</v>
      </c>
      <c r="H132" s="526">
        <f t="shared" si="30"/>
        <v>267486.81989015854</v>
      </c>
      <c r="I132" s="577">
        <f t="shared" si="31"/>
        <v>267486.81989015854</v>
      </c>
      <c r="J132" s="514">
        <f t="shared" si="26"/>
        <v>0</v>
      </c>
      <c r="K132" s="514"/>
      <c r="L132" s="525"/>
      <c r="M132" s="514">
        <f t="shared" si="32"/>
        <v>0</v>
      </c>
      <c r="N132" s="525"/>
      <c r="O132" s="514">
        <f t="shared" si="33"/>
        <v>0</v>
      </c>
      <c r="P132" s="514">
        <f t="shared" si="34"/>
        <v>0</v>
      </c>
    </row>
    <row r="133" spans="2:16" ht="12.5">
      <c r="B133" s="195" t="str">
        <f t="shared" si="25"/>
        <v/>
      </c>
      <c r="C133" s="507">
        <f>IF(D93="","-",+C132+1)</f>
        <v>2049</v>
      </c>
      <c r="D133" s="374">
        <f>IF(F132+SUM(E$99:E132)=D$92,F132,D$92-SUM(E$99:E132))</f>
        <v>1102496.9256543256</v>
      </c>
      <c r="E133" s="522">
        <f t="shared" si="27"/>
        <v>134692.95121951221</v>
      </c>
      <c r="F133" s="523">
        <f t="shared" si="28"/>
        <v>967803.97443481348</v>
      </c>
      <c r="G133" s="523">
        <f t="shared" si="29"/>
        <v>1035150.4500445696</v>
      </c>
      <c r="H133" s="526">
        <f t="shared" si="30"/>
        <v>252197.25373474116</v>
      </c>
      <c r="I133" s="577">
        <f t="shared" si="31"/>
        <v>252197.25373474116</v>
      </c>
      <c r="J133" s="514">
        <f t="shared" si="26"/>
        <v>0</v>
      </c>
      <c r="K133" s="514"/>
      <c r="L133" s="525"/>
      <c r="M133" s="514">
        <f t="shared" si="32"/>
        <v>0</v>
      </c>
      <c r="N133" s="525"/>
      <c r="O133" s="514">
        <f t="shared" si="33"/>
        <v>0</v>
      </c>
      <c r="P133" s="514">
        <f t="shared" si="34"/>
        <v>0</v>
      </c>
    </row>
    <row r="134" spans="2:16" ht="12.5">
      <c r="B134" s="195" t="str">
        <f t="shared" si="25"/>
        <v/>
      </c>
      <c r="C134" s="507">
        <f>IF(D93="","-",+C133+1)</f>
        <v>2050</v>
      </c>
      <c r="D134" s="374">
        <f>IF(F133+SUM(E$99:E133)=D$92,F133,D$92-SUM(E$99:E133))</f>
        <v>967803.97443481348</v>
      </c>
      <c r="E134" s="522">
        <f t="shared" si="27"/>
        <v>134692.95121951221</v>
      </c>
      <c r="F134" s="523">
        <f t="shared" si="28"/>
        <v>833111.02321530133</v>
      </c>
      <c r="G134" s="523">
        <f t="shared" si="29"/>
        <v>900457.49882505741</v>
      </c>
      <c r="H134" s="526">
        <f t="shared" si="30"/>
        <v>236907.68757932377</v>
      </c>
      <c r="I134" s="577">
        <f t="shared" si="31"/>
        <v>236907.68757932377</v>
      </c>
      <c r="J134" s="514">
        <f t="shared" si="26"/>
        <v>0</v>
      </c>
      <c r="K134" s="514"/>
      <c r="L134" s="525"/>
      <c r="M134" s="514">
        <f t="shared" si="32"/>
        <v>0</v>
      </c>
      <c r="N134" s="525"/>
      <c r="O134" s="514">
        <f t="shared" si="33"/>
        <v>0</v>
      </c>
      <c r="P134" s="514">
        <f t="shared" si="34"/>
        <v>0</v>
      </c>
    </row>
    <row r="135" spans="2:16" ht="12.5">
      <c r="B135" s="195" t="str">
        <f t="shared" si="25"/>
        <v/>
      </c>
      <c r="C135" s="507">
        <f>IF(D93="","-",+C134+1)</f>
        <v>2051</v>
      </c>
      <c r="D135" s="374">
        <f>IF(F134+SUM(E$99:E134)=D$92,F134,D$92-SUM(E$99:E134))</f>
        <v>833111.02321530133</v>
      </c>
      <c r="E135" s="522">
        <f t="shared" si="27"/>
        <v>134692.95121951221</v>
      </c>
      <c r="F135" s="523">
        <f t="shared" si="28"/>
        <v>698418.07199578919</v>
      </c>
      <c r="G135" s="523">
        <f t="shared" si="29"/>
        <v>765764.54760554526</v>
      </c>
      <c r="H135" s="526">
        <f t="shared" si="30"/>
        <v>221618.12142390636</v>
      </c>
      <c r="I135" s="577">
        <f t="shared" si="31"/>
        <v>221618.12142390636</v>
      </c>
      <c r="J135" s="514">
        <f t="shared" si="26"/>
        <v>0</v>
      </c>
      <c r="K135" s="514"/>
      <c r="L135" s="525"/>
      <c r="M135" s="514">
        <f t="shared" si="32"/>
        <v>0</v>
      </c>
      <c r="N135" s="525"/>
      <c r="O135" s="514">
        <f t="shared" si="33"/>
        <v>0</v>
      </c>
      <c r="P135" s="514">
        <f t="shared" si="34"/>
        <v>0</v>
      </c>
    </row>
    <row r="136" spans="2:16" ht="12.5">
      <c r="B136" s="195" t="str">
        <f t="shared" si="25"/>
        <v/>
      </c>
      <c r="C136" s="507">
        <f>IF(D93="","-",+C135+1)</f>
        <v>2052</v>
      </c>
      <c r="D136" s="374">
        <f>IF(F135+SUM(E$99:E135)=D$92,F135,D$92-SUM(E$99:E135))</f>
        <v>698418.07199578919</v>
      </c>
      <c r="E136" s="522">
        <f t="shared" si="27"/>
        <v>134692.95121951221</v>
      </c>
      <c r="F136" s="523">
        <f t="shared" si="28"/>
        <v>563725.12077627704</v>
      </c>
      <c r="G136" s="523">
        <f t="shared" si="29"/>
        <v>631071.59638603311</v>
      </c>
      <c r="H136" s="526">
        <f t="shared" si="30"/>
        <v>206328.555268489</v>
      </c>
      <c r="I136" s="577">
        <f t="shared" si="31"/>
        <v>206328.555268489</v>
      </c>
      <c r="J136" s="514">
        <f t="shared" si="26"/>
        <v>0</v>
      </c>
      <c r="K136" s="514"/>
      <c r="L136" s="525"/>
      <c r="M136" s="514">
        <f t="shared" si="32"/>
        <v>0</v>
      </c>
      <c r="N136" s="525"/>
      <c r="O136" s="514">
        <f t="shared" si="33"/>
        <v>0</v>
      </c>
      <c r="P136" s="514">
        <f t="shared" si="34"/>
        <v>0</v>
      </c>
    </row>
    <row r="137" spans="2:16" ht="12.5">
      <c r="B137" s="195" t="str">
        <f t="shared" si="25"/>
        <v/>
      </c>
      <c r="C137" s="507">
        <f>IF(D93="","-",+C136+1)</f>
        <v>2053</v>
      </c>
      <c r="D137" s="374">
        <f>IF(F136+SUM(E$99:E136)=D$92,F136,D$92-SUM(E$99:E136))</f>
        <v>563725.12077627704</v>
      </c>
      <c r="E137" s="522">
        <f t="shared" si="27"/>
        <v>134692.95121951221</v>
      </c>
      <c r="F137" s="523">
        <f t="shared" si="28"/>
        <v>429032.16955676483</v>
      </c>
      <c r="G137" s="523">
        <f t="shared" si="29"/>
        <v>496378.64516652096</v>
      </c>
      <c r="H137" s="526">
        <f t="shared" si="30"/>
        <v>191038.98911307158</v>
      </c>
      <c r="I137" s="577">
        <f t="shared" si="31"/>
        <v>191038.98911307158</v>
      </c>
      <c r="J137" s="514">
        <f t="shared" si="26"/>
        <v>0</v>
      </c>
      <c r="K137" s="514"/>
      <c r="L137" s="525"/>
      <c r="M137" s="514">
        <f t="shared" si="32"/>
        <v>0</v>
      </c>
      <c r="N137" s="525"/>
      <c r="O137" s="514">
        <f t="shared" si="33"/>
        <v>0</v>
      </c>
      <c r="P137" s="514">
        <f t="shared" si="34"/>
        <v>0</v>
      </c>
    </row>
    <row r="138" spans="2:16" ht="12.5">
      <c r="B138" s="195" t="str">
        <f t="shared" si="25"/>
        <v/>
      </c>
      <c r="C138" s="507">
        <f>IF(D93="","-",+C137+1)</f>
        <v>2054</v>
      </c>
      <c r="D138" s="374">
        <f>IF(F137+SUM(E$99:E137)=D$92,F137,D$92-SUM(E$99:E137))</f>
        <v>429032.16955676483</v>
      </c>
      <c r="E138" s="522">
        <f t="shared" si="27"/>
        <v>134692.95121951221</v>
      </c>
      <c r="F138" s="523">
        <f t="shared" si="28"/>
        <v>294339.21833725262</v>
      </c>
      <c r="G138" s="523">
        <f t="shared" si="29"/>
        <v>361685.69394700869</v>
      </c>
      <c r="H138" s="526">
        <f t="shared" si="30"/>
        <v>175749.42295765417</v>
      </c>
      <c r="I138" s="577">
        <f t="shared" si="31"/>
        <v>175749.42295765417</v>
      </c>
      <c r="J138" s="514">
        <f t="shared" si="26"/>
        <v>0</v>
      </c>
      <c r="K138" s="514"/>
      <c r="L138" s="525"/>
      <c r="M138" s="514">
        <f t="shared" si="32"/>
        <v>0</v>
      </c>
      <c r="N138" s="525"/>
      <c r="O138" s="514">
        <f t="shared" si="33"/>
        <v>0</v>
      </c>
      <c r="P138" s="514">
        <f t="shared" si="34"/>
        <v>0</v>
      </c>
    </row>
    <row r="139" spans="2:16" ht="12.5">
      <c r="B139" s="195" t="str">
        <f t="shared" si="25"/>
        <v/>
      </c>
      <c r="C139" s="507">
        <f>IF(D93="","-",+C138+1)</f>
        <v>2055</v>
      </c>
      <c r="D139" s="374">
        <f>IF(F138+SUM(E$99:E138)=D$92,F138,D$92-SUM(E$99:E138))</f>
        <v>294339.21833725262</v>
      </c>
      <c r="E139" s="522">
        <f t="shared" si="27"/>
        <v>134692.95121951221</v>
      </c>
      <c r="F139" s="523">
        <f t="shared" si="28"/>
        <v>159646.26711774041</v>
      </c>
      <c r="G139" s="523">
        <f t="shared" si="29"/>
        <v>226992.74272749652</v>
      </c>
      <c r="H139" s="526">
        <f t="shared" si="30"/>
        <v>160459.85680223678</v>
      </c>
      <c r="I139" s="577">
        <f t="shared" si="31"/>
        <v>160459.85680223678</v>
      </c>
      <c r="J139" s="514">
        <f t="shared" si="26"/>
        <v>0</v>
      </c>
      <c r="K139" s="514"/>
      <c r="L139" s="525"/>
      <c r="M139" s="514">
        <f t="shared" si="32"/>
        <v>0</v>
      </c>
      <c r="N139" s="525"/>
      <c r="O139" s="514">
        <f t="shared" si="33"/>
        <v>0</v>
      </c>
      <c r="P139" s="514">
        <f t="shared" si="34"/>
        <v>0</v>
      </c>
    </row>
    <row r="140" spans="2:16" ht="12.5">
      <c r="B140" s="195" t="str">
        <f t="shared" si="25"/>
        <v/>
      </c>
      <c r="C140" s="507">
        <f>IF(D93="","-",+C139+1)</f>
        <v>2056</v>
      </c>
      <c r="D140" s="374">
        <f>IF(F139+SUM(E$99:E139)=D$92,F139,D$92-SUM(E$99:E139))</f>
        <v>159646.26711774041</v>
      </c>
      <c r="E140" s="522">
        <f t="shared" si="27"/>
        <v>134692.95121951221</v>
      </c>
      <c r="F140" s="523">
        <f t="shared" si="28"/>
        <v>24953.315898228204</v>
      </c>
      <c r="G140" s="523">
        <f t="shared" si="29"/>
        <v>92299.791507984308</v>
      </c>
      <c r="H140" s="526">
        <f t="shared" si="30"/>
        <v>145170.2906468194</v>
      </c>
      <c r="I140" s="577">
        <f t="shared" si="31"/>
        <v>145170.2906468194</v>
      </c>
      <c r="J140" s="514">
        <f t="shared" si="26"/>
        <v>0</v>
      </c>
      <c r="K140" s="514"/>
      <c r="L140" s="525"/>
      <c r="M140" s="514">
        <f t="shared" si="32"/>
        <v>0</v>
      </c>
      <c r="N140" s="525"/>
      <c r="O140" s="514">
        <f t="shared" si="33"/>
        <v>0</v>
      </c>
      <c r="P140" s="514">
        <f t="shared" si="34"/>
        <v>0</v>
      </c>
    </row>
    <row r="141" spans="2:16" ht="12.5">
      <c r="B141" s="195" t="str">
        <f t="shared" si="25"/>
        <v/>
      </c>
      <c r="C141" s="507">
        <f>IF(D93="","-",+C140+1)</f>
        <v>2057</v>
      </c>
      <c r="D141" s="374">
        <f>IF(F140+SUM(E$99:E140)=D$92,F140,D$92-SUM(E$99:E140))</f>
        <v>24953.315898228204</v>
      </c>
      <c r="E141" s="522">
        <f t="shared" si="27"/>
        <v>24953.315898228204</v>
      </c>
      <c r="F141" s="523">
        <f t="shared" si="28"/>
        <v>0</v>
      </c>
      <c r="G141" s="523">
        <f t="shared" si="29"/>
        <v>12476.657949114102</v>
      </c>
      <c r="H141" s="526">
        <f t="shared" si="30"/>
        <v>26369.594073027449</v>
      </c>
      <c r="I141" s="577">
        <f t="shared" si="31"/>
        <v>26369.594073027449</v>
      </c>
      <c r="J141" s="514">
        <f t="shared" si="26"/>
        <v>0</v>
      </c>
      <c r="K141" s="514"/>
      <c r="L141" s="525"/>
      <c r="M141" s="514">
        <f t="shared" si="32"/>
        <v>0</v>
      </c>
      <c r="N141" s="525"/>
      <c r="O141" s="514">
        <f t="shared" si="33"/>
        <v>0</v>
      </c>
      <c r="P141" s="514">
        <f t="shared" si="34"/>
        <v>0</v>
      </c>
    </row>
    <row r="142" spans="2:16" ht="12.5">
      <c r="B142" s="195" t="str">
        <f t="shared" si="25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27"/>
        <v>0</v>
      </c>
      <c r="F142" s="523">
        <f t="shared" si="28"/>
        <v>0</v>
      </c>
      <c r="G142" s="523">
        <f t="shared" si="29"/>
        <v>0</v>
      </c>
      <c r="H142" s="526">
        <f t="shared" si="30"/>
        <v>0</v>
      </c>
      <c r="I142" s="577">
        <f t="shared" si="31"/>
        <v>0</v>
      </c>
      <c r="J142" s="514">
        <f t="shared" si="26"/>
        <v>0</v>
      </c>
      <c r="K142" s="514"/>
      <c r="L142" s="525"/>
      <c r="M142" s="514">
        <f t="shared" si="32"/>
        <v>0</v>
      </c>
      <c r="N142" s="525"/>
      <c r="O142" s="514">
        <f t="shared" si="33"/>
        <v>0</v>
      </c>
      <c r="P142" s="514">
        <f t="shared" si="34"/>
        <v>0</v>
      </c>
    </row>
    <row r="143" spans="2:16" ht="12.5">
      <c r="B143" s="195" t="str">
        <f t="shared" si="25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27"/>
        <v>0</v>
      </c>
      <c r="F143" s="523">
        <f t="shared" si="28"/>
        <v>0</v>
      </c>
      <c r="G143" s="523">
        <f t="shared" si="29"/>
        <v>0</v>
      </c>
      <c r="H143" s="526">
        <f t="shared" si="30"/>
        <v>0</v>
      </c>
      <c r="I143" s="577">
        <f t="shared" si="31"/>
        <v>0</v>
      </c>
      <c r="J143" s="514">
        <f t="shared" si="26"/>
        <v>0</v>
      </c>
      <c r="K143" s="514"/>
      <c r="L143" s="525"/>
      <c r="M143" s="514">
        <f t="shared" si="32"/>
        <v>0</v>
      </c>
      <c r="N143" s="525"/>
      <c r="O143" s="514">
        <f t="shared" si="33"/>
        <v>0</v>
      </c>
      <c r="P143" s="514">
        <f t="shared" si="34"/>
        <v>0</v>
      </c>
    </row>
    <row r="144" spans="2:16" ht="12.5">
      <c r="B144" s="195" t="str">
        <f t="shared" si="25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27"/>
        <v>0</v>
      </c>
      <c r="F144" s="523">
        <f t="shared" si="28"/>
        <v>0</v>
      </c>
      <c r="G144" s="523">
        <f t="shared" si="29"/>
        <v>0</v>
      </c>
      <c r="H144" s="526">
        <f t="shared" si="30"/>
        <v>0</v>
      </c>
      <c r="I144" s="577">
        <f t="shared" si="31"/>
        <v>0</v>
      </c>
      <c r="J144" s="514">
        <f t="shared" si="26"/>
        <v>0</v>
      </c>
      <c r="K144" s="514"/>
      <c r="L144" s="525"/>
      <c r="M144" s="514">
        <f t="shared" si="32"/>
        <v>0</v>
      </c>
      <c r="N144" s="525"/>
      <c r="O144" s="514">
        <f t="shared" si="33"/>
        <v>0</v>
      </c>
      <c r="P144" s="514">
        <f t="shared" si="34"/>
        <v>0</v>
      </c>
    </row>
    <row r="145" spans="2:16" ht="12.5">
      <c r="B145" s="195" t="str">
        <f t="shared" si="25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27"/>
        <v>0</v>
      </c>
      <c r="F145" s="523">
        <f t="shared" si="28"/>
        <v>0</v>
      </c>
      <c r="G145" s="523">
        <f t="shared" si="29"/>
        <v>0</v>
      </c>
      <c r="H145" s="526">
        <f t="shared" si="30"/>
        <v>0</v>
      </c>
      <c r="I145" s="577">
        <f t="shared" si="31"/>
        <v>0</v>
      </c>
      <c r="J145" s="514">
        <f t="shared" si="26"/>
        <v>0</v>
      </c>
      <c r="K145" s="514"/>
      <c r="L145" s="525"/>
      <c r="M145" s="514">
        <f t="shared" si="32"/>
        <v>0</v>
      </c>
      <c r="N145" s="525"/>
      <c r="O145" s="514">
        <f t="shared" si="33"/>
        <v>0</v>
      </c>
      <c r="P145" s="514">
        <f t="shared" si="34"/>
        <v>0</v>
      </c>
    </row>
    <row r="146" spans="2:16" ht="12.5">
      <c r="B146" s="195" t="str">
        <f t="shared" si="25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27"/>
        <v>0</v>
      </c>
      <c r="F146" s="523">
        <f t="shared" si="28"/>
        <v>0</v>
      </c>
      <c r="G146" s="523">
        <f t="shared" si="29"/>
        <v>0</v>
      </c>
      <c r="H146" s="526">
        <f t="shared" si="30"/>
        <v>0</v>
      </c>
      <c r="I146" s="577">
        <f t="shared" si="31"/>
        <v>0</v>
      </c>
      <c r="J146" s="514">
        <f t="shared" si="26"/>
        <v>0</v>
      </c>
      <c r="K146" s="514"/>
      <c r="L146" s="525"/>
      <c r="M146" s="514">
        <f t="shared" si="32"/>
        <v>0</v>
      </c>
      <c r="N146" s="525"/>
      <c r="O146" s="514">
        <f t="shared" si="33"/>
        <v>0</v>
      </c>
      <c r="P146" s="514">
        <f t="shared" si="34"/>
        <v>0</v>
      </c>
    </row>
    <row r="147" spans="2:16" ht="12.5">
      <c r="B147" s="195" t="str">
        <f t="shared" si="25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27"/>
        <v>0</v>
      </c>
      <c r="F147" s="523">
        <f t="shared" si="28"/>
        <v>0</v>
      </c>
      <c r="G147" s="523">
        <f t="shared" si="29"/>
        <v>0</v>
      </c>
      <c r="H147" s="526">
        <f t="shared" si="30"/>
        <v>0</v>
      </c>
      <c r="I147" s="577">
        <f t="shared" si="31"/>
        <v>0</v>
      </c>
      <c r="J147" s="514">
        <f t="shared" si="26"/>
        <v>0</v>
      </c>
      <c r="K147" s="514"/>
      <c r="L147" s="525"/>
      <c r="M147" s="514">
        <f t="shared" si="32"/>
        <v>0</v>
      </c>
      <c r="N147" s="525"/>
      <c r="O147" s="514">
        <f t="shared" si="33"/>
        <v>0</v>
      </c>
      <c r="P147" s="514">
        <f t="shared" si="34"/>
        <v>0</v>
      </c>
    </row>
    <row r="148" spans="2:16" ht="12.5">
      <c r="B148" s="195" t="str">
        <f t="shared" si="25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27"/>
        <v>0</v>
      </c>
      <c r="F148" s="523">
        <f t="shared" si="28"/>
        <v>0</v>
      </c>
      <c r="G148" s="523">
        <f t="shared" si="29"/>
        <v>0</v>
      </c>
      <c r="H148" s="526">
        <f t="shared" si="30"/>
        <v>0</v>
      </c>
      <c r="I148" s="577">
        <f t="shared" si="31"/>
        <v>0</v>
      </c>
      <c r="J148" s="514">
        <f t="shared" si="26"/>
        <v>0</v>
      </c>
      <c r="K148" s="514"/>
      <c r="L148" s="525"/>
      <c r="M148" s="514">
        <f t="shared" si="32"/>
        <v>0</v>
      </c>
      <c r="N148" s="525"/>
      <c r="O148" s="514">
        <f t="shared" si="33"/>
        <v>0</v>
      </c>
      <c r="P148" s="514">
        <f t="shared" si="34"/>
        <v>0</v>
      </c>
    </row>
    <row r="149" spans="2:16" ht="12.5">
      <c r="B149" s="195" t="str">
        <f t="shared" si="25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27"/>
        <v>0</v>
      </c>
      <c r="F149" s="523">
        <f t="shared" si="28"/>
        <v>0</v>
      </c>
      <c r="G149" s="523">
        <f t="shared" si="29"/>
        <v>0</v>
      </c>
      <c r="H149" s="526">
        <f t="shared" si="30"/>
        <v>0</v>
      </c>
      <c r="I149" s="577">
        <f t="shared" si="31"/>
        <v>0</v>
      </c>
      <c r="J149" s="514">
        <f t="shared" si="26"/>
        <v>0</v>
      </c>
      <c r="K149" s="514"/>
      <c r="L149" s="525"/>
      <c r="M149" s="514">
        <f t="shared" si="32"/>
        <v>0</v>
      </c>
      <c r="N149" s="525"/>
      <c r="O149" s="514">
        <f t="shared" si="33"/>
        <v>0</v>
      </c>
      <c r="P149" s="514">
        <f t="shared" si="34"/>
        <v>0</v>
      </c>
    </row>
    <row r="150" spans="2:16" ht="12.5">
      <c r="B150" s="195" t="str">
        <f t="shared" si="25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27"/>
        <v>0</v>
      </c>
      <c r="F150" s="523">
        <f t="shared" si="28"/>
        <v>0</v>
      </c>
      <c r="G150" s="523">
        <f t="shared" si="29"/>
        <v>0</v>
      </c>
      <c r="H150" s="526">
        <f t="shared" si="30"/>
        <v>0</v>
      </c>
      <c r="I150" s="577">
        <f t="shared" si="31"/>
        <v>0</v>
      </c>
      <c r="J150" s="514">
        <f t="shared" si="26"/>
        <v>0</v>
      </c>
      <c r="K150" s="514"/>
      <c r="L150" s="525"/>
      <c r="M150" s="514">
        <f t="shared" si="32"/>
        <v>0</v>
      </c>
      <c r="N150" s="525"/>
      <c r="O150" s="514">
        <f t="shared" si="33"/>
        <v>0</v>
      </c>
      <c r="P150" s="514">
        <f t="shared" si="34"/>
        <v>0</v>
      </c>
    </row>
    <row r="151" spans="2:16" ht="12.5">
      <c r="B151" s="195" t="str">
        <f t="shared" si="25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27"/>
        <v>0</v>
      </c>
      <c r="F151" s="523">
        <f t="shared" si="28"/>
        <v>0</v>
      </c>
      <c r="G151" s="523">
        <f t="shared" si="29"/>
        <v>0</v>
      </c>
      <c r="H151" s="526">
        <f t="shared" si="30"/>
        <v>0</v>
      </c>
      <c r="I151" s="577">
        <f t="shared" si="31"/>
        <v>0</v>
      </c>
      <c r="J151" s="514">
        <f t="shared" si="26"/>
        <v>0</v>
      </c>
      <c r="K151" s="514"/>
      <c r="L151" s="525"/>
      <c r="M151" s="514">
        <f t="shared" si="32"/>
        <v>0</v>
      </c>
      <c r="N151" s="525"/>
      <c r="O151" s="514">
        <f t="shared" si="33"/>
        <v>0</v>
      </c>
      <c r="P151" s="514">
        <f t="shared" si="34"/>
        <v>0</v>
      </c>
    </row>
    <row r="152" spans="2:16" ht="12.5">
      <c r="B152" s="195" t="str">
        <f t="shared" si="25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27"/>
        <v>0</v>
      </c>
      <c r="F152" s="523">
        <f t="shared" si="28"/>
        <v>0</v>
      </c>
      <c r="G152" s="523">
        <f t="shared" si="29"/>
        <v>0</v>
      </c>
      <c r="H152" s="526">
        <f t="shared" si="30"/>
        <v>0</v>
      </c>
      <c r="I152" s="577">
        <f t="shared" si="31"/>
        <v>0</v>
      </c>
      <c r="J152" s="514">
        <f t="shared" si="26"/>
        <v>0</v>
      </c>
      <c r="K152" s="514"/>
      <c r="L152" s="525"/>
      <c r="M152" s="514">
        <f t="shared" si="32"/>
        <v>0</v>
      </c>
      <c r="N152" s="525"/>
      <c r="O152" s="514">
        <f t="shared" si="33"/>
        <v>0</v>
      </c>
      <c r="P152" s="514">
        <f t="shared" si="34"/>
        <v>0</v>
      </c>
    </row>
    <row r="153" spans="2:16" ht="12.5">
      <c r="B153" s="195" t="str">
        <f t="shared" si="25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27"/>
        <v>0</v>
      </c>
      <c r="F153" s="523">
        <f t="shared" si="28"/>
        <v>0</v>
      </c>
      <c r="G153" s="523">
        <f t="shared" si="29"/>
        <v>0</v>
      </c>
      <c r="H153" s="526">
        <f t="shared" si="30"/>
        <v>0</v>
      </c>
      <c r="I153" s="577">
        <f t="shared" si="31"/>
        <v>0</v>
      </c>
      <c r="J153" s="514">
        <f t="shared" si="26"/>
        <v>0</v>
      </c>
      <c r="K153" s="514"/>
      <c r="L153" s="525"/>
      <c r="M153" s="514">
        <f t="shared" si="32"/>
        <v>0</v>
      </c>
      <c r="N153" s="525"/>
      <c r="O153" s="514">
        <f t="shared" si="33"/>
        <v>0</v>
      </c>
      <c r="P153" s="514">
        <f t="shared" si="34"/>
        <v>0</v>
      </c>
    </row>
    <row r="154" spans="2:16" ht="13" thickBot="1">
      <c r="B154" s="195" t="str">
        <f t="shared" si="25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27"/>
        <v>0</v>
      </c>
      <c r="F154" s="523">
        <f t="shared" si="28"/>
        <v>0</v>
      </c>
      <c r="G154" s="523">
        <f t="shared" si="29"/>
        <v>0</v>
      </c>
      <c r="H154" s="526">
        <f t="shared" si="30"/>
        <v>0</v>
      </c>
      <c r="I154" s="577">
        <f t="shared" si="31"/>
        <v>0</v>
      </c>
      <c r="J154" s="514">
        <f t="shared" si="26"/>
        <v>0</v>
      </c>
      <c r="K154" s="514"/>
      <c r="L154" s="532"/>
      <c r="M154" s="533">
        <f t="shared" si="32"/>
        <v>0</v>
      </c>
      <c r="N154" s="532"/>
      <c r="O154" s="533">
        <f t="shared" si="33"/>
        <v>0</v>
      </c>
      <c r="P154" s="533">
        <f t="shared" si="34"/>
        <v>0</v>
      </c>
    </row>
    <row r="155" spans="2:16" ht="12.5">
      <c r="C155" s="374" t="s">
        <v>78</v>
      </c>
      <c r="D155" s="375"/>
      <c r="E155" s="375">
        <f>SUM(E99:E154)</f>
        <v>5522411.0000000019</v>
      </c>
      <c r="F155" s="375"/>
      <c r="G155" s="375"/>
      <c r="H155" s="375">
        <f>SUM(H99:H154)</f>
        <v>18835505.352210462</v>
      </c>
      <c r="I155" s="375">
        <f>SUM(I99:I154)</f>
        <v>18835505.352210462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8" priority="1" stopIfTrue="1" operator="equal">
      <formula>$I$10</formula>
    </cfRule>
  </conditionalFormatting>
  <conditionalFormatting sqref="C99:C154">
    <cfRule type="cellIs" dxfId="57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101"/>
  <dimension ref="A1:P162"/>
  <sheetViews>
    <sheetView view="pageBreakPreview" zoomScale="82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52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1512955.948747413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1512955.948747413</v>
      </c>
      <c r="O6" s="269"/>
      <c r="P6" s="269"/>
    </row>
    <row r="7" spans="1:16" ht="13.5" thickBot="1">
      <c r="C7" s="467" t="s">
        <v>48</v>
      </c>
      <c r="D7" s="624" t="s">
        <v>340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467</v>
      </c>
      <c r="E9" s="637" t="s">
        <v>505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12017566.600000001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286132.53809523815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12300000</v>
      </c>
      <c r="E17" s="638">
        <v>146428.57142857142</v>
      </c>
      <c r="F17" s="629">
        <v>12153571.428571429</v>
      </c>
      <c r="G17" s="638">
        <v>1747112.2775653705</v>
      </c>
      <c r="H17" s="639">
        <v>1747112.2775653705</v>
      </c>
      <c r="I17" s="511">
        <v>0</v>
      </c>
      <c r="J17" s="511"/>
      <c r="K17" s="518">
        <f t="shared" ref="K17:K22" si="0">G17</f>
        <v>1747112.2775653705</v>
      </c>
      <c r="L17" s="519">
        <f t="shared" ref="L17:L22" si="1">IF(K17&lt;&gt;0,+G17-K17,0)</f>
        <v>0</v>
      </c>
      <c r="M17" s="518">
        <f t="shared" ref="M17:M22" si="2">H17</f>
        <v>1747112.2775653705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11844058.428571429</v>
      </c>
      <c r="E18" s="630">
        <v>285487.78571428574</v>
      </c>
      <c r="F18" s="631">
        <v>11558570.642857144</v>
      </c>
      <c r="G18" s="630">
        <v>1789026.3661915467</v>
      </c>
      <c r="H18" s="639">
        <v>1789026.3661915467</v>
      </c>
      <c r="I18" s="511">
        <f>H18-G18</f>
        <v>0</v>
      </c>
      <c r="J18" s="511"/>
      <c r="K18" s="518">
        <f t="shared" si="0"/>
        <v>1789026.3661915467</v>
      </c>
      <c r="L18" s="519">
        <f t="shared" si="1"/>
        <v>0</v>
      </c>
      <c r="M18" s="518">
        <f t="shared" si="2"/>
        <v>1789026.3661915467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11585650.642857144</v>
      </c>
      <c r="E19" s="630">
        <v>279478.30232558138</v>
      </c>
      <c r="F19" s="631">
        <v>11306172.340531562</v>
      </c>
      <c r="G19" s="630">
        <v>1697541.2765808336</v>
      </c>
      <c r="H19" s="639">
        <v>1697541.2765808336</v>
      </c>
      <c r="I19" s="511">
        <f t="shared" ref="I19:I72" si="3">H19-G19</f>
        <v>0</v>
      </c>
      <c r="J19" s="511"/>
      <c r="K19" s="518">
        <f t="shared" si="0"/>
        <v>1697541.2765808336</v>
      </c>
      <c r="L19" s="519">
        <f t="shared" si="1"/>
        <v>0</v>
      </c>
      <c r="M19" s="518">
        <f t="shared" si="2"/>
        <v>1697541.2765808336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11306172.340531562</v>
      </c>
      <c r="E20" s="630">
        <v>293111.39024390245</v>
      </c>
      <c r="F20" s="631">
        <v>11013060.950287659</v>
      </c>
      <c r="G20" s="630">
        <v>1711432.8121770415</v>
      </c>
      <c r="H20" s="639">
        <v>1711432.8121770415</v>
      </c>
      <c r="I20" s="511">
        <f t="shared" si="3"/>
        <v>0</v>
      </c>
      <c r="J20" s="511"/>
      <c r="K20" s="518">
        <f t="shared" si="0"/>
        <v>1711432.8121770415</v>
      </c>
      <c r="L20" s="519">
        <f t="shared" si="1"/>
        <v>0</v>
      </c>
      <c r="M20" s="518">
        <f t="shared" si="2"/>
        <v>1711432.8121770415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11013060.950287659</v>
      </c>
      <c r="E21" s="630">
        <v>293111.39024390245</v>
      </c>
      <c r="F21" s="631">
        <v>10719949.560043756</v>
      </c>
      <c r="G21" s="630">
        <v>1674180.0841483832</v>
      </c>
      <c r="H21" s="639">
        <v>1674180.0841483832</v>
      </c>
      <c r="I21" s="511">
        <f t="shared" si="3"/>
        <v>0</v>
      </c>
      <c r="J21" s="511"/>
      <c r="K21" s="518">
        <f t="shared" si="0"/>
        <v>1674180.0841483832</v>
      </c>
      <c r="L21" s="519">
        <f t="shared" si="1"/>
        <v>0</v>
      </c>
      <c r="M21" s="518">
        <f t="shared" si="2"/>
        <v>1674180.0841483832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/>
      </c>
      <c r="C22" s="507">
        <f>IF(D11="","-",+C21+1)</f>
        <v>2020</v>
      </c>
      <c r="D22" s="631">
        <v>10719949.560043756</v>
      </c>
      <c r="E22" s="630">
        <v>293111.39024390245</v>
      </c>
      <c r="F22" s="631">
        <v>10426838.169799853</v>
      </c>
      <c r="G22" s="630">
        <v>1375144.4653373505</v>
      </c>
      <c r="H22" s="639">
        <v>1375144.4653373505</v>
      </c>
      <c r="I22" s="511">
        <f t="shared" si="3"/>
        <v>0</v>
      </c>
      <c r="J22" s="511"/>
      <c r="K22" s="518">
        <f t="shared" si="0"/>
        <v>1375144.4653373505</v>
      </c>
      <c r="L22" s="519">
        <f t="shared" si="1"/>
        <v>0</v>
      </c>
      <c r="M22" s="518">
        <f t="shared" si="2"/>
        <v>1375144.4653373505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631">
        <v>10440471.257718176</v>
      </c>
      <c r="E23" s="630">
        <v>286132.54761904763</v>
      </c>
      <c r="F23" s="631">
        <v>10154338.710099127</v>
      </c>
      <c r="G23" s="630">
        <v>1377704.2780579135</v>
      </c>
      <c r="H23" s="639">
        <v>1377704.2780579135</v>
      </c>
      <c r="I23" s="511">
        <f t="shared" si="3"/>
        <v>0</v>
      </c>
      <c r="J23" s="511"/>
      <c r="K23" s="518">
        <f t="shared" ref="K23" si="7">G23</f>
        <v>1377704.2780579135</v>
      </c>
      <c r="L23" s="519">
        <f t="shared" ref="L23" si="8">IF(K23&lt;&gt;0,+G23-K23,0)</f>
        <v>0</v>
      </c>
      <c r="M23" s="518">
        <f t="shared" ref="M23" si="9">H23</f>
        <v>1377704.2780579135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>IU</v>
      </c>
      <c r="C24" s="507">
        <f>IF(D11="","-",+C23+1)</f>
        <v>2022</v>
      </c>
      <c r="D24" s="631">
        <v>10140705.622180806</v>
      </c>
      <c r="E24" s="630">
        <v>286132.54761904763</v>
      </c>
      <c r="F24" s="631">
        <v>9854573.074561758</v>
      </c>
      <c r="G24" s="630">
        <v>1410308.0751093051</v>
      </c>
      <c r="H24" s="639">
        <v>1410308.0751093051</v>
      </c>
      <c r="I24" s="511">
        <f t="shared" si="3"/>
        <v>0</v>
      </c>
      <c r="J24" s="511"/>
      <c r="K24" s="518">
        <f t="shared" ref="K24" si="10">G24</f>
        <v>1410308.0751093051</v>
      </c>
      <c r="L24" s="519">
        <f t="shared" ref="L24" si="11">IF(K24&lt;&gt;0,+G24-K24,0)</f>
        <v>0</v>
      </c>
      <c r="M24" s="518">
        <f t="shared" ref="M24" si="12">H24</f>
        <v>1410308.0751093051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>IU</v>
      </c>
      <c r="C25" s="507">
        <f>IF(D11="","-",+C24+1)</f>
        <v>2023</v>
      </c>
      <c r="D25" s="523">
        <f>IF(F24+SUM(E$17:E24)=D$10,F24,D$10-SUM(E$17:E24))</f>
        <v>9854572.6745617613</v>
      </c>
      <c r="E25" s="522">
        <f t="shared" ref="E25:E72" si="13">IF(+$I$14&lt;F24,$I$14,D25)</f>
        <v>286132.53809523815</v>
      </c>
      <c r="F25" s="523">
        <f t="shared" ref="F25:F72" si="14">+D25-E25</f>
        <v>9568440.1364665236</v>
      </c>
      <c r="G25" s="524">
        <f t="shared" ref="G25:G50" si="15">+I$12*((D25+F25)/2)+E25</f>
        <v>1512955.948747413</v>
      </c>
      <c r="H25" s="491">
        <f t="shared" ref="H25:H50" si="16">+I$13*((D25+F25)/2)+E25</f>
        <v>1512955.948747413</v>
      </c>
      <c r="I25" s="511">
        <f t="shared" si="3"/>
        <v>0</v>
      </c>
      <c r="J25" s="511"/>
      <c r="K25" s="525"/>
      <c r="L25" s="514">
        <f t="shared" ref="L25:L72" si="17">IF(K25&lt;&gt;0,+G25-K25,0)</f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9568440.1364665236</v>
      </c>
      <c r="E26" s="522">
        <f t="shared" si="13"/>
        <v>286132.53809523815</v>
      </c>
      <c r="F26" s="523">
        <f t="shared" si="14"/>
        <v>9282307.5983712859</v>
      </c>
      <c r="G26" s="524">
        <f t="shared" si="15"/>
        <v>1476809.7442733832</v>
      </c>
      <c r="H26" s="491">
        <f t="shared" si="16"/>
        <v>1476809.7442733832</v>
      </c>
      <c r="I26" s="511">
        <f t="shared" si="3"/>
        <v>0</v>
      </c>
      <c r="J26" s="511"/>
      <c r="K26" s="525"/>
      <c r="L26" s="514">
        <f t="shared" si="17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9282307.5983712859</v>
      </c>
      <c r="E27" s="522">
        <f t="shared" si="13"/>
        <v>286132.53809523815</v>
      </c>
      <c r="F27" s="523">
        <f t="shared" si="14"/>
        <v>8996175.0602760483</v>
      </c>
      <c r="G27" s="524">
        <f t="shared" si="15"/>
        <v>1440663.5397993538</v>
      </c>
      <c r="H27" s="491">
        <f t="shared" si="16"/>
        <v>1440663.5397993538</v>
      </c>
      <c r="I27" s="511">
        <f t="shared" si="3"/>
        <v>0</v>
      </c>
      <c r="J27" s="511"/>
      <c r="K27" s="525"/>
      <c r="L27" s="514">
        <f t="shared" si="17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8996175.0602760483</v>
      </c>
      <c r="E28" s="522">
        <f t="shared" si="13"/>
        <v>286132.53809523815</v>
      </c>
      <c r="F28" s="523">
        <f t="shared" si="14"/>
        <v>8710042.5221808106</v>
      </c>
      <c r="G28" s="524">
        <f t="shared" si="15"/>
        <v>1404517.3353253237</v>
      </c>
      <c r="H28" s="491">
        <f t="shared" si="16"/>
        <v>1404517.3353253237</v>
      </c>
      <c r="I28" s="511">
        <f t="shared" si="3"/>
        <v>0</v>
      </c>
      <c r="J28" s="511"/>
      <c r="K28" s="525"/>
      <c r="L28" s="514">
        <f t="shared" si="1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8710042.5221808106</v>
      </c>
      <c r="E29" s="522">
        <f t="shared" si="13"/>
        <v>286132.53809523815</v>
      </c>
      <c r="F29" s="523">
        <f t="shared" si="14"/>
        <v>8423909.9840855729</v>
      </c>
      <c r="G29" s="524">
        <f t="shared" si="15"/>
        <v>1368371.1308512944</v>
      </c>
      <c r="H29" s="491">
        <f t="shared" si="16"/>
        <v>1368371.1308512944</v>
      </c>
      <c r="I29" s="511">
        <f t="shared" si="3"/>
        <v>0</v>
      </c>
      <c r="J29" s="511"/>
      <c r="K29" s="525"/>
      <c r="L29" s="514">
        <f t="shared" si="1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8423909.9840855729</v>
      </c>
      <c r="E30" s="522">
        <f t="shared" si="13"/>
        <v>286132.53809523815</v>
      </c>
      <c r="F30" s="523">
        <f t="shared" si="14"/>
        <v>8137777.4459903352</v>
      </c>
      <c r="G30" s="524">
        <f t="shared" si="15"/>
        <v>1332224.9263772648</v>
      </c>
      <c r="H30" s="491">
        <f t="shared" si="16"/>
        <v>1332224.9263772648</v>
      </c>
      <c r="I30" s="511">
        <f t="shared" si="3"/>
        <v>0</v>
      </c>
      <c r="J30" s="511"/>
      <c r="K30" s="525"/>
      <c r="L30" s="514">
        <f t="shared" si="1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8137777.4459903352</v>
      </c>
      <c r="E31" s="522">
        <f t="shared" si="13"/>
        <v>286132.53809523815</v>
      </c>
      <c r="F31" s="523">
        <f t="shared" si="14"/>
        <v>7851644.9078950975</v>
      </c>
      <c r="G31" s="524">
        <f t="shared" si="15"/>
        <v>1296078.7219032352</v>
      </c>
      <c r="H31" s="491">
        <f t="shared" si="16"/>
        <v>1296078.7219032352</v>
      </c>
      <c r="I31" s="511">
        <f t="shared" si="3"/>
        <v>0</v>
      </c>
      <c r="J31" s="511"/>
      <c r="K31" s="525"/>
      <c r="L31" s="514">
        <f t="shared" si="1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7851644.9078950975</v>
      </c>
      <c r="E32" s="522">
        <f t="shared" si="13"/>
        <v>286132.53809523815</v>
      </c>
      <c r="F32" s="523">
        <f t="shared" si="14"/>
        <v>7565512.3697998598</v>
      </c>
      <c r="G32" s="524">
        <f t="shared" si="15"/>
        <v>1259932.5174292054</v>
      </c>
      <c r="H32" s="491">
        <f t="shared" si="16"/>
        <v>1259932.5174292054</v>
      </c>
      <c r="I32" s="511">
        <f t="shared" si="3"/>
        <v>0</v>
      </c>
      <c r="J32" s="511"/>
      <c r="K32" s="525"/>
      <c r="L32" s="514">
        <f t="shared" si="1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7565512.3697998598</v>
      </c>
      <c r="E33" s="522">
        <f t="shared" si="13"/>
        <v>286132.53809523815</v>
      </c>
      <c r="F33" s="523">
        <f t="shared" si="14"/>
        <v>7279379.8317046221</v>
      </c>
      <c r="G33" s="524">
        <f t="shared" si="15"/>
        <v>1223786.3129551758</v>
      </c>
      <c r="H33" s="491">
        <f t="shared" si="16"/>
        <v>1223786.3129551758</v>
      </c>
      <c r="I33" s="511">
        <f t="shared" si="3"/>
        <v>0</v>
      </c>
      <c r="J33" s="511"/>
      <c r="K33" s="525"/>
      <c r="L33" s="514">
        <f t="shared" si="1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7279379.8317046221</v>
      </c>
      <c r="E34" s="522">
        <f t="shared" si="13"/>
        <v>286132.53809523815</v>
      </c>
      <c r="F34" s="523">
        <f t="shared" si="14"/>
        <v>6993247.2936093844</v>
      </c>
      <c r="G34" s="524">
        <f t="shared" si="15"/>
        <v>1187640.1084811462</v>
      </c>
      <c r="H34" s="491">
        <f t="shared" si="16"/>
        <v>1187640.1084811462</v>
      </c>
      <c r="I34" s="511">
        <f t="shared" si="3"/>
        <v>0</v>
      </c>
      <c r="J34" s="511"/>
      <c r="K34" s="525"/>
      <c r="L34" s="514">
        <f t="shared" si="1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6993247.2936093844</v>
      </c>
      <c r="E35" s="522">
        <f t="shared" si="13"/>
        <v>286132.53809523815</v>
      </c>
      <c r="F35" s="523">
        <f t="shared" si="14"/>
        <v>6707114.7555141468</v>
      </c>
      <c r="G35" s="524">
        <f t="shared" si="15"/>
        <v>1151493.9040071163</v>
      </c>
      <c r="H35" s="491">
        <f t="shared" si="16"/>
        <v>1151493.9040071163</v>
      </c>
      <c r="I35" s="511">
        <f t="shared" si="3"/>
        <v>0</v>
      </c>
      <c r="J35" s="511"/>
      <c r="K35" s="525"/>
      <c r="L35" s="514">
        <f t="shared" si="1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6707114.7555141468</v>
      </c>
      <c r="E36" s="522">
        <f t="shared" si="13"/>
        <v>286132.53809523815</v>
      </c>
      <c r="F36" s="523">
        <f t="shared" si="14"/>
        <v>6420982.2174189091</v>
      </c>
      <c r="G36" s="524">
        <f t="shared" si="15"/>
        <v>1115347.6995330867</v>
      </c>
      <c r="H36" s="491">
        <f t="shared" si="16"/>
        <v>1115347.6995330867</v>
      </c>
      <c r="I36" s="511">
        <f t="shared" si="3"/>
        <v>0</v>
      </c>
      <c r="J36" s="511"/>
      <c r="K36" s="525"/>
      <c r="L36" s="514">
        <f t="shared" si="1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6420982.2174189091</v>
      </c>
      <c r="E37" s="522">
        <f t="shared" si="13"/>
        <v>286132.53809523815</v>
      </c>
      <c r="F37" s="523">
        <f t="shared" si="14"/>
        <v>6134849.6793236714</v>
      </c>
      <c r="G37" s="524">
        <f t="shared" si="15"/>
        <v>1079201.4950590571</v>
      </c>
      <c r="H37" s="491">
        <f t="shared" si="16"/>
        <v>1079201.4950590571</v>
      </c>
      <c r="I37" s="511">
        <f t="shared" si="3"/>
        <v>0</v>
      </c>
      <c r="J37" s="511"/>
      <c r="K37" s="525"/>
      <c r="L37" s="514">
        <f t="shared" si="1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6134849.6793236714</v>
      </c>
      <c r="E38" s="522">
        <f t="shared" si="13"/>
        <v>286132.53809523815</v>
      </c>
      <c r="F38" s="523">
        <f t="shared" si="14"/>
        <v>5848717.1412284337</v>
      </c>
      <c r="G38" s="524">
        <f t="shared" si="15"/>
        <v>1043055.2905850275</v>
      </c>
      <c r="H38" s="491">
        <f t="shared" si="16"/>
        <v>1043055.2905850275</v>
      </c>
      <c r="I38" s="511">
        <f t="shared" si="3"/>
        <v>0</v>
      </c>
      <c r="J38" s="511"/>
      <c r="K38" s="525"/>
      <c r="L38" s="514">
        <f t="shared" si="1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5848717.1412284337</v>
      </c>
      <c r="E39" s="522">
        <f t="shared" si="13"/>
        <v>286132.53809523815</v>
      </c>
      <c r="F39" s="523">
        <f t="shared" si="14"/>
        <v>5562584.603133196</v>
      </c>
      <c r="G39" s="524">
        <f t="shared" si="15"/>
        <v>1006909.0861109979</v>
      </c>
      <c r="H39" s="491">
        <f t="shared" si="16"/>
        <v>1006909.0861109979</v>
      </c>
      <c r="I39" s="511">
        <f t="shared" si="3"/>
        <v>0</v>
      </c>
      <c r="J39" s="511"/>
      <c r="K39" s="525"/>
      <c r="L39" s="514">
        <f t="shared" si="1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5562584.603133196</v>
      </c>
      <c r="E40" s="522">
        <f t="shared" si="13"/>
        <v>286132.53809523815</v>
      </c>
      <c r="F40" s="523">
        <f t="shared" si="14"/>
        <v>5276452.0650379583</v>
      </c>
      <c r="G40" s="524">
        <f t="shared" si="15"/>
        <v>970762.88163696823</v>
      </c>
      <c r="H40" s="491">
        <f t="shared" si="16"/>
        <v>970762.88163696823</v>
      </c>
      <c r="I40" s="511">
        <f t="shared" si="3"/>
        <v>0</v>
      </c>
      <c r="J40" s="511"/>
      <c r="K40" s="525"/>
      <c r="L40" s="514">
        <f t="shared" si="1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5276452.0650379583</v>
      </c>
      <c r="E41" s="522">
        <f t="shared" si="13"/>
        <v>286132.53809523815</v>
      </c>
      <c r="F41" s="523">
        <f t="shared" si="14"/>
        <v>4990319.5269427206</v>
      </c>
      <c r="G41" s="524">
        <f t="shared" si="15"/>
        <v>934616.67716293863</v>
      </c>
      <c r="H41" s="491">
        <f t="shared" si="16"/>
        <v>934616.67716293863</v>
      </c>
      <c r="I41" s="511">
        <f t="shared" si="3"/>
        <v>0</v>
      </c>
      <c r="J41" s="511"/>
      <c r="K41" s="525"/>
      <c r="L41" s="514">
        <f t="shared" si="1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4990319.5269427206</v>
      </c>
      <c r="E42" s="522">
        <f t="shared" si="13"/>
        <v>286132.53809523815</v>
      </c>
      <c r="F42" s="523">
        <f t="shared" si="14"/>
        <v>4704186.9888474829</v>
      </c>
      <c r="G42" s="524">
        <f t="shared" si="15"/>
        <v>898470.47268890904</v>
      </c>
      <c r="H42" s="491">
        <f t="shared" si="16"/>
        <v>898470.47268890904</v>
      </c>
      <c r="I42" s="511">
        <f t="shared" si="3"/>
        <v>0</v>
      </c>
      <c r="J42" s="511"/>
      <c r="K42" s="525"/>
      <c r="L42" s="514">
        <f t="shared" si="1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4704186.9888474829</v>
      </c>
      <c r="E43" s="522">
        <f t="shared" si="13"/>
        <v>286132.53809523815</v>
      </c>
      <c r="F43" s="523">
        <f t="shared" si="14"/>
        <v>4418054.4507522453</v>
      </c>
      <c r="G43" s="524">
        <f t="shared" si="15"/>
        <v>862324.26821487932</v>
      </c>
      <c r="H43" s="491">
        <f t="shared" si="16"/>
        <v>862324.26821487932</v>
      </c>
      <c r="I43" s="511">
        <f t="shared" si="3"/>
        <v>0</v>
      </c>
      <c r="J43" s="511"/>
      <c r="K43" s="525"/>
      <c r="L43" s="514">
        <f t="shared" si="1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4418054.4507522453</v>
      </c>
      <c r="E44" s="522">
        <f t="shared" si="13"/>
        <v>286132.53809523815</v>
      </c>
      <c r="F44" s="523">
        <f t="shared" si="14"/>
        <v>4131921.9126570071</v>
      </c>
      <c r="G44" s="524">
        <f t="shared" si="15"/>
        <v>826178.06374084973</v>
      </c>
      <c r="H44" s="491">
        <f t="shared" si="16"/>
        <v>826178.06374084973</v>
      </c>
      <c r="I44" s="511">
        <f t="shared" si="3"/>
        <v>0</v>
      </c>
      <c r="J44" s="511"/>
      <c r="K44" s="525"/>
      <c r="L44" s="514">
        <f t="shared" si="1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4131921.9126570071</v>
      </c>
      <c r="E45" s="522">
        <f t="shared" si="13"/>
        <v>286132.53809523815</v>
      </c>
      <c r="F45" s="523">
        <f t="shared" si="14"/>
        <v>3845789.374561769</v>
      </c>
      <c r="G45" s="524">
        <f t="shared" si="15"/>
        <v>790031.8592668199</v>
      </c>
      <c r="H45" s="491">
        <f t="shared" si="16"/>
        <v>790031.8592668199</v>
      </c>
      <c r="I45" s="511">
        <f t="shared" si="3"/>
        <v>0</v>
      </c>
      <c r="J45" s="511"/>
      <c r="K45" s="525"/>
      <c r="L45" s="514">
        <f t="shared" si="1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3845789.374561769</v>
      </c>
      <c r="E46" s="522">
        <f t="shared" si="13"/>
        <v>286132.53809523815</v>
      </c>
      <c r="F46" s="523">
        <f t="shared" si="14"/>
        <v>3559656.8364665308</v>
      </c>
      <c r="G46" s="524">
        <f t="shared" si="15"/>
        <v>753885.6547927903</v>
      </c>
      <c r="H46" s="491">
        <f t="shared" si="16"/>
        <v>753885.6547927903</v>
      </c>
      <c r="I46" s="511">
        <f t="shared" si="3"/>
        <v>0</v>
      </c>
      <c r="J46" s="511"/>
      <c r="K46" s="525"/>
      <c r="L46" s="514">
        <f t="shared" si="1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3559656.8364665308</v>
      </c>
      <c r="E47" s="522">
        <f t="shared" si="13"/>
        <v>286132.53809523815</v>
      </c>
      <c r="F47" s="523">
        <f t="shared" si="14"/>
        <v>3273524.2983712927</v>
      </c>
      <c r="G47" s="524">
        <f t="shared" si="15"/>
        <v>717739.45031876047</v>
      </c>
      <c r="H47" s="491">
        <f t="shared" si="16"/>
        <v>717739.45031876047</v>
      </c>
      <c r="I47" s="511">
        <f t="shared" si="3"/>
        <v>0</v>
      </c>
      <c r="J47" s="511"/>
      <c r="K47" s="525"/>
      <c r="L47" s="514">
        <f t="shared" si="1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3273524.2983712927</v>
      </c>
      <c r="E48" s="522">
        <f t="shared" si="13"/>
        <v>286132.53809523815</v>
      </c>
      <c r="F48" s="523">
        <f t="shared" si="14"/>
        <v>2987391.7602760545</v>
      </c>
      <c r="G48" s="524">
        <f t="shared" si="15"/>
        <v>681593.24584473087</v>
      </c>
      <c r="H48" s="491">
        <f t="shared" si="16"/>
        <v>681593.24584473087</v>
      </c>
      <c r="I48" s="511">
        <f t="shared" si="3"/>
        <v>0</v>
      </c>
      <c r="J48" s="511"/>
      <c r="K48" s="525"/>
      <c r="L48" s="514">
        <f t="shared" si="1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2987391.7602760545</v>
      </c>
      <c r="E49" s="522">
        <f t="shared" si="13"/>
        <v>286132.53809523815</v>
      </c>
      <c r="F49" s="523">
        <f t="shared" si="14"/>
        <v>2701259.2221808163</v>
      </c>
      <c r="G49" s="524">
        <f t="shared" si="15"/>
        <v>645447.04137070116</v>
      </c>
      <c r="H49" s="491">
        <f t="shared" si="16"/>
        <v>645447.04137070116</v>
      </c>
      <c r="I49" s="511">
        <f t="shared" si="3"/>
        <v>0</v>
      </c>
      <c r="J49" s="511"/>
      <c r="K49" s="525"/>
      <c r="L49" s="514">
        <f t="shared" si="1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2701259.2221808163</v>
      </c>
      <c r="E50" s="522">
        <f t="shared" si="13"/>
        <v>286132.53809523815</v>
      </c>
      <c r="F50" s="523">
        <f t="shared" si="14"/>
        <v>2415126.6840855782</v>
      </c>
      <c r="G50" s="524">
        <f t="shared" si="15"/>
        <v>609300.83689667145</v>
      </c>
      <c r="H50" s="491">
        <f t="shared" si="16"/>
        <v>609300.83689667145</v>
      </c>
      <c r="I50" s="511">
        <f t="shared" si="3"/>
        <v>0</v>
      </c>
      <c r="J50" s="511"/>
      <c r="K50" s="525"/>
      <c r="L50" s="514">
        <f t="shared" si="1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2415126.6840855782</v>
      </c>
      <c r="E51" s="522">
        <f t="shared" si="13"/>
        <v>286132.53809523815</v>
      </c>
      <c r="F51" s="523">
        <f t="shared" si="14"/>
        <v>2128994.14599034</v>
      </c>
      <c r="G51" s="524">
        <f t="shared" ref="G51:G72" si="18">+I$12*((D51+F51)/2)+E51</f>
        <v>573154.63242264173</v>
      </c>
      <c r="H51" s="491">
        <f t="shared" ref="H51:H72" si="19">+I$13*((D51+F51)/2)+E51</f>
        <v>573154.63242264173</v>
      </c>
      <c r="I51" s="511">
        <f t="shared" si="3"/>
        <v>0</v>
      </c>
      <c r="J51" s="511"/>
      <c r="K51" s="525"/>
      <c r="L51" s="514">
        <f t="shared" si="1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2128994.14599034</v>
      </c>
      <c r="E52" s="522">
        <f t="shared" si="13"/>
        <v>286132.53809523815</v>
      </c>
      <c r="F52" s="523">
        <f t="shared" si="14"/>
        <v>1842861.6078951019</v>
      </c>
      <c r="G52" s="524">
        <f t="shared" si="18"/>
        <v>537008.42794861202</v>
      </c>
      <c r="H52" s="491">
        <f t="shared" si="19"/>
        <v>537008.42794861202</v>
      </c>
      <c r="I52" s="511">
        <f t="shared" si="3"/>
        <v>0</v>
      </c>
      <c r="J52" s="511"/>
      <c r="K52" s="525"/>
      <c r="L52" s="514">
        <f t="shared" si="1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1842861.6078951019</v>
      </c>
      <c r="E53" s="522">
        <f t="shared" si="13"/>
        <v>286132.53809523815</v>
      </c>
      <c r="F53" s="523">
        <f t="shared" si="14"/>
        <v>1556729.0697998637</v>
      </c>
      <c r="G53" s="524">
        <f t="shared" si="18"/>
        <v>500862.22347458237</v>
      </c>
      <c r="H53" s="491">
        <f t="shared" si="19"/>
        <v>500862.22347458237</v>
      </c>
      <c r="I53" s="511">
        <f t="shared" si="3"/>
        <v>0</v>
      </c>
      <c r="J53" s="511"/>
      <c r="K53" s="525"/>
      <c r="L53" s="514">
        <f t="shared" si="1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1556729.0697998637</v>
      </c>
      <c r="E54" s="522">
        <f t="shared" si="13"/>
        <v>286132.53809523815</v>
      </c>
      <c r="F54" s="523">
        <f t="shared" si="14"/>
        <v>1270596.5317046256</v>
      </c>
      <c r="G54" s="524">
        <f t="shared" si="18"/>
        <v>464716.01900055271</v>
      </c>
      <c r="H54" s="491">
        <f t="shared" si="19"/>
        <v>464716.01900055271</v>
      </c>
      <c r="I54" s="511">
        <f t="shared" si="3"/>
        <v>0</v>
      </c>
      <c r="J54" s="511"/>
      <c r="K54" s="525"/>
      <c r="L54" s="514">
        <f t="shared" si="1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1270596.5317046256</v>
      </c>
      <c r="E55" s="522">
        <f t="shared" si="13"/>
        <v>286132.53809523815</v>
      </c>
      <c r="F55" s="523">
        <f t="shared" si="14"/>
        <v>984463.99360938743</v>
      </c>
      <c r="G55" s="524">
        <f t="shared" si="18"/>
        <v>428569.814526523</v>
      </c>
      <c r="H55" s="491">
        <f t="shared" si="19"/>
        <v>428569.814526523</v>
      </c>
      <c r="I55" s="511">
        <f t="shared" si="3"/>
        <v>0</v>
      </c>
      <c r="J55" s="511"/>
      <c r="K55" s="525"/>
      <c r="L55" s="514">
        <f t="shared" si="1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984463.99360938743</v>
      </c>
      <c r="E56" s="522">
        <f t="shared" si="13"/>
        <v>286132.53809523815</v>
      </c>
      <c r="F56" s="523">
        <f t="shared" si="14"/>
        <v>698331.45551414927</v>
      </c>
      <c r="G56" s="524">
        <f t="shared" si="18"/>
        <v>392423.61005249328</v>
      </c>
      <c r="H56" s="491">
        <f t="shared" si="19"/>
        <v>392423.61005249328</v>
      </c>
      <c r="I56" s="511">
        <f t="shared" si="3"/>
        <v>0</v>
      </c>
      <c r="J56" s="511"/>
      <c r="K56" s="525"/>
      <c r="L56" s="514">
        <f t="shared" si="1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698331.45551414927</v>
      </c>
      <c r="E57" s="522">
        <f t="shared" si="13"/>
        <v>286132.53809523815</v>
      </c>
      <c r="F57" s="523">
        <f t="shared" si="14"/>
        <v>412198.91741891112</v>
      </c>
      <c r="G57" s="524">
        <f t="shared" si="18"/>
        <v>356277.40557846357</v>
      </c>
      <c r="H57" s="491">
        <f t="shared" si="19"/>
        <v>356277.40557846357</v>
      </c>
      <c r="I57" s="511">
        <f t="shared" si="3"/>
        <v>0</v>
      </c>
      <c r="J57" s="511"/>
      <c r="K57" s="525"/>
      <c r="L57" s="514">
        <f t="shared" si="1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412198.91741891112</v>
      </c>
      <c r="E58" s="522">
        <f t="shared" si="13"/>
        <v>286132.53809523815</v>
      </c>
      <c r="F58" s="523">
        <f t="shared" si="14"/>
        <v>126066.37932367297</v>
      </c>
      <c r="G58" s="524">
        <f t="shared" si="18"/>
        <v>320131.20110443386</v>
      </c>
      <c r="H58" s="491">
        <f t="shared" si="19"/>
        <v>320131.20110443386</v>
      </c>
      <c r="I58" s="511">
        <f t="shared" si="3"/>
        <v>0</v>
      </c>
      <c r="J58" s="511"/>
      <c r="K58" s="525"/>
      <c r="L58" s="514">
        <f t="shared" si="1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126066.37932367297</v>
      </c>
      <c r="E59" s="522">
        <f t="shared" si="13"/>
        <v>126066.37932367297</v>
      </c>
      <c r="F59" s="523">
        <f t="shared" si="14"/>
        <v>0</v>
      </c>
      <c r="G59" s="524">
        <f t="shared" si="18"/>
        <v>134029.15970976339</v>
      </c>
      <c r="H59" s="491">
        <f t="shared" si="19"/>
        <v>134029.15970976339</v>
      </c>
      <c r="I59" s="511">
        <f t="shared" si="3"/>
        <v>0</v>
      </c>
      <c r="J59" s="511"/>
      <c r="K59" s="525"/>
      <c r="L59" s="514">
        <f t="shared" si="1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3"/>
        <v>0</v>
      </c>
      <c r="F60" s="523">
        <f t="shared" si="14"/>
        <v>0</v>
      </c>
      <c r="G60" s="524">
        <f t="shared" si="18"/>
        <v>0</v>
      </c>
      <c r="H60" s="491">
        <f t="shared" si="19"/>
        <v>0</v>
      </c>
      <c r="I60" s="511">
        <f t="shared" si="3"/>
        <v>0</v>
      </c>
      <c r="J60" s="511"/>
      <c r="K60" s="525"/>
      <c r="L60" s="514">
        <f t="shared" si="1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3"/>
        <v>0</v>
      </c>
      <c r="F61" s="523">
        <f t="shared" si="14"/>
        <v>0</v>
      </c>
      <c r="G61" s="524">
        <f t="shared" si="18"/>
        <v>0</v>
      </c>
      <c r="H61" s="491">
        <f t="shared" si="19"/>
        <v>0</v>
      </c>
      <c r="I61" s="511">
        <f t="shared" si="3"/>
        <v>0</v>
      </c>
      <c r="J61" s="511"/>
      <c r="K61" s="525"/>
      <c r="L61" s="514">
        <f t="shared" si="1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3"/>
        <v>0</v>
      </c>
      <c r="F62" s="523">
        <f t="shared" si="14"/>
        <v>0</v>
      </c>
      <c r="G62" s="524">
        <f t="shared" si="18"/>
        <v>0</v>
      </c>
      <c r="H62" s="491">
        <f t="shared" si="19"/>
        <v>0</v>
      </c>
      <c r="I62" s="511">
        <f t="shared" si="3"/>
        <v>0</v>
      </c>
      <c r="J62" s="511"/>
      <c r="K62" s="525"/>
      <c r="L62" s="514">
        <f t="shared" si="1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3"/>
        <v>0</v>
      </c>
      <c r="F63" s="523">
        <f t="shared" si="14"/>
        <v>0</v>
      </c>
      <c r="G63" s="524">
        <f t="shared" si="18"/>
        <v>0</v>
      </c>
      <c r="H63" s="491">
        <f t="shared" si="19"/>
        <v>0</v>
      </c>
      <c r="I63" s="511">
        <f t="shared" si="3"/>
        <v>0</v>
      </c>
      <c r="J63" s="511"/>
      <c r="K63" s="525"/>
      <c r="L63" s="514">
        <f t="shared" si="1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3"/>
        <v>0</v>
      </c>
      <c r="F64" s="523">
        <f t="shared" si="14"/>
        <v>0</v>
      </c>
      <c r="G64" s="524">
        <f t="shared" si="18"/>
        <v>0</v>
      </c>
      <c r="H64" s="491">
        <f t="shared" si="19"/>
        <v>0</v>
      </c>
      <c r="I64" s="511">
        <f t="shared" si="3"/>
        <v>0</v>
      </c>
      <c r="J64" s="511"/>
      <c r="K64" s="525"/>
      <c r="L64" s="514">
        <f t="shared" si="1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3"/>
        <v>0</v>
      </c>
      <c r="F65" s="523">
        <f t="shared" si="14"/>
        <v>0</v>
      </c>
      <c r="G65" s="524">
        <f t="shared" si="18"/>
        <v>0</v>
      </c>
      <c r="H65" s="491">
        <f t="shared" si="19"/>
        <v>0</v>
      </c>
      <c r="I65" s="511">
        <f t="shared" si="3"/>
        <v>0</v>
      </c>
      <c r="J65" s="511"/>
      <c r="K65" s="525"/>
      <c r="L65" s="514">
        <f t="shared" si="1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3"/>
        <v>0</v>
      </c>
      <c r="F66" s="523">
        <f t="shared" si="14"/>
        <v>0</v>
      </c>
      <c r="G66" s="524">
        <f t="shared" si="18"/>
        <v>0</v>
      </c>
      <c r="H66" s="491">
        <f t="shared" si="19"/>
        <v>0</v>
      </c>
      <c r="I66" s="511">
        <f t="shared" si="3"/>
        <v>0</v>
      </c>
      <c r="J66" s="511"/>
      <c r="K66" s="525"/>
      <c r="L66" s="514">
        <f t="shared" si="1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3"/>
        <v>0</v>
      </c>
      <c r="F67" s="523">
        <f t="shared" si="14"/>
        <v>0</v>
      </c>
      <c r="G67" s="524">
        <f t="shared" si="18"/>
        <v>0</v>
      </c>
      <c r="H67" s="491">
        <f t="shared" si="19"/>
        <v>0</v>
      </c>
      <c r="I67" s="511">
        <f t="shared" si="3"/>
        <v>0</v>
      </c>
      <c r="J67" s="511"/>
      <c r="K67" s="525"/>
      <c r="L67" s="514">
        <f t="shared" si="1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3"/>
        <v>0</v>
      </c>
      <c r="F68" s="523">
        <f t="shared" si="14"/>
        <v>0</v>
      </c>
      <c r="G68" s="524">
        <f t="shared" si="18"/>
        <v>0</v>
      </c>
      <c r="H68" s="491">
        <f t="shared" si="19"/>
        <v>0</v>
      </c>
      <c r="I68" s="511">
        <f t="shared" si="3"/>
        <v>0</v>
      </c>
      <c r="J68" s="511"/>
      <c r="K68" s="525"/>
      <c r="L68" s="514">
        <f t="shared" si="1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3"/>
        <v>0</v>
      </c>
      <c r="F69" s="523">
        <f t="shared" si="14"/>
        <v>0</v>
      </c>
      <c r="G69" s="524">
        <f t="shared" si="18"/>
        <v>0</v>
      </c>
      <c r="H69" s="491">
        <f t="shared" si="19"/>
        <v>0</v>
      </c>
      <c r="I69" s="511">
        <f t="shared" si="3"/>
        <v>0</v>
      </c>
      <c r="J69" s="511"/>
      <c r="K69" s="525"/>
      <c r="L69" s="514">
        <f t="shared" si="1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3"/>
        <v>0</v>
      </c>
      <c r="F70" s="523">
        <f t="shared" si="14"/>
        <v>0</v>
      </c>
      <c r="G70" s="524">
        <f t="shared" si="18"/>
        <v>0</v>
      </c>
      <c r="H70" s="491">
        <f t="shared" si="19"/>
        <v>0</v>
      </c>
      <c r="I70" s="511">
        <f t="shared" si="3"/>
        <v>0</v>
      </c>
      <c r="J70" s="511"/>
      <c r="K70" s="525"/>
      <c r="L70" s="514">
        <f t="shared" si="1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3"/>
        <v>0</v>
      </c>
      <c r="F71" s="523">
        <f t="shared" si="14"/>
        <v>0</v>
      </c>
      <c r="G71" s="524">
        <f t="shared" si="18"/>
        <v>0</v>
      </c>
      <c r="H71" s="491">
        <f t="shared" si="19"/>
        <v>0</v>
      </c>
      <c r="I71" s="511">
        <f t="shared" si="3"/>
        <v>0</v>
      </c>
      <c r="J71" s="511"/>
      <c r="K71" s="525"/>
      <c r="L71" s="514">
        <f t="shared" si="1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3"/>
        <v>0</v>
      </c>
      <c r="F72" s="523">
        <f t="shared" si="14"/>
        <v>0</v>
      </c>
      <c r="G72" s="524">
        <f t="shared" si="18"/>
        <v>0</v>
      </c>
      <c r="H72" s="491">
        <f t="shared" si="19"/>
        <v>0</v>
      </c>
      <c r="I72" s="511">
        <f t="shared" si="3"/>
        <v>0</v>
      </c>
      <c r="J72" s="511"/>
      <c r="K72" s="532"/>
      <c r="L72" s="533">
        <f t="shared" si="1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12017566.6</v>
      </c>
      <c r="F73" s="375"/>
      <c r="G73" s="375">
        <f>SUM(G17:G72)</f>
        <v>44078960.342358917</v>
      </c>
      <c r="H73" s="375">
        <f>SUM(H17:H72)</f>
        <v>44078960.342358917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52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1377704.2780579135</v>
      </c>
      <c r="N87" s="546">
        <f>IF(J92&lt;D11,0,VLOOKUP(J92,C17:O72,11))</f>
        <v>1377704.2780579135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1463546.7213003482</v>
      </c>
      <c r="N88" s="550">
        <f>IF(J92&lt;D11,0,VLOOKUP(J92,C99:P154,7))</f>
        <v>1463546.7213003482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Red Oak (State Line)-North Huntington 69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85842.443242434645</v>
      </c>
      <c r="N89" s="555">
        <f>+N88-N87</f>
        <v>85842.443242434645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TP2012164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12017567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293111.39024390245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142743.89285714287</v>
      </c>
      <c r="F99" s="631">
        <v>11847743.107142856</v>
      </c>
      <c r="G99" s="632">
        <v>5923871.5535714282</v>
      </c>
      <c r="H99" s="633">
        <v>923325.80014683155</v>
      </c>
      <c r="I99" s="634">
        <v>923325.80014683155</v>
      </c>
      <c r="J99" s="514">
        <f>+I99-H99</f>
        <v>0</v>
      </c>
      <c r="K99" s="514"/>
      <c r="L99" s="512">
        <f t="shared" ref="L99:L104" si="20">+H99</f>
        <v>923325.80014683155</v>
      </c>
      <c r="M99" s="513">
        <f t="shared" ref="M99:M130" si="21">IF(L99&lt;&gt;0,+H99-L99,0)</f>
        <v>0</v>
      </c>
      <c r="N99" s="512">
        <f t="shared" ref="N99:N104" si="22">+I99</f>
        <v>923325.80014683155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11874823.107142856</v>
      </c>
      <c r="E100" s="630">
        <v>279478.30232558138</v>
      </c>
      <c r="F100" s="631">
        <v>11595344.804817274</v>
      </c>
      <c r="G100" s="631">
        <v>11735083.955980066</v>
      </c>
      <c r="H100" s="633">
        <v>1769247.0731001948</v>
      </c>
      <c r="I100" s="634">
        <v>1769247.0731001948</v>
      </c>
      <c r="J100" s="514">
        <f>+I100-H100</f>
        <v>0</v>
      </c>
      <c r="K100" s="514"/>
      <c r="L100" s="518">
        <f t="shared" si="20"/>
        <v>1769247.0731001948</v>
      </c>
      <c r="M100" s="514">
        <f>IF(L100&lt;&gt;0,+H100-L100,0)</f>
        <v>0</v>
      </c>
      <c r="N100" s="518">
        <f t="shared" si="22"/>
        <v>1769247.0731001948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5">IF(D101=F100,"","IU")</f>
        <v/>
      </c>
      <c r="C101" s="507">
        <f>IF(D93="","-",+C100+1)</f>
        <v>2017</v>
      </c>
      <c r="D101" s="629">
        <v>11595344.804817274</v>
      </c>
      <c r="E101" s="630">
        <v>286132.54761904763</v>
      </c>
      <c r="F101" s="631">
        <v>11309212.257198226</v>
      </c>
      <c r="G101" s="631">
        <v>11452278.53100775</v>
      </c>
      <c r="H101" s="633">
        <v>1677257.5145835318</v>
      </c>
      <c r="I101" s="634">
        <v>1677257.5145835318</v>
      </c>
      <c r="J101" s="514">
        <f t="shared" ref="J101:J154" si="26">+I101-H101</f>
        <v>0</v>
      </c>
      <c r="K101" s="514"/>
      <c r="L101" s="518">
        <f t="shared" si="20"/>
        <v>1677257.5145835318</v>
      </c>
      <c r="M101" s="514">
        <f>IF(L101&lt;&gt;0,+H101-L101,0)</f>
        <v>0</v>
      </c>
      <c r="N101" s="518">
        <f t="shared" si="22"/>
        <v>1677257.5145835318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5"/>
        <v/>
      </c>
      <c r="C102" s="507">
        <f>IF(D93="","-",+C101+1)</f>
        <v>2018</v>
      </c>
      <c r="D102" s="629">
        <v>11309212.257198226</v>
      </c>
      <c r="E102" s="630">
        <v>286132.54761904763</v>
      </c>
      <c r="F102" s="631">
        <v>11023079.709579177</v>
      </c>
      <c r="G102" s="631">
        <v>11166145.983388701</v>
      </c>
      <c r="H102" s="633">
        <v>1465328.7693981156</v>
      </c>
      <c r="I102" s="634">
        <v>1465328.7693981156</v>
      </c>
      <c r="J102" s="514">
        <f t="shared" si="26"/>
        <v>0</v>
      </c>
      <c r="K102" s="514"/>
      <c r="L102" s="518">
        <f t="shared" si="20"/>
        <v>1465328.7693981156</v>
      </c>
      <c r="M102" s="514">
        <f>IF(L102&lt;&gt;0,+H102-L102,0)</f>
        <v>0</v>
      </c>
      <c r="N102" s="518">
        <f t="shared" si="22"/>
        <v>1465328.7693981156</v>
      </c>
      <c r="O102" s="514">
        <f>IF(N102&lt;&gt;0,+I102-N102,0)</f>
        <v>0</v>
      </c>
      <c r="P102" s="514">
        <f t="shared" si="24"/>
        <v>0</v>
      </c>
    </row>
    <row r="103" spans="1:16" ht="12.5">
      <c r="B103" s="195" t="str">
        <f t="shared" si="25"/>
        <v/>
      </c>
      <c r="C103" s="507">
        <f>IF(D93="","-",+C102+1)</f>
        <v>2019</v>
      </c>
      <c r="D103" s="629">
        <v>11023079.709579177</v>
      </c>
      <c r="E103" s="630">
        <v>279478.30232558138</v>
      </c>
      <c r="F103" s="631">
        <v>10743601.407253595</v>
      </c>
      <c r="G103" s="631">
        <v>10883340.558416385</v>
      </c>
      <c r="H103" s="633">
        <v>1444437.0239018579</v>
      </c>
      <c r="I103" s="634">
        <v>1444437.0239018579</v>
      </c>
      <c r="J103" s="514">
        <f t="shared" si="26"/>
        <v>0</v>
      </c>
      <c r="K103" s="514"/>
      <c r="L103" s="518">
        <f t="shared" si="20"/>
        <v>1444437.0239018579</v>
      </c>
      <c r="M103" s="514">
        <f>IF(L103&lt;&gt;0,+H103-L103,0)</f>
        <v>0</v>
      </c>
      <c r="N103" s="518">
        <f t="shared" si="22"/>
        <v>1444437.0239018579</v>
      </c>
      <c r="O103" s="514">
        <f t="shared" si="23"/>
        <v>0</v>
      </c>
      <c r="P103" s="514">
        <f t="shared" si="24"/>
        <v>0</v>
      </c>
    </row>
    <row r="104" spans="1:16" ht="12.5">
      <c r="B104" s="195" t="str">
        <f t="shared" si="25"/>
        <v/>
      </c>
      <c r="C104" s="507">
        <f>IF(D93="","-",+C103+1)</f>
        <v>2020</v>
      </c>
      <c r="D104" s="629">
        <v>10743601.407253595</v>
      </c>
      <c r="E104" s="630">
        <v>286132.54761904763</v>
      </c>
      <c r="F104" s="631">
        <v>10457468.859634547</v>
      </c>
      <c r="G104" s="631">
        <v>10600535.133444071</v>
      </c>
      <c r="H104" s="633">
        <v>1426472.7384823435</v>
      </c>
      <c r="I104" s="634">
        <v>1426472.7384823435</v>
      </c>
      <c r="J104" s="514">
        <f t="shared" si="26"/>
        <v>0</v>
      </c>
      <c r="K104" s="514"/>
      <c r="L104" s="518">
        <f t="shared" si="20"/>
        <v>1426472.7384823435</v>
      </c>
      <c r="M104" s="514">
        <f>IF(L104&lt;&gt;0,+H104-L104,0)</f>
        <v>0</v>
      </c>
      <c r="N104" s="518">
        <f t="shared" si="22"/>
        <v>1426472.7384823435</v>
      </c>
      <c r="O104" s="514">
        <f t="shared" si="23"/>
        <v>0</v>
      </c>
      <c r="P104" s="514">
        <f t="shared" si="24"/>
        <v>0</v>
      </c>
    </row>
    <row r="105" spans="1:16" ht="12.5">
      <c r="B105" s="195" t="str">
        <f t="shared" si="25"/>
        <v/>
      </c>
      <c r="C105" s="507">
        <f>IF(D93="","-",+C104+1)</f>
        <v>2021</v>
      </c>
      <c r="D105" s="374">
        <f>IF(F104+SUM(E$99:E104)=D$92,F104,D$92-SUM(E$99:E104))</f>
        <v>10457468.859634547</v>
      </c>
      <c r="E105" s="522">
        <f t="shared" ref="E105:E154" si="27">IF(+$J$96&lt;F104,$J$96,D105)</f>
        <v>293111.39024390245</v>
      </c>
      <c r="F105" s="523">
        <f t="shared" ref="F105:F154" si="28">+D105-E105</f>
        <v>10164357.469390644</v>
      </c>
      <c r="G105" s="523">
        <f t="shared" ref="G105:G154" si="29">+(F105+D105)/2</f>
        <v>10310913.164512595</v>
      </c>
      <c r="H105" s="526">
        <f t="shared" ref="H105:H154" si="30">+J$94*G105+E105</f>
        <v>1463546.7213003482</v>
      </c>
      <c r="I105" s="577">
        <f t="shared" ref="I105:I154" si="31">+J$95*G105+E105</f>
        <v>1463546.7213003482</v>
      </c>
      <c r="J105" s="514">
        <f t="shared" si="26"/>
        <v>0</v>
      </c>
      <c r="K105" s="514"/>
      <c r="L105" s="525"/>
      <c r="M105" s="514">
        <f t="shared" si="21"/>
        <v>0</v>
      </c>
      <c r="N105" s="525"/>
      <c r="O105" s="514">
        <f t="shared" si="23"/>
        <v>0</v>
      </c>
      <c r="P105" s="514">
        <f t="shared" si="24"/>
        <v>0</v>
      </c>
    </row>
    <row r="106" spans="1:16" ht="12.5">
      <c r="B106" s="195" t="str">
        <f t="shared" si="25"/>
        <v/>
      </c>
      <c r="C106" s="507">
        <f>IF(D93="","-",+C105+1)</f>
        <v>2022</v>
      </c>
      <c r="D106" s="374">
        <f>IF(F105+SUM(E$99:E105)=D$92,F105,D$92-SUM(E$99:E105))</f>
        <v>10164357.469390644</v>
      </c>
      <c r="E106" s="522">
        <f t="shared" si="27"/>
        <v>293111.39024390245</v>
      </c>
      <c r="F106" s="523">
        <f t="shared" si="28"/>
        <v>9871246.079146741</v>
      </c>
      <c r="G106" s="523">
        <f t="shared" si="29"/>
        <v>10017801.774268692</v>
      </c>
      <c r="H106" s="526">
        <f t="shared" si="30"/>
        <v>1430274.4085960491</v>
      </c>
      <c r="I106" s="577">
        <f t="shared" si="31"/>
        <v>1430274.4085960491</v>
      </c>
      <c r="J106" s="514">
        <f t="shared" si="26"/>
        <v>0</v>
      </c>
      <c r="K106" s="514"/>
      <c r="L106" s="525"/>
      <c r="M106" s="514">
        <f t="shared" si="21"/>
        <v>0</v>
      </c>
      <c r="N106" s="525"/>
      <c r="O106" s="514">
        <f t="shared" si="23"/>
        <v>0</v>
      </c>
      <c r="P106" s="514">
        <f t="shared" si="24"/>
        <v>0</v>
      </c>
    </row>
    <row r="107" spans="1:16" ht="12.5">
      <c r="B107" s="195" t="str">
        <f t="shared" si="25"/>
        <v/>
      </c>
      <c r="C107" s="507">
        <f>IF(D93="","-",+C106+1)</f>
        <v>2023</v>
      </c>
      <c r="D107" s="374">
        <f>IF(F106+SUM(E$99:E106)=D$92,F106,D$92-SUM(E$99:E106))</f>
        <v>9871246.079146741</v>
      </c>
      <c r="E107" s="522">
        <f t="shared" si="27"/>
        <v>293111.39024390245</v>
      </c>
      <c r="F107" s="523">
        <f t="shared" si="28"/>
        <v>9578134.6889028382</v>
      </c>
      <c r="G107" s="523">
        <f t="shared" si="29"/>
        <v>9724690.3840247896</v>
      </c>
      <c r="H107" s="526">
        <f t="shared" si="30"/>
        <v>1397002.09589175</v>
      </c>
      <c r="I107" s="577">
        <f t="shared" si="31"/>
        <v>1397002.09589175</v>
      </c>
      <c r="J107" s="514">
        <f t="shared" si="26"/>
        <v>0</v>
      </c>
      <c r="K107" s="514"/>
      <c r="L107" s="525"/>
      <c r="M107" s="514">
        <f t="shared" si="21"/>
        <v>0</v>
      </c>
      <c r="N107" s="525"/>
      <c r="O107" s="514">
        <f t="shared" si="23"/>
        <v>0</v>
      </c>
      <c r="P107" s="514">
        <f t="shared" si="24"/>
        <v>0</v>
      </c>
    </row>
    <row r="108" spans="1:16" ht="12.5">
      <c r="B108" s="195" t="str">
        <f t="shared" si="25"/>
        <v/>
      </c>
      <c r="C108" s="507">
        <f>IF(D93="","-",+C107+1)</f>
        <v>2024</v>
      </c>
      <c r="D108" s="374">
        <f>IF(F107+SUM(E$99:E107)=D$92,F107,D$92-SUM(E$99:E107))</f>
        <v>9578134.6889028382</v>
      </c>
      <c r="E108" s="522">
        <f t="shared" si="27"/>
        <v>293111.39024390245</v>
      </c>
      <c r="F108" s="523">
        <f t="shared" si="28"/>
        <v>9285023.2986589354</v>
      </c>
      <c r="G108" s="523">
        <f t="shared" si="29"/>
        <v>9431578.9937808868</v>
      </c>
      <c r="H108" s="526">
        <f t="shared" si="30"/>
        <v>1363729.7831874508</v>
      </c>
      <c r="I108" s="577">
        <f t="shared" si="31"/>
        <v>1363729.7831874508</v>
      </c>
      <c r="J108" s="514">
        <f t="shared" si="26"/>
        <v>0</v>
      </c>
      <c r="K108" s="514"/>
      <c r="L108" s="525"/>
      <c r="M108" s="514">
        <f t="shared" si="21"/>
        <v>0</v>
      </c>
      <c r="N108" s="525"/>
      <c r="O108" s="514">
        <f t="shared" si="23"/>
        <v>0</v>
      </c>
      <c r="P108" s="514">
        <f t="shared" si="24"/>
        <v>0</v>
      </c>
    </row>
    <row r="109" spans="1:16" ht="12.5">
      <c r="B109" s="195" t="str">
        <f t="shared" si="25"/>
        <v/>
      </c>
      <c r="C109" s="507">
        <f>IF(D93="","-",+C108+1)</f>
        <v>2025</v>
      </c>
      <c r="D109" s="374">
        <f>IF(F108+SUM(E$99:E108)=D$92,F108,D$92-SUM(E$99:E108))</f>
        <v>9285023.2986589354</v>
      </c>
      <c r="E109" s="522">
        <f t="shared" si="27"/>
        <v>293111.39024390245</v>
      </c>
      <c r="F109" s="523">
        <f t="shared" si="28"/>
        <v>8991911.9084150326</v>
      </c>
      <c r="G109" s="523">
        <f t="shared" si="29"/>
        <v>9138467.603536984</v>
      </c>
      <c r="H109" s="526">
        <f t="shared" si="30"/>
        <v>1330457.4704831517</v>
      </c>
      <c r="I109" s="577">
        <f t="shared" si="31"/>
        <v>1330457.4704831517</v>
      </c>
      <c r="J109" s="514">
        <f t="shared" si="26"/>
        <v>0</v>
      </c>
      <c r="K109" s="514"/>
      <c r="L109" s="525"/>
      <c r="M109" s="514">
        <f t="shared" si="21"/>
        <v>0</v>
      </c>
      <c r="N109" s="525"/>
      <c r="O109" s="514">
        <f t="shared" si="23"/>
        <v>0</v>
      </c>
      <c r="P109" s="514">
        <f t="shared" si="24"/>
        <v>0</v>
      </c>
    </row>
    <row r="110" spans="1:16" ht="12.5">
      <c r="B110" s="195" t="str">
        <f t="shared" si="25"/>
        <v/>
      </c>
      <c r="C110" s="507">
        <f>IF(D93="","-",+C109+1)</f>
        <v>2026</v>
      </c>
      <c r="D110" s="374">
        <f>IF(F109+SUM(E$99:E109)=D$92,F109,D$92-SUM(E$99:E109))</f>
        <v>8991911.9084150326</v>
      </c>
      <c r="E110" s="522">
        <f t="shared" si="27"/>
        <v>293111.39024390245</v>
      </c>
      <c r="F110" s="523">
        <f t="shared" si="28"/>
        <v>8698800.5181711297</v>
      </c>
      <c r="G110" s="523">
        <f t="shared" si="29"/>
        <v>8845356.2132930811</v>
      </c>
      <c r="H110" s="526">
        <f t="shared" si="30"/>
        <v>1297185.1577788526</v>
      </c>
      <c r="I110" s="577">
        <f t="shared" si="31"/>
        <v>1297185.1577788526</v>
      </c>
      <c r="J110" s="514">
        <f t="shared" si="26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</row>
    <row r="111" spans="1:16" ht="12.5">
      <c r="B111" s="195" t="str">
        <f t="shared" si="25"/>
        <v/>
      </c>
      <c r="C111" s="507">
        <f>IF(D93="","-",+C110+1)</f>
        <v>2027</v>
      </c>
      <c r="D111" s="374">
        <f>IF(F110+SUM(E$99:E110)=D$92,F110,D$92-SUM(E$99:E110))</f>
        <v>8698800.5181711297</v>
      </c>
      <c r="E111" s="522">
        <f t="shared" si="27"/>
        <v>293111.39024390245</v>
      </c>
      <c r="F111" s="523">
        <f t="shared" si="28"/>
        <v>8405689.1279272269</v>
      </c>
      <c r="G111" s="523">
        <f t="shared" si="29"/>
        <v>8552244.8230491783</v>
      </c>
      <c r="H111" s="526">
        <f t="shared" si="30"/>
        <v>1263912.8450745535</v>
      </c>
      <c r="I111" s="577">
        <f t="shared" si="31"/>
        <v>1263912.8450745535</v>
      </c>
      <c r="J111" s="514">
        <f t="shared" si="26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</row>
    <row r="112" spans="1:16" ht="12.5">
      <c r="B112" s="195" t="str">
        <f t="shared" si="25"/>
        <v/>
      </c>
      <c r="C112" s="507">
        <f>IF(D93="","-",+C111+1)</f>
        <v>2028</v>
      </c>
      <c r="D112" s="374">
        <f>IF(F111+SUM(E$99:E111)=D$92,F111,D$92-SUM(E$99:E111))</f>
        <v>8405689.1279272269</v>
      </c>
      <c r="E112" s="522">
        <f t="shared" si="27"/>
        <v>293111.39024390245</v>
      </c>
      <c r="F112" s="523">
        <f t="shared" si="28"/>
        <v>8112577.7376833241</v>
      </c>
      <c r="G112" s="523">
        <f t="shared" si="29"/>
        <v>8259133.4328052755</v>
      </c>
      <c r="H112" s="526">
        <f t="shared" si="30"/>
        <v>1230640.5323702544</v>
      </c>
      <c r="I112" s="577">
        <f t="shared" si="31"/>
        <v>1230640.5323702544</v>
      </c>
      <c r="J112" s="514">
        <f t="shared" si="26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</row>
    <row r="113" spans="2:16" ht="12.5">
      <c r="B113" s="195" t="str">
        <f t="shared" si="25"/>
        <v/>
      </c>
      <c r="C113" s="507">
        <f>IF(D93="","-",+C112+1)</f>
        <v>2029</v>
      </c>
      <c r="D113" s="374">
        <f>IF(F112+SUM(E$99:E112)=D$92,F112,D$92-SUM(E$99:E112))</f>
        <v>8112577.7376833241</v>
      </c>
      <c r="E113" s="522">
        <f t="shared" si="27"/>
        <v>293111.39024390245</v>
      </c>
      <c r="F113" s="523">
        <f t="shared" si="28"/>
        <v>7819466.3474394213</v>
      </c>
      <c r="G113" s="523">
        <f t="shared" si="29"/>
        <v>7966022.0425613727</v>
      </c>
      <c r="H113" s="526">
        <f t="shared" si="30"/>
        <v>1197368.2196659553</v>
      </c>
      <c r="I113" s="577">
        <f t="shared" si="31"/>
        <v>1197368.2196659553</v>
      </c>
      <c r="J113" s="514">
        <f t="shared" si="26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</row>
    <row r="114" spans="2:16" ht="12.5">
      <c r="B114" s="195" t="str">
        <f t="shared" si="25"/>
        <v/>
      </c>
      <c r="C114" s="507">
        <f>IF(D93="","-",+C113+1)</f>
        <v>2030</v>
      </c>
      <c r="D114" s="374">
        <f>IF(F113+SUM(E$99:E113)=D$92,F113,D$92-SUM(E$99:E113))</f>
        <v>7819466.3474394213</v>
      </c>
      <c r="E114" s="522">
        <f t="shared" si="27"/>
        <v>293111.39024390245</v>
      </c>
      <c r="F114" s="523">
        <f t="shared" si="28"/>
        <v>7526354.9571955185</v>
      </c>
      <c r="G114" s="523">
        <f t="shared" si="29"/>
        <v>7672910.6523174699</v>
      </c>
      <c r="H114" s="526">
        <f t="shared" si="30"/>
        <v>1164095.9069616562</v>
      </c>
      <c r="I114" s="577">
        <f t="shared" si="31"/>
        <v>1164095.9069616562</v>
      </c>
      <c r="J114" s="514">
        <f t="shared" si="26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</row>
    <row r="115" spans="2:16" ht="12.5">
      <c r="B115" s="195" t="str">
        <f t="shared" si="25"/>
        <v/>
      </c>
      <c r="C115" s="507">
        <f>IF(D93="","-",+C114+1)</f>
        <v>2031</v>
      </c>
      <c r="D115" s="374">
        <f>IF(F114+SUM(E$99:E114)=D$92,F114,D$92-SUM(E$99:E114))</f>
        <v>7526354.9571955185</v>
      </c>
      <c r="E115" s="522">
        <f t="shared" si="27"/>
        <v>293111.39024390245</v>
      </c>
      <c r="F115" s="523">
        <f t="shared" si="28"/>
        <v>7233243.5669516157</v>
      </c>
      <c r="G115" s="523">
        <f t="shared" si="29"/>
        <v>7379799.2620735671</v>
      </c>
      <c r="H115" s="526">
        <f t="shared" si="30"/>
        <v>1130823.5942573571</v>
      </c>
      <c r="I115" s="577">
        <f t="shared" si="31"/>
        <v>1130823.5942573571</v>
      </c>
      <c r="J115" s="514">
        <f t="shared" si="26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</row>
    <row r="116" spans="2:16" ht="12.5">
      <c r="B116" s="195" t="str">
        <f t="shared" si="25"/>
        <v/>
      </c>
      <c r="C116" s="507">
        <f>IF(D93="","-",+C115+1)</f>
        <v>2032</v>
      </c>
      <c r="D116" s="374">
        <f>IF(F115+SUM(E$99:E115)=D$92,F115,D$92-SUM(E$99:E115))</f>
        <v>7233243.5669516157</v>
      </c>
      <c r="E116" s="522">
        <f t="shared" si="27"/>
        <v>293111.39024390245</v>
      </c>
      <c r="F116" s="523">
        <f t="shared" si="28"/>
        <v>6940132.1767077129</v>
      </c>
      <c r="G116" s="523">
        <f t="shared" si="29"/>
        <v>7086687.8718296643</v>
      </c>
      <c r="H116" s="526">
        <f t="shared" si="30"/>
        <v>1097551.281553058</v>
      </c>
      <c r="I116" s="577">
        <f t="shared" si="31"/>
        <v>1097551.281553058</v>
      </c>
      <c r="J116" s="514">
        <f t="shared" si="26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</row>
    <row r="117" spans="2:16" ht="12.5">
      <c r="B117" s="195" t="str">
        <f t="shared" si="25"/>
        <v/>
      </c>
      <c r="C117" s="507">
        <f>IF(D93="","-",+C116+1)</f>
        <v>2033</v>
      </c>
      <c r="D117" s="374">
        <f>IF(F116+SUM(E$99:E116)=D$92,F116,D$92-SUM(E$99:E116))</f>
        <v>6940132.1767077129</v>
      </c>
      <c r="E117" s="522">
        <f t="shared" si="27"/>
        <v>293111.39024390245</v>
      </c>
      <c r="F117" s="523">
        <f t="shared" si="28"/>
        <v>6647020.7864638101</v>
      </c>
      <c r="G117" s="523">
        <f t="shared" si="29"/>
        <v>6793576.4815857615</v>
      </c>
      <c r="H117" s="526">
        <f t="shared" si="30"/>
        <v>1064278.9688487588</v>
      </c>
      <c r="I117" s="577">
        <f t="shared" si="31"/>
        <v>1064278.9688487588</v>
      </c>
      <c r="J117" s="514">
        <f t="shared" si="26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</row>
    <row r="118" spans="2:16" ht="12.5">
      <c r="B118" s="195" t="str">
        <f t="shared" si="25"/>
        <v/>
      </c>
      <c r="C118" s="507">
        <f>IF(D93="","-",+C117+1)</f>
        <v>2034</v>
      </c>
      <c r="D118" s="374">
        <f>IF(F117+SUM(E$99:E117)=D$92,F117,D$92-SUM(E$99:E117))</f>
        <v>6647020.7864638101</v>
      </c>
      <c r="E118" s="522">
        <f t="shared" si="27"/>
        <v>293111.39024390245</v>
      </c>
      <c r="F118" s="523">
        <f t="shared" si="28"/>
        <v>6353909.3962199073</v>
      </c>
      <c r="G118" s="523">
        <f t="shared" si="29"/>
        <v>6500465.0913418587</v>
      </c>
      <c r="H118" s="526">
        <f t="shared" si="30"/>
        <v>1031006.6561444596</v>
      </c>
      <c r="I118" s="577">
        <f t="shared" si="31"/>
        <v>1031006.6561444596</v>
      </c>
      <c r="J118" s="514">
        <f t="shared" si="26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</row>
    <row r="119" spans="2:16" ht="12.5">
      <c r="B119" s="195" t="str">
        <f t="shared" si="25"/>
        <v/>
      </c>
      <c r="C119" s="507">
        <f>IF(D93="","-",+C118+1)</f>
        <v>2035</v>
      </c>
      <c r="D119" s="374">
        <f>IF(F118+SUM(E$99:E118)=D$92,F118,D$92-SUM(E$99:E118))</f>
        <v>6353909.3962199073</v>
      </c>
      <c r="E119" s="522">
        <f t="shared" si="27"/>
        <v>293111.39024390245</v>
      </c>
      <c r="F119" s="523">
        <f t="shared" si="28"/>
        <v>6060798.0059760045</v>
      </c>
      <c r="G119" s="523">
        <f t="shared" si="29"/>
        <v>6207353.7010979559</v>
      </c>
      <c r="H119" s="526">
        <f t="shared" si="30"/>
        <v>997734.3434401605</v>
      </c>
      <c r="I119" s="577">
        <f t="shared" si="31"/>
        <v>997734.3434401605</v>
      </c>
      <c r="J119" s="514">
        <f t="shared" si="26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</row>
    <row r="120" spans="2:16" ht="12.5">
      <c r="B120" s="195" t="str">
        <f t="shared" si="25"/>
        <v/>
      </c>
      <c r="C120" s="507">
        <f>IF(D93="","-",+C119+1)</f>
        <v>2036</v>
      </c>
      <c r="D120" s="374">
        <f>IF(F119+SUM(E$99:E119)=D$92,F119,D$92-SUM(E$99:E119))</f>
        <v>6060798.0059760045</v>
      </c>
      <c r="E120" s="522">
        <f t="shared" si="27"/>
        <v>293111.39024390245</v>
      </c>
      <c r="F120" s="523">
        <f t="shared" si="28"/>
        <v>5767686.6157321017</v>
      </c>
      <c r="G120" s="523">
        <f t="shared" si="29"/>
        <v>5914242.3108540531</v>
      </c>
      <c r="H120" s="526">
        <f t="shared" si="30"/>
        <v>964462.03073586139</v>
      </c>
      <c r="I120" s="577">
        <f t="shared" si="31"/>
        <v>964462.03073586139</v>
      </c>
      <c r="J120" s="514">
        <f t="shared" si="26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</row>
    <row r="121" spans="2:16" ht="12.5">
      <c r="B121" s="195" t="str">
        <f t="shared" si="25"/>
        <v/>
      </c>
      <c r="C121" s="507">
        <f>IF(D93="","-",+C120+1)</f>
        <v>2037</v>
      </c>
      <c r="D121" s="374">
        <f>IF(F120+SUM(E$99:E120)=D$92,F120,D$92-SUM(E$99:E120))</f>
        <v>5767686.6157321017</v>
      </c>
      <c r="E121" s="522">
        <f t="shared" si="27"/>
        <v>293111.39024390245</v>
      </c>
      <c r="F121" s="523">
        <f t="shared" si="28"/>
        <v>5474575.2254881989</v>
      </c>
      <c r="G121" s="523">
        <f t="shared" si="29"/>
        <v>5621130.9206101503</v>
      </c>
      <c r="H121" s="526">
        <f t="shared" si="30"/>
        <v>931189.71803156228</v>
      </c>
      <c r="I121" s="577">
        <f t="shared" si="31"/>
        <v>931189.71803156228</v>
      </c>
      <c r="J121" s="514">
        <f t="shared" si="26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</row>
    <row r="122" spans="2:16" ht="12.5">
      <c r="B122" s="195" t="str">
        <f t="shared" si="25"/>
        <v/>
      </c>
      <c r="C122" s="507">
        <f>IF(D93="","-",+C121+1)</f>
        <v>2038</v>
      </c>
      <c r="D122" s="374">
        <f>IF(F121+SUM(E$99:E121)=D$92,F121,D$92-SUM(E$99:E121))</f>
        <v>5474575.2254881989</v>
      </c>
      <c r="E122" s="522">
        <f t="shared" si="27"/>
        <v>293111.39024390245</v>
      </c>
      <c r="F122" s="523">
        <f t="shared" si="28"/>
        <v>5181463.8352442961</v>
      </c>
      <c r="G122" s="523">
        <f t="shared" si="29"/>
        <v>5328019.5303662475</v>
      </c>
      <c r="H122" s="526">
        <f t="shared" si="30"/>
        <v>897917.40532726317</v>
      </c>
      <c r="I122" s="577">
        <f t="shared" si="31"/>
        <v>897917.40532726317</v>
      </c>
      <c r="J122" s="514">
        <f t="shared" si="26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</row>
    <row r="123" spans="2:16" ht="12.5">
      <c r="B123" s="195" t="str">
        <f t="shared" si="25"/>
        <v/>
      </c>
      <c r="C123" s="507">
        <f>IF(D93="","-",+C122+1)</f>
        <v>2039</v>
      </c>
      <c r="D123" s="374">
        <f>IF(F122+SUM(E$99:E122)=D$92,F122,D$92-SUM(E$99:E122))</f>
        <v>5181463.8352442961</v>
      </c>
      <c r="E123" s="522">
        <f t="shared" si="27"/>
        <v>293111.39024390245</v>
      </c>
      <c r="F123" s="523">
        <f t="shared" si="28"/>
        <v>4888352.4450003933</v>
      </c>
      <c r="G123" s="523">
        <f t="shared" si="29"/>
        <v>5034908.1401223447</v>
      </c>
      <c r="H123" s="526">
        <f t="shared" si="30"/>
        <v>864645.09262296406</v>
      </c>
      <c r="I123" s="577">
        <f t="shared" si="31"/>
        <v>864645.09262296406</v>
      </c>
      <c r="J123" s="514">
        <f t="shared" si="26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</row>
    <row r="124" spans="2:16" ht="12.5">
      <c r="B124" s="195" t="str">
        <f t="shared" si="25"/>
        <v/>
      </c>
      <c r="C124" s="507">
        <f>IF(D93="","-",+C123+1)</f>
        <v>2040</v>
      </c>
      <c r="D124" s="374">
        <f>IF(F123+SUM(E$99:E123)=D$92,F123,D$92-SUM(E$99:E123))</f>
        <v>4888352.4450003933</v>
      </c>
      <c r="E124" s="522">
        <f t="shared" si="27"/>
        <v>293111.39024390245</v>
      </c>
      <c r="F124" s="523">
        <f t="shared" si="28"/>
        <v>4595241.0547564905</v>
      </c>
      <c r="G124" s="523">
        <f t="shared" si="29"/>
        <v>4741796.7498784419</v>
      </c>
      <c r="H124" s="526">
        <f t="shared" si="30"/>
        <v>831372.77991866495</v>
      </c>
      <c r="I124" s="577">
        <f t="shared" si="31"/>
        <v>831372.77991866495</v>
      </c>
      <c r="J124" s="514">
        <f t="shared" si="26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</row>
    <row r="125" spans="2:16" ht="12.5">
      <c r="B125" s="195" t="str">
        <f t="shared" si="25"/>
        <v/>
      </c>
      <c r="C125" s="507">
        <f>IF(D93="","-",+C124+1)</f>
        <v>2041</v>
      </c>
      <c r="D125" s="374">
        <f>IF(F124+SUM(E$99:E124)=D$92,F124,D$92-SUM(E$99:E124))</f>
        <v>4595241.0547564905</v>
      </c>
      <c r="E125" s="522">
        <f t="shared" si="27"/>
        <v>293111.39024390245</v>
      </c>
      <c r="F125" s="523">
        <f t="shared" si="28"/>
        <v>4302129.6645125877</v>
      </c>
      <c r="G125" s="523">
        <f t="shared" si="29"/>
        <v>4448685.3596345391</v>
      </c>
      <c r="H125" s="526">
        <f t="shared" si="30"/>
        <v>798100.46721436584</v>
      </c>
      <c r="I125" s="577">
        <f t="shared" si="31"/>
        <v>798100.46721436584</v>
      </c>
      <c r="J125" s="514">
        <f t="shared" si="26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</row>
    <row r="126" spans="2:16" ht="12.5">
      <c r="B126" s="195" t="str">
        <f t="shared" si="25"/>
        <v/>
      </c>
      <c r="C126" s="507">
        <f>IF(D93="","-",+C125+1)</f>
        <v>2042</v>
      </c>
      <c r="D126" s="374">
        <f>IF(F125+SUM(E$99:E125)=D$92,F125,D$92-SUM(E$99:E125))</f>
        <v>4302129.6645125877</v>
      </c>
      <c r="E126" s="522">
        <f t="shared" si="27"/>
        <v>293111.39024390245</v>
      </c>
      <c r="F126" s="523">
        <f t="shared" si="28"/>
        <v>4009018.2742686854</v>
      </c>
      <c r="G126" s="523">
        <f t="shared" si="29"/>
        <v>4155573.9693906363</v>
      </c>
      <c r="H126" s="526">
        <f t="shared" si="30"/>
        <v>764828.15451006673</v>
      </c>
      <c r="I126" s="577">
        <f t="shared" si="31"/>
        <v>764828.15451006673</v>
      </c>
      <c r="J126" s="514">
        <f t="shared" si="26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</row>
    <row r="127" spans="2:16" ht="12.5">
      <c r="B127" s="195" t="str">
        <f t="shared" si="25"/>
        <v/>
      </c>
      <c r="C127" s="507">
        <f>IF(D93="","-",+C126+1)</f>
        <v>2043</v>
      </c>
      <c r="D127" s="374">
        <f>IF(F126+SUM(E$99:E126)=D$92,F126,D$92-SUM(E$99:E126))</f>
        <v>4009018.2742686854</v>
      </c>
      <c r="E127" s="522">
        <f t="shared" si="27"/>
        <v>293111.39024390245</v>
      </c>
      <c r="F127" s="523">
        <f t="shared" si="28"/>
        <v>3715906.884024783</v>
      </c>
      <c r="G127" s="523">
        <f t="shared" si="29"/>
        <v>3862462.5791467344</v>
      </c>
      <c r="H127" s="526">
        <f t="shared" si="30"/>
        <v>731555.84180576773</v>
      </c>
      <c r="I127" s="577">
        <f t="shared" si="31"/>
        <v>731555.84180576773</v>
      </c>
      <c r="J127" s="514">
        <f t="shared" si="26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</row>
    <row r="128" spans="2:16" ht="12.5">
      <c r="B128" s="195" t="str">
        <f t="shared" si="25"/>
        <v/>
      </c>
      <c r="C128" s="507">
        <f>IF(D93="","-",+C127+1)</f>
        <v>2044</v>
      </c>
      <c r="D128" s="374">
        <f>IF(F127+SUM(E$99:E127)=D$92,F127,D$92-SUM(E$99:E127))</f>
        <v>3715906.884024783</v>
      </c>
      <c r="E128" s="522">
        <f t="shared" si="27"/>
        <v>293111.39024390245</v>
      </c>
      <c r="F128" s="523">
        <f t="shared" si="28"/>
        <v>3422795.4937808807</v>
      </c>
      <c r="G128" s="523">
        <f t="shared" si="29"/>
        <v>3569351.1889028316</v>
      </c>
      <c r="H128" s="526">
        <f t="shared" si="30"/>
        <v>698283.52910146862</v>
      </c>
      <c r="I128" s="577">
        <f t="shared" si="31"/>
        <v>698283.52910146862</v>
      </c>
      <c r="J128" s="514">
        <f t="shared" si="26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</row>
    <row r="129" spans="2:16" ht="12.5">
      <c r="B129" s="195" t="str">
        <f t="shared" si="25"/>
        <v/>
      </c>
      <c r="C129" s="507">
        <f>IF(D93="","-",+C128+1)</f>
        <v>2045</v>
      </c>
      <c r="D129" s="374">
        <f>IF(F128+SUM(E$99:E128)=D$92,F128,D$92-SUM(E$99:E128))</f>
        <v>3422795.4937808807</v>
      </c>
      <c r="E129" s="522">
        <f t="shared" si="27"/>
        <v>293111.39024390245</v>
      </c>
      <c r="F129" s="523">
        <f t="shared" si="28"/>
        <v>3129684.1035369784</v>
      </c>
      <c r="G129" s="523">
        <f t="shared" si="29"/>
        <v>3276239.7986589298</v>
      </c>
      <c r="H129" s="526">
        <f t="shared" si="30"/>
        <v>665011.21639716951</v>
      </c>
      <c r="I129" s="577">
        <f t="shared" si="31"/>
        <v>665011.21639716951</v>
      </c>
      <c r="J129" s="514">
        <f t="shared" si="26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</row>
    <row r="130" spans="2:16" ht="12.5">
      <c r="B130" s="195" t="str">
        <f t="shared" si="25"/>
        <v/>
      </c>
      <c r="C130" s="507">
        <f>IF(D93="","-",+C129+1)</f>
        <v>2046</v>
      </c>
      <c r="D130" s="374">
        <f>IF(F129+SUM(E$99:E129)=D$92,F129,D$92-SUM(E$99:E129))</f>
        <v>3129684.1035369784</v>
      </c>
      <c r="E130" s="522">
        <f t="shared" si="27"/>
        <v>293111.39024390245</v>
      </c>
      <c r="F130" s="523">
        <f t="shared" si="28"/>
        <v>2836572.713293076</v>
      </c>
      <c r="G130" s="523">
        <f t="shared" si="29"/>
        <v>2983128.408415027</v>
      </c>
      <c r="H130" s="526">
        <f t="shared" si="30"/>
        <v>631738.9036928704</v>
      </c>
      <c r="I130" s="577">
        <f t="shared" si="31"/>
        <v>631738.9036928704</v>
      </c>
      <c r="J130" s="514">
        <f t="shared" si="26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</row>
    <row r="131" spans="2:16" ht="12.5">
      <c r="B131" s="195" t="str">
        <f t="shared" si="25"/>
        <v/>
      </c>
      <c r="C131" s="507">
        <f>IF(D93="","-",+C130+1)</f>
        <v>2047</v>
      </c>
      <c r="D131" s="374">
        <f>IF(F130+SUM(E$99:E130)=D$92,F130,D$92-SUM(E$99:E130))</f>
        <v>2836572.713293076</v>
      </c>
      <c r="E131" s="522">
        <f t="shared" si="27"/>
        <v>293111.39024390245</v>
      </c>
      <c r="F131" s="523">
        <f t="shared" si="28"/>
        <v>2543461.3230491737</v>
      </c>
      <c r="G131" s="523">
        <f t="shared" si="29"/>
        <v>2690017.0181711251</v>
      </c>
      <c r="H131" s="526">
        <f t="shared" si="30"/>
        <v>598466.59098857152</v>
      </c>
      <c r="I131" s="577">
        <f t="shared" si="31"/>
        <v>598466.59098857152</v>
      </c>
      <c r="J131" s="514">
        <f t="shared" si="26"/>
        <v>0</v>
      </c>
      <c r="K131" s="514"/>
      <c r="L131" s="525"/>
      <c r="M131" s="514">
        <f t="shared" ref="M131:M154" si="32">IF(L541&lt;&gt;0,+H541-L541,0)</f>
        <v>0</v>
      </c>
      <c r="N131" s="525"/>
      <c r="O131" s="514">
        <f t="shared" ref="O131:O154" si="33">IF(N541&lt;&gt;0,+I541-N541,0)</f>
        <v>0</v>
      </c>
      <c r="P131" s="514">
        <f t="shared" ref="P131:P154" si="34">+O541-M541</f>
        <v>0</v>
      </c>
    </row>
    <row r="132" spans="2:16" ht="12.5">
      <c r="B132" s="195" t="str">
        <f t="shared" si="25"/>
        <v/>
      </c>
      <c r="C132" s="507">
        <f>IF(D93="","-",+C131+1)</f>
        <v>2048</v>
      </c>
      <c r="D132" s="374">
        <f>IF(F131+SUM(E$99:E131)=D$92,F131,D$92-SUM(E$99:E131))</f>
        <v>2543461.3230491737</v>
      </c>
      <c r="E132" s="522">
        <f t="shared" si="27"/>
        <v>293111.39024390245</v>
      </c>
      <c r="F132" s="523">
        <f t="shared" si="28"/>
        <v>2250349.9328052714</v>
      </c>
      <c r="G132" s="523">
        <f t="shared" si="29"/>
        <v>2396905.6279272223</v>
      </c>
      <c r="H132" s="526">
        <f t="shared" si="30"/>
        <v>565194.27828427241</v>
      </c>
      <c r="I132" s="577">
        <f t="shared" si="31"/>
        <v>565194.27828427241</v>
      </c>
      <c r="J132" s="514">
        <f t="shared" si="26"/>
        <v>0</v>
      </c>
      <c r="K132" s="514"/>
      <c r="L132" s="525"/>
      <c r="M132" s="514">
        <f t="shared" si="32"/>
        <v>0</v>
      </c>
      <c r="N132" s="525"/>
      <c r="O132" s="514">
        <f t="shared" si="33"/>
        <v>0</v>
      </c>
      <c r="P132" s="514">
        <f t="shared" si="34"/>
        <v>0</v>
      </c>
    </row>
    <row r="133" spans="2:16" ht="12.5">
      <c r="B133" s="195" t="str">
        <f t="shared" si="25"/>
        <v/>
      </c>
      <c r="C133" s="507">
        <f>IF(D93="","-",+C132+1)</f>
        <v>2049</v>
      </c>
      <c r="D133" s="374">
        <f>IF(F132+SUM(E$99:E132)=D$92,F132,D$92-SUM(E$99:E132))</f>
        <v>2250349.9328052714</v>
      </c>
      <c r="E133" s="522">
        <f t="shared" si="27"/>
        <v>293111.39024390245</v>
      </c>
      <c r="F133" s="523">
        <f t="shared" si="28"/>
        <v>1957238.542561369</v>
      </c>
      <c r="G133" s="523">
        <f t="shared" si="29"/>
        <v>2103794.2376833204</v>
      </c>
      <c r="H133" s="526">
        <f t="shared" si="30"/>
        <v>531921.9655799733</v>
      </c>
      <c r="I133" s="577">
        <f t="shared" si="31"/>
        <v>531921.9655799733</v>
      </c>
      <c r="J133" s="514">
        <f t="shared" si="26"/>
        <v>0</v>
      </c>
      <c r="K133" s="514"/>
      <c r="L133" s="525"/>
      <c r="M133" s="514">
        <f t="shared" si="32"/>
        <v>0</v>
      </c>
      <c r="N133" s="525"/>
      <c r="O133" s="514">
        <f t="shared" si="33"/>
        <v>0</v>
      </c>
      <c r="P133" s="514">
        <f t="shared" si="34"/>
        <v>0</v>
      </c>
    </row>
    <row r="134" spans="2:16" ht="12.5">
      <c r="B134" s="195" t="str">
        <f t="shared" si="25"/>
        <v/>
      </c>
      <c r="C134" s="507">
        <f>IF(D93="","-",+C133+1)</f>
        <v>2050</v>
      </c>
      <c r="D134" s="374">
        <f>IF(F133+SUM(E$99:E133)=D$92,F133,D$92-SUM(E$99:E133))</f>
        <v>1957238.542561369</v>
      </c>
      <c r="E134" s="522">
        <f t="shared" si="27"/>
        <v>293111.39024390245</v>
      </c>
      <c r="F134" s="523">
        <f t="shared" si="28"/>
        <v>1664127.1523174667</v>
      </c>
      <c r="G134" s="523">
        <f t="shared" si="29"/>
        <v>1810682.8474394178</v>
      </c>
      <c r="H134" s="526">
        <f t="shared" si="30"/>
        <v>498649.65287567419</v>
      </c>
      <c r="I134" s="577">
        <f t="shared" si="31"/>
        <v>498649.65287567419</v>
      </c>
      <c r="J134" s="514">
        <f t="shared" si="26"/>
        <v>0</v>
      </c>
      <c r="K134" s="514"/>
      <c r="L134" s="525"/>
      <c r="M134" s="514">
        <f t="shared" si="32"/>
        <v>0</v>
      </c>
      <c r="N134" s="525"/>
      <c r="O134" s="514">
        <f t="shared" si="33"/>
        <v>0</v>
      </c>
      <c r="P134" s="514">
        <f t="shared" si="34"/>
        <v>0</v>
      </c>
    </row>
    <row r="135" spans="2:16" ht="12.5">
      <c r="B135" s="195" t="str">
        <f t="shared" si="25"/>
        <v/>
      </c>
      <c r="C135" s="507">
        <f>IF(D93="","-",+C134+1)</f>
        <v>2051</v>
      </c>
      <c r="D135" s="374">
        <f>IF(F134+SUM(E$99:E134)=D$92,F134,D$92-SUM(E$99:E134))</f>
        <v>1664127.1523174667</v>
      </c>
      <c r="E135" s="522">
        <f t="shared" si="27"/>
        <v>293111.39024390245</v>
      </c>
      <c r="F135" s="523">
        <f t="shared" si="28"/>
        <v>1371015.7620735643</v>
      </c>
      <c r="G135" s="523">
        <f t="shared" si="29"/>
        <v>1517571.4571955155</v>
      </c>
      <c r="H135" s="526">
        <f t="shared" si="30"/>
        <v>465377.3401713752</v>
      </c>
      <c r="I135" s="577">
        <f t="shared" si="31"/>
        <v>465377.3401713752</v>
      </c>
      <c r="J135" s="514">
        <f t="shared" si="26"/>
        <v>0</v>
      </c>
      <c r="K135" s="514"/>
      <c r="L135" s="525"/>
      <c r="M135" s="514">
        <f t="shared" si="32"/>
        <v>0</v>
      </c>
      <c r="N135" s="525"/>
      <c r="O135" s="514">
        <f t="shared" si="33"/>
        <v>0</v>
      </c>
      <c r="P135" s="514">
        <f t="shared" si="34"/>
        <v>0</v>
      </c>
    </row>
    <row r="136" spans="2:16" ht="12.5">
      <c r="B136" s="195" t="str">
        <f t="shared" si="25"/>
        <v/>
      </c>
      <c r="C136" s="507">
        <f>IF(D93="","-",+C135+1)</f>
        <v>2052</v>
      </c>
      <c r="D136" s="374">
        <f>IF(F135+SUM(E$99:E135)=D$92,F135,D$92-SUM(E$99:E135))</f>
        <v>1371015.7620735643</v>
      </c>
      <c r="E136" s="522">
        <f t="shared" si="27"/>
        <v>293111.39024390245</v>
      </c>
      <c r="F136" s="523">
        <f t="shared" si="28"/>
        <v>1077904.371829662</v>
      </c>
      <c r="G136" s="523">
        <f t="shared" si="29"/>
        <v>1224460.0669516132</v>
      </c>
      <c r="H136" s="526">
        <f t="shared" si="30"/>
        <v>432105.02746707608</v>
      </c>
      <c r="I136" s="577">
        <f t="shared" si="31"/>
        <v>432105.02746707608</v>
      </c>
      <c r="J136" s="514">
        <f t="shared" si="26"/>
        <v>0</v>
      </c>
      <c r="K136" s="514"/>
      <c r="L136" s="525"/>
      <c r="M136" s="514">
        <f t="shared" si="32"/>
        <v>0</v>
      </c>
      <c r="N136" s="525"/>
      <c r="O136" s="514">
        <f t="shared" si="33"/>
        <v>0</v>
      </c>
      <c r="P136" s="514">
        <f t="shared" si="34"/>
        <v>0</v>
      </c>
    </row>
    <row r="137" spans="2:16" ht="12.5">
      <c r="B137" s="195" t="str">
        <f t="shared" si="25"/>
        <v/>
      </c>
      <c r="C137" s="507">
        <f>IF(D93="","-",+C136+1)</f>
        <v>2053</v>
      </c>
      <c r="D137" s="374">
        <f>IF(F136+SUM(E$99:E136)=D$92,F136,D$92-SUM(E$99:E136))</f>
        <v>1077904.371829662</v>
      </c>
      <c r="E137" s="522">
        <f t="shared" si="27"/>
        <v>293111.39024390245</v>
      </c>
      <c r="F137" s="523">
        <f t="shared" si="28"/>
        <v>784792.98158575955</v>
      </c>
      <c r="G137" s="523">
        <f t="shared" si="29"/>
        <v>931348.67670771084</v>
      </c>
      <c r="H137" s="526">
        <f t="shared" si="30"/>
        <v>398832.71476277703</v>
      </c>
      <c r="I137" s="577">
        <f t="shared" si="31"/>
        <v>398832.71476277703</v>
      </c>
      <c r="J137" s="514">
        <f t="shared" si="26"/>
        <v>0</v>
      </c>
      <c r="K137" s="514"/>
      <c r="L137" s="525"/>
      <c r="M137" s="514">
        <f t="shared" si="32"/>
        <v>0</v>
      </c>
      <c r="N137" s="525"/>
      <c r="O137" s="514">
        <f t="shared" si="33"/>
        <v>0</v>
      </c>
      <c r="P137" s="514">
        <f t="shared" si="34"/>
        <v>0</v>
      </c>
    </row>
    <row r="138" spans="2:16" ht="12.5">
      <c r="B138" s="195" t="str">
        <f t="shared" si="25"/>
        <v/>
      </c>
      <c r="C138" s="507">
        <f>IF(D93="","-",+C137+1)</f>
        <v>2054</v>
      </c>
      <c r="D138" s="374">
        <f>IF(F137+SUM(E$99:E137)=D$92,F137,D$92-SUM(E$99:E137))</f>
        <v>784792.98158575955</v>
      </c>
      <c r="E138" s="522">
        <f t="shared" si="27"/>
        <v>293111.39024390245</v>
      </c>
      <c r="F138" s="523">
        <f t="shared" si="28"/>
        <v>491681.5913418571</v>
      </c>
      <c r="G138" s="523">
        <f t="shared" si="29"/>
        <v>638237.28646380827</v>
      </c>
      <c r="H138" s="526">
        <f t="shared" si="30"/>
        <v>365560.40205847798</v>
      </c>
      <c r="I138" s="577">
        <f t="shared" si="31"/>
        <v>365560.40205847798</v>
      </c>
      <c r="J138" s="514">
        <f t="shared" si="26"/>
        <v>0</v>
      </c>
      <c r="K138" s="514"/>
      <c r="L138" s="525"/>
      <c r="M138" s="514">
        <f t="shared" si="32"/>
        <v>0</v>
      </c>
      <c r="N138" s="525"/>
      <c r="O138" s="514">
        <f t="shared" si="33"/>
        <v>0</v>
      </c>
      <c r="P138" s="514">
        <f t="shared" si="34"/>
        <v>0</v>
      </c>
    </row>
    <row r="139" spans="2:16" ht="12.5">
      <c r="B139" s="195" t="str">
        <f t="shared" si="25"/>
        <v/>
      </c>
      <c r="C139" s="507">
        <f>IF(D93="","-",+C138+1)</f>
        <v>2055</v>
      </c>
      <c r="D139" s="374">
        <f>IF(F138+SUM(E$99:E138)=D$92,F138,D$92-SUM(E$99:E138))</f>
        <v>491681.5913418571</v>
      </c>
      <c r="E139" s="522">
        <f t="shared" si="27"/>
        <v>293111.39024390245</v>
      </c>
      <c r="F139" s="523">
        <f t="shared" si="28"/>
        <v>198570.20109795465</v>
      </c>
      <c r="G139" s="523">
        <f t="shared" si="29"/>
        <v>345125.89621990587</v>
      </c>
      <c r="H139" s="526">
        <f t="shared" si="30"/>
        <v>332288.08935417887</v>
      </c>
      <c r="I139" s="577">
        <f t="shared" si="31"/>
        <v>332288.08935417887</v>
      </c>
      <c r="J139" s="514">
        <f t="shared" si="26"/>
        <v>0</v>
      </c>
      <c r="K139" s="514"/>
      <c r="L139" s="525"/>
      <c r="M139" s="514">
        <f t="shared" si="32"/>
        <v>0</v>
      </c>
      <c r="N139" s="525"/>
      <c r="O139" s="514">
        <f t="shared" si="33"/>
        <v>0</v>
      </c>
      <c r="P139" s="514">
        <f t="shared" si="34"/>
        <v>0</v>
      </c>
    </row>
    <row r="140" spans="2:16" ht="12.5">
      <c r="B140" s="195" t="str">
        <f t="shared" si="25"/>
        <v/>
      </c>
      <c r="C140" s="507">
        <f>IF(D93="","-",+C139+1)</f>
        <v>2056</v>
      </c>
      <c r="D140" s="374">
        <f>IF(F139+SUM(E$99:E139)=D$92,F139,D$92-SUM(E$99:E139))</f>
        <v>198570.20109795465</v>
      </c>
      <c r="E140" s="522">
        <f t="shared" si="27"/>
        <v>198570.20109795465</v>
      </c>
      <c r="F140" s="523">
        <f t="shared" si="28"/>
        <v>0</v>
      </c>
      <c r="G140" s="523">
        <f t="shared" si="29"/>
        <v>99285.100548977323</v>
      </c>
      <c r="H140" s="526">
        <f t="shared" si="30"/>
        <v>209840.47247701808</v>
      </c>
      <c r="I140" s="577">
        <f t="shared" si="31"/>
        <v>209840.47247701808</v>
      </c>
      <c r="J140" s="514">
        <f t="shared" si="26"/>
        <v>0</v>
      </c>
      <c r="K140" s="514"/>
      <c r="L140" s="525"/>
      <c r="M140" s="514">
        <f t="shared" si="32"/>
        <v>0</v>
      </c>
      <c r="N140" s="525"/>
      <c r="O140" s="514">
        <f t="shared" si="33"/>
        <v>0</v>
      </c>
      <c r="P140" s="514">
        <f t="shared" si="34"/>
        <v>0</v>
      </c>
    </row>
    <row r="141" spans="2:16" ht="12.5">
      <c r="B141" s="195" t="str">
        <f t="shared" si="25"/>
        <v/>
      </c>
      <c r="C141" s="507">
        <f>IF(D93="","-",+C140+1)</f>
        <v>2057</v>
      </c>
      <c r="D141" s="374">
        <f>IF(F140+SUM(E$99:E140)=D$92,F140,D$92-SUM(E$99:E140))</f>
        <v>0</v>
      </c>
      <c r="E141" s="522">
        <f t="shared" si="27"/>
        <v>0</v>
      </c>
      <c r="F141" s="523">
        <f t="shared" si="28"/>
        <v>0</v>
      </c>
      <c r="G141" s="523">
        <f t="shared" si="29"/>
        <v>0</v>
      </c>
      <c r="H141" s="526">
        <f t="shared" si="30"/>
        <v>0</v>
      </c>
      <c r="I141" s="577">
        <f t="shared" si="31"/>
        <v>0</v>
      </c>
      <c r="J141" s="514">
        <f t="shared" si="26"/>
        <v>0</v>
      </c>
      <c r="K141" s="514"/>
      <c r="L141" s="525"/>
      <c r="M141" s="514">
        <f t="shared" si="32"/>
        <v>0</v>
      </c>
      <c r="N141" s="525"/>
      <c r="O141" s="514">
        <f t="shared" si="33"/>
        <v>0</v>
      </c>
      <c r="P141" s="514">
        <f t="shared" si="34"/>
        <v>0</v>
      </c>
    </row>
    <row r="142" spans="2:16" ht="12.5">
      <c r="B142" s="195" t="str">
        <f t="shared" si="25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27"/>
        <v>0</v>
      </c>
      <c r="F142" s="523">
        <f t="shared" si="28"/>
        <v>0</v>
      </c>
      <c r="G142" s="523">
        <f t="shared" si="29"/>
        <v>0</v>
      </c>
      <c r="H142" s="526">
        <f t="shared" si="30"/>
        <v>0</v>
      </c>
      <c r="I142" s="577">
        <f t="shared" si="31"/>
        <v>0</v>
      </c>
      <c r="J142" s="514">
        <f t="shared" si="26"/>
        <v>0</v>
      </c>
      <c r="K142" s="514"/>
      <c r="L142" s="525"/>
      <c r="M142" s="514">
        <f t="shared" si="32"/>
        <v>0</v>
      </c>
      <c r="N142" s="525"/>
      <c r="O142" s="514">
        <f t="shared" si="33"/>
        <v>0</v>
      </c>
      <c r="P142" s="514">
        <f t="shared" si="34"/>
        <v>0</v>
      </c>
    </row>
    <row r="143" spans="2:16" ht="12.5">
      <c r="B143" s="195" t="str">
        <f t="shared" si="25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27"/>
        <v>0</v>
      </c>
      <c r="F143" s="523">
        <f t="shared" si="28"/>
        <v>0</v>
      </c>
      <c r="G143" s="523">
        <f t="shared" si="29"/>
        <v>0</v>
      </c>
      <c r="H143" s="526">
        <f t="shared" si="30"/>
        <v>0</v>
      </c>
      <c r="I143" s="577">
        <f t="shared" si="31"/>
        <v>0</v>
      </c>
      <c r="J143" s="514">
        <f t="shared" si="26"/>
        <v>0</v>
      </c>
      <c r="K143" s="514"/>
      <c r="L143" s="525"/>
      <c r="M143" s="514">
        <f t="shared" si="32"/>
        <v>0</v>
      </c>
      <c r="N143" s="525"/>
      <c r="O143" s="514">
        <f t="shared" si="33"/>
        <v>0</v>
      </c>
      <c r="P143" s="514">
        <f t="shared" si="34"/>
        <v>0</v>
      </c>
    </row>
    <row r="144" spans="2:16" ht="12.5">
      <c r="B144" s="195" t="str">
        <f t="shared" si="25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27"/>
        <v>0</v>
      </c>
      <c r="F144" s="523">
        <f t="shared" si="28"/>
        <v>0</v>
      </c>
      <c r="G144" s="523">
        <f t="shared" si="29"/>
        <v>0</v>
      </c>
      <c r="H144" s="526">
        <f t="shared" si="30"/>
        <v>0</v>
      </c>
      <c r="I144" s="577">
        <f t="shared" si="31"/>
        <v>0</v>
      </c>
      <c r="J144" s="514">
        <f t="shared" si="26"/>
        <v>0</v>
      </c>
      <c r="K144" s="514"/>
      <c r="L144" s="525"/>
      <c r="M144" s="514">
        <f t="shared" si="32"/>
        <v>0</v>
      </c>
      <c r="N144" s="525"/>
      <c r="O144" s="514">
        <f t="shared" si="33"/>
        <v>0</v>
      </c>
      <c r="P144" s="514">
        <f t="shared" si="34"/>
        <v>0</v>
      </c>
    </row>
    <row r="145" spans="2:16" ht="12.5">
      <c r="B145" s="195" t="str">
        <f t="shared" si="25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27"/>
        <v>0</v>
      </c>
      <c r="F145" s="523">
        <f t="shared" si="28"/>
        <v>0</v>
      </c>
      <c r="G145" s="523">
        <f t="shared" si="29"/>
        <v>0</v>
      </c>
      <c r="H145" s="526">
        <f t="shared" si="30"/>
        <v>0</v>
      </c>
      <c r="I145" s="577">
        <f t="shared" si="31"/>
        <v>0</v>
      </c>
      <c r="J145" s="514">
        <f t="shared" si="26"/>
        <v>0</v>
      </c>
      <c r="K145" s="514"/>
      <c r="L145" s="525"/>
      <c r="M145" s="514">
        <f t="shared" si="32"/>
        <v>0</v>
      </c>
      <c r="N145" s="525"/>
      <c r="O145" s="514">
        <f t="shared" si="33"/>
        <v>0</v>
      </c>
      <c r="P145" s="514">
        <f t="shared" si="34"/>
        <v>0</v>
      </c>
    </row>
    <row r="146" spans="2:16" ht="12.5">
      <c r="B146" s="195" t="str">
        <f t="shared" si="25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27"/>
        <v>0</v>
      </c>
      <c r="F146" s="523">
        <f t="shared" si="28"/>
        <v>0</v>
      </c>
      <c r="G146" s="523">
        <f t="shared" si="29"/>
        <v>0</v>
      </c>
      <c r="H146" s="526">
        <f t="shared" si="30"/>
        <v>0</v>
      </c>
      <c r="I146" s="577">
        <f t="shared" si="31"/>
        <v>0</v>
      </c>
      <c r="J146" s="514">
        <f t="shared" si="26"/>
        <v>0</v>
      </c>
      <c r="K146" s="514"/>
      <c r="L146" s="525"/>
      <c r="M146" s="514">
        <f t="shared" si="32"/>
        <v>0</v>
      </c>
      <c r="N146" s="525"/>
      <c r="O146" s="514">
        <f t="shared" si="33"/>
        <v>0</v>
      </c>
      <c r="P146" s="514">
        <f t="shared" si="34"/>
        <v>0</v>
      </c>
    </row>
    <row r="147" spans="2:16" ht="12.5">
      <c r="B147" s="195" t="str">
        <f t="shared" si="25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27"/>
        <v>0</v>
      </c>
      <c r="F147" s="523">
        <f t="shared" si="28"/>
        <v>0</v>
      </c>
      <c r="G147" s="523">
        <f t="shared" si="29"/>
        <v>0</v>
      </c>
      <c r="H147" s="526">
        <f t="shared" si="30"/>
        <v>0</v>
      </c>
      <c r="I147" s="577">
        <f t="shared" si="31"/>
        <v>0</v>
      </c>
      <c r="J147" s="514">
        <f t="shared" si="26"/>
        <v>0</v>
      </c>
      <c r="K147" s="514"/>
      <c r="L147" s="525"/>
      <c r="M147" s="514">
        <f t="shared" si="32"/>
        <v>0</v>
      </c>
      <c r="N147" s="525"/>
      <c r="O147" s="514">
        <f t="shared" si="33"/>
        <v>0</v>
      </c>
      <c r="P147" s="514">
        <f t="shared" si="34"/>
        <v>0</v>
      </c>
    </row>
    <row r="148" spans="2:16" ht="12.5">
      <c r="B148" s="195" t="str">
        <f t="shared" si="25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27"/>
        <v>0</v>
      </c>
      <c r="F148" s="523">
        <f t="shared" si="28"/>
        <v>0</v>
      </c>
      <c r="G148" s="523">
        <f t="shared" si="29"/>
        <v>0</v>
      </c>
      <c r="H148" s="526">
        <f t="shared" si="30"/>
        <v>0</v>
      </c>
      <c r="I148" s="577">
        <f t="shared" si="31"/>
        <v>0</v>
      </c>
      <c r="J148" s="514">
        <f t="shared" si="26"/>
        <v>0</v>
      </c>
      <c r="K148" s="514"/>
      <c r="L148" s="525"/>
      <c r="M148" s="514">
        <f t="shared" si="32"/>
        <v>0</v>
      </c>
      <c r="N148" s="525"/>
      <c r="O148" s="514">
        <f t="shared" si="33"/>
        <v>0</v>
      </c>
      <c r="P148" s="514">
        <f t="shared" si="34"/>
        <v>0</v>
      </c>
    </row>
    <row r="149" spans="2:16" ht="12.5">
      <c r="B149" s="195" t="str">
        <f t="shared" si="25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27"/>
        <v>0</v>
      </c>
      <c r="F149" s="523">
        <f t="shared" si="28"/>
        <v>0</v>
      </c>
      <c r="G149" s="523">
        <f t="shared" si="29"/>
        <v>0</v>
      </c>
      <c r="H149" s="526">
        <f t="shared" si="30"/>
        <v>0</v>
      </c>
      <c r="I149" s="577">
        <f t="shared" si="31"/>
        <v>0</v>
      </c>
      <c r="J149" s="514">
        <f t="shared" si="26"/>
        <v>0</v>
      </c>
      <c r="K149" s="514"/>
      <c r="L149" s="525"/>
      <c r="M149" s="514">
        <f t="shared" si="32"/>
        <v>0</v>
      </c>
      <c r="N149" s="525"/>
      <c r="O149" s="514">
        <f t="shared" si="33"/>
        <v>0</v>
      </c>
      <c r="P149" s="514">
        <f t="shared" si="34"/>
        <v>0</v>
      </c>
    </row>
    <row r="150" spans="2:16" ht="12.5">
      <c r="B150" s="195" t="str">
        <f t="shared" si="25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27"/>
        <v>0</v>
      </c>
      <c r="F150" s="523">
        <f t="shared" si="28"/>
        <v>0</v>
      </c>
      <c r="G150" s="523">
        <f t="shared" si="29"/>
        <v>0</v>
      </c>
      <c r="H150" s="526">
        <f t="shared" si="30"/>
        <v>0</v>
      </c>
      <c r="I150" s="577">
        <f t="shared" si="31"/>
        <v>0</v>
      </c>
      <c r="J150" s="514">
        <f t="shared" si="26"/>
        <v>0</v>
      </c>
      <c r="K150" s="514"/>
      <c r="L150" s="525"/>
      <c r="M150" s="514">
        <f t="shared" si="32"/>
        <v>0</v>
      </c>
      <c r="N150" s="525"/>
      <c r="O150" s="514">
        <f t="shared" si="33"/>
        <v>0</v>
      </c>
      <c r="P150" s="514">
        <f t="shared" si="34"/>
        <v>0</v>
      </c>
    </row>
    <row r="151" spans="2:16" ht="12.5">
      <c r="B151" s="195" t="str">
        <f t="shared" si="25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27"/>
        <v>0</v>
      </c>
      <c r="F151" s="523">
        <f t="shared" si="28"/>
        <v>0</v>
      </c>
      <c r="G151" s="523">
        <f t="shared" si="29"/>
        <v>0</v>
      </c>
      <c r="H151" s="526">
        <f t="shared" si="30"/>
        <v>0</v>
      </c>
      <c r="I151" s="577">
        <f t="shared" si="31"/>
        <v>0</v>
      </c>
      <c r="J151" s="514">
        <f t="shared" si="26"/>
        <v>0</v>
      </c>
      <c r="K151" s="514"/>
      <c r="L151" s="525"/>
      <c r="M151" s="514">
        <f t="shared" si="32"/>
        <v>0</v>
      </c>
      <c r="N151" s="525"/>
      <c r="O151" s="514">
        <f t="shared" si="33"/>
        <v>0</v>
      </c>
      <c r="P151" s="514">
        <f t="shared" si="34"/>
        <v>0</v>
      </c>
    </row>
    <row r="152" spans="2:16" ht="12.5">
      <c r="B152" s="195" t="str">
        <f t="shared" si="25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27"/>
        <v>0</v>
      </c>
      <c r="F152" s="523">
        <f t="shared" si="28"/>
        <v>0</v>
      </c>
      <c r="G152" s="523">
        <f t="shared" si="29"/>
        <v>0</v>
      </c>
      <c r="H152" s="526">
        <f t="shared" si="30"/>
        <v>0</v>
      </c>
      <c r="I152" s="577">
        <f t="shared" si="31"/>
        <v>0</v>
      </c>
      <c r="J152" s="514">
        <f t="shared" si="26"/>
        <v>0</v>
      </c>
      <c r="K152" s="514"/>
      <c r="L152" s="525"/>
      <c r="M152" s="514">
        <f t="shared" si="32"/>
        <v>0</v>
      </c>
      <c r="N152" s="525"/>
      <c r="O152" s="514">
        <f t="shared" si="33"/>
        <v>0</v>
      </c>
      <c r="P152" s="514">
        <f t="shared" si="34"/>
        <v>0</v>
      </c>
    </row>
    <row r="153" spans="2:16" ht="12.5">
      <c r="B153" s="195" t="str">
        <f t="shared" si="25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27"/>
        <v>0</v>
      </c>
      <c r="F153" s="523">
        <f t="shared" si="28"/>
        <v>0</v>
      </c>
      <c r="G153" s="523">
        <f t="shared" si="29"/>
        <v>0</v>
      </c>
      <c r="H153" s="526">
        <f t="shared" si="30"/>
        <v>0</v>
      </c>
      <c r="I153" s="577">
        <f t="shared" si="31"/>
        <v>0</v>
      </c>
      <c r="J153" s="514">
        <f t="shared" si="26"/>
        <v>0</v>
      </c>
      <c r="K153" s="514"/>
      <c r="L153" s="525"/>
      <c r="M153" s="514">
        <f t="shared" si="32"/>
        <v>0</v>
      </c>
      <c r="N153" s="525"/>
      <c r="O153" s="514">
        <f t="shared" si="33"/>
        <v>0</v>
      </c>
      <c r="P153" s="514">
        <f t="shared" si="34"/>
        <v>0</v>
      </c>
    </row>
    <row r="154" spans="2:16" ht="13" thickBot="1">
      <c r="B154" s="195" t="str">
        <f t="shared" si="25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27"/>
        <v>0</v>
      </c>
      <c r="F154" s="523">
        <f t="shared" si="28"/>
        <v>0</v>
      </c>
      <c r="G154" s="523">
        <f t="shared" si="29"/>
        <v>0</v>
      </c>
      <c r="H154" s="526">
        <f t="shared" si="30"/>
        <v>0</v>
      </c>
      <c r="I154" s="577">
        <f t="shared" si="31"/>
        <v>0</v>
      </c>
      <c r="J154" s="514">
        <f t="shared" si="26"/>
        <v>0</v>
      </c>
      <c r="K154" s="514"/>
      <c r="L154" s="532"/>
      <c r="M154" s="533">
        <f t="shared" si="32"/>
        <v>0</v>
      </c>
      <c r="N154" s="532"/>
      <c r="O154" s="533">
        <f t="shared" si="33"/>
        <v>0</v>
      </c>
      <c r="P154" s="533">
        <f t="shared" si="34"/>
        <v>0</v>
      </c>
    </row>
    <row r="155" spans="2:16" ht="12.5">
      <c r="C155" s="374" t="s">
        <v>78</v>
      </c>
      <c r="D155" s="375"/>
      <c r="E155" s="375">
        <f>SUM(E99:E154)</f>
        <v>12017566.999999996</v>
      </c>
      <c r="F155" s="375"/>
      <c r="G155" s="375"/>
      <c r="H155" s="375">
        <f>SUM(H99:H154)</f>
        <v>40343018.57854411</v>
      </c>
      <c r="I155" s="375">
        <f>SUM(I99:I154)</f>
        <v>40343018.57854411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6" priority="1" stopIfTrue="1" operator="equal">
      <formula>$I$10</formula>
    </cfRule>
  </conditionalFormatting>
  <conditionalFormatting sqref="C99:C154">
    <cfRule type="cellIs" dxfId="55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102"/>
  <dimension ref="A1:P162"/>
  <sheetViews>
    <sheetView view="pageBreakPreview" zoomScale="82" zoomScaleNormal="100" zoomScaleSheetLayoutView="82" workbookViewId="0">
      <selection activeCell="D10" sqref="D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53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729744.16665768996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729744.16665768996</v>
      </c>
      <c r="O6" s="269"/>
      <c r="P6" s="269"/>
    </row>
    <row r="7" spans="1:16" ht="13.5" thickBot="1">
      <c r="C7" s="467" t="s">
        <v>48</v>
      </c>
      <c r="D7" s="624" t="s">
        <v>341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468</v>
      </c>
      <c r="E9" s="637" t="s">
        <v>399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5738012.9100000001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136619.35500000001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5900000</v>
      </c>
      <c r="E17" s="638">
        <v>11706.349206349207</v>
      </c>
      <c r="F17" s="629">
        <v>5888293.6507936511</v>
      </c>
      <c r="G17" s="638">
        <v>787222.89256713865</v>
      </c>
      <c r="H17" s="639">
        <v>787222.89256713865</v>
      </c>
      <c r="I17" s="511">
        <v>0</v>
      </c>
      <c r="J17" s="511"/>
      <c r="K17" s="518">
        <f t="shared" ref="K17:K22" si="0">G17</f>
        <v>787222.89256713865</v>
      </c>
      <c r="L17" s="519">
        <f t="shared" ref="L17:L22" si="1">IF(K17&lt;&gt;0,+G17-K17,0)</f>
        <v>0</v>
      </c>
      <c r="M17" s="518">
        <f t="shared" ref="M17:M22" si="2">H17</f>
        <v>787222.89256713865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5712842.6507936511</v>
      </c>
      <c r="E18" s="630">
        <v>136298.78571428571</v>
      </c>
      <c r="F18" s="631">
        <v>5576543.8650793657</v>
      </c>
      <c r="G18" s="630">
        <v>861695.47237571224</v>
      </c>
      <c r="H18" s="639">
        <v>861695.47237571224</v>
      </c>
      <c r="I18" s="511">
        <f>H18-G18</f>
        <v>0</v>
      </c>
      <c r="J18" s="511"/>
      <c r="K18" s="518">
        <f t="shared" si="0"/>
        <v>861695.47237571224</v>
      </c>
      <c r="L18" s="519">
        <f t="shared" si="1"/>
        <v>0</v>
      </c>
      <c r="M18" s="518">
        <f t="shared" si="2"/>
        <v>861695.47237571224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5590007.8650793647</v>
      </c>
      <c r="E19" s="630">
        <v>133442.16279069768</v>
      </c>
      <c r="F19" s="631">
        <v>5456565.7022886667</v>
      </c>
      <c r="G19" s="630">
        <v>817736.15631136962</v>
      </c>
      <c r="H19" s="639">
        <v>817736.15631136962</v>
      </c>
      <c r="I19" s="511">
        <f t="shared" ref="I19:I72" si="3">H19-G19</f>
        <v>0</v>
      </c>
      <c r="J19" s="511"/>
      <c r="K19" s="518">
        <f t="shared" si="0"/>
        <v>817736.15631136962</v>
      </c>
      <c r="L19" s="519">
        <f t="shared" si="1"/>
        <v>0</v>
      </c>
      <c r="M19" s="518">
        <f t="shared" si="2"/>
        <v>817736.15631136962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5456565.7022886667</v>
      </c>
      <c r="E20" s="630">
        <v>139951.53658536586</v>
      </c>
      <c r="F20" s="631">
        <v>5316614.1657033013</v>
      </c>
      <c r="G20" s="630">
        <v>824555.33054261771</v>
      </c>
      <c r="H20" s="639">
        <v>824555.33054261771</v>
      </c>
      <c r="I20" s="511">
        <f t="shared" si="3"/>
        <v>0</v>
      </c>
      <c r="J20" s="511"/>
      <c r="K20" s="518">
        <f t="shared" si="0"/>
        <v>824555.33054261771</v>
      </c>
      <c r="L20" s="519">
        <f t="shared" si="1"/>
        <v>0</v>
      </c>
      <c r="M20" s="518">
        <f t="shared" si="2"/>
        <v>824555.33054261771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5316614.1657033013</v>
      </c>
      <c r="E21" s="630">
        <v>139951.53658536586</v>
      </c>
      <c r="F21" s="631">
        <v>5176662.6291179359</v>
      </c>
      <c r="G21" s="630">
        <v>806768.31610667519</v>
      </c>
      <c r="H21" s="639">
        <v>806768.31610667519</v>
      </c>
      <c r="I21" s="511">
        <f t="shared" si="3"/>
        <v>0</v>
      </c>
      <c r="J21" s="511"/>
      <c r="K21" s="518">
        <f t="shared" si="0"/>
        <v>806768.31610667519</v>
      </c>
      <c r="L21" s="519">
        <f t="shared" si="1"/>
        <v>0</v>
      </c>
      <c r="M21" s="518">
        <f t="shared" si="2"/>
        <v>806768.31610667519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/>
      </c>
      <c r="C22" s="507">
        <f>IF(D11="","-",+C21+1)</f>
        <v>2020</v>
      </c>
      <c r="D22" s="631">
        <v>5176662.6291179359</v>
      </c>
      <c r="E22" s="630">
        <v>139951.53658536586</v>
      </c>
      <c r="F22" s="631">
        <v>5036711.0925325705</v>
      </c>
      <c r="G22" s="630">
        <v>662546.66149504599</v>
      </c>
      <c r="H22" s="639">
        <v>662546.66149504599</v>
      </c>
      <c r="I22" s="511">
        <f t="shared" si="3"/>
        <v>0</v>
      </c>
      <c r="J22" s="511"/>
      <c r="K22" s="518">
        <f t="shared" si="0"/>
        <v>662546.66149504599</v>
      </c>
      <c r="L22" s="519">
        <f t="shared" si="1"/>
        <v>0</v>
      </c>
      <c r="M22" s="518">
        <f t="shared" si="2"/>
        <v>662546.66149504599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631">
        <v>5043220.4663272379</v>
      </c>
      <c r="E23" s="630">
        <v>136619.35714285713</v>
      </c>
      <c r="F23" s="631">
        <v>4906601.1091843806</v>
      </c>
      <c r="G23" s="630">
        <v>663982.51182654442</v>
      </c>
      <c r="H23" s="639">
        <v>663982.51182654442</v>
      </c>
      <c r="I23" s="511">
        <f t="shared" si="3"/>
        <v>0</v>
      </c>
      <c r="J23" s="511"/>
      <c r="K23" s="518">
        <f t="shared" ref="K23" si="7">G23</f>
        <v>663982.51182654442</v>
      </c>
      <c r="L23" s="519">
        <f t="shared" ref="L23" si="8">IF(K23&lt;&gt;0,+G23-K23,0)</f>
        <v>0</v>
      </c>
      <c r="M23" s="518">
        <f t="shared" ref="M23" si="9">H23</f>
        <v>663982.51182654442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>IU</v>
      </c>
      <c r="C24" s="507">
        <f>IF(D11="","-",+C23+1)</f>
        <v>2022</v>
      </c>
      <c r="D24" s="631">
        <v>4900091.7353897123</v>
      </c>
      <c r="E24" s="630">
        <v>136619.35714285713</v>
      </c>
      <c r="F24" s="631">
        <v>4763472.378246855</v>
      </c>
      <c r="G24" s="630">
        <v>679924.72685761354</v>
      </c>
      <c r="H24" s="639">
        <v>679924.72685761354</v>
      </c>
      <c r="I24" s="511">
        <f t="shared" si="3"/>
        <v>0</v>
      </c>
      <c r="J24" s="511"/>
      <c r="K24" s="518">
        <f t="shared" ref="K24" si="10">G24</f>
        <v>679924.72685761354</v>
      </c>
      <c r="L24" s="519">
        <f t="shared" ref="L24" si="11">IF(K24&lt;&gt;0,+G24-K24,0)</f>
        <v>0</v>
      </c>
      <c r="M24" s="518">
        <f t="shared" ref="M24" si="12">H24</f>
        <v>679924.72685761354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>IU</v>
      </c>
      <c r="C25" s="507">
        <f>IF(D11="","-",+C24+1)</f>
        <v>2023</v>
      </c>
      <c r="D25" s="523">
        <f>IF(F24+SUM(E$17:E24)=D$10,F24,D$10-SUM(E$17:E24))</f>
        <v>4763472.2882468551</v>
      </c>
      <c r="E25" s="522">
        <f t="shared" ref="E25:E72" si="13">IF(+$I$14&lt;F24,$I$14,D25)</f>
        <v>136619.35500000001</v>
      </c>
      <c r="F25" s="523">
        <f t="shared" ref="F25:F72" si="14">+D25-E25</f>
        <v>4626852.9332468547</v>
      </c>
      <c r="G25" s="524">
        <f t="shared" ref="G25:G50" si="15">+I$12*((D25+F25)/2)+E25</f>
        <v>729744.16665768996</v>
      </c>
      <c r="H25" s="491">
        <f t="shared" ref="H25:H50" si="16">+I$13*((D25+F25)/2)+E25</f>
        <v>729744.16665768996</v>
      </c>
      <c r="I25" s="511">
        <f t="shared" si="3"/>
        <v>0</v>
      </c>
      <c r="J25" s="511"/>
      <c r="K25" s="525"/>
      <c r="L25" s="514">
        <f t="shared" ref="L25:L72" si="17">IF(K25&lt;&gt;0,+G25-K25,0)</f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4626852.9332468547</v>
      </c>
      <c r="E26" s="522">
        <f t="shared" si="13"/>
        <v>136619.35500000001</v>
      </c>
      <c r="F26" s="523">
        <f t="shared" si="14"/>
        <v>4490233.5782468542</v>
      </c>
      <c r="G26" s="524">
        <f t="shared" si="15"/>
        <v>712485.48236469156</v>
      </c>
      <c r="H26" s="491">
        <f t="shared" si="16"/>
        <v>712485.48236469156</v>
      </c>
      <c r="I26" s="511">
        <f t="shared" si="3"/>
        <v>0</v>
      </c>
      <c r="J26" s="511"/>
      <c r="K26" s="525"/>
      <c r="L26" s="514">
        <f t="shared" si="17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4490233.5782468542</v>
      </c>
      <c r="E27" s="522">
        <f t="shared" si="13"/>
        <v>136619.35500000001</v>
      </c>
      <c r="F27" s="523">
        <f t="shared" si="14"/>
        <v>4353614.2232468538</v>
      </c>
      <c r="G27" s="524">
        <f t="shared" si="15"/>
        <v>695226.79807169305</v>
      </c>
      <c r="H27" s="491">
        <f t="shared" si="16"/>
        <v>695226.79807169305</v>
      </c>
      <c r="I27" s="511">
        <f t="shared" si="3"/>
        <v>0</v>
      </c>
      <c r="J27" s="511"/>
      <c r="K27" s="525"/>
      <c r="L27" s="514">
        <f t="shared" si="17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4353614.2232468538</v>
      </c>
      <c r="E28" s="522">
        <f t="shared" si="13"/>
        <v>136619.35500000001</v>
      </c>
      <c r="F28" s="523">
        <f t="shared" si="14"/>
        <v>4216994.8682468534</v>
      </c>
      <c r="G28" s="524">
        <f t="shared" si="15"/>
        <v>677968.11377869465</v>
      </c>
      <c r="H28" s="491">
        <f t="shared" si="16"/>
        <v>677968.11377869465</v>
      </c>
      <c r="I28" s="511">
        <f t="shared" si="3"/>
        <v>0</v>
      </c>
      <c r="J28" s="511"/>
      <c r="K28" s="525"/>
      <c r="L28" s="514">
        <f t="shared" si="1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4216994.8682468534</v>
      </c>
      <c r="E29" s="522">
        <f t="shared" si="13"/>
        <v>136619.35500000001</v>
      </c>
      <c r="F29" s="523">
        <f t="shared" si="14"/>
        <v>4080375.5132468534</v>
      </c>
      <c r="G29" s="524">
        <f t="shared" si="15"/>
        <v>660709.42948569614</v>
      </c>
      <c r="H29" s="491">
        <f t="shared" si="16"/>
        <v>660709.42948569614</v>
      </c>
      <c r="I29" s="511">
        <f t="shared" si="3"/>
        <v>0</v>
      </c>
      <c r="J29" s="511"/>
      <c r="K29" s="525"/>
      <c r="L29" s="514">
        <f t="shared" si="1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4080375.5132468534</v>
      </c>
      <c r="E30" s="522">
        <f t="shared" si="13"/>
        <v>136619.35500000001</v>
      </c>
      <c r="F30" s="523">
        <f t="shared" si="14"/>
        <v>3943756.1582468534</v>
      </c>
      <c r="G30" s="524">
        <f t="shared" si="15"/>
        <v>643450.74519269785</v>
      </c>
      <c r="H30" s="491">
        <f t="shared" si="16"/>
        <v>643450.74519269785</v>
      </c>
      <c r="I30" s="511">
        <f t="shared" si="3"/>
        <v>0</v>
      </c>
      <c r="J30" s="511"/>
      <c r="K30" s="525"/>
      <c r="L30" s="514">
        <f t="shared" si="1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3943756.1582468534</v>
      </c>
      <c r="E31" s="522">
        <f t="shared" si="13"/>
        <v>136619.35500000001</v>
      </c>
      <c r="F31" s="523">
        <f t="shared" si="14"/>
        <v>3807136.8032468534</v>
      </c>
      <c r="G31" s="524">
        <f t="shared" si="15"/>
        <v>626192.06089969934</v>
      </c>
      <c r="H31" s="491">
        <f t="shared" si="16"/>
        <v>626192.06089969934</v>
      </c>
      <c r="I31" s="511">
        <f t="shared" si="3"/>
        <v>0</v>
      </c>
      <c r="J31" s="511"/>
      <c r="K31" s="525"/>
      <c r="L31" s="514">
        <f t="shared" si="1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3807136.8032468534</v>
      </c>
      <c r="E32" s="522">
        <f t="shared" si="13"/>
        <v>136619.35500000001</v>
      </c>
      <c r="F32" s="523">
        <f t="shared" si="14"/>
        <v>3670517.4482468534</v>
      </c>
      <c r="G32" s="524">
        <f t="shared" si="15"/>
        <v>608933.37660670106</v>
      </c>
      <c r="H32" s="491">
        <f t="shared" si="16"/>
        <v>608933.37660670106</v>
      </c>
      <c r="I32" s="511">
        <f t="shared" si="3"/>
        <v>0</v>
      </c>
      <c r="J32" s="511"/>
      <c r="K32" s="525"/>
      <c r="L32" s="514">
        <f t="shared" si="1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3670517.4482468534</v>
      </c>
      <c r="E33" s="522">
        <f t="shared" si="13"/>
        <v>136619.35500000001</v>
      </c>
      <c r="F33" s="523">
        <f t="shared" si="14"/>
        <v>3533898.0932468534</v>
      </c>
      <c r="G33" s="524">
        <f t="shared" si="15"/>
        <v>591674.69231370266</v>
      </c>
      <c r="H33" s="491">
        <f t="shared" si="16"/>
        <v>591674.69231370266</v>
      </c>
      <c r="I33" s="511">
        <f t="shared" si="3"/>
        <v>0</v>
      </c>
      <c r="J33" s="511"/>
      <c r="K33" s="525"/>
      <c r="L33" s="514">
        <f t="shared" si="1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3533898.0932468534</v>
      </c>
      <c r="E34" s="522">
        <f t="shared" si="13"/>
        <v>136619.35500000001</v>
      </c>
      <c r="F34" s="523">
        <f t="shared" si="14"/>
        <v>3397278.7382468535</v>
      </c>
      <c r="G34" s="524">
        <f t="shared" si="15"/>
        <v>574416.00802070426</v>
      </c>
      <c r="H34" s="491">
        <f t="shared" si="16"/>
        <v>574416.00802070426</v>
      </c>
      <c r="I34" s="511">
        <f t="shared" si="3"/>
        <v>0</v>
      </c>
      <c r="J34" s="511"/>
      <c r="K34" s="525"/>
      <c r="L34" s="514">
        <f t="shared" si="1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3397278.7382468535</v>
      </c>
      <c r="E35" s="522">
        <f t="shared" si="13"/>
        <v>136619.35500000001</v>
      </c>
      <c r="F35" s="523">
        <f t="shared" si="14"/>
        <v>3260659.3832468535</v>
      </c>
      <c r="G35" s="524">
        <f t="shared" si="15"/>
        <v>557157.32372770587</v>
      </c>
      <c r="H35" s="491">
        <f t="shared" si="16"/>
        <v>557157.32372770587</v>
      </c>
      <c r="I35" s="511">
        <f t="shared" si="3"/>
        <v>0</v>
      </c>
      <c r="J35" s="511"/>
      <c r="K35" s="525"/>
      <c r="L35" s="514">
        <f t="shared" si="1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3260659.3832468535</v>
      </c>
      <c r="E36" s="522">
        <f t="shared" si="13"/>
        <v>136619.35500000001</v>
      </c>
      <c r="F36" s="523">
        <f t="shared" si="14"/>
        <v>3124040.0282468535</v>
      </c>
      <c r="G36" s="524">
        <f t="shared" si="15"/>
        <v>539898.63943470747</v>
      </c>
      <c r="H36" s="491">
        <f t="shared" si="16"/>
        <v>539898.63943470747</v>
      </c>
      <c r="I36" s="511">
        <f t="shared" si="3"/>
        <v>0</v>
      </c>
      <c r="J36" s="511"/>
      <c r="K36" s="525"/>
      <c r="L36" s="514">
        <f t="shared" si="1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3124040.0282468535</v>
      </c>
      <c r="E37" s="522">
        <f t="shared" si="13"/>
        <v>136619.35500000001</v>
      </c>
      <c r="F37" s="523">
        <f t="shared" si="14"/>
        <v>2987420.6732468535</v>
      </c>
      <c r="G37" s="524">
        <f t="shared" si="15"/>
        <v>522639.95514170907</v>
      </c>
      <c r="H37" s="491">
        <f t="shared" si="16"/>
        <v>522639.95514170907</v>
      </c>
      <c r="I37" s="511">
        <f t="shared" si="3"/>
        <v>0</v>
      </c>
      <c r="J37" s="511"/>
      <c r="K37" s="525"/>
      <c r="L37" s="514">
        <f t="shared" si="1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2987420.6732468535</v>
      </c>
      <c r="E38" s="522">
        <f t="shared" si="13"/>
        <v>136619.35500000001</v>
      </c>
      <c r="F38" s="523">
        <f t="shared" si="14"/>
        <v>2850801.3182468535</v>
      </c>
      <c r="G38" s="524">
        <f t="shared" si="15"/>
        <v>505381.27084871067</v>
      </c>
      <c r="H38" s="491">
        <f t="shared" si="16"/>
        <v>505381.27084871067</v>
      </c>
      <c r="I38" s="511">
        <f t="shared" si="3"/>
        <v>0</v>
      </c>
      <c r="J38" s="511"/>
      <c r="K38" s="525"/>
      <c r="L38" s="514">
        <f t="shared" si="1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2850801.3182468535</v>
      </c>
      <c r="E39" s="522">
        <f t="shared" si="13"/>
        <v>136619.35500000001</v>
      </c>
      <c r="F39" s="523">
        <f t="shared" si="14"/>
        <v>2714181.9632468536</v>
      </c>
      <c r="G39" s="524">
        <f t="shared" si="15"/>
        <v>488122.58655571227</v>
      </c>
      <c r="H39" s="491">
        <f t="shared" si="16"/>
        <v>488122.58655571227</v>
      </c>
      <c r="I39" s="511">
        <f t="shared" si="3"/>
        <v>0</v>
      </c>
      <c r="J39" s="511"/>
      <c r="K39" s="525"/>
      <c r="L39" s="514">
        <f t="shared" si="1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2714181.9632468536</v>
      </c>
      <c r="E40" s="522">
        <f t="shared" si="13"/>
        <v>136619.35500000001</v>
      </c>
      <c r="F40" s="523">
        <f t="shared" si="14"/>
        <v>2577562.6082468536</v>
      </c>
      <c r="G40" s="524">
        <f t="shared" si="15"/>
        <v>470863.90226271388</v>
      </c>
      <c r="H40" s="491">
        <f t="shared" si="16"/>
        <v>470863.90226271388</v>
      </c>
      <c r="I40" s="511">
        <f t="shared" si="3"/>
        <v>0</v>
      </c>
      <c r="J40" s="511"/>
      <c r="K40" s="525"/>
      <c r="L40" s="514">
        <f t="shared" si="1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2577562.6082468536</v>
      </c>
      <c r="E41" s="522">
        <f t="shared" si="13"/>
        <v>136619.35500000001</v>
      </c>
      <c r="F41" s="523">
        <f t="shared" si="14"/>
        <v>2440943.2532468536</v>
      </c>
      <c r="G41" s="524">
        <f t="shared" si="15"/>
        <v>453605.21796971548</v>
      </c>
      <c r="H41" s="491">
        <f t="shared" si="16"/>
        <v>453605.21796971548</v>
      </c>
      <c r="I41" s="511">
        <f t="shared" si="3"/>
        <v>0</v>
      </c>
      <c r="J41" s="511"/>
      <c r="K41" s="525"/>
      <c r="L41" s="514">
        <f t="shared" si="1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2440943.2532468536</v>
      </c>
      <c r="E42" s="522">
        <f t="shared" si="13"/>
        <v>136619.35500000001</v>
      </c>
      <c r="F42" s="523">
        <f t="shared" si="14"/>
        <v>2304323.8982468536</v>
      </c>
      <c r="G42" s="524">
        <f t="shared" si="15"/>
        <v>436346.53367671708</v>
      </c>
      <c r="H42" s="491">
        <f t="shared" si="16"/>
        <v>436346.53367671708</v>
      </c>
      <c r="I42" s="511">
        <f t="shared" si="3"/>
        <v>0</v>
      </c>
      <c r="J42" s="511"/>
      <c r="K42" s="525"/>
      <c r="L42" s="514">
        <f t="shared" si="1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2304323.8982468536</v>
      </c>
      <c r="E43" s="522">
        <f t="shared" si="13"/>
        <v>136619.35500000001</v>
      </c>
      <c r="F43" s="523">
        <f t="shared" si="14"/>
        <v>2167704.5432468536</v>
      </c>
      <c r="G43" s="524">
        <f t="shared" si="15"/>
        <v>419087.84938371868</v>
      </c>
      <c r="H43" s="491">
        <f t="shared" si="16"/>
        <v>419087.84938371868</v>
      </c>
      <c r="I43" s="511">
        <f t="shared" si="3"/>
        <v>0</v>
      </c>
      <c r="J43" s="511"/>
      <c r="K43" s="525"/>
      <c r="L43" s="514">
        <f t="shared" si="1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2167704.5432468536</v>
      </c>
      <c r="E44" s="522">
        <f t="shared" si="13"/>
        <v>136619.35500000001</v>
      </c>
      <c r="F44" s="523">
        <f t="shared" si="14"/>
        <v>2031085.1882468536</v>
      </c>
      <c r="G44" s="524">
        <f t="shared" si="15"/>
        <v>401829.16509072029</v>
      </c>
      <c r="H44" s="491">
        <f t="shared" si="16"/>
        <v>401829.16509072029</v>
      </c>
      <c r="I44" s="511">
        <f t="shared" si="3"/>
        <v>0</v>
      </c>
      <c r="J44" s="511"/>
      <c r="K44" s="525"/>
      <c r="L44" s="514">
        <f t="shared" si="1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2031085.1882468536</v>
      </c>
      <c r="E45" s="522">
        <f t="shared" si="13"/>
        <v>136619.35500000001</v>
      </c>
      <c r="F45" s="523">
        <f t="shared" si="14"/>
        <v>1894465.8332468537</v>
      </c>
      <c r="G45" s="524">
        <f t="shared" si="15"/>
        <v>384570.48079772189</v>
      </c>
      <c r="H45" s="491">
        <f t="shared" si="16"/>
        <v>384570.48079772189</v>
      </c>
      <c r="I45" s="511">
        <f t="shared" si="3"/>
        <v>0</v>
      </c>
      <c r="J45" s="511"/>
      <c r="K45" s="525"/>
      <c r="L45" s="514">
        <f t="shared" si="1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1894465.8332468537</v>
      </c>
      <c r="E46" s="522">
        <f t="shared" si="13"/>
        <v>136619.35500000001</v>
      </c>
      <c r="F46" s="523">
        <f t="shared" si="14"/>
        <v>1757846.4782468537</v>
      </c>
      <c r="G46" s="524">
        <f t="shared" si="15"/>
        <v>367311.79650472349</v>
      </c>
      <c r="H46" s="491">
        <f t="shared" si="16"/>
        <v>367311.79650472349</v>
      </c>
      <c r="I46" s="511">
        <f t="shared" si="3"/>
        <v>0</v>
      </c>
      <c r="J46" s="511"/>
      <c r="K46" s="525"/>
      <c r="L46" s="514">
        <f t="shared" si="1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1757846.4782468537</v>
      </c>
      <c r="E47" s="522">
        <f t="shared" si="13"/>
        <v>136619.35500000001</v>
      </c>
      <c r="F47" s="523">
        <f t="shared" si="14"/>
        <v>1621227.1232468537</v>
      </c>
      <c r="G47" s="524">
        <f t="shared" si="15"/>
        <v>350053.11221172509</v>
      </c>
      <c r="H47" s="491">
        <f t="shared" si="16"/>
        <v>350053.11221172509</v>
      </c>
      <c r="I47" s="511">
        <f t="shared" si="3"/>
        <v>0</v>
      </c>
      <c r="J47" s="511"/>
      <c r="K47" s="525"/>
      <c r="L47" s="514">
        <f t="shared" si="1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1621227.1232468537</v>
      </c>
      <c r="E48" s="522">
        <f t="shared" si="13"/>
        <v>136619.35500000001</v>
      </c>
      <c r="F48" s="523">
        <f t="shared" si="14"/>
        <v>1484607.7682468537</v>
      </c>
      <c r="G48" s="524">
        <f t="shared" si="15"/>
        <v>332794.42791872669</v>
      </c>
      <c r="H48" s="491">
        <f t="shared" si="16"/>
        <v>332794.42791872669</v>
      </c>
      <c r="I48" s="511">
        <f t="shared" si="3"/>
        <v>0</v>
      </c>
      <c r="J48" s="511"/>
      <c r="K48" s="525"/>
      <c r="L48" s="514">
        <f t="shared" si="1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1484607.7682468537</v>
      </c>
      <c r="E49" s="522">
        <f t="shared" si="13"/>
        <v>136619.35500000001</v>
      </c>
      <c r="F49" s="523">
        <f t="shared" si="14"/>
        <v>1347988.4132468537</v>
      </c>
      <c r="G49" s="524">
        <f t="shared" si="15"/>
        <v>315535.74362572836</v>
      </c>
      <c r="H49" s="491">
        <f t="shared" si="16"/>
        <v>315535.74362572836</v>
      </c>
      <c r="I49" s="511">
        <f t="shared" si="3"/>
        <v>0</v>
      </c>
      <c r="J49" s="511"/>
      <c r="K49" s="525"/>
      <c r="L49" s="514">
        <f t="shared" si="1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1347988.4132468537</v>
      </c>
      <c r="E50" s="522">
        <f t="shared" si="13"/>
        <v>136619.35500000001</v>
      </c>
      <c r="F50" s="523">
        <f t="shared" si="14"/>
        <v>1211369.0582468538</v>
      </c>
      <c r="G50" s="524">
        <f t="shared" si="15"/>
        <v>298277.05933272996</v>
      </c>
      <c r="H50" s="491">
        <f t="shared" si="16"/>
        <v>298277.05933272996</v>
      </c>
      <c r="I50" s="511">
        <f t="shared" si="3"/>
        <v>0</v>
      </c>
      <c r="J50" s="511"/>
      <c r="K50" s="525"/>
      <c r="L50" s="514">
        <f t="shared" si="1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1211369.0582468538</v>
      </c>
      <c r="E51" s="522">
        <f t="shared" si="13"/>
        <v>136619.35500000001</v>
      </c>
      <c r="F51" s="523">
        <f t="shared" si="14"/>
        <v>1074749.7032468538</v>
      </c>
      <c r="G51" s="524">
        <f t="shared" ref="G51:G72" si="18">+I$12*((D51+F51)/2)+E51</f>
        <v>281018.37503973156</v>
      </c>
      <c r="H51" s="491">
        <f t="shared" ref="H51:H72" si="19">+I$13*((D51+F51)/2)+E51</f>
        <v>281018.37503973156</v>
      </c>
      <c r="I51" s="511">
        <f t="shared" si="3"/>
        <v>0</v>
      </c>
      <c r="J51" s="511"/>
      <c r="K51" s="525"/>
      <c r="L51" s="514">
        <f t="shared" si="1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1074749.7032468538</v>
      </c>
      <c r="E52" s="522">
        <f t="shared" si="13"/>
        <v>136619.35500000001</v>
      </c>
      <c r="F52" s="523">
        <f t="shared" si="14"/>
        <v>938130.3482468538</v>
      </c>
      <c r="G52" s="524">
        <f t="shared" si="18"/>
        <v>263759.69074673316</v>
      </c>
      <c r="H52" s="491">
        <f t="shared" si="19"/>
        <v>263759.69074673316</v>
      </c>
      <c r="I52" s="511">
        <f t="shared" si="3"/>
        <v>0</v>
      </c>
      <c r="J52" s="511"/>
      <c r="K52" s="525"/>
      <c r="L52" s="514">
        <f t="shared" si="1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938130.3482468538</v>
      </c>
      <c r="E53" s="522">
        <f t="shared" si="13"/>
        <v>136619.35500000001</v>
      </c>
      <c r="F53" s="523">
        <f t="shared" si="14"/>
        <v>801510.99324685382</v>
      </c>
      <c r="G53" s="524">
        <f t="shared" si="18"/>
        <v>246501.00645373476</v>
      </c>
      <c r="H53" s="491">
        <f t="shared" si="19"/>
        <v>246501.00645373476</v>
      </c>
      <c r="I53" s="511">
        <f t="shared" si="3"/>
        <v>0</v>
      </c>
      <c r="J53" s="511"/>
      <c r="K53" s="525"/>
      <c r="L53" s="514">
        <f t="shared" si="1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801510.99324685382</v>
      </c>
      <c r="E54" s="522">
        <f t="shared" si="13"/>
        <v>136619.35500000001</v>
      </c>
      <c r="F54" s="523">
        <f t="shared" si="14"/>
        <v>664891.63824685384</v>
      </c>
      <c r="G54" s="524">
        <f t="shared" si="18"/>
        <v>229242.32216073637</v>
      </c>
      <c r="H54" s="491">
        <f t="shared" si="19"/>
        <v>229242.32216073637</v>
      </c>
      <c r="I54" s="511">
        <f t="shared" si="3"/>
        <v>0</v>
      </c>
      <c r="J54" s="511"/>
      <c r="K54" s="525"/>
      <c r="L54" s="514">
        <f t="shared" si="1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664891.63824685384</v>
      </c>
      <c r="E55" s="522">
        <f t="shared" si="13"/>
        <v>136619.35500000001</v>
      </c>
      <c r="F55" s="523">
        <f t="shared" si="14"/>
        <v>528272.28324685385</v>
      </c>
      <c r="G55" s="524">
        <f t="shared" si="18"/>
        <v>211983.63786773797</v>
      </c>
      <c r="H55" s="491">
        <f t="shared" si="19"/>
        <v>211983.63786773797</v>
      </c>
      <c r="I55" s="511">
        <f t="shared" si="3"/>
        <v>0</v>
      </c>
      <c r="J55" s="511"/>
      <c r="K55" s="525"/>
      <c r="L55" s="514">
        <f t="shared" si="1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528272.28324685385</v>
      </c>
      <c r="E56" s="522">
        <f t="shared" si="13"/>
        <v>136619.35500000001</v>
      </c>
      <c r="F56" s="523">
        <f t="shared" si="14"/>
        <v>391652.92824685387</v>
      </c>
      <c r="G56" s="524">
        <f t="shared" si="18"/>
        <v>194724.95357473957</v>
      </c>
      <c r="H56" s="491">
        <f t="shared" si="19"/>
        <v>194724.95357473957</v>
      </c>
      <c r="I56" s="511">
        <f t="shared" si="3"/>
        <v>0</v>
      </c>
      <c r="J56" s="511"/>
      <c r="K56" s="525"/>
      <c r="L56" s="514">
        <f t="shared" si="1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391652.92824685387</v>
      </c>
      <c r="E57" s="522">
        <f t="shared" si="13"/>
        <v>136619.35500000001</v>
      </c>
      <c r="F57" s="523">
        <f t="shared" si="14"/>
        <v>255033.57324685386</v>
      </c>
      <c r="G57" s="524">
        <f t="shared" si="18"/>
        <v>177466.2692817412</v>
      </c>
      <c r="H57" s="491">
        <f t="shared" si="19"/>
        <v>177466.2692817412</v>
      </c>
      <c r="I57" s="511">
        <f t="shared" si="3"/>
        <v>0</v>
      </c>
      <c r="J57" s="511"/>
      <c r="K57" s="525"/>
      <c r="L57" s="514">
        <f t="shared" si="1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255033.57324685386</v>
      </c>
      <c r="E58" s="522">
        <f t="shared" si="13"/>
        <v>136619.35500000001</v>
      </c>
      <c r="F58" s="523">
        <f t="shared" si="14"/>
        <v>118414.21824685385</v>
      </c>
      <c r="G58" s="524">
        <f t="shared" si="18"/>
        <v>160207.5849887428</v>
      </c>
      <c r="H58" s="491">
        <f t="shared" si="19"/>
        <v>160207.5849887428</v>
      </c>
      <c r="I58" s="511">
        <f t="shared" si="3"/>
        <v>0</v>
      </c>
      <c r="J58" s="511"/>
      <c r="K58" s="525"/>
      <c r="L58" s="514">
        <f t="shared" si="1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118414.21824685385</v>
      </c>
      <c r="E59" s="522">
        <f t="shared" si="13"/>
        <v>118414.21824685385</v>
      </c>
      <c r="F59" s="523">
        <f t="shared" si="14"/>
        <v>0</v>
      </c>
      <c r="G59" s="524">
        <f t="shared" si="18"/>
        <v>125893.66216797565</v>
      </c>
      <c r="H59" s="491">
        <f t="shared" si="19"/>
        <v>125893.66216797565</v>
      </c>
      <c r="I59" s="511">
        <f t="shared" si="3"/>
        <v>0</v>
      </c>
      <c r="J59" s="511"/>
      <c r="K59" s="525"/>
      <c r="L59" s="514">
        <f t="shared" si="1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3"/>
        <v>0</v>
      </c>
      <c r="F60" s="523">
        <f t="shared" si="14"/>
        <v>0</v>
      </c>
      <c r="G60" s="524">
        <f t="shared" si="18"/>
        <v>0</v>
      </c>
      <c r="H60" s="491">
        <f t="shared" si="19"/>
        <v>0</v>
      </c>
      <c r="I60" s="511">
        <f t="shared" si="3"/>
        <v>0</v>
      </c>
      <c r="J60" s="511"/>
      <c r="K60" s="525"/>
      <c r="L60" s="514">
        <f t="shared" si="1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3"/>
        <v>0</v>
      </c>
      <c r="F61" s="523">
        <f t="shared" si="14"/>
        <v>0</v>
      </c>
      <c r="G61" s="524">
        <f t="shared" si="18"/>
        <v>0</v>
      </c>
      <c r="H61" s="491">
        <f t="shared" si="19"/>
        <v>0</v>
      </c>
      <c r="I61" s="511">
        <f t="shared" si="3"/>
        <v>0</v>
      </c>
      <c r="J61" s="511"/>
      <c r="K61" s="525"/>
      <c r="L61" s="514">
        <f t="shared" si="1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3"/>
        <v>0</v>
      </c>
      <c r="F62" s="523">
        <f t="shared" si="14"/>
        <v>0</v>
      </c>
      <c r="G62" s="524">
        <f t="shared" si="18"/>
        <v>0</v>
      </c>
      <c r="H62" s="491">
        <f t="shared" si="19"/>
        <v>0</v>
      </c>
      <c r="I62" s="511">
        <f t="shared" si="3"/>
        <v>0</v>
      </c>
      <c r="J62" s="511"/>
      <c r="K62" s="525"/>
      <c r="L62" s="514">
        <f t="shared" si="1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3"/>
        <v>0</v>
      </c>
      <c r="F63" s="523">
        <f t="shared" si="14"/>
        <v>0</v>
      </c>
      <c r="G63" s="524">
        <f t="shared" si="18"/>
        <v>0</v>
      </c>
      <c r="H63" s="491">
        <f t="shared" si="19"/>
        <v>0</v>
      </c>
      <c r="I63" s="511">
        <f t="shared" si="3"/>
        <v>0</v>
      </c>
      <c r="J63" s="511"/>
      <c r="K63" s="525"/>
      <c r="L63" s="514">
        <f t="shared" si="1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3"/>
        <v>0</v>
      </c>
      <c r="F64" s="523">
        <f t="shared" si="14"/>
        <v>0</v>
      </c>
      <c r="G64" s="524">
        <f t="shared" si="18"/>
        <v>0</v>
      </c>
      <c r="H64" s="491">
        <f t="shared" si="19"/>
        <v>0</v>
      </c>
      <c r="I64" s="511">
        <f t="shared" si="3"/>
        <v>0</v>
      </c>
      <c r="J64" s="511"/>
      <c r="K64" s="525"/>
      <c r="L64" s="514">
        <f t="shared" si="1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3"/>
        <v>0</v>
      </c>
      <c r="F65" s="523">
        <f t="shared" si="14"/>
        <v>0</v>
      </c>
      <c r="G65" s="524">
        <f t="shared" si="18"/>
        <v>0</v>
      </c>
      <c r="H65" s="491">
        <f t="shared" si="19"/>
        <v>0</v>
      </c>
      <c r="I65" s="511">
        <f t="shared" si="3"/>
        <v>0</v>
      </c>
      <c r="J65" s="511"/>
      <c r="K65" s="525"/>
      <c r="L65" s="514">
        <f t="shared" si="1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3"/>
        <v>0</v>
      </c>
      <c r="F66" s="523">
        <f t="shared" si="14"/>
        <v>0</v>
      </c>
      <c r="G66" s="524">
        <f t="shared" si="18"/>
        <v>0</v>
      </c>
      <c r="H66" s="491">
        <f t="shared" si="19"/>
        <v>0</v>
      </c>
      <c r="I66" s="511">
        <f t="shared" si="3"/>
        <v>0</v>
      </c>
      <c r="J66" s="511"/>
      <c r="K66" s="525"/>
      <c r="L66" s="514">
        <f t="shared" si="1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3"/>
        <v>0</v>
      </c>
      <c r="F67" s="523">
        <f t="shared" si="14"/>
        <v>0</v>
      </c>
      <c r="G67" s="524">
        <f t="shared" si="18"/>
        <v>0</v>
      </c>
      <c r="H67" s="491">
        <f t="shared" si="19"/>
        <v>0</v>
      </c>
      <c r="I67" s="511">
        <f t="shared" si="3"/>
        <v>0</v>
      </c>
      <c r="J67" s="511"/>
      <c r="K67" s="525"/>
      <c r="L67" s="514">
        <f t="shared" si="1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3"/>
        <v>0</v>
      </c>
      <c r="F68" s="523">
        <f t="shared" si="14"/>
        <v>0</v>
      </c>
      <c r="G68" s="524">
        <f t="shared" si="18"/>
        <v>0</v>
      </c>
      <c r="H68" s="491">
        <f t="shared" si="19"/>
        <v>0</v>
      </c>
      <c r="I68" s="511">
        <f t="shared" si="3"/>
        <v>0</v>
      </c>
      <c r="J68" s="511"/>
      <c r="K68" s="525"/>
      <c r="L68" s="514">
        <f t="shared" si="1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3"/>
        <v>0</v>
      </c>
      <c r="F69" s="523">
        <f t="shared" si="14"/>
        <v>0</v>
      </c>
      <c r="G69" s="524">
        <f t="shared" si="18"/>
        <v>0</v>
      </c>
      <c r="H69" s="491">
        <f t="shared" si="19"/>
        <v>0</v>
      </c>
      <c r="I69" s="511">
        <f t="shared" si="3"/>
        <v>0</v>
      </c>
      <c r="J69" s="511"/>
      <c r="K69" s="525"/>
      <c r="L69" s="514">
        <f t="shared" si="1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3"/>
        <v>0</v>
      </c>
      <c r="F70" s="523">
        <f t="shared" si="14"/>
        <v>0</v>
      </c>
      <c r="G70" s="524">
        <f t="shared" si="18"/>
        <v>0</v>
      </c>
      <c r="H70" s="491">
        <f t="shared" si="19"/>
        <v>0</v>
      </c>
      <c r="I70" s="511">
        <f t="shared" si="3"/>
        <v>0</v>
      </c>
      <c r="J70" s="511"/>
      <c r="K70" s="525"/>
      <c r="L70" s="514">
        <f t="shared" si="1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3"/>
        <v>0</v>
      </c>
      <c r="F71" s="523">
        <f t="shared" si="14"/>
        <v>0</v>
      </c>
      <c r="G71" s="524">
        <f t="shared" si="18"/>
        <v>0</v>
      </c>
      <c r="H71" s="491">
        <f t="shared" si="19"/>
        <v>0</v>
      </c>
      <c r="I71" s="511">
        <f t="shared" si="3"/>
        <v>0</v>
      </c>
      <c r="J71" s="511"/>
      <c r="K71" s="525"/>
      <c r="L71" s="514">
        <f t="shared" si="1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3"/>
        <v>0</v>
      </c>
      <c r="F72" s="523">
        <f t="shared" si="14"/>
        <v>0</v>
      </c>
      <c r="G72" s="524">
        <f t="shared" si="18"/>
        <v>0</v>
      </c>
      <c r="H72" s="491">
        <f t="shared" si="19"/>
        <v>0</v>
      </c>
      <c r="I72" s="511">
        <f t="shared" si="3"/>
        <v>0</v>
      </c>
      <c r="J72" s="511"/>
      <c r="K72" s="532"/>
      <c r="L72" s="533">
        <f t="shared" si="1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5738012.9100000029</v>
      </c>
      <c r="F73" s="375"/>
      <c r="G73" s="375">
        <f>SUM(G17:G72)</f>
        <v>21359505.508240044</v>
      </c>
      <c r="H73" s="375">
        <f>SUM(H17:H72)</f>
        <v>21359505.508240044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53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663982.51182654442</v>
      </c>
      <c r="N87" s="546">
        <f>IF(J92&lt;D11,0,VLOOKUP(J92,C17:O72,11))</f>
        <v>663982.51182654442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705245.18740494445</v>
      </c>
      <c r="N88" s="550">
        <f>IF(J92&lt;D11,0,VLOOKUP(J92,C99:P154,7))</f>
        <v>705245.18740494445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Mt. Pleasant - West Mt. Pleasant 69 kV Ckt 1)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41262.675578400027</v>
      </c>
      <c r="N89" s="555">
        <f>+N88-N87</f>
        <v>41262.675578400027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TP2013081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5738013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139951.53658536586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11358.232142857143</v>
      </c>
      <c r="F99" s="631">
        <v>5713190.7678571427</v>
      </c>
      <c r="G99" s="632">
        <v>2856595.3839285714</v>
      </c>
      <c r="H99" s="633">
        <v>387768.60042600508</v>
      </c>
      <c r="I99" s="634">
        <v>387768.60042600508</v>
      </c>
      <c r="J99" s="514">
        <f>+I99-H99</f>
        <v>0</v>
      </c>
      <c r="K99" s="514"/>
      <c r="L99" s="512">
        <f t="shared" ref="L99:L104" si="20">+H99</f>
        <v>387768.60042600508</v>
      </c>
      <c r="M99" s="513">
        <f t="shared" ref="M99:M130" si="21">IF(L99&lt;&gt;0,+H99-L99,0)</f>
        <v>0</v>
      </c>
      <c r="N99" s="512">
        <f t="shared" ref="N99:N104" si="22">+I99</f>
        <v>387768.60042600508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5726654.7678571427</v>
      </c>
      <c r="E100" s="630">
        <v>133442.16279069768</v>
      </c>
      <c r="F100" s="631">
        <v>5593212.6050664447</v>
      </c>
      <c r="G100" s="631">
        <v>5659933.6864617933</v>
      </c>
      <c r="H100" s="633">
        <v>851970.67799992743</v>
      </c>
      <c r="I100" s="634">
        <v>851970.67799992743</v>
      </c>
      <c r="J100" s="514">
        <f>+I100-H100</f>
        <v>0</v>
      </c>
      <c r="K100" s="514"/>
      <c r="L100" s="518">
        <f t="shared" si="20"/>
        <v>851970.67799992743</v>
      </c>
      <c r="M100" s="514">
        <f>IF(L100&lt;&gt;0,+H100-L100,0)</f>
        <v>0</v>
      </c>
      <c r="N100" s="518">
        <f t="shared" si="22"/>
        <v>851970.67799992743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5">IF(D101=F100,"","IU")</f>
        <v/>
      </c>
      <c r="C101" s="507">
        <f>IF(D93="","-",+C100+1)</f>
        <v>2017</v>
      </c>
      <c r="D101" s="629">
        <v>5593212.6050664447</v>
      </c>
      <c r="E101" s="630">
        <v>136619.35714285713</v>
      </c>
      <c r="F101" s="631">
        <v>5456593.2479235874</v>
      </c>
      <c r="G101" s="631">
        <v>5524902.9264950156</v>
      </c>
      <c r="H101" s="633">
        <v>807737.36918670509</v>
      </c>
      <c r="I101" s="634">
        <v>807737.36918670509</v>
      </c>
      <c r="J101" s="514">
        <f t="shared" ref="J101:J154" si="26">+I101-H101</f>
        <v>0</v>
      </c>
      <c r="K101" s="514"/>
      <c r="L101" s="518">
        <f t="shared" si="20"/>
        <v>807737.36918670509</v>
      </c>
      <c r="M101" s="514">
        <f>IF(L101&lt;&gt;0,+H101-L101,0)</f>
        <v>0</v>
      </c>
      <c r="N101" s="518">
        <f t="shared" si="22"/>
        <v>807737.36918670509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5"/>
        <v/>
      </c>
      <c r="C102" s="507">
        <f>IF(D93="","-",+C101+1)</f>
        <v>2018</v>
      </c>
      <c r="D102" s="629">
        <v>5456593.2479235874</v>
      </c>
      <c r="E102" s="630">
        <v>136619.35714285713</v>
      </c>
      <c r="F102" s="631">
        <v>5319973.8907807302</v>
      </c>
      <c r="G102" s="631">
        <v>5388283.5693521593</v>
      </c>
      <c r="H102" s="633">
        <v>705646.81176386797</v>
      </c>
      <c r="I102" s="634">
        <v>705646.81176386797</v>
      </c>
      <c r="J102" s="514">
        <f t="shared" si="26"/>
        <v>0</v>
      </c>
      <c r="K102" s="514"/>
      <c r="L102" s="518">
        <f t="shared" si="20"/>
        <v>705646.81176386797</v>
      </c>
      <c r="M102" s="514">
        <f>IF(L102&lt;&gt;0,+H102-L102,0)</f>
        <v>0</v>
      </c>
      <c r="N102" s="518">
        <f t="shared" si="22"/>
        <v>705646.81176386797</v>
      </c>
      <c r="O102" s="514">
        <f>IF(N102&lt;&gt;0,+I102-N102,0)</f>
        <v>0</v>
      </c>
      <c r="P102" s="514">
        <f t="shared" si="24"/>
        <v>0</v>
      </c>
    </row>
    <row r="103" spans="1:16" ht="12.5">
      <c r="B103" s="195" t="str">
        <f t="shared" si="25"/>
        <v/>
      </c>
      <c r="C103" s="507">
        <f>IF(D93="","-",+C102+1)</f>
        <v>2019</v>
      </c>
      <c r="D103" s="629">
        <v>5319973.8907807302</v>
      </c>
      <c r="E103" s="630">
        <v>133442.16279069768</v>
      </c>
      <c r="F103" s="631">
        <v>5186531.7279900322</v>
      </c>
      <c r="G103" s="631">
        <v>5253252.8093853816</v>
      </c>
      <c r="H103" s="633">
        <v>695753.21463092987</v>
      </c>
      <c r="I103" s="634">
        <v>695753.21463092987</v>
      </c>
      <c r="J103" s="514">
        <f t="shared" si="26"/>
        <v>0</v>
      </c>
      <c r="K103" s="514"/>
      <c r="L103" s="518">
        <f t="shared" si="20"/>
        <v>695753.21463092987</v>
      </c>
      <c r="M103" s="514">
        <f>IF(L103&lt;&gt;0,+H103-L103,0)</f>
        <v>0</v>
      </c>
      <c r="N103" s="518">
        <f t="shared" si="22"/>
        <v>695753.21463092987</v>
      </c>
      <c r="O103" s="514">
        <f t="shared" si="23"/>
        <v>0</v>
      </c>
      <c r="P103" s="514">
        <f t="shared" si="24"/>
        <v>0</v>
      </c>
    </row>
    <row r="104" spans="1:16" ht="12.5">
      <c r="B104" s="195" t="str">
        <f t="shared" si="25"/>
        <v/>
      </c>
      <c r="C104" s="507">
        <f>IF(D93="","-",+C103+1)</f>
        <v>2020</v>
      </c>
      <c r="D104" s="629">
        <v>5186531.7279900322</v>
      </c>
      <c r="E104" s="630">
        <v>136619.35714285713</v>
      </c>
      <c r="F104" s="631">
        <v>5049912.3708471749</v>
      </c>
      <c r="G104" s="631">
        <v>5118222.049418604</v>
      </c>
      <c r="H104" s="633">
        <v>687206.11858859565</v>
      </c>
      <c r="I104" s="634">
        <v>687206.11858859565</v>
      </c>
      <c r="J104" s="514">
        <f t="shared" si="26"/>
        <v>0</v>
      </c>
      <c r="K104" s="514"/>
      <c r="L104" s="518">
        <f t="shared" si="20"/>
        <v>687206.11858859565</v>
      </c>
      <c r="M104" s="514">
        <f>IF(L104&lt;&gt;0,+H104-L104,0)</f>
        <v>0</v>
      </c>
      <c r="N104" s="518">
        <f t="shared" si="22"/>
        <v>687206.11858859565</v>
      </c>
      <c r="O104" s="514">
        <f t="shared" si="23"/>
        <v>0</v>
      </c>
      <c r="P104" s="514">
        <f t="shared" si="24"/>
        <v>0</v>
      </c>
    </row>
    <row r="105" spans="1:16" ht="12.5">
      <c r="B105" s="195" t="str">
        <f t="shared" si="25"/>
        <v/>
      </c>
      <c r="C105" s="507">
        <f>IF(D93="","-",+C104+1)</f>
        <v>2021</v>
      </c>
      <c r="D105" s="374">
        <f>IF(F104+SUM(E$99:E104)=D$92,F104,D$92-SUM(E$99:E104))</f>
        <v>5049912.3708471749</v>
      </c>
      <c r="E105" s="522">
        <f t="shared" ref="E105:E154" si="27">IF(+$J$96&lt;F104,$J$96,D105)</f>
        <v>139951.53658536586</v>
      </c>
      <c r="F105" s="523">
        <f t="shared" ref="F105:F154" si="28">+D105-E105</f>
        <v>4909960.8342618095</v>
      </c>
      <c r="G105" s="523">
        <f t="shared" ref="G105:G154" si="29">+(F105+D105)/2</f>
        <v>4979936.6025544927</v>
      </c>
      <c r="H105" s="526">
        <f t="shared" ref="H105:H154" si="30">+J$94*G105+E105</f>
        <v>705245.18740494445</v>
      </c>
      <c r="I105" s="577">
        <f t="shared" ref="I105:I154" si="31">+J$95*G105+E105</f>
        <v>705245.18740494445</v>
      </c>
      <c r="J105" s="514">
        <f t="shared" si="26"/>
        <v>0</v>
      </c>
      <c r="K105" s="514"/>
      <c r="L105" s="525"/>
      <c r="M105" s="514">
        <f t="shared" si="21"/>
        <v>0</v>
      </c>
      <c r="N105" s="525"/>
      <c r="O105" s="514">
        <f t="shared" si="23"/>
        <v>0</v>
      </c>
      <c r="P105" s="514">
        <f t="shared" si="24"/>
        <v>0</v>
      </c>
    </row>
    <row r="106" spans="1:16" ht="12.5">
      <c r="B106" s="195" t="str">
        <f t="shared" si="25"/>
        <v/>
      </c>
      <c r="C106" s="507">
        <f>IF(D93="","-",+C105+1)</f>
        <v>2022</v>
      </c>
      <c r="D106" s="374">
        <f>IF(F105+SUM(E$99:E105)=D$92,F105,D$92-SUM(E$99:E105))</f>
        <v>4909960.8342618095</v>
      </c>
      <c r="E106" s="522">
        <f t="shared" si="27"/>
        <v>139951.53658536586</v>
      </c>
      <c r="F106" s="523">
        <f t="shared" si="28"/>
        <v>4770009.2976764441</v>
      </c>
      <c r="G106" s="523">
        <f t="shared" si="29"/>
        <v>4839985.0659691263</v>
      </c>
      <c r="H106" s="526">
        <f t="shared" si="30"/>
        <v>689358.69699991215</v>
      </c>
      <c r="I106" s="577">
        <f t="shared" si="31"/>
        <v>689358.69699991215</v>
      </c>
      <c r="J106" s="514">
        <f t="shared" si="26"/>
        <v>0</v>
      </c>
      <c r="K106" s="514"/>
      <c r="L106" s="525"/>
      <c r="M106" s="514">
        <f t="shared" si="21"/>
        <v>0</v>
      </c>
      <c r="N106" s="525"/>
      <c r="O106" s="514">
        <f t="shared" si="23"/>
        <v>0</v>
      </c>
      <c r="P106" s="514">
        <f t="shared" si="24"/>
        <v>0</v>
      </c>
    </row>
    <row r="107" spans="1:16" ht="12.5">
      <c r="B107" s="195" t="str">
        <f t="shared" si="25"/>
        <v/>
      </c>
      <c r="C107" s="507">
        <f>IF(D93="","-",+C106+1)</f>
        <v>2023</v>
      </c>
      <c r="D107" s="374">
        <f>IF(F106+SUM(E$99:E106)=D$92,F106,D$92-SUM(E$99:E106))</f>
        <v>4770009.2976764441</v>
      </c>
      <c r="E107" s="522">
        <f t="shared" si="27"/>
        <v>139951.53658536586</v>
      </c>
      <c r="F107" s="523">
        <f t="shared" si="28"/>
        <v>4630057.7610910786</v>
      </c>
      <c r="G107" s="523">
        <f t="shared" si="29"/>
        <v>4700033.5293837618</v>
      </c>
      <c r="H107" s="526">
        <f t="shared" si="30"/>
        <v>673472.20659487986</v>
      </c>
      <c r="I107" s="577">
        <f t="shared" si="31"/>
        <v>673472.20659487986</v>
      </c>
      <c r="J107" s="514">
        <f t="shared" si="26"/>
        <v>0</v>
      </c>
      <c r="K107" s="514"/>
      <c r="L107" s="525"/>
      <c r="M107" s="514">
        <f t="shared" si="21"/>
        <v>0</v>
      </c>
      <c r="N107" s="525"/>
      <c r="O107" s="514">
        <f t="shared" si="23"/>
        <v>0</v>
      </c>
      <c r="P107" s="514">
        <f t="shared" si="24"/>
        <v>0</v>
      </c>
    </row>
    <row r="108" spans="1:16" ht="12.5">
      <c r="B108" s="195" t="str">
        <f t="shared" si="25"/>
        <v/>
      </c>
      <c r="C108" s="507">
        <f>IF(D93="","-",+C107+1)</f>
        <v>2024</v>
      </c>
      <c r="D108" s="374">
        <f>IF(F107+SUM(E$99:E107)=D$92,F107,D$92-SUM(E$99:E107))</f>
        <v>4630057.7610910786</v>
      </c>
      <c r="E108" s="522">
        <f t="shared" si="27"/>
        <v>139951.53658536586</v>
      </c>
      <c r="F108" s="523">
        <f t="shared" si="28"/>
        <v>4490106.2245057132</v>
      </c>
      <c r="G108" s="523">
        <f t="shared" si="29"/>
        <v>4560081.9927983955</v>
      </c>
      <c r="H108" s="526">
        <f t="shared" si="30"/>
        <v>657585.71618984744</v>
      </c>
      <c r="I108" s="577">
        <f t="shared" si="31"/>
        <v>657585.71618984744</v>
      </c>
      <c r="J108" s="514">
        <f t="shared" si="26"/>
        <v>0</v>
      </c>
      <c r="K108" s="514"/>
      <c r="L108" s="525"/>
      <c r="M108" s="514">
        <f t="shared" si="21"/>
        <v>0</v>
      </c>
      <c r="N108" s="525"/>
      <c r="O108" s="514">
        <f t="shared" si="23"/>
        <v>0</v>
      </c>
      <c r="P108" s="514">
        <f t="shared" si="24"/>
        <v>0</v>
      </c>
    </row>
    <row r="109" spans="1:16" ht="12.5">
      <c r="B109" s="195" t="str">
        <f t="shared" si="25"/>
        <v/>
      </c>
      <c r="C109" s="507">
        <f>IF(D93="","-",+C108+1)</f>
        <v>2025</v>
      </c>
      <c r="D109" s="374">
        <f>IF(F108+SUM(E$99:E108)=D$92,F108,D$92-SUM(E$99:E108))</f>
        <v>4490106.2245057132</v>
      </c>
      <c r="E109" s="522">
        <f t="shared" si="27"/>
        <v>139951.53658536586</v>
      </c>
      <c r="F109" s="523">
        <f t="shared" si="28"/>
        <v>4350154.6879203478</v>
      </c>
      <c r="G109" s="523">
        <f t="shared" si="29"/>
        <v>4420130.456213031</v>
      </c>
      <c r="H109" s="526">
        <f t="shared" si="30"/>
        <v>641699.22578481527</v>
      </c>
      <c r="I109" s="577">
        <f t="shared" si="31"/>
        <v>641699.22578481527</v>
      </c>
      <c r="J109" s="514">
        <f t="shared" si="26"/>
        <v>0</v>
      </c>
      <c r="K109" s="514"/>
      <c r="L109" s="525"/>
      <c r="M109" s="514">
        <f t="shared" si="21"/>
        <v>0</v>
      </c>
      <c r="N109" s="525"/>
      <c r="O109" s="514">
        <f t="shared" si="23"/>
        <v>0</v>
      </c>
      <c r="P109" s="514">
        <f t="shared" si="24"/>
        <v>0</v>
      </c>
    </row>
    <row r="110" spans="1:16" ht="12.5">
      <c r="B110" s="195" t="str">
        <f t="shared" si="25"/>
        <v/>
      </c>
      <c r="C110" s="507">
        <f>IF(D93="","-",+C109+1)</f>
        <v>2026</v>
      </c>
      <c r="D110" s="374">
        <f>IF(F109+SUM(E$99:E109)=D$92,F109,D$92-SUM(E$99:E109))</f>
        <v>4350154.6879203478</v>
      </c>
      <c r="E110" s="522">
        <f t="shared" si="27"/>
        <v>139951.53658536586</v>
      </c>
      <c r="F110" s="523">
        <f t="shared" si="28"/>
        <v>4210203.1513349824</v>
      </c>
      <c r="G110" s="523">
        <f t="shared" si="29"/>
        <v>4280178.9196276646</v>
      </c>
      <c r="H110" s="526">
        <f t="shared" si="30"/>
        <v>625812.73537978285</v>
      </c>
      <c r="I110" s="577">
        <f t="shared" si="31"/>
        <v>625812.73537978285</v>
      </c>
      <c r="J110" s="514">
        <f t="shared" si="26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</row>
    <row r="111" spans="1:16" ht="12.5">
      <c r="B111" s="195" t="str">
        <f t="shared" si="25"/>
        <v/>
      </c>
      <c r="C111" s="507">
        <f>IF(D93="","-",+C110+1)</f>
        <v>2027</v>
      </c>
      <c r="D111" s="374">
        <f>IF(F110+SUM(E$99:E110)=D$92,F110,D$92-SUM(E$99:E110))</f>
        <v>4210203.1513349824</v>
      </c>
      <c r="E111" s="522">
        <f t="shared" si="27"/>
        <v>139951.53658536586</v>
      </c>
      <c r="F111" s="523">
        <f t="shared" si="28"/>
        <v>4070251.6147496165</v>
      </c>
      <c r="G111" s="523">
        <f t="shared" si="29"/>
        <v>4140227.3830422992</v>
      </c>
      <c r="H111" s="526">
        <f t="shared" si="30"/>
        <v>609926.24497475068</v>
      </c>
      <c r="I111" s="577">
        <f t="shared" si="31"/>
        <v>609926.24497475068</v>
      </c>
      <c r="J111" s="514">
        <f t="shared" si="26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</row>
    <row r="112" spans="1:16" ht="12.5">
      <c r="B112" s="195" t="str">
        <f t="shared" si="25"/>
        <v/>
      </c>
      <c r="C112" s="507">
        <f>IF(D93="","-",+C111+1)</f>
        <v>2028</v>
      </c>
      <c r="D112" s="374">
        <f>IF(F111+SUM(E$99:E111)=D$92,F111,D$92-SUM(E$99:E111))</f>
        <v>4070251.6147496165</v>
      </c>
      <c r="E112" s="522">
        <f t="shared" si="27"/>
        <v>139951.53658536586</v>
      </c>
      <c r="F112" s="523">
        <f t="shared" si="28"/>
        <v>3930300.0781642506</v>
      </c>
      <c r="G112" s="523">
        <f t="shared" si="29"/>
        <v>4000275.8464569338</v>
      </c>
      <c r="H112" s="526">
        <f t="shared" si="30"/>
        <v>594039.75456971838</v>
      </c>
      <c r="I112" s="577">
        <f t="shared" si="31"/>
        <v>594039.75456971838</v>
      </c>
      <c r="J112" s="514">
        <f t="shared" si="26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</row>
    <row r="113" spans="2:16" ht="12.5">
      <c r="B113" s="195" t="str">
        <f t="shared" si="25"/>
        <v/>
      </c>
      <c r="C113" s="507">
        <f>IF(D93="","-",+C112+1)</f>
        <v>2029</v>
      </c>
      <c r="D113" s="374">
        <f>IF(F112+SUM(E$99:E112)=D$92,F112,D$92-SUM(E$99:E112))</f>
        <v>3930300.0781642506</v>
      </c>
      <c r="E113" s="522">
        <f t="shared" si="27"/>
        <v>139951.53658536586</v>
      </c>
      <c r="F113" s="523">
        <f t="shared" si="28"/>
        <v>3790348.5415788847</v>
      </c>
      <c r="G113" s="523">
        <f t="shared" si="29"/>
        <v>3860324.3098715674</v>
      </c>
      <c r="H113" s="526">
        <f t="shared" si="30"/>
        <v>578153.26416468597</v>
      </c>
      <c r="I113" s="577">
        <f t="shared" si="31"/>
        <v>578153.26416468597</v>
      </c>
      <c r="J113" s="514">
        <f t="shared" si="26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</row>
    <row r="114" spans="2:16" ht="12.5">
      <c r="B114" s="195" t="str">
        <f t="shared" si="25"/>
        <v/>
      </c>
      <c r="C114" s="507">
        <f>IF(D93="","-",+C113+1)</f>
        <v>2030</v>
      </c>
      <c r="D114" s="374">
        <f>IF(F113+SUM(E$99:E113)=D$92,F113,D$92-SUM(E$99:E113))</f>
        <v>3790348.5415788847</v>
      </c>
      <c r="E114" s="522">
        <f t="shared" si="27"/>
        <v>139951.53658536586</v>
      </c>
      <c r="F114" s="523">
        <f t="shared" si="28"/>
        <v>3650397.0049935188</v>
      </c>
      <c r="G114" s="523">
        <f t="shared" si="29"/>
        <v>3720372.773286202</v>
      </c>
      <c r="H114" s="526">
        <f t="shared" si="30"/>
        <v>562266.77375965368</v>
      </c>
      <c r="I114" s="577">
        <f t="shared" si="31"/>
        <v>562266.77375965368</v>
      </c>
      <c r="J114" s="514">
        <f t="shared" si="26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</row>
    <row r="115" spans="2:16" ht="12.5">
      <c r="B115" s="195" t="str">
        <f t="shared" si="25"/>
        <v/>
      </c>
      <c r="C115" s="507">
        <f>IF(D93="","-",+C114+1)</f>
        <v>2031</v>
      </c>
      <c r="D115" s="374">
        <f>IF(F114+SUM(E$99:E114)=D$92,F114,D$92-SUM(E$99:E114))</f>
        <v>3650397.0049935188</v>
      </c>
      <c r="E115" s="522">
        <f t="shared" si="27"/>
        <v>139951.53658536586</v>
      </c>
      <c r="F115" s="523">
        <f t="shared" si="28"/>
        <v>3510445.4684081529</v>
      </c>
      <c r="G115" s="523">
        <f t="shared" si="29"/>
        <v>3580421.2367008356</v>
      </c>
      <c r="H115" s="526">
        <f t="shared" si="30"/>
        <v>546380.28335462126</v>
      </c>
      <c r="I115" s="577">
        <f t="shared" si="31"/>
        <v>546380.28335462126</v>
      </c>
      <c r="J115" s="514">
        <f t="shared" si="26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</row>
    <row r="116" spans="2:16" ht="12.5">
      <c r="B116" s="195" t="str">
        <f t="shared" si="25"/>
        <v/>
      </c>
      <c r="C116" s="507">
        <f>IF(D93="","-",+C115+1)</f>
        <v>2032</v>
      </c>
      <c r="D116" s="374">
        <f>IF(F115+SUM(E$99:E115)=D$92,F115,D$92-SUM(E$99:E115))</f>
        <v>3510445.4684081529</v>
      </c>
      <c r="E116" s="522">
        <f t="shared" si="27"/>
        <v>139951.53658536586</v>
      </c>
      <c r="F116" s="523">
        <f t="shared" si="28"/>
        <v>3370493.931822787</v>
      </c>
      <c r="G116" s="523">
        <f t="shared" si="29"/>
        <v>3440469.7001154702</v>
      </c>
      <c r="H116" s="526">
        <f t="shared" si="30"/>
        <v>530493.79294958897</v>
      </c>
      <c r="I116" s="577">
        <f t="shared" si="31"/>
        <v>530493.79294958897</v>
      </c>
      <c r="J116" s="514">
        <f t="shared" si="26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</row>
    <row r="117" spans="2:16" ht="12.5">
      <c r="B117" s="195" t="str">
        <f t="shared" si="25"/>
        <v/>
      </c>
      <c r="C117" s="507">
        <f>IF(D93="","-",+C116+1)</f>
        <v>2033</v>
      </c>
      <c r="D117" s="374">
        <f>IF(F116+SUM(E$99:E116)=D$92,F116,D$92-SUM(E$99:E116))</f>
        <v>3370493.931822787</v>
      </c>
      <c r="E117" s="522">
        <f t="shared" si="27"/>
        <v>139951.53658536586</v>
      </c>
      <c r="F117" s="523">
        <f t="shared" si="28"/>
        <v>3230542.3952374212</v>
      </c>
      <c r="G117" s="523">
        <f t="shared" si="29"/>
        <v>3300518.1635301039</v>
      </c>
      <c r="H117" s="526">
        <f t="shared" si="30"/>
        <v>514607.30254455656</v>
      </c>
      <c r="I117" s="577">
        <f t="shared" si="31"/>
        <v>514607.30254455656</v>
      </c>
      <c r="J117" s="514">
        <f t="shared" si="26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</row>
    <row r="118" spans="2:16" ht="12.5">
      <c r="B118" s="195" t="str">
        <f t="shared" si="25"/>
        <v/>
      </c>
      <c r="C118" s="507">
        <f>IF(D93="","-",+C117+1)</f>
        <v>2034</v>
      </c>
      <c r="D118" s="374">
        <f>IF(F117+SUM(E$99:E117)=D$92,F117,D$92-SUM(E$99:E117))</f>
        <v>3230542.3952374212</v>
      </c>
      <c r="E118" s="522">
        <f t="shared" si="27"/>
        <v>139951.53658536586</v>
      </c>
      <c r="F118" s="523">
        <f t="shared" si="28"/>
        <v>3090590.8586520553</v>
      </c>
      <c r="G118" s="523">
        <f t="shared" si="29"/>
        <v>3160566.6269447384</v>
      </c>
      <c r="H118" s="526">
        <f t="shared" si="30"/>
        <v>498720.81213952426</v>
      </c>
      <c r="I118" s="577">
        <f t="shared" si="31"/>
        <v>498720.81213952426</v>
      </c>
      <c r="J118" s="514">
        <f t="shared" si="26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</row>
    <row r="119" spans="2:16" ht="12.5">
      <c r="B119" s="195" t="str">
        <f t="shared" si="25"/>
        <v/>
      </c>
      <c r="C119" s="507">
        <f>IF(D93="","-",+C118+1)</f>
        <v>2035</v>
      </c>
      <c r="D119" s="374">
        <f>IF(F118+SUM(E$99:E118)=D$92,F118,D$92-SUM(E$99:E118))</f>
        <v>3090590.8586520553</v>
      </c>
      <c r="E119" s="522">
        <f t="shared" si="27"/>
        <v>139951.53658536586</v>
      </c>
      <c r="F119" s="523">
        <f t="shared" si="28"/>
        <v>2950639.3220666894</v>
      </c>
      <c r="G119" s="523">
        <f t="shared" si="29"/>
        <v>3020615.0903593721</v>
      </c>
      <c r="H119" s="526">
        <f t="shared" si="30"/>
        <v>482834.32173449185</v>
      </c>
      <c r="I119" s="577">
        <f t="shared" si="31"/>
        <v>482834.32173449185</v>
      </c>
      <c r="J119" s="514">
        <f t="shared" si="26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</row>
    <row r="120" spans="2:16" ht="12.5">
      <c r="B120" s="195" t="str">
        <f t="shared" si="25"/>
        <v/>
      </c>
      <c r="C120" s="507">
        <f>IF(D93="","-",+C119+1)</f>
        <v>2036</v>
      </c>
      <c r="D120" s="374">
        <f>IF(F119+SUM(E$99:E119)=D$92,F119,D$92-SUM(E$99:E119))</f>
        <v>2950639.3220666894</v>
      </c>
      <c r="E120" s="522">
        <f t="shared" si="27"/>
        <v>139951.53658536586</v>
      </c>
      <c r="F120" s="523">
        <f t="shared" si="28"/>
        <v>2810687.7854813235</v>
      </c>
      <c r="G120" s="523">
        <f t="shared" si="29"/>
        <v>2880663.5537740067</v>
      </c>
      <c r="H120" s="526">
        <f t="shared" si="30"/>
        <v>466947.83132945956</v>
      </c>
      <c r="I120" s="577">
        <f t="shared" si="31"/>
        <v>466947.83132945956</v>
      </c>
      <c r="J120" s="514">
        <f t="shared" si="26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</row>
    <row r="121" spans="2:16" ht="12.5">
      <c r="B121" s="195" t="str">
        <f t="shared" si="25"/>
        <v/>
      </c>
      <c r="C121" s="507">
        <f>IF(D93="","-",+C120+1)</f>
        <v>2037</v>
      </c>
      <c r="D121" s="374">
        <f>IF(F120+SUM(E$99:E120)=D$92,F120,D$92-SUM(E$99:E120))</f>
        <v>2810687.7854813235</v>
      </c>
      <c r="E121" s="522">
        <f t="shared" si="27"/>
        <v>139951.53658536586</v>
      </c>
      <c r="F121" s="523">
        <f t="shared" si="28"/>
        <v>2670736.2488959576</v>
      </c>
      <c r="G121" s="523">
        <f t="shared" si="29"/>
        <v>2740712.0171886403</v>
      </c>
      <c r="H121" s="526">
        <f t="shared" si="30"/>
        <v>451061.34092442726</v>
      </c>
      <c r="I121" s="577">
        <f t="shared" si="31"/>
        <v>451061.34092442726</v>
      </c>
      <c r="J121" s="514">
        <f t="shared" si="26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</row>
    <row r="122" spans="2:16" ht="12.5">
      <c r="B122" s="195" t="str">
        <f t="shared" si="25"/>
        <v/>
      </c>
      <c r="C122" s="507">
        <f>IF(D93="","-",+C121+1)</f>
        <v>2038</v>
      </c>
      <c r="D122" s="374">
        <f>IF(F121+SUM(E$99:E121)=D$92,F121,D$92-SUM(E$99:E121))</f>
        <v>2670736.2488959576</v>
      </c>
      <c r="E122" s="522">
        <f t="shared" si="27"/>
        <v>139951.53658536586</v>
      </c>
      <c r="F122" s="523">
        <f t="shared" si="28"/>
        <v>2530784.7123105917</v>
      </c>
      <c r="G122" s="523">
        <f t="shared" si="29"/>
        <v>2600760.4806032749</v>
      </c>
      <c r="H122" s="526">
        <f t="shared" si="30"/>
        <v>435174.85051939497</v>
      </c>
      <c r="I122" s="577">
        <f t="shared" si="31"/>
        <v>435174.85051939497</v>
      </c>
      <c r="J122" s="514">
        <f t="shared" si="26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</row>
    <row r="123" spans="2:16" ht="12.5">
      <c r="B123" s="195" t="str">
        <f t="shared" si="25"/>
        <v/>
      </c>
      <c r="C123" s="507">
        <f>IF(D93="","-",+C122+1)</f>
        <v>2039</v>
      </c>
      <c r="D123" s="374">
        <f>IF(F122+SUM(E$99:E122)=D$92,F122,D$92-SUM(E$99:E122))</f>
        <v>2530784.7123105917</v>
      </c>
      <c r="E123" s="522">
        <f t="shared" si="27"/>
        <v>139951.53658536586</v>
      </c>
      <c r="F123" s="523">
        <f t="shared" si="28"/>
        <v>2390833.1757252258</v>
      </c>
      <c r="G123" s="523">
        <f t="shared" si="29"/>
        <v>2460808.9440179085</v>
      </c>
      <c r="H123" s="526">
        <f t="shared" si="30"/>
        <v>419288.36011436256</v>
      </c>
      <c r="I123" s="577">
        <f t="shared" si="31"/>
        <v>419288.36011436256</v>
      </c>
      <c r="J123" s="514">
        <f t="shared" si="26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</row>
    <row r="124" spans="2:16" ht="12.5">
      <c r="B124" s="195" t="str">
        <f t="shared" si="25"/>
        <v/>
      </c>
      <c r="C124" s="507">
        <f>IF(D93="","-",+C123+1)</f>
        <v>2040</v>
      </c>
      <c r="D124" s="374">
        <f>IF(F123+SUM(E$99:E123)=D$92,F123,D$92-SUM(E$99:E123))</f>
        <v>2390833.1757252258</v>
      </c>
      <c r="E124" s="522">
        <f t="shared" si="27"/>
        <v>139951.53658536586</v>
      </c>
      <c r="F124" s="523">
        <f t="shared" si="28"/>
        <v>2250881.6391398599</v>
      </c>
      <c r="G124" s="523">
        <f t="shared" si="29"/>
        <v>2320857.4074325431</v>
      </c>
      <c r="H124" s="526">
        <f t="shared" si="30"/>
        <v>403401.86970933026</v>
      </c>
      <c r="I124" s="577">
        <f t="shared" si="31"/>
        <v>403401.86970933026</v>
      </c>
      <c r="J124" s="514">
        <f t="shared" si="26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</row>
    <row r="125" spans="2:16" ht="12.5">
      <c r="B125" s="195" t="str">
        <f t="shared" si="25"/>
        <v/>
      </c>
      <c r="C125" s="507">
        <f>IF(D93="","-",+C124+1)</f>
        <v>2041</v>
      </c>
      <c r="D125" s="374">
        <f>IF(F124+SUM(E$99:E124)=D$92,F124,D$92-SUM(E$99:E124))</f>
        <v>2250881.6391398599</v>
      </c>
      <c r="E125" s="522">
        <f t="shared" si="27"/>
        <v>139951.53658536586</v>
      </c>
      <c r="F125" s="523">
        <f t="shared" si="28"/>
        <v>2110930.102554494</v>
      </c>
      <c r="G125" s="523">
        <f t="shared" si="29"/>
        <v>2180905.8708471768</v>
      </c>
      <c r="H125" s="526">
        <f t="shared" si="30"/>
        <v>387515.37930429785</v>
      </c>
      <c r="I125" s="577">
        <f t="shared" si="31"/>
        <v>387515.37930429785</v>
      </c>
      <c r="J125" s="514">
        <f t="shared" si="26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</row>
    <row r="126" spans="2:16" ht="12.5">
      <c r="B126" s="195" t="str">
        <f t="shared" si="25"/>
        <v/>
      </c>
      <c r="C126" s="507">
        <f>IF(D93="","-",+C125+1)</f>
        <v>2042</v>
      </c>
      <c r="D126" s="374">
        <f>IF(F125+SUM(E$99:E125)=D$92,F125,D$92-SUM(E$99:E125))</f>
        <v>2110930.102554494</v>
      </c>
      <c r="E126" s="522">
        <f t="shared" si="27"/>
        <v>139951.53658536586</v>
      </c>
      <c r="F126" s="523">
        <f t="shared" si="28"/>
        <v>1970978.5659691282</v>
      </c>
      <c r="G126" s="523">
        <f t="shared" si="29"/>
        <v>2040954.3342618111</v>
      </c>
      <c r="H126" s="526">
        <f t="shared" si="30"/>
        <v>371628.88889926556</v>
      </c>
      <c r="I126" s="577">
        <f t="shared" si="31"/>
        <v>371628.88889926556</v>
      </c>
      <c r="J126" s="514">
        <f t="shared" si="26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</row>
    <row r="127" spans="2:16" ht="12.5">
      <c r="B127" s="195" t="str">
        <f t="shared" si="25"/>
        <v/>
      </c>
      <c r="C127" s="507">
        <f>IF(D93="","-",+C126+1)</f>
        <v>2043</v>
      </c>
      <c r="D127" s="374">
        <f>IF(F126+SUM(E$99:E126)=D$92,F126,D$92-SUM(E$99:E126))</f>
        <v>1970978.5659691282</v>
      </c>
      <c r="E127" s="522">
        <f t="shared" si="27"/>
        <v>139951.53658536586</v>
      </c>
      <c r="F127" s="523">
        <f t="shared" si="28"/>
        <v>1831027.0293837623</v>
      </c>
      <c r="G127" s="523">
        <f t="shared" si="29"/>
        <v>1901002.7976764452</v>
      </c>
      <c r="H127" s="526">
        <f t="shared" si="30"/>
        <v>355742.3984942332</v>
      </c>
      <c r="I127" s="577">
        <f t="shared" si="31"/>
        <v>355742.3984942332</v>
      </c>
      <c r="J127" s="514">
        <f t="shared" si="26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</row>
    <row r="128" spans="2:16" ht="12.5">
      <c r="B128" s="195" t="str">
        <f t="shared" si="25"/>
        <v/>
      </c>
      <c r="C128" s="507">
        <f>IF(D93="","-",+C127+1)</f>
        <v>2044</v>
      </c>
      <c r="D128" s="374">
        <f>IF(F127+SUM(E$99:E127)=D$92,F127,D$92-SUM(E$99:E127))</f>
        <v>1831027.0293837623</v>
      </c>
      <c r="E128" s="522">
        <f t="shared" si="27"/>
        <v>139951.53658536586</v>
      </c>
      <c r="F128" s="523">
        <f t="shared" si="28"/>
        <v>1691075.4927983964</v>
      </c>
      <c r="G128" s="523">
        <f t="shared" si="29"/>
        <v>1761051.2610910793</v>
      </c>
      <c r="H128" s="526">
        <f t="shared" si="30"/>
        <v>339855.90808920085</v>
      </c>
      <c r="I128" s="577">
        <f t="shared" si="31"/>
        <v>339855.90808920085</v>
      </c>
      <c r="J128" s="514">
        <f t="shared" si="26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</row>
    <row r="129" spans="2:16" ht="12.5">
      <c r="B129" s="195" t="str">
        <f t="shared" si="25"/>
        <v/>
      </c>
      <c r="C129" s="507">
        <f>IF(D93="","-",+C128+1)</f>
        <v>2045</v>
      </c>
      <c r="D129" s="374">
        <f>IF(F128+SUM(E$99:E128)=D$92,F128,D$92-SUM(E$99:E128))</f>
        <v>1691075.4927983964</v>
      </c>
      <c r="E129" s="522">
        <f t="shared" si="27"/>
        <v>139951.53658536586</v>
      </c>
      <c r="F129" s="523">
        <f t="shared" si="28"/>
        <v>1551123.9562130305</v>
      </c>
      <c r="G129" s="523">
        <f t="shared" si="29"/>
        <v>1621099.7245057134</v>
      </c>
      <c r="H129" s="526">
        <f t="shared" si="30"/>
        <v>323969.4176841685</v>
      </c>
      <c r="I129" s="577">
        <f t="shared" si="31"/>
        <v>323969.4176841685</v>
      </c>
      <c r="J129" s="514">
        <f t="shared" si="26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</row>
    <row r="130" spans="2:16" ht="12.5">
      <c r="B130" s="195" t="str">
        <f t="shared" si="25"/>
        <v/>
      </c>
      <c r="C130" s="507">
        <f>IF(D93="","-",+C129+1)</f>
        <v>2046</v>
      </c>
      <c r="D130" s="374">
        <f>IF(F129+SUM(E$99:E129)=D$92,F129,D$92-SUM(E$99:E129))</f>
        <v>1551123.9562130305</v>
      </c>
      <c r="E130" s="522">
        <f t="shared" si="27"/>
        <v>139951.53658536586</v>
      </c>
      <c r="F130" s="523">
        <f t="shared" si="28"/>
        <v>1411172.4196276646</v>
      </c>
      <c r="G130" s="523">
        <f t="shared" si="29"/>
        <v>1481148.1879203476</v>
      </c>
      <c r="H130" s="526">
        <f t="shared" si="30"/>
        <v>308082.92727913614</v>
      </c>
      <c r="I130" s="577">
        <f t="shared" si="31"/>
        <v>308082.92727913614</v>
      </c>
      <c r="J130" s="514">
        <f t="shared" si="26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</row>
    <row r="131" spans="2:16" ht="12.5">
      <c r="B131" s="195" t="str">
        <f t="shared" si="25"/>
        <v/>
      </c>
      <c r="C131" s="507">
        <f>IF(D93="","-",+C130+1)</f>
        <v>2047</v>
      </c>
      <c r="D131" s="374">
        <f>IF(F130+SUM(E$99:E130)=D$92,F130,D$92-SUM(E$99:E130))</f>
        <v>1411172.4196276646</v>
      </c>
      <c r="E131" s="522">
        <f t="shared" si="27"/>
        <v>139951.53658536586</v>
      </c>
      <c r="F131" s="523">
        <f t="shared" si="28"/>
        <v>1271220.8830422987</v>
      </c>
      <c r="G131" s="523">
        <f t="shared" si="29"/>
        <v>1341196.6513349817</v>
      </c>
      <c r="H131" s="526">
        <f t="shared" si="30"/>
        <v>292196.43687410385</v>
      </c>
      <c r="I131" s="577">
        <f t="shared" si="31"/>
        <v>292196.43687410385</v>
      </c>
      <c r="J131" s="514">
        <f t="shared" si="26"/>
        <v>0</v>
      </c>
      <c r="K131" s="514"/>
      <c r="L131" s="525"/>
      <c r="M131" s="514">
        <f t="shared" ref="M131:M154" si="32">IF(L541&lt;&gt;0,+H541-L541,0)</f>
        <v>0</v>
      </c>
      <c r="N131" s="525"/>
      <c r="O131" s="514">
        <f t="shared" ref="O131:O154" si="33">IF(N541&lt;&gt;0,+I541-N541,0)</f>
        <v>0</v>
      </c>
      <c r="P131" s="514">
        <f t="shared" ref="P131:P154" si="34">+O541-M541</f>
        <v>0</v>
      </c>
    </row>
    <row r="132" spans="2:16" ht="12.5">
      <c r="B132" s="195" t="str">
        <f t="shared" si="25"/>
        <v/>
      </c>
      <c r="C132" s="507">
        <f>IF(D93="","-",+C131+1)</f>
        <v>2048</v>
      </c>
      <c r="D132" s="374">
        <f>IF(F131+SUM(E$99:E131)=D$92,F131,D$92-SUM(E$99:E131))</f>
        <v>1271220.8830422987</v>
      </c>
      <c r="E132" s="522">
        <f t="shared" si="27"/>
        <v>139951.53658536586</v>
      </c>
      <c r="F132" s="523">
        <f t="shared" si="28"/>
        <v>1131269.3464569328</v>
      </c>
      <c r="G132" s="523">
        <f t="shared" si="29"/>
        <v>1201245.1147496158</v>
      </c>
      <c r="H132" s="526">
        <f t="shared" si="30"/>
        <v>276309.9464690715</v>
      </c>
      <c r="I132" s="577">
        <f t="shared" si="31"/>
        <v>276309.9464690715</v>
      </c>
      <c r="J132" s="514">
        <f t="shared" si="26"/>
        <v>0</v>
      </c>
      <c r="K132" s="514"/>
      <c r="L132" s="525"/>
      <c r="M132" s="514">
        <f t="shared" si="32"/>
        <v>0</v>
      </c>
      <c r="N132" s="525"/>
      <c r="O132" s="514">
        <f t="shared" si="33"/>
        <v>0</v>
      </c>
      <c r="P132" s="514">
        <f t="shared" si="34"/>
        <v>0</v>
      </c>
    </row>
    <row r="133" spans="2:16" ht="12.5">
      <c r="B133" s="195" t="str">
        <f t="shared" si="25"/>
        <v/>
      </c>
      <c r="C133" s="507">
        <f>IF(D93="","-",+C132+1)</f>
        <v>2049</v>
      </c>
      <c r="D133" s="374">
        <f>IF(F132+SUM(E$99:E132)=D$92,F132,D$92-SUM(E$99:E132))</f>
        <v>1131269.3464569328</v>
      </c>
      <c r="E133" s="522">
        <f t="shared" si="27"/>
        <v>139951.53658536586</v>
      </c>
      <c r="F133" s="523">
        <f t="shared" si="28"/>
        <v>991317.80987156695</v>
      </c>
      <c r="G133" s="523">
        <f t="shared" si="29"/>
        <v>1061293.5781642499</v>
      </c>
      <c r="H133" s="526">
        <f t="shared" si="30"/>
        <v>260423.45606403914</v>
      </c>
      <c r="I133" s="577">
        <f t="shared" si="31"/>
        <v>260423.45606403914</v>
      </c>
      <c r="J133" s="514">
        <f t="shared" si="26"/>
        <v>0</v>
      </c>
      <c r="K133" s="514"/>
      <c r="L133" s="525"/>
      <c r="M133" s="514">
        <f t="shared" si="32"/>
        <v>0</v>
      </c>
      <c r="N133" s="525"/>
      <c r="O133" s="514">
        <f t="shared" si="33"/>
        <v>0</v>
      </c>
      <c r="P133" s="514">
        <f t="shared" si="34"/>
        <v>0</v>
      </c>
    </row>
    <row r="134" spans="2:16" ht="12.5">
      <c r="B134" s="195" t="str">
        <f t="shared" si="25"/>
        <v/>
      </c>
      <c r="C134" s="507">
        <f>IF(D93="","-",+C133+1)</f>
        <v>2050</v>
      </c>
      <c r="D134" s="374">
        <f>IF(F133+SUM(E$99:E133)=D$92,F133,D$92-SUM(E$99:E133))</f>
        <v>991317.80987156695</v>
      </c>
      <c r="E134" s="522">
        <f t="shared" si="27"/>
        <v>139951.53658536586</v>
      </c>
      <c r="F134" s="523">
        <f t="shared" si="28"/>
        <v>851366.27328620106</v>
      </c>
      <c r="G134" s="523">
        <f t="shared" si="29"/>
        <v>921342.041578884</v>
      </c>
      <c r="H134" s="526">
        <f t="shared" si="30"/>
        <v>244536.96565900679</v>
      </c>
      <c r="I134" s="577">
        <f t="shared" si="31"/>
        <v>244536.96565900679</v>
      </c>
      <c r="J134" s="514">
        <f t="shared" si="26"/>
        <v>0</v>
      </c>
      <c r="K134" s="514"/>
      <c r="L134" s="525"/>
      <c r="M134" s="514">
        <f t="shared" si="32"/>
        <v>0</v>
      </c>
      <c r="N134" s="525"/>
      <c r="O134" s="514">
        <f t="shared" si="33"/>
        <v>0</v>
      </c>
      <c r="P134" s="514">
        <f t="shared" si="34"/>
        <v>0</v>
      </c>
    </row>
    <row r="135" spans="2:16" ht="12.5">
      <c r="B135" s="195" t="str">
        <f t="shared" si="25"/>
        <v/>
      </c>
      <c r="C135" s="507">
        <f>IF(D93="","-",+C134+1)</f>
        <v>2051</v>
      </c>
      <c r="D135" s="374">
        <f>IF(F134+SUM(E$99:E134)=D$92,F134,D$92-SUM(E$99:E134))</f>
        <v>851366.27328620106</v>
      </c>
      <c r="E135" s="522">
        <f t="shared" si="27"/>
        <v>139951.53658536586</v>
      </c>
      <c r="F135" s="523">
        <f t="shared" si="28"/>
        <v>711414.73670083517</v>
      </c>
      <c r="G135" s="523">
        <f t="shared" si="29"/>
        <v>781390.50499351812</v>
      </c>
      <c r="H135" s="526">
        <f t="shared" si="30"/>
        <v>228650.47525397444</v>
      </c>
      <c r="I135" s="577">
        <f t="shared" si="31"/>
        <v>228650.47525397444</v>
      </c>
      <c r="J135" s="514">
        <f t="shared" si="26"/>
        <v>0</v>
      </c>
      <c r="K135" s="514"/>
      <c r="L135" s="525"/>
      <c r="M135" s="514">
        <f t="shared" si="32"/>
        <v>0</v>
      </c>
      <c r="N135" s="525"/>
      <c r="O135" s="514">
        <f t="shared" si="33"/>
        <v>0</v>
      </c>
      <c r="P135" s="514">
        <f t="shared" si="34"/>
        <v>0</v>
      </c>
    </row>
    <row r="136" spans="2:16" ht="12.5">
      <c r="B136" s="195" t="str">
        <f t="shared" si="25"/>
        <v/>
      </c>
      <c r="C136" s="507">
        <f>IF(D93="","-",+C135+1)</f>
        <v>2052</v>
      </c>
      <c r="D136" s="374">
        <f>IF(F135+SUM(E$99:E135)=D$92,F135,D$92-SUM(E$99:E135))</f>
        <v>711414.73670083517</v>
      </c>
      <c r="E136" s="522">
        <f t="shared" si="27"/>
        <v>139951.53658536586</v>
      </c>
      <c r="F136" s="523">
        <f t="shared" si="28"/>
        <v>571463.20011546928</v>
      </c>
      <c r="G136" s="523">
        <f t="shared" si="29"/>
        <v>641438.96840815223</v>
      </c>
      <c r="H136" s="526">
        <f t="shared" si="30"/>
        <v>212763.98484894211</v>
      </c>
      <c r="I136" s="577">
        <f t="shared" si="31"/>
        <v>212763.98484894211</v>
      </c>
      <c r="J136" s="514">
        <f t="shared" si="26"/>
        <v>0</v>
      </c>
      <c r="K136" s="514"/>
      <c r="L136" s="525"/>
      <c r="M136" s="514">
        <f t="shared" si="32"/>
        <v>0</v>
      </c>
      <c r="N136" s="525"/>
      <c r="O136" s="514">
        <f t="shared" si="33"/>
        <v>0</v>
      </c>
      <c r="P136" s="514">
        <f t="shared" si="34"/>
        <v>0</v>
      </c>
    </row>
    <row r="137" spans="2:16" ht="12.5">
      <c r="B137" s="195" t="str">
        <f t="shared" si="25"/>
        <v/>
      </c>
      <c r="C137" s="507">
        <f>IF(D93="","-",+C136+1)</f>
        <v>2053</v>
      </c>
      <c r="D137" s="374">
        <f>IF(F136+SUM(E$99:E136)=D$92,F136,D$92-SUM(E$99:E136))</f>
        <v>571463.20011546928</v>
      </c>
      <c r="E137" s="522">
        <f t="shared" si="27"/>
        <v>139951.53658536586</v>
      </c>
      <c r="F137" s="523">
        <f t="shared" si="28"/>
        <v>431511.6635301034</v>
      </c>
      <c r="G137" s="523">
        <f t="shared" si="29"/>
        <v>501487.43182278634</v>
      </c>
      <c r="H137" s="526">
        <f t="shared" si="30"/>
        <v>196877.49444390979</v>
      </c>
      <c r="I137" s="577">
        <f t="shared" si="31"/>
        <v>196877.49444390979</v>
      </c>
      <c r="J137" s="514">
        <f t="shared" si="26"/>
        <v>0</v>
      </c>
      <c r="K137" s="514"/>
      <c r="L137" s="525"/>
      <c r="M137" s="514">
        <f t="shared" si="32"/>
        <v>0</v>
      </c>
      <c r="N137" s="525"/>
      <c r="O137" s="514">
        <f t="shared" si="33"/>
        <v>0</v>
      </c>
      <c r="P137" s="514">
        <f t="shared" si="34"/>
        <v>0</v>
      </c>
    </row>
    <row r="138" spans="2:16" ht="12.5">
      <c r="B138" s="195" t="str">
        <f t="shared" si="25"/>
        <v/>
      </c>
      <c r="C138" s="507">
        <f>IF(D93="","-",+C137+1)</f>
        <v>2054</v>
      </c>
      <c r="D138" s="374">
        <f>IF(F137+SUM(E$99:E137)=D$92,F137,D$92-SUM(E$99:E137))</f>
        <v>431511.6635301034</v>
      </c>
      <c r="E138" s="522">
        <f t="shared" si="27"/>
        <v>139951.53658536586</v>
      </c>
      <c r="F138" s="523">
        <f t="shared" si="28"/>
        <v>291560.12694473751</v>
      </c>
      <c r="G138" s="523">
        <f t="shared" si="29"/>
        <v>361535.89523742045</v>
      </c>
      <c r="H138" s="526">
        <f t="shared" si="30"/>
        <v>180991.00403887744</v>
      </c>
      <c r="I138" s="577">
        <f t="shared" si="31"/>
        <v>180991.00403887744</v>
      </c>
      <c r="J138" s="514">
        <f t="shared" si="26"/>
        <v>0</v>
      </c>
      <c r="K138" s="514"/>
      <c r="L138" s="525"/>
      <c r="M138" s="514">
        <f t="shared" si="32"/>
        <v>0</v>
      </c>
      <c r="N138" s="525"/>
      <c r="O138" s="514">
        <f t="shared" si="33"/>
        <v>0</v>
      </c>
      <c r="P138" s="514">
        <f t="shared" si="34"/>
        <v>0</v>
      </c>
    </row>
    <row r="139" spans="2:16" ht="12.5">
      <c r="B139" s="195" t="str">
        <f t="shared" si="25"/>
        <v/>
      </c>
      <c r="C139" s="507">
        <f>IF(D93="","-",+C138+1)</f>
        <v>2055</v>
      </c>
      <c r="D139" s="374">
        <f>IF(F138+SUM(E$99:E138)=D$92,F138,D$92-SUM(E$99:E138))</f>
        <v>291560.12694473751</v>
      </c>
      <c r="E139" s="522">
        <f t="shared" si="27"/>
        <v>139951.53658536586</v>
      </c>
      <c r="F139" s="523">
        <f t="shared" si="28"/>
        <v>151608.59035937165</v>
      </c>
      <c r="G139" s="523">
        <f t="shared" si="29"/>
        <v>221584.35865205457</v>
      </c>
      <c r="H139" s="526">
        <f t="shared" si="30"/>
        <v>165104.51363384508</v>
      </c>
      <c r="I139" s="577">
        <f t="shared" si="31"/>
        <v>165104.51363384508</v>
      </c>
      <c r="J139" s="514">
        <f t="shared" si="26"/>
        <v>0</v>
      </c>
      <c r="K139" s="514"/>
      <c r="L139" s="525"/>
      <c r="M139" s="514">
        <f t="shared" si="32"/>
        <v>0</v>
      </c>
      <c r="N139" s="525"/>
      <c r="O139" s="514">
        <f t="shared" si="33"/>
        <v>0</v>
      </c>
      <c r="P139" s="514">
        <f t="shared" si="34"/>
        <v>0</v>
      </c>
    </row>
    <row r="140" spans="2:16" ht="12.5">
      <c r="B140" s="195" t="str">
        <f t="shared" si="25"/>
        <v/>
      </c>
      <c r="C140" s="507">
        <f>IF(D93="","-",+C139+1)</f>
        <v>2056</v>
      </c>
      <c r="D140" s="374">
        <f>IF(F139+SUM(E$99:E139)=D$92,F139,D$92-SUM(E$99:E139))</f>
        <v>151608.59035937165</v>
      </c>
      <c r="E140" s="522">
        <f t="shared" si="27"/>
        <v>139951.53658536586</v>
      </c>
      <c r="F140" s="523">
        <f t="shared" si="28"/>
        <v>11657.053774005792</v>
      </c>
      <c r="G140" s="523">
        <f t="shared" si="29"/>
        <v>81632.822066688721</v>
      </c>
      <c r="H140" s="526">
        <f t="shared" si="30"/>
        <v>149218.02322881276</v>
      </c>
      <c r="I140" s="577">
        <f t="shared" si="31"/>
        <v>149218.02322881276</v>
      </c>
      <c r="J140" s="514">
        <f t="shared" si="26"/>
        <v>0</v>
      </c>
      <c r="K140" s="514"/>
      <c r="L140" s="525"/>
      <c r="M140" s="514">
        <f t="shared" si="32"/>
        <v>0</v>
      </c>
      <c r="N140" s="525"/>
      <c r="O140" s="514">
        <f t="shared" si="33"/>
        <v>0</v>
      </c>
      <c r="P140" s="514">
        <f t="shared" si="34"/>
        <v>0</v>
      </c>
    </row>
    <row r="141" spans="2:16" ht="12.5">
      <c r="B141" s="195" t="str">
        <f t="shared" si="25"/>
        <v/>
      </c>
      <c r="C141" s="507">
        <f>IF(D93="","-",+C140+1)</f>
        <v>2057</v>
      </c>
      <c r="D141" s="374">
        <f>IF(F140+SUM(E$99:E140)=D$92,F140,D$92-SUM(E$99:E140))</f>
        <v>11657.053774005792</v>
      </c>
      <c r="E141" s="522">
        <f t="shared" si="27"/>
        <v>11657.053774005792</v>
      </c>
      <c r="F141" s="523">
        <f t="shared" si="28"/>
        <v>0</v>
      </c>
      <c r="G141" s="523">
        <f t="shared" si="29"/>
        <v>5828.5268870028958</v>
      </c>
      <c r="H141" s="526">
        <f t="shared" si="30"/>
        <v>12318.674494471155</v>
      </c>
      <c r="I141" s="577">
        <f t="shared" si="31"/>
        <v>12318.674494471155</v>
      </c>
      <c r="J141" s="514">
        <f t="shared" si="26"/>
        <v>0</v>
      </c>
      <c r="K141" s="514"/>
      <c r="L141" s="525"/>
      <c r="M141" s="514">
        <f t="shared" si="32"/>
        <v>0</v>
      </c>
      <c r="N141" s="525"/>
      <c r="O141" s="514">
        <f t="shared" si="33"/>
        <v>0</v>
      </c>
      <c r="P141" s="514">
        <f t="shared" si="34"/>
        <v>0</v>
      </c>
    </row>
    <row r="142" spans="2:16" ht="12.5">
      <c r="B142" s="195" t="str">
        <f t="shared" si="25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27"/>
        <v>0</v>
      </c>
      <c r="F142" s="523">
        <f t="shared" si="28"/>
        <v>0</v>
      </c>
      <c r="G142" s="523">
        <f t="shared" si="29"/>
        <v>0</v>
      </c>
      <c r="H142" s="526">
        <f t="shared" si="30"/>
        <v>0</v>
      </c>
      <c r="I142" s="577">
        <f t="shared" si="31"/>
        <v>0</v>
      </c>
      <c r="J142" s="514">
        <f t="shared" si="26"/>
        <v>0</v>
      </c>
      <c r="K142" s="514"/>
      <c r="L142" s="525"/>
      <c r="M142" s="514">
        <f t="shared" si="32"/>
        <v>0</v>
      </c>
      <c r="N142" s="525"/>
      <c r="O142" s="514">
        <f t="shared" si="33"/>
        <v>0</v>
      </c>
      <c r="P142" s="514">
        <f t="shared" si="34"/>
        <v>0</v>
      </c>
    </row>
    <row r="143" spans="2:16" ht="12.5">
      <c r="B143" s="195" t="str">
        <f t="shared" si="25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27"/>
        <v>0</v>
      </c>
      <c r="F143" s="523">
        <f t="shared" si="28"/>
        <v>0</v>
      </c>
      <c r="G143" s="523">
        <f t="shared" si="29"/>
        <v>0</v>
      </c>
      <c r="H143" s="526">
        <f t="shared" si="30"/>
        <v>0</v>
      </c>
      <c r="I143" s="577">
        <f t="shared" si="31"/>
        <v>0</v>
      </c>
      <c r="J143" s="514">
        <f t="shared" si="26"/>
        <v>0</v>
      </c>
      <c r="K143" s="514"/>
      <c r="L143" s="525"/>
      <c r="M143" s="514">
        <f t="shared" si="32"/>
        <v>0</v>
      </c>
      <c r="N143" s="525"/>
      <c r="O143" s="514">
        <f t="shared" si="33"/>
        <v>0</v>
      </c>
      <c r="P143" s="514">
        <f t="shared" si="34"/>
        <v>0</v>
      </c>
    </row>
    <row r="144" spans="2:16" ht="12.5">
      <c r="B144" s="195" t="str">
        <f t="shared" si="25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27"/>
        <v>0</v>
      </c>
      <c r="F144" s="523">
        <f t="shared" si="28"/>
        <v>0</v>
      </c>
      <c r="G144" s="523">
        <f t="shared" si="29"/>
        <v>0</v>
      </c>
      <c r="H144" s="526">
        <f t="shared" si="30"/>
        <v>0</v>
      </c>
      <c r="I144" s="577">
        <f t="shared" si="31"/>
        <v>0</v>
      </c>
      <c r="J144" s="514">
        <f t="shared" si="26"/>
        <v>0</v>
      </c>
      <c r="K144" s="514"/>
      <c r="L144" s="525"/>
      <c r="M144" s="514">
        <f t="shared" si="32"/>
        <v>0</v>
      </c>
      <c r="N144" s="525"/>
      <c r="O144" s="514">
        <f t="shared" si="33"/>
        <v>0</v>
      </c>
      <c r="P144" s="514">
        <f t="shared" si="34"/>
        <v>0</v>
      </c>
    </row>
    <row r="145" spans="2:16" ht="12.5">
      <c r="B145" s="195" t="str">
        <f t="shared" si="25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27"/>
        <v>0</v>
      </c>
      <c r="F145" s="523">
        <f t="shared" si="28"/>
        <v>0</v>
      </c>
      <c r="G145" s="523">
        <f t="shared" si="29"/>
        <v>0</v>
      </c>
      <c r="H145" s="526">
        <f t="shared" si="30"/>
        <v>0</v>
      </c>
      <c r="I145" s="577">
        <f t="shared" si="31"/>
        <v>0</v>
      </c>
      <c r="J145" s="514">
        <f t="shared" si="26"/>
        <v>0</v>
      </c>
      <c r="K145" s="514"/>
      <c r="L145" s="525"/>
      <c r="M145" s="514">
        <f t="shared" si="32"/>
        <v>0</v>
      </c>
      <c r="N145" s="525"/>
      <c r="O145" s="514">
        <f t="shared" si="33"/>
        <v>0</v>
      </c>
      <c r="P145" s="514">
        <f t="shared" si="34"/>
        <v>0</v>
      </c>
    </row>
    <row r="146" spans="2:16" ht="12.5">
      <c r="B146" s="195" t="str">
        <f t="shared" si="25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27"/>
        <v>0</v>
      </c>
      <c r="F146" s="523">
        <f t="shared" si="28"/>
        <v>0</v>
      </c>
      <c r="G146" s="523">
        <f t="shared" si="29"/>
        <v>0</v>
      </c>
      <c r="H146" s="526">
        <f t="shared" si="30"/>
        <v>0</v>
      </c>
      <c r="I146" s="577">
        <f t="shared" si="31"/>
        <v>0</v>
      </c>
      <c r="J146" s="514">
        <f t="shared" si="26"/>
        <v>0</v>
      </c>
      <c r="K146" s="514"/>
      <c r="L146" s="525"/>
      <c r="M146" s="514">
        <f t="shared" si="32"/>
        <v>0</v>
      </c>
      <c r="N146" s="525"/>
      <c r="O146" s="514">
        <f t="shared" si="33"/>
        <v>0</v>
      </c>
      <c r="P146" s="514">
        <f t="shared" si="34"/>
        <v>0</v>
      </c>
    </row>
    <row r="147" spans="2:16" ht="12.5">
      <c r="B147" s="195" t="str">
        <f t="shared" si="25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27"/>
        <v>0</v>
      </c>
      <c r="F147" s="523">
        <f t="shared" si="28"/>
        <v>0</v>
      </c>
      <c r="G147" s="523">
        <f t="shared" si="29"/>
        <v>0</v>
      </c>
      <c r="H147" s="526">
        <f t="shared" si="30"/>
        <v>0</v>
      </c>
      <c r="I147" s="577">
        <f t="shared" si="31"/>
        <v>0</v>
      </c>
      <c r="J147" s="514">
        <f t="shared" si="26"/>
        <v>0</v>
      </c>
      <c r="K147" s="514"/>
      <c r="L147" s="525"/>
      <c r="M147" s="514">
        <f t="shared" si="32"/>
        <v>0</v>
      </c>
      <c r="N147" s="525"/>
      <c r="O147" s="514">
        <f t="shared" si="33"/>
        <v>0</v>
      </c>
      <c r="P147" s="514">
        <f t="shared" si="34"/>
        <v>0</v>
      </c>
    </row>
    <row r="148" spans="2:16" ht="12.5">
      <c r="B148" s="195" t="str">
        <f t="shared" si="25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27"/>
        <v>0</v>
      </c>
      <c r="F148" s="523">
        <f t="shared" si="28"/>
        <v>0</v>
      </c>
      <c r="G148" s="523">
        <f t="shared" si="29"/>
        <v>0</v>
      </c>
      <c r="H148" s="526">
        <f t="shared" si="30"/>
        <v>0</v>
      </c>
      <c r="I148" s="577">
        <f t="shared" si="31"/>
        <v>0</v>
      </c>
      <c r="J148" s="514">
        <f t="shared" si="26"/>
        <v>0</v>
      </c>
      <c r="K148" s="514"/>
      <c r="L148" s="525"/>
      <c r="M148" s="514">
        <f t="shared" si="32"/>
        <v>0</v>
      </c>
      <c r="N148" s="525"/>
      <c r="O148" s="514">
        <f t="shared" si="33"/>
        <v>0</v>
      </c>
      <c r="P148" s="514">
        <f t="shared" si="34"/>
        <v>0</v>
      </c>
    </row>
    <row r="149" spans="2:16" ht="12.5">
      <c r="B149" s="195" t="str">
        <f t="shared" si="25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27"/>
        <v>0</v>
      </c>
      <c r="F149" s="523">
        <f t="shared" si="28"/>
        <v>0</v>
      </c>
      <c r="G149" s="523">
        <f t="shared" si="29"/>
        <v>0</v>
      </c>
      <c r="H149" s="526">
        <f t="shared" si="30"/>
        <v>0</v>
      </c>
      <c r="I149" s="577">
        <f t="shared" si="31"/>
        <v>0</v>
      </c>
      <c r="J149" s="514">
        <f t="shared" si="26"/>
        <v>0</v>
      </c>
      <c r="K149" s="514"/>
      <c r="L149" s="525"/>
      <c r="M149" s="514">
        <f t="shared" si="32"/>
        <v>0</v>
      </c>
      <c r="N149" s="525"/>
      <c r="O149" s="514">
        <f t="shared" si="33"/>
        <v>0</v>
      </c>
      <c r="P149" s="514">
        <f t="shared" si="34"/>
        <v>0</v>
      </c>
    </row>
    <row r="150" spans="2:16" ht="12.5">
      <c r="B150" s="195" t="str">
        <f t="shared" si="25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27"/>
        <v>0</v>
      </c>
      <c r="F150" s="523">
        <f t="shared" si="28"/>
        <v>0</v>
      </c>
      <c r="G150" s="523">
        <f t="shared" si="29"/>
        <v>0</v>
      </c>
      <c r="H150" s="526">
        <f t="shared" si="30"/>
        <v>0</v>
      </c>
      <c r="I150" s="577">
        <f t="shared" si="31"/>
        <v>0</v>
      </c>
      <c r="J150" s="514">
        <f t="shared" si="26"/>
        <v>0</v>
      </c>
      <c r="K150" s="514"/>
      <c r="L150" s="525"/>
      <c r="M150" s="514">
        <f t="shared" si="32"/>
        <v>0</v>
      </c>
      <c r="N150" s="525"/>
      <c r="O150" s="514">
        <f t="shared" si="33"/>
        <v>0</v>
      </c>
      <c r="P150" s="514">
        <f t="shared" si="34"/>
        <v>0</v>
      </c>
    </row>
    <row r="151" spans="2:16" ht="12.5">
      <c r="B151" s="195" t="str">
        <f t="shared" si="25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27"/>
        <v>0</v>
      </c>
      <c r="F151" s="523">
        <f t="shared" si="28"/>
        <v>0</v>
      </c>
      <c r="G151" s="523">
        <f t="shared" si="29"/>
        <v>0</v>
      </c>
      <c r="H151" s="526">
        <f t="shared" si="30"/>
        <v>0</v>
      </c>
      <c r="I151" s="577">
        <f t="shared" si="31"/>
        <v>0</v>
      </c>
      <c r="J151" s="514">
        <f t="shared" si="26"/>
        <v>0</v>
      </c>
      <c r="K151" s="514"/>
      <c r="L151" s="525"/>
      <c r="M151" s="514">
        <f t="shared" si="32"/>
        <v>0</v>
      </c>
      <c r="N151" s="525"/>
      <c r="O151" s="514">
        <f t="shared" si="33"/>
        <v>0</v>
      </c>
      <c r="P151" s="514">
        <f t="shared" si="34"/>
        <v>0</v>
      </c>
    </row>
    <row r="152" spans="2:16" ht="12.5">
      <c r="B152" s="195" t="str">
        <f t="shared" si="25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27"/>
        <v>0</v>
      </c>
      <c r="F152" s="523">
        <f t="shared" si="28"/>
        <v>0</v>
      </c>
      <c r="G152" s="523">
        <f t="shared" si="29"/>
        <v>0</v>
      </c>
      <c r="H152" s="526">
        <f t="shared" si="30"/>
        <v>0</v>
      </c>
      <c r="I152" s="577">
        <f t="shared" si="31"/>
        <v>0</v>
      </c>
      <c r="J152" s="514">
        <f t="shared" si="26"/>
        <v>0</v>
      </c>
      <c r="K152" s="514"/>
      <c r="L152" s="525"/>
      <c r="M152" s="514">
        <f t="shared" si="32"/>
        <v>0</v>
      </c>
      <c r="N152" s="525"/>
      <c r="O152" s="514">
        <f t="shared" si="33"/>
        <v>0</v>
      </c>
      <c r="P152" s="514">
        <f t="shared" si="34"/>
        <v>0</v>
      </c>
    </row>
    <row r="153" spans="2:16" ht="12.5">
      <c r="B153" s="195" t="str">
        <f t="shared" si="25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27"/>
        <v>0</v>
      </c>
      <c r="F153" s="523">
        <f t="shared" si="28"/>
        <v>0</v>
      </c>
      <c r="G153" s="523">
        <f t="shared" si="29"/>
        <v>0</v>
      </c>
      <c r="H153" s="526">
        <f t="shared" si="30"/>
        <v>0</v>
      </c>
      <c r="I153" s="577">
        <f t="shared" si="31"/>
        <v>0</v>
      </c>
      <c r="J153" s="514">
        <f t="shared" si="26"/>
        <v>0</v>
      </c>
      <c r="K153" s="514"/>
      <c r="L153" s="525"/>
      <c r="M153" s="514">
        <f t="shared" si="32"/>
        <v>0</v>
      </c>
      <c r="N153" s="525"/>
      <c r="O153" s="514">
        <f t="shared" si="33"/>
        <v>0</v>
      </c>
      <c r="P153" s="514">
        <f t="shared" si="34"/>
        <v>0</v>
      </c>
    </row>
    <row r="154" spans="2:16" ht="13" thickBot="1">
      <c r="B154" s="195" t="str">
        <f t="shared" si="25"/>
        <v/>
      </c>
      <c r="C154" s="527">
        <f>IF(D93="","-",+C153+1)</f>
        <v>2070</v>
      </c>
      <c r="D154" s="374">
        <f>IF(F153+SUM(E$99:E153)=D$92,F153,D$92-SUM(E$99:E153))</f>
        <v>0</v>
      </c>
      <c r="E154" s="522">
        <f t="shared" si="27"/>
        <v>0</v>
      </c>
      <c r="F154" s="523">
        <f t="shared" si="28"/>
        <v>0</v>
      </c>
      <c r="G154" s="523">
        <f t="shared" si="29"/>
        <v>0</v>
      </c>
      <c r="H154" s="526">
        <f t="shared" si="30"/>
        <v>0</v>
      </c>
      <c r="I154" s="577">
        <f t="shared" si="31"/>
        <v>0</v>
      </c>
      <c r="J154" s="514">
        <f t="shared" si="26"/>
        <v>0</v>
      </c>
      <c r="K154" s="514"/>
      <c r="L154" s="532"/>
      <c r="M154" s="533">
        <f t="shared" si="32"/>
        <v>0</v>
      </c>
      <c r="N154" s="532"/>
      <c r="O154" s="533">
        <f t="shared" si="33"/>
        <v>0</v>
      </c>
      <c r="P154" s="533">
        <f t="shared" si="34"/>
        <v>0</v>
      </c>
    </row>
    <row r="155" spans="2:16" ht="12.5">
      <c r="C155" s="374" t="s">
        <v>78</v>
      </c>
      <c r="D155" s="375"/>
      <c r="E155" s="375">
        <f>SUM(E99:E154)</f>
        <v>5738012.9999999963</v>
      </c>
      <c r="F155" s="375"/>
      <c r="G155" s="375"/>
      <c r="H155" s="375">
        <f>SUM(H99:H154)</f>
        <v>19528739.258498129</v>
      </c>
      <c r="I155" s="375">
        <f>SUM(I99:I154)</f>
        <v>19528739.258498129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4" priority="1" stopIfTrue="1" operator="equal">
      <formula>$I$10</formula>
    </cfRule>
  </conditionalFormatting>
  <conditionalFormatting sqref="C99:C154">
    <cfRule type="cellIs" dxfId="53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03"/>
  <dimension ref="A1:P162"/>
  <sheetViews>
    <sheetView view="pageBreakPreview" zoomScale="82" zoomScaleNormal="100" zoomScaleSheetLayoutView="82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54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1761571.6221046289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1761571.6221046289</v>
      </c>
      <c r="O6" s="269"/>
      <c r="P6" s="269"/>
    </row>
    <row r="7" spans="1:16" ht="13.5" thickBot="1">
      <c r="C7" s="467" t="s">
        <v>48</v>
      </c>
      <c r="D7" s="624" t="s">
        <v>342</v>
      </c>
      <c r="E7" s="587"/>
      <c r="F7" s="587"/>
      <c r="G7" s="587"/>
      <c r="H7" s="59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469</v>
      </c>
      <c r="E9" s="637" t="s">
        <v>400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13851900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2015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329807.14285714284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2015</v>
      </c>
      <c r="D17" s="629">
        <v>13860000</v>
      </c>
      <c r="E17" s="638">
        <v>27500</v>
      </c>
      <c r="F17" s="629">
        <v>13832500</v>
      </c>
      <c r="G17" s="638">
        <v>1849306.6594882272</v>
      </c>
      <c r="H17" s="639">
        <v>1849306.6594882272</v>
      </c>
      <c r="I17" s="511">
        <v>0</v>
      </c>
      <c r="J17" s="511"/>
      <c r="K17" s="518">
        <f t="shared" ref="K17:K22" si="0">G17</f>
        <v>1849306.6594882272</v>
      </c>
      <c r="L17" s="519">
        <f t="shared" ref="L17:L22" si="1">IF(K17&lt;&gt;0,+G17-K17,0)</f>
        <v>0</v>
      </c>
      <c r="M17" s="518">
        <f t="shared" ref="M17:M22" si="2">H17</f>
        <v>1849306.6594882272</v>
      </c>
      <c r="N17" s="514">
        <f>IF(M17&lt;&gt;0,+H17-M17,0)</f>
        <v>0</v>
      </c>
      <c r="O17" s="514">
        <f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2016</v>
      </c>
      <c r="D18" s="631">
        <v>13848292</v>
      </c>
      <c r="E18" s="630">
        <v>330376</v>
      </c>
      <c r="F18" s="631">
        <v>13517916</v>
      </c>
      <c r="G18" s="630">
        <v>2088786.1755878374</v>
      </c>
      <c r="H18" s="639">
        <v>2088786.1755878374</v>
      </c>
      <c r="I18" s="511">
        <f>H18-G18</f>
        <v>0</v>
      </c>
      <c r="J18" s="511"/>
      <c r="K18" s="518">
        <f t="shared" si="0"/>
        <v>2088786.1755878374</v>
      </c>
      <c r="L18" s="519">
        <f t="shared" si="1"/>
        <v>0</v>
      </c>
      <c r="M18" s="518">
        <f t="shared" si="2"/>
        <v>2088786.1755878374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2017</v>
      </c>
      <c r="D19" s="631">
        <v>13494024</v>
      </c>
      <c r="E19" s="630">
        <v>322137.20930232556</v>
      </c>
      <c r="F19" s="631">
        <v>13171886.790697675</v>
      </c>
      <c r="G19" s="630">
        <v>1973990.8338267417</v>
      </c>
      <c r="H19" s="639">
        <v>1973990.8338267417</v>
      </c>
      <c r="I19" s="511">
        <f t="shared" ref="I19:I72" si="3">H19-G19</f>
        <v>0</v>
      </c>
      <c r="J19" s="511"/>
      <c r="K19" s="518">
        <f t="shared" si="0"/>
        <v>1973990.8338267417</v>
      </c>
      <c r="L19" s="519">
        <f t="shared" si="1"/>
        <v>0</v>
      </c>
      <c r="M19" s="518">
        <f t="shared" si="2"/>
        <v>1973990.8338267417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4">IF(D20=F19,"","IU")</f>
        <v/>
      </c>
      <c r="C20" s="507">
        <f>IF(D11="","-",+C19+1)</f>
        <v>2018</v>
      </c>
      <c r="D20" s="631">
        <v>13171886.790697675</v>
      </c>
      <c r="E20" s="630">
        <v>337851.21951219509</v>
      </c>
      <c r="F20" s="631">
        <v>12834035.571185481</v>
      </c>
      <c r="G20" s="630">
        <v>1990450.8542031003</v>
      </c>
      <c r="H20" s="639">
        <v>1990450.8542031003</v>
      </c>
      <c r="I20" s="511">
        <f t="shared" si="3"/>
        <v>0</v>
      </c>
      <c r="J20" s="511"/>
      <c r="K20" s="518">
        <f t="shared" si="0"/>
        <v>1990450.8542031003</v>
      </c>
      <c r="L20" s="519">
        <f t="shared" si="1"/>
        <v>0</v>
      </c>
      <c r="M20" s="518">
        <f t="shared" si="2"/>
        <v>1990450.8542031003</v>
      </c>
      <c r="N20" s="514">
        <f>IF(M20&lt;&gt;0,+H20-M20,0)</f>
        <v>0</v>
      </c>
      <c r="O20" s="514">
        <f>+N20-L20</f>
        <v>0</v>
      </c>
      <c r="P20" s="272"/>
    </row>
    <row r="21" spans="2:16" ht="12.5">
      <c r="B21" s="195" t="str">
        <f t="shared" si="4"/>
        <v/>
      </c>
      <c r="C21" s="507">
        <f>IF(D11="","-",+C20+1)</f>
        <v>2019</v>
      </c>
      <c r="D21" s="631">
        <v>12834035.571185481</v>
      </c>
      <c r="E21" s="630">
        <v>337851.21951219509</v>
      </c>
      <c r="F21" s="631">
        <v>12496184.351673286</v>
      </c>
      <c r="G21" s="630">
        <v>1947511.9578873843</v>
      </c>
      <c r="H21" s="639">
        <v>1947511.9578873843</v>
      </c>
      <c r="I21" s="511">
        <f t="shared" si="3"/>
        <v>0</v>
      </c>
      <c r="J21" s="511"/>
      <c r="K21" s="518">
        <f t="shared" si="0"/>
        <v>1947511.9578873843</v>
      </c>
      <c r="L21" s="519">
        <f t="shared" si="1"/>
        <v>0</v>
      </c>
      <c r="M21" s="518">
        <f t="shared" si="2"/>
        <v>1947511.9578873843</v>
      </c>
      <c r="N21" s="514">
        <f t="shared" ref="N21:N72" si="5">IF(M21&lt;&gt;0,+H21-M21,0)</f>
        <v>0</v>
      </c>
      <c r="O21" s="514">
        <f t="shared" ref="O21:O72" si="6">+N21-L21</f>
        <v>0</v>
      </c>
      <c r="P21" s="272"/>
    </row>
    <row r="22" spans="2:16" ht="12.5">
      <c r="B22" s="195" t="str">
        <f t="shared" si="4"/>
        <v/>
      </c>
      <c r="C22" s="507">
        <f>IF(D11="","-",+C21+1)</f>
        <v>2020</v>
      </c>
      <c r="D22" s="631">
        <v>12496184.351673286</v>
      </c>
      <c r="E22" s="630">
        <v>337851.21951219509</v>
      </c>
      <c r="F22" s="631">
        <v>12158333.132161092</v>
      </c>
      <c r="G22" s="630">
        <v>1599366.8553044961</v>
      </c>
      <c r="H22" s="639">
        <v>1599366.8553044961</v>
      </c>
      <c r="I22" s="511">
        <f t="shared" si="3"/>
        <v>0</v>
      </c>
      <c r="J22" s="511"/>
      <c r="K22" s="518">
        <f t="shared" si="0"/>
        <v>1599366.8553044961</v>
      </c>
      <c r="L22" s="519">
        <f t="shared" si="1"/>
        <v>0</v>
      </c>
      <c r="M22" s="518">
        <f t="shared" si="2"/>
        <v>1599366.8553044961</v>
      </c>
      <c r="N22" s="514">
        <f t="shared" si="5"/>
        <v>0</v>
      </c>
      <c r="O22" s="514">
        <f t="shared" si="6"/>
        <v>0</v>
      </c>
      <c r="P22" s="272"/>
    </row>
    <row r="23" spans="2:16" ht="12.5">
      <c r="B23" s="195" t="str">
        <f t="shared" si="4"/>
        <v>IU</v>
      </c>
      <c r="C23" s="507">
        <f>IF(D11="","-",+C22+1)</f>
        <v>2021</v>
      </c>
      <c r="D23" s="631">
        <v>12174047.142370958</v>
      </c>
      <c r="E23" s="630">
        <v>329807.14285714284</v>
      </c>
      <c r="F23" s="631">
        <v>11844239.999513814</v>
      </c>
      <c r="G23" s="630">
        <v>1602830.9434464206</v>
      </c>
      <c r="H23" s="639">
        <v>1602830.9434464206</v>
      </c>
      <c r="I23" s="511">
        <f t="shared" si="3"/>
        <v>0</v>
      </c>
      <c r="J23" s="511"/>
      <c r="K23" s="518">
        <f t="shared" ref="K23" si="7">G23</f>
        <v>1602830.9434464206</v>
      </c>
      <c r="L23" s="519">
        <f t="shared" ref="L23" si="8">IF(K23&lt;&gt;0,+G23-K23,0)</f>
        <v>0</v>
      </c>
      <c r="M23" s="518">
        <f t="shared" ref="M23" si="9">H23</f>
        <v>1602830.9434464206</v>
      </c>
      <c r="N23" s="514">
        <f t="shared" si="5"/>
        <v>0</v>
      </c>
      <c r="O23" s="514">
        <f t="shared" si="6"/>
        <v>0</v>
      </c>
      <c r="P23" s="272"/>
    </row>
    <row r="24" spans="2:16" ht="12.5">
      <c r="B24" s="195" t="str">
        <f t="shared" si="4"/>
        <v>IU</v>
      </c>
      <c r="C24" s="507">
        <f>IF(D11="","-",+C23+1)</f>
        <v>2022</v>
      </c>
      <c r="D24" s="631">
        <v>11828525.989303946</v>
      </c>
      <c r="E24" s="630">
        <v>329807.14285714284</v>
      </c>
      <c r="F24" s="631">
        <v>11498718.846446803</v>
      </c>
      <c r="G24" s="630">
        <v>1641312.6320202737</v>
      </c>
      <c r="H24" s="639">
        <v>1641312.6320202737</v>
      </c>
      <c r="I24" s="511">
        <f t="shared" si="3"/>
        <v>0</v>
      </c>
      <c r="J24" s="511"/>
      <c r="K24" s="518">
        <f t="shared" ref="K24" si="10">G24</f>
        <v>1641312.6320202737</v>
      </c>
      <c r="L24" s="519">
        <f t="shared" ref="L24" si="11">IF(K24&lt;&gt;0,+G24-K24,0)</f>
        <v>0</v>
      </c>
      <c r="M24" s="518">
        <f t="shared" ref="M24" si="12">H24</f>
        <v>1641312.6320202737</v>
      </c>
      <c r="N24" s="514">
        <f t="shared" si="5"/>
        <v>0</v>
      </c>
      <c r="O24" s="514">
        <f t="shared" si="6"/>
        <v>0</v>
      </c>
      <c r="P24" s="272"/>
    </row>
    <row r="25" spans="2:16" ht="12.5">
      <c r="B25" s="195" t="str">
        <f t="shared" si="4"/>
        <v/>
      </c>
      <c r="C25" s="507">
        <f>IF(D11="","-",+C24+1)</f>
        <v>2023</v>
      </c>
      <c r="D25" s="523">
        <f>IF(F24+SUM(E$17:E24)=D$10,F24,D$10-SUM(E$17:E24))</f>
        <v>11498718.846446803</v>
      </c>
      <c r="E25" s="522">
        <f t="shared" ref="E25:E72" si="13">IF(+$I$14&lt;F24,$I$14,D25)</f>
        <v>329807.14285714284</v>
      </c>
      <c r="F25" s="523">
        <f t="shared" ref="F25:F72" si="14">+D25-E25</f>
        <v>11168911.703589659</v>
      </c>
      <c r="G25" s="524">
        <f t="shared" ref="G25:G50" si="15">+I$12*((D25+F25)/2)+E25</f>
        <v>1761571.6221046289</v>
      </c>
      <c r="H25" s="491">
        <f t="shared" ref="H25:H50" si="16">+I$13*((D25+F25)/2)+E25</f>
        <v>1761571.6221046289</v>
      </c>
      <c r="I25" s="511">
        <f t="shared" si="3"/>
        <v>0</v>
      </c>
      <c r="J25" s="511"/>
      <c r="K25" s="525"/>
      <c r="L25" s="514">
        <f t="shared" ref="L25:L72" si="17">IF(K25&lt;&gt;0,+G25-K25,0)</f>
        <v>0</v>
      </c>
      <c r="M25" s="525"/>
      <c r="N25" s="514">
        <f t="shared" si="5"/>
        <v>0</v>
      </c>
      <c r="O25" s="514">
        <f t="shared" si="6"/>
        <v>0</v>
      </c>
      <c r="P25" s="272"/>
    </row>
    <row r="26" spans="2:16" ht="12.5">
      <c r="B26" s="195" t="str">
        <f t="shared" si="4"/>
        <v/>
      </c>
      <c r="C26" s="507">
        <f>IF(D11="","-",+C25+1)</f>
        <v>2024</v>
      </c>
      <c r="D26" s="523">
        <f>IF(F25+SUM(E$17:E25)=D$10,F25,D$10-SUM(E$17:E25))</f>
        <v>11168911.703589659</v>
      </c>
      <c r="E26" s="522">
        <f t="shared" si="13"/>
        <v>329807.14285714284</v>
      </c>
      <c r="F26" s="523">
        <f t="shared" si="14"/>
        <v>10839104.560732516</v>
      </c>
      <c r="G26" s="524">
        <f t="shared" si="15"/>
        <v>1719908.1450947481</v>
      </c>
      <c r="H26" s="491">
        <f t="shared" si="16"/>
        <v>1719908.1450947481</v>
      </c>
      <c r="I26" s="511">
        <f t="shared" si="3"/>
        <v>0</v>
      </c>
      <c r="J26" s="511"/>
      <c r="K26" s="525"/>
      <c r="L26" s="514">
        <f t="shared" si="17"/>
        <v>0</v>
      </c>
      <c r="M26" s="525"/>
      <c r="N26" s="514">
        <f t="shared" si="5"/>
        <v>0</v>
      </c>
      <c r="O26" s="514">
        <f t="shared" si="6"/>
        <v>0</v>
      </c>
      <c r="P26" s="272"/>
    </row>
    <row r="27" spans="2:16" ht="12.5">
      <c r="B27" s="195" t="str">
        <f t="shared" si="4"/>
        <v/>
      </c>
      <c r="C27" s="507">
        <f>IF(D11="","-",+C26+1)</f>
        <v>2025</v>
      </c>
      <c r="D27" s="523">
        <f>IF(F26+SUM(E$17:E26)=D$10,F26,D$10-SUM(E$17:E26))</f>
        <v>10839104.560732516</v>
      </c>
      <c r="E27" s="522">
        <f t="shared" si="13"/>
        <v>329807.14285714284</v>
      </c>
      <c r="F27" s="523">
        <f t="shared" si="14"/>
        <v>10509297.417875372</v>
      </c>
      <c r="G27" s="524">
        <f t="shared" si="15"/>
        <v>1678244.6680848668</v>
      </c>
      <c r="H27" s="491">
        <f t="shared" si="16"/>
        <v>1678244.6680848668</v>
      </c>
      <c r="I27" s="511">
        <f t="shared" si="3"/>
        <v>0</v>
      </c>
      <c r="J27" s="511"/>
      <c r="K27" s="525"/>
      <c r="L27" s="514">
        <f t="shared" si="17"/>
        <v>0</v>
      </c>
      <c r="M27" s="525"/>
      <c r="N27" s="514">
        <f t="shared" si="5"/>
        <v>0</v>
      </c>
      <c r="O27" s="514">
        <f t="shared" si="6"/>
        <v>0</v>
      </c>
      <c r="P27" s="272"/>
    </row>
    <row r="28" spans="2:16" ht="12.5">
      <c r="B28" s="195" t="str">
        <f t="shared" si="4"/>
        <v/>
      </c>
      <c r="C28" s="507">
        <f>IF(D11="","-",+C27+1)</f>
        <v>2026</v>
      </c>
      <c r="D28" s="523">
        <f>IF(F27+SUM(E$17:E27)=D$10,F27,D$10-SUM(E$17:E27))</f>
        <v>10509297.417875372</v>
      </c>
      <c r="E28" s="522">
        <f t="shared" si="13"/>
        <v>329807.14285714284</v>
      </c>
      <c r="F28" s="523">
        <f t="shared" si="14"/>
        <v>10179490.275018228</v>
      </c>
      <c r="G28" s="524">
        <f t="shared" si="15"/>
        <v>1636581.191074986</v>
      </c>
      <c r="H28" s="491">
        <f t="shared" si="16"/>
        <v>1636581.191074986</v>
      </c>
      <c r="I28" s="511">
        <f t="shared" si="3"/>
        <v>0</v>
      </c>
      <c r="J28" s="511"/>
      <c r="K28" s="525"/>
      <c r="L28" s="514">
        <f t="shared" si="17"/>
        <v>0</v>
      </c>
      <c r="M28" s="525"/>
      <c r="N28" s="514">
        <f t="shared" si="5"/>
        <v>0</v>
      </c>
      <c r="O28" s="514">
        <f t="shared" si="6"/>
        <v>0</v>
      </c>
      <c r="P28" s="272"/>
    </row>
    <row r="29" spans="2:16" ht="12.5">
      <c r="B29" s="195" t="str">
        <f t="shared" si="4"/>
        <v/>
      </c>
      <c r="C29" s="507">
        <f>IF(D11="","-",+C28+1)</f>
        <v>2027</v>
      </c>
      <c r="D29" s="523">
        <f>IF(F28+SUM(E$17:E28)=D$10,F28,D$10-SUM(E$17:E28))</f>
        <v>10179490.275018228</v>
      </c>
      <c r="E29" s="522">
        <f t="shared" si="13"/>
        <v>329807.14285714284</v>
      </c>
      <c r="F29" s="523">
        <f t="shared" si="14"/>
        <v>9849683.1321610846</v>
      </c>
      <c r="G29" s="524">
        <f t="shared" si="15"/>
        <v>1594917.7140651052</v>
      </c>
      <c r="H29" s="491">
        <f t="shared" si="16"/>
        <v>1594917.7140651052</v>
      </c>
      <c r="I29" s="511">
        <f t="shared" si="3"/>
        <v>0</v>
      </c>
      <c r="J29" s="511"/>
      <c r="K29" s="525"/>
      <c r="L29" s="514">
        <f t="shared" si="17"/>
        <v>0</v>
      </c>
      <c r="M29" s="525"/>
      <c r="N29" s="514">
        <f t="shared" si="5"/>
        <v>0</v>
      </c>
      <c r="O29" s="514">
        <f t="shared" si="6"/>
        <v>0</v>
      </c>
      <c r="P29" s="272"/>
    </row>
    <row r="30" spans="2:16" ht="12.5">
      <c r="B30" s="195" t="str">
        <f t="shared" si="4"/>
        <v/>
      </c>
      <c r="C30" s="507">
        <f>IF(D11="","-",+C29+1)</f>
        <v>2028</v>
      </c>
      <c r="D30" s="523">
        <f>IF(F29+SUM(E$17:E29)=D$10,F29,D$10-SUM(E$17:E29))</f>
        <v>9849683.1321610846</v>
      </c>
      <c r="E30" s="522">
        <f t="shared" si="13"/>
        <v>329807.14285714284</v>
      </c>
      <c r="F30" s="523">
        <f t="shared" si="14"/>
        <v>9519875.9893039409</v>
      </c>
      <c r="G30" s="524">
        <f t="shared" si="15"/>
        <v>1553254.2370552244</v>
      </c>
      <c r="H30" s="491">
        <f t="shared" si="16"/>
        <v>1553254.2370552244</v>
      </c>
      <c r="I30" s="511">
        <f t="shared" si="3"/>
        <v>0</v>
      </c>
      <c r="J30" s="511"/>
      <c r="K30" s="525"/>
      <c r="L30" s="514">
        <f t="shared" si="17"/>
        <v>0</v>
      </c>
      <c r="M30" s="525"/>
      <c r="N30" s="514">
        <f t="shared" si="5"/>
        <v>0</v>
      </c>
      <c r="O30" s="514">
        <f t="shared" si="6"/>
        <v>0</v>
      </c>
      <c r="P30" s="272"/>
    </row>
    <row r="31" spans="2:16" ht="12.5">
      <c r="B31" s="195" t="str">
        <f t="shared" si="4"/>
        <v/>
      </c>
      <c r="C31" s="507">
        <f>IF(D11="","-",+C30+1)</f>
        <v>2029</v>
      </c>
      <c r="D31" s="523">
        <f>IF(F30+SUM(E$17:E30)=D$10,F30,D$10-SUM(E$17:E30))</f>
        <v>9519875.9893039409</v>
      </c>
      <c r="E31" s="522">
        <f t="shared" si="13"/>
        <v>329807.14285714284</v>
      </c>
      <c r="F31" s="523">
        <f t="shared" si="14"/>
        <v>9190068.8464467973</v>
      </c>
      <c r="G31" s="524">
        <f t="shared" si="15"/>
        <v>1511590.7600453431</v>
      </c>
      <c r="H31" s="491">
        <f t="shared" si="16"/>
        <v>1511590.7600453431</v>
      </c>
      <c r="I31" s="511">
        <f t="shared" si="3"/>
        <v>0</v>
      </c>
      <c r="J31" s="511"/>
      <c r="K31" s="525"/>
      <c r="L31" s="514">
        <f t="shared" si="17"/>
        <v>0</v>
      </c>
      <c r="M31" s="525"/>
      <c r="N31" s="514">
        <f t="shared" si="5"/>
        <v>0</v>
      </c>
      <c r="O31" s="514">
        <f t="shared" si="6"/>
        <v>0</v>
      </c>
      <c r="P31" s="272"/>
    </row>
    <row r="32" spans="2:16" ht="12.5">
      <c r="B32" s="195" t="str">
        <f t="shared" si="4"/>
        <v/>
      </c>
      <c r="C32" s="507">
        <f>IF(D11="","-",+C31+1)</f>
        <v>2030</v>
      </c>
      <c r="D32" s="523">
        <f>IF(F31+SUM(E$17:E31)=D$10,F31,D$10-SUM(E$17:E31))</f>
        <v>9190068.8464467973</v>
      </c>
      <c r="E32" s="522">
        <f t="shared" si="13"/>
        <v>329807.14285714284</v>
      </c>
      <c r="F32" s="523">
        <f t="shared" si="14"/>
        <v>8860261.7035896536</v>
      </c>
      <c r="G32" s="524">
        <f t="shared" si="15"/>
        <v>1469927.2830354623</v>
      </c>
      <c r="H32" s="491">
        <f t="shared" si="16"/>
        <v>1469927.2830354623</v>
      </c>
      <c r="I32" s="511">
        <f t="shared" si="3"/>
        <v>0</v>
      </c>
      <c r="J32" s="511"/>
      <c r="K32" s="525"/>
      <c r="L32" s="514">
        <f t="shared" si="17"/>
        <v>0</v>
      </c>
      <c r="M32" s="525"/>
      <c r="N32" s="514">
        <f t="shared" si="5"/>
        <v>0</v>
      </c>
      <c r="O32" s="514">
        <f t="shared" si="6"/>
        <v>0</v>
      </c>
      <c r="P32" s="272"/>
    </row>
    <row r="33" spans="2:16" ht="12.5">
      <c r="B33" s="195" t="str">
        <f t="shared" si="4"/>
        <v/>
      </c>
      <c r="C33" s="507">
        <f>IF(D11="","-",+C32+1)</f>
        <v>2031</v>
      </c>
      <c r="D33" s="523">
        <f>IF(F32+SUM(E$17:E32)=D$10,F32,D$10-SUM(E$17:E32))</f>
        <v>8860261.7035896536</v>
      </c>
      <c r="E33" s="522">
        <f t="shared" si="13"/>
        <v>329807.14285714284</v>
      </c>
      <c r="F33" s="523">
        <f t="shared" si="14"/>
        <v>8530454.5607325099</v>
      </c>
      <c r="G33" s="524">
        <f t="shared" si="15"/>
        <v>1428263.8060255814</v>
      </c>
      <c r="H33" s="491">
        <f t="shared" si="16"/>
        <v>1428263.8060255814</v>
      </c>
      <c r="I33" s="511">
        <f t="shared" si="3"/>
        <v>0</v>
      </c>
      <c r="J33" s="511"/>
      <c r="K33" s="525"/>
      <c r="L33" s="514">
        <f t="shared" si="17"/>
        <v>0</v>
      </c>
      <c r="M33" s="525"/>
      <c r="N33" s="514">
        <f t="shared" si="5"/>
        <v>0</v>
      </c>
      <c r="O33" s="514">
        <f t="shared" si="6"/>
        <v>0</v>
      </c>
      <c r="P33" s="272"/>
    </row>
    <row r="34" spans="2:16" ht="12.5">
      <c r="B34" s="195" t="str">
        <f t="shared" si="4"/>
        <v/>
      </c>
      <c r="C34" s="507">
        <f>IF(D11="","-",+C33+1)</f>
        <v>2032</v>
      </c>
      <c r="D34" s="523">
        <f>IF(F33+SUM(E$17:E33)=D$10,F33,D$10-SUM(E$17:E33))</f>
        <v>8530454.5607325099</v>
      </c>
      <c r="E34" s="522">
        <f t="shared" si="13"/>
        <v>329807.14285714284</v>
      </c>
      <c r="F34" s="523">
        <f t="shared" si="14"/>
        <v>8200647.4178753672</v>
      </c>
      <c r="G34" s="524">
        <f t="shared" si="15"/>
        <v>1386600.3290157006</v>
      </c>
      <c r="H34" s="491">
        <f t="shared" si="16"/>
        <v>1386600.3290157006</v>
      </c>
      <c r="I34" s="511">
        <f t="shared" si="3"/>
        <v>0</v>
      </c>
      <c r="J34" s="511"/>
      <c r="K34" s="525"/>
      <c r="L34" s="514">
        <f t="shared" si="17"/>
        <v>0</v>
      </c>
      <c r="M34" s="525"/>
      <c r="N34" s="514">
        <f t="shared" si="5"/>
        <v>0</v>
      </c>
      <c r="O34" s="514">
        <f t="shared" si="6"/>
        <v>0</v>
      </c>
      <c r="P34" s="272"/>
    </row>
    <row r="35" spans="2:16" ht="12.5">
      <c r="B35" s="195" t="str">
        <f t="shared" si="4"/>
        <v/>
      </c>
      <c r="C35" s="507">
        <f>IF(D11="","-",+C34+1)</f>
        <v>2033</v>
      </c>
      <c r="D35" s="523">
        <f>IF(F34+SUM(E$17:E34)=D$10,F34,D$10-SUM(E$17:E34))</f>
        <v>8200647.4178753672</v>
      </c>
      <c r="E35" s="522">
        <f t="shared" si="13"/>
        <v>329807.14285714284</v>
      </c>
      <c r="F35" s="523">
        <f t="shared" si="14"/>
        <v>7870840.2750182245</v>
      </c>
      <c r="G35" s="524">
        <f t="shared" si="15"/>
        <v>1344936.8520058198</v>
      </c>
      <c r="H35" s="491">
        <f t="shared" si="16"/>
        <v>1344936.8520058198</v>
      </c>
      <c r="I35" s="511">
        <f t="shared" si="3"/>
        <v>0</v>
      </c>
      <c r="J35" s="511"/>
      <c r="K35" s="525"/>
      <c r="L35" s="514">
        <f t="shared" si="17"/>
        <v>0</v>
      </c>
      <c r="M35" s="525"/>
      <c r="N35" s="514">
        <f t="shared" si="5"/>
        <v>0</v>
      </c>
      <c r="O35" s="514">
        <f t="shared" si="6"/>
        <v>0</v>
      </c>
      <c r="P35" s="272"/>
    </row>
    <row r="36" spans="2:16" ht="12.5">
      <c r="B36" s="195" t="str">
        <f t="shared" si="4"/>
        <v/>
      </c>
      <c r="C36" s="507">
        <f>IF(D11="","-",+C35+1)</f>
        <v>2034</v>
      </c>
      <c r="D36" s="523">
        <f>IF(F35+SUM(E$17:E35)=D$10,F35,D$10-SUM(E$17:E35))</f>
        <v>7870840.2750182245</v>
      </c>
      <c r="E36" s="522">
        <f t="shared" si="13"/>
        <v>329807.14285714284</v>
      </c>
      <c r="F36" s="523">
        <f t="shared" si="14"/>
        <v>7541033.1321610818</v>
      </c>
      <c r="G36" s="524">
        <f t="shared" si="15"/>
        <v>1303273.374995939</v>
      </c>
      <c r="H36" s="491">
        <f t="shared" si="16"/>
        <v>1303273.374995939</v>
      </c>
      <c r="I36" s="511">
        <f t="shared" si="3"/>
        <v>0</v>
      </c>
      <c r="J36" s="511"/>
      <c r="K36" s="525"/>
      <c r="L36" s="514">
        <f t="shared" si="17"/>
        <v>0</v>
      </c>
      <c r="M36" s="525"/>
      <c r="N36" s="514">
        <f t="shared" si="5"/>
        <v>0</v>
      </c>
      <c r="O36" s="514">
        <f t="shared" si="6"/>
        <v>0</v>
      </c>
      <c r="P36" s="272"/>
    </row>
    <row r="37" spans="2:16" ht="12.5">
      <c r="B37" s="195" t="str">
        <f t="shared" si="4"/>
        <v/>
      </c>
      <c r="C37" s="507">
        <f>IF(D11="","-",+C36+1)</f>
        <v>2035</v>
      </c>
      <c r="D37" s="523">
        <f>IF(F36+SUM(E$17:E36)=D$10,F36,D$10-SUM(E$17:E36))</f>
        <v>7541033.1321610818</v>
      </c>
      <c r="E37" s="522">
        <f t="shared" si="13"/>
        <v>329807.14285714284</v>
      </c>
      <c r="F37" s="523">
        <f t="shared" si="14"/>
        <v>7211225.989303939</v>
      </c>
      <c r="G37" s="524">
        <f t="shared" si="15"/>
        <v>1261609.8979860579</v>
      </c>
      <c r="H37" s="491">
        <f t="shared" si="16"/>
        <v>1261609.8979860579</v>
      </c>
      <c r="I37" s="511">
        <f t="shared" si="3"/>
        <v>0</v>
      </c>
      <c r="J37" s="511"/>
      <c r="K37" s="525"/>
      <c r="L37" s="514">
        <f t="shared" si="17"/>
        <v>0</v>
      </c>
      <c r="M37" s="525"/>
      <c r="N37" s="514">
        <f t="shared" si="5"/>
        <v>0</v>
      </c>
      <c r="O37" s="514">
        <f t="shared" si="6"/>
        <v>0</v>
      </c>
      <c r="P37" s="272"/>
    </row>
    <row r="38" spans="2:16" ht="12.5">
      <c r="B38" s="195" t="str">
        <f t="shared" si="4"/>
        <v/>
      </c>
      <c r="C38" s="507">
        <f>IF(D11="","-",+C37+1)</f>
        <v>2036</v>
      </c>
      <c r="D38" s="523">
        <f>IF(F37+SUM(E$17:E37)=D$10,F37,D$10-SUM(E$17:E37))</f>
        <v>7211225.989303939</v>
      </c>
      <c r="E38" s="522">
        <f t="shared" si="13"/>
        <v>329807.14285714284</v>
      </c>
      <c r="F38" s="523">
        <f t="shared" si="14"/>
        <v>6881418.8464467963</v>
      </c>
      <c r="G38" s="524">
        <f t="shared" si="15"/>
        <v>1219946.4209761773</v>
      </c>
      <c r="H38" s="491">
        <f t="shared" si="16"/>
        <v>1219946.4209761773</v>
      </c>
      <c r="I38" s="511">
        <f t="shared" si="3"/>
        <v>0</v>
      </c>
      <c r="J38" s="511"/>
      <c r="K38" s="525"/>
      <c r="L38" s="514">
        <f t="shared" si="17"/>
        <v>0</v>
      </c>
      <c r="M38" s="525"/>
      <c r="N38" s="514">
        <f t="shared" si="5"/>
        <v>0</v>
      </c>
      <c r="O38" s="514">
        <f t="shared" si="6"/>
        <v>0</v>
      </c>
      <c r="P38" s="272"/>
    </row>
    <row r="39" spans="2:16" ht="12.5">
      <c r="B39" s="195" t="str">
        <f t="shared" si="4"/>
        <v/>
      </c>
      <c r="C39" s="507">
        <f>IF(D11="","-",+C38+1)</f>
        <v>2037</v>
      </c>
      <c r="D39" s="523">
        <f>IF(F38+SUM(E$17:E38)=D$10,F38,D$10-SUM(E$17:E38))</f>
        <v>6881418.8464467963</v>
      </c>
      <c r="E39" s="522">
        <f t="shared" si="13"/>
        <v>329807.14285714284</v>
      </c>
      <c r="F39" s="523">
        <f t="shared" si="14"/>
        <v>6551611.7035896536</v>
      </c>
      <c r="G39" s="524">
        <f t="shared" si="15"/>
        <v>1178282.9439662963</v>
      </c>
      <c r="H39" s="491">
        <f t="shared" si="16"/>
        <v>1178282.9439662963</v>
      </c>
      <c r="I39" s="511">
        <f t="shared" si="3"/>
        <v>0</v>
      </c>
      <c r="J39" s="511"/>
      <c r="K39" s="525"/>
      <c r="L39" s="514">
        <f t="shared" si="17"/>
        <v>0</v>
      </c>
      <c r="M39" s="525"/>
      <c r="N39" s="514">
        <f t="shared" si="5"/>
        <v>0</v>
      </c>
      <c r="O39" s="514">
        <f t="shared" si="6"/>
        <v>0</v>
      </c>
      <c r="P39" s="272"/>
    </row>
    <row r="40" spans="2:16" ht="12.5">
      <c r="B40" s="195" t="str">
        <f t="shared" si="4"/>
        <v/>
      </c>
      <c r="C40" s="507">
        <f>IF(D11="","-",+C39+1)</f>
        <v>2038</v>
      </c>
      <c r="D40" s="523">
        <f>IF(F39+SUM(E$17:E39)=D$10,F39,D$10-SUM(E$17:E39))</f>
        <v>6551611.7035896536</v>
      </c>
      <c r="E40" s="522">
        <f t="shared" si="13"/>
        <v>329807.14285714284</v>
      </c>
      <c r="F40" s="523">
        <f t="shared" si="14"/>
        <v>6221804.5607325109</v>
      </c>
      <c r="G40" s="524">
        <f t="shared" si="15"/>
        <v>1136619.4669564157</v>
      </c>
      <c r="H40" s="491">
        <f t="shared" si="16"/>
        <v>1136619.4669564157</v>
      </c>
      <c r="I40" s="511">
        <f t="shared" si="3"/>
        <v>0</v>
      </c>
      <c r="J40" s="511"/>
      <c r="K40" s="525"/>
      <c r="L40" s="514">
        <f t="shared" si="17"/>
        <v>0</v>
      </c>
      <c r="M40" s="525"/>
      <c r="N40" s="514">
        <f t="shared" si="5"/>
        <v>0</v>
      </c>
      <c r="O40" s="514">
        <f t="shared" si="6"/>
        <v>0</v>
      </c>
      <c r="P40" s="272"/>
    </row>
    <row r="41" spans="2:16" ht="12.5">
      <c r="B41" s="195" t="str">
        <f t="shared" si="4"/>
        <v/>
      </c>
      <c r="C41" s="507">
        <f>IF(D11="","-",+C40+1)</f>
        <v>2039</v>
      </c>
      <c r="D41" s="523">
        <f>IF(F40+SUM(E$17:E40)=D$10,F40,D$10-SUM(E$17:E40))</f>
        <v>6221804.5607325109</v>
      </c>
      <c r="E41" s="522">
        <f t="shared" si="13"/>
        <v>329807.14285714284</v>
      </c>
      <c r="F41" s="523">
        <f t="shared" si="14"/>
        <v>5891997.4178753681</v>
      </c>
      <c r="G41" s="524">
        <f t="shared" si="15"/>
        <v>1094955.9899465346</v>
      </c>
      <c r="H41" s="491">
        <f t="shared" si="16"/>
        <v>1094955.9899465346</v>
      </c>
      <c r="I41" s="511">
        <f t="shared" si="3"/>
        <v>0</v>
      </c>
      <c r="J41" s="511"/>
      <c r="K41" s="525"/>
      <c r="L41" s="514">
        <f t="shared" si="17"/>
        <v>0</v>
      </c>
      <c r="M41" s="525"/>
      <c r="N41" s="514">
        <f t="shared" si="5"/>
        <v>0</v>
      </c>
      <c r="O41" s="514">
        <f t="shared" si="6"/>
        <v>0</v>
      </c>
      <c r="P41" s="272"/>
    </row>
    <row r="42" spans="2:16" ht="12.5">
      <c r="B42" s="195" t="str">
        <f t="shared" si="4"/>
        <v/>
      </c>
      <c r="C42" s="507">
        <f>IF(D11="","-",+C41+1)</f>
        <v>2040</v>
      </c>
      <c r="D42" s="523">
        <f>IF(F41+SUM(E$17:E41)=D$10,F41,D$10-SUM(E$17:E41))</f>
        <v>5891997.4178753681</v>
      </c>
      <c r="E42" s="522">
        <f t="shared" si="13"/>
        <v>329807.14285714284</v>
      </c>
      <c r="F42" s="523">
        <f t="shared" si="14"/>
        <v>5562190.2750182254</v>
      </c>
      <c r="G42" s="524">
        <f t="shared" si="15"/>
        <v>1053292.512936654</v>
      </c>
      <c r="H42" s="491">
        <f t="shared" si="16"/>
        <v>1053292.512936654</v>
      </c>
      <c r="I42" s="511">
        <f t="shared" si="3"/>
        <v>0</v>
      </c>
      <c r="J42" s="511"/>
      <c r="K42" s="525"/>
      <c r="L42" s="514">
        <f t="shared" si="17"/>
        <v>0</v>
      </c>
      <c r="M42" s="525"/>
      <c r="N42" s="514">
        <f t="shared" si="5"/>
        <v>0</v>
      </c>
      <c r="O42" s="514">
        <f t="shared" si="6"/>
        <v>0</v>
      </c>
      <c r="P42" s="272"/>
    </row>
    <row r="43" spans="2:16" ht="12.5">
      <c r="B43" s="195" t="str">
        <f t="shared" si="4"/>
        <v/>
      </c>
      <c r="C43" s="507">
        <f>IF(D11="","-",+C42+1)</f>
        <v>2041</v>
      </c>
      <c r="D43" s="523">
        <f>IF(F42+SUM(E$17:E42)=D$10,F42,D$10-SUM(E$17:E42))</f>
        <v>5562190.2750182254</v>
      </c>
      <c r="E43" s="522">
        <f t="shared" si="13"/>
        <v>329807.14285714284</v>
      </c>
      <c r="F43" s="523">
        <f t="shared" si="14"/>
        <v>5232383.1321610827</v>
      </c>
      <c r="G43" s="524">
        <f t="shared" si="15"/>
        <v>1011629.035926773</v>
      </c>
      <c r="H43" s="491">
        <f t="shared" si="16"/>
        <v>1011629.035926773</v>
      </c>
      <c r="I43" s="511">
        <f t="shared" si="3"/>
        <v>0</v>
      </c>
      <c r="J43" s="511"/>
      <c r="K43" s="525"/>
      <c r="L43" s="514">
        <f t="shared" si="17"/>
        <v>0</v>
      </c>
      <c r="M43" s="525"/>
      <c r="N43" s="514">
        <f t="shared" si="5"/>
        <v>0</v>
      </c>
      <c r="O43" s="514">
        <f t="shared" si="6"/>
        <v>0</v>
      </c>
      <c r="P43" s="272"/>
    </row>
    <row r="44" spans="2:16" ht="12.5">
      <c r="B44" s="195" t="str">
        <f t="shared" si="4"/>
        <v/>
      </c>
      <c r="C44" s="507">
        <f>IF(D11="","-",+C43+1)</f>
        <v>2042</v>
      </c>
      <c r="D44" s="523">
        <f>IF(F43+SUM(E$17:E43)=D$10,F43,D$10-SUM(E$17:E43))</f>
        <v>5232383.1321610827</v>
      </c>
      <c r="E44" s="522">
        <f t="shared" si="13"/>
        <v>329807.14285714284</v>
      </c>
      <c r="F44" s="523">
        <f t="shared" si="14"/>
        <v>4902575.98930394</v>
      </c>
      <c r="G44" s="524">
        <f t="shared" si="15"/>
        <v>969965.55891689227</v>
      </c>
      <c r="H44" s="491">
        <f t="shared" si="16"/>
        <v>969965.55891689227</v>
      </c>
      <c r="I44" s="511">
        <f t="shared" si="3"/>
        <v>0</v>
      </c>
      <c r="J44" s="511"/>
      <c r="K44" s="525"/>
      <c r="L44" s="514">
        <f t="shared" si="17"/>
        <v>0</v>
      </c>
      <c r="M44" s="525"/>
      <c r="N44" s="514">
        <f t="shared" si="5"/>
        <v>0</v>
      </c>
      <c r="O44" s="514">
        <f t="shared" si="6"/>
        <v>0</v>
      </c>
      <c r="P44" s="272"/>
    </row>
    <row r="45" spans="2:16" ht="12.5">
      <c r="B45" s="195" t="str">
        <f t="shared" si="4"/>
        <v/>
      </c>
      <c r="C45" s="507">
        <f>IF(D11="","-",+C44+1)</f>
        <v>2043</v>
      </c>
      <c r="D45" s="523">
        <f>IF(F44+SUM(E$17:E44)=D$10,F44,D$10-SUM(E$17:E44))</f>
        <v>4902575.98930394</v>
      </c>
      <c r="E45" s="522">
        <f t="shared" si="13"/>
        <v>329807.14285714284</v>
      </c>
      <c r="F45" s="523">
        <f t="shared" si="14"/>
        <v>4572768.8464467973</v>
      </c>
      <c r="G45" s="524">
        <f t="shared" si="15"/>
        <v>928302.08190701134</v>
      </c>
      <c r="H45" s="491">
        <f t="shared" si="16"/>
        <v>928302.08190701134</v>
      </c>
      <c r="I45" s="511">
        <f t="shared" si="3"/>
        <v>0</v>
      </c>
      <c r="J45" s="511"/>
      <c r="K45" s="525"/>
      <c r="L45" s="514">
        <f t="shared" si="17"/>
        <v>0</v>
      </c>
      <c r="M45" s="525"/>
      <c r="N45" s="514">
        <f t="shared" si="5"/>
        <v>0</v>
      </c>
      <c r="O45" s="514">
        <f t="shared" si="6"/>
        <v>0</v>
      </c>
      <c r="P45" s="272"/>
    </row>
    <row r="46" spans="2:16" ht="12.5">
      <c r="B46" s="195" t="str">
        <f t="shared" si="4"/>
        <v/>
      </c>
      <c r="C46" s="507">
        <f>IF(D11="","-",+C45+1)</f>
        <v>2044</v>
      </c>
      <c r="D46" s="523">
        <f>IF(F45+SUM(E$17:E45)=D$10,F45,D$10-SUM(E$17:E45))</f>
        <v>4572768.8464467973</v>
      </c>
      <c r="E46" s="522">
        <f t="shared" si="13"/>
        <v>329807.14285714284</v>
      </c>
      <c r="F46" s="523">
        <f t="shared" si="14"/>
        <v>4242961.7035896545</v>
      </c>
      <c r="G46" s="524">
        <f t="shared" si="15"/>
        <v>886638.60489713063</v>
      </c>
      <c r="H46" s="491">
        <f t="shared" si="16"/>
        <v>886638.60489713063</v>
      </c>
      <c r="I46" s="511">
        <f t="shared" si="3"/>
        <v>0</v>
      </c>
      <c r="J46" s="511"/>
      <c r="K46" s="525"/>
      <c r="L46" s="514">
        <f t="shared" si="17"/>
        <v>0</v>
      </c>
      <c r="M46" s="525"/>
      <c r="N46" s="514">
        <f t="shared" si="5"/>
        <v>0</v>
      </c>
      <c r="O46" s="514">
        <f t="shared" si="6"/>
        <v>0</v>
      </c>
      <c r="P46" s="272"/>
    </row>
    <row r="47" spans="2:16" ht="12.5">
      <c r="B47" s="195" t="str">
        <f t="shared" si="4"/>
        <v/>
      </c>
      <c r="C47" s="507">
        <f>IF(D11="","-",+C46+1)</f>
        <v>2045</v>
      </c>
      <c r="D47" s="523">
        <f>IF(F46+SUM(E$17:E46)=D$10,F46,D$10-SUM(E$17:E46))</f>
        <v>4242961.7035896545</v>
      </c>
      <c r="E47" s="522">
        <f t="shared" si="13"/>
        <v>329807.14285714284</v>
      </c>
      <c r="F47" s="523">
        <f t="shared" si="14"/>
        <v>3913154.5607325118</v>
      </c>
      <c r="G47" s="524">
        <f t="shared" si="15"/>
        <v>844975.12788724969</v>
      </c>
      <c r="H47" s="491">
        <f t="shared" si="16"/>
        <v>844975.12788724969</v>
      </c>
      <c r="I47" s="511">
        <f t="shared" si="3"/>
        <v>0</v>
      </c>
      <c r="J47" s="511"/>
      <c r="K47" s="525"/>
      <c r="L47" s="514">
        <f t="shared" si="17"/>
        <v>0</v>
      </c>
      <c r="M47" s="525"/>
      <c r="N47" s="514">
        <f t="shared" si="5"/>
        <v>0</v>
      </c>
      <c r="O47" s="514">
        <f t="shared" si="6"/>
        <v>0</v>
      </c>
      <c r="P47" s="272"/>
    </row>
    <row r="48" spans="2:16" ht="12.5">
      <c r="B48" s="195" t="str">
        <f t="shared" si="4"/>
        <v/>
      </c>
      <c r="C48" s="507">
        <f>IF(D11="","-",+C47+1)</f>
        <v>2046</v>
      </c>
      <c r="D48" s="523">
        <f>IF(F47+SUM(E$17:E47)=D$10,F47,D$10-SUM(E$17:E47))</f>
        <v>3913154.5607325118</v>
      </c>
      <c r="E48" s="522">
        <f t="shared" si="13"/>
        <v>329807.14285714284</v>
      </c>
      <c r="F48" s="523">
        <f t="shared" si="14"/>
        <v>3583347.4178753691</v>
      </c>
      <c r="G48" s="524">
        <f t="shared" si="15"/>
        <v>803311.65087736887</v>
      </c>
      <c r="H48" s="491">
        <f t="shared" si="16"/>
        <v>803311.65087736887</v>
      </c>
      <c r="I48" s="511">
        <f t="shared" si="3"/>
        <v>0</v>
      </c>
      <c r="J48" s="511"/>
      <c r="K48" s="525"/>
      <c r="L48" s="514">
        <f t="shared" si="17"/>
        <v>0</v>
      </c>
      <c r="M48" s="525"/>
      <c r="N48" s="514">
        <f t="shared" si="5"/>
        <v>0</v>
      </c>
      <c r="O48" s="514">
        <f t="shared" si="6"/>
        <v>0</v>
      </c>
      <c r="P48" s="272"/>
    </row>
    <row r="49" spans="2:16" ht="12.5">
      <c r="B49" s="195" t="str">
        <f t="shared" si="4"/>
        <v/>
      </c>
      <c r="C49" s="507">
        <f>IF(D11="","-",+C48+1)</f>
        <v>2047</v>
      </c>
      <c r="D49" s="523">
        <f>IF(F48+SUM(E$17:E48)=D$10,F48,D$10-SUM(E$17:E48))</f>
        <v>3583347.4178753691</v>
      </c>
      <c r="E49" s="522">
        <f t="shared" si="13"/>
        <v>329807.14285714284</v>
      </c>
      <c r="F49" s="523">
        <f t="shared" si="14"/>
        <v>3253540.2750182264</v>
      </c>
      <c r="G49" s="524">
        <f t="shared" si="15"/>
        <v>761648.17386748805</v>
      </c>
      <c r="H49" s="491">
        <f t="shared" si="16"/>
        <v>761648.17386748805</v>
      </c>
      <c r="I49" s="511">
        <f t="shared" si="3"/>
        <v>0</v>
      </c>
      <c r="J49" s="511"/>
      <c r="K49" s="525"/>
      <c r="L49" s="514">
        <f t="shared" si="17"/>
        <v>0</v>
      </c>
      <c r="M49" s="525"/>
      <c r="N49" s="514">
        <f t="shared" si="5"/>
        <v>0</v>
      </c>
      <c r="O49" s="514">
        <f t="shared" si="6"/>
        <v>0</v>
      </c>
      <c r="P49" s="272"/>
    </row>
    <row r="50" spans="2:16" ht="12.5">
      <c r="B50" s="195" t="str">
        <f t="shared" si="4"/>
        <v/>
      </c>
      <c r="C50" s="507">
        <f>IF(D11="","-",+C49+1)</f>
        <v>2048</v>
      </c>
      <c r="D50" s="523">
        <f>IF(F49+SUM(E$17:E49)=D$10,F49,D$10-SUM(E$17:E49))</f>
        <v>3253540.2750182264</v>
      </c>
      <c r="E50" s="522">
        <f t="shared" si="13"/>
        <v>329807.14285714284</v>
      </c>
      <c r="F50" s="523">
        <f t="shared" si="14"/>
        <v>2923733.1321610836</v>
      </c>
      <c r="G50" s="524">
        <f t="shared" si="15"/>
        <v>719984.69685760722</v>
      </c>
      <c r="H50" s="491">
        <f t="shared" si="16"/>
        <v>719984.69685760722</v>
      </c>
      <c r="I50" s="511">
        <f t="shared" si="3"/>
        <v>0</v>
      </c>
      <c r="J50" s="511"/>
      <c r="K50" s="525"/>
      <c r="L50" s="514">
        <f t="shared" si="17"/>
        <v>0</v>
      </c>
      <c r="M50" s="525"/>
      <c r="N50" s="514">
        <f t="shared" si="5"/>
        <v>0</v>
      </c>
      <c r="O50" s="514">
        <f t="shared" si="6"/>
        <v>0</v>
      </c>
      <c r="P50" s="272"/>
    </row>
    <row r="51" spans="2:16" ht="12.5">
      <c r="B51" s="195" t="str">
        <f t="shared" si="4"/>
        <v/>
      </c>
      <c r="C51" s="507">
        <f>IF(D11="","-",+C50+1)</f>
        <v>2049</v>
      </c>
      <c r="D51" s="523">
        <f>IF(F50+SUM(E$17:E50)=D$10,F50,D$10-SUM(E$17:E50))</f>
        <v>2923733.1321610836</v>
      </c>
      <c r="E51" s="522">
        <f t="shared" si="13"/>
        <v>329807.14285714284</v>
      </c>
      <c r="F51" s="523">
        <f t="shared" si="14"/>
        <v>2593925.9893039409</v>
      </c>
      <c r="G51" s="524">
        <f t="shared" ref="G51:G72" si="18">+I$12*((D51+F51)/2)+E51</f>
        <v>678321.2198477264</v>
      </c>
      <c r="H51" s="491">
        <f t="shared" ref="H51:H72" si="19">+I$13*((D51+F51)/2)+E51</f>
        <v>678321.2198477264</v>
      </c>
      <c r="I51" s="511">
        <f t="shared" si="3"/>
        <v>0</v>
      </c>
      <c r="J51" s="511"/>
      <c r="K51" s="525"/>
      <c r="L51" s="514">
        <f t="shared" si="17"/>
        <v>0</v>
      </c>
      <c r="M51" s="525"/>
      <c r="N51" s="514">
        <f t="shared" si="5"/>
        <v>0</v>
      </c>
      <c r="O51" s="514">
        <f t="shared" si="6"/>
        <v>0</v>
      </c>
      <c r="P51" s="272"/>
    </row>
    <row r="52" spans="2:16" ht="12.5">
      <c r="B52" s="195" t="str">
        <f t="shared" si="4"/>
        <v/>
      </c>
      <c r="C52" s="507">
        <f>IF(D11="","-",+C51+1)</f>
        <v>2050</v>
      </c>
      <c r="D52" s="523">
        <f>IF(F51+SUM(E$17:E51)=D$10,F51,D$10-SUM(E$17:E51))</f>
        <v>2593925.9893039409</v>
      </c>
      <c r="E52" s="522">
        <f t="shared" si="13"/>
        <v>329807.14285714284</v>
      </c>
      <c r="F52" s="523">
        <f t="shared" si="14"/>
        <v>2264118.8464467982</v>
      </c>
      <c r="G52" s="524">
        <f t="shared" si="18"/>
        <v>636657.74283784558</v>
      </c>
      <c r="H52" s="491">
        <f t="shared" si="19"/>
        <v>636657.74283784558</v>
      </c>
      <c r="I52" s="511">
        <f t="shared" si="3"/>
        <v>0</v>
      </c>
      <c r="J52" s="511"/>
      <c r="K52" s="525"/>
      <c r="L52" s="514">
        <f t="shared" si="17"/>
        <v>0</v>
      </c>
      <c r="M52" s="525"/>
      <c r="N52" s="514">
        <f t="shared" si="5"/>
        <v>0</v>
      </c>
      <c r="O52" s="514">
        <f t="shared" si="6"/>
        <v>0</v>
      </c>
      <c r="P52" s="272"/>
    </row>
    <row r="53" spans="2:16" ht="12.5">
      <c r="B53" s="195" t="str">
        <f t="shared" si="4"/>
        <v/>
      </c>
      <c r="C53" s="507">
        <f>IF(D11="","-",+C52+1)</f>
        <v>2051</v>
      </c>
      <c r="D53" s="523">
        <f>IF(F52+SUM(E$17:E52)=D$10,F52,D$10-SUM(E$17:E52))</f>
        <v>2264118.8464467982</v>
      </c>
      <c r="E53" s="522">
        <f t="shared" si="13"/>
        <v>329807.14285714284</v>
      </c>
      <c r="F53" s="523">
        <f t="shared" si="14"/>
        <v>1934311.7035896555</v>
      </c>
      <c r="G53" s="524">
        <f t="shared" si="18"/>
        <v>594994.26582796476</v>
      </c>
      <c r="H53" s="491">
        <f t="shared" si="19"/>
        <v>594994.26582796476</v>
      </c>
      <c r="I53" s="511">
        <f t="shared" si="3"/>
        <v>0</v>
      </c>
      <c r="J53" s="511"/>
      <c r="K53" s="525"/>
      <c r="L53" s="514">
        <f t="shared" si="17"/>
        <v>0</v>
      </c>
      <c r="M53" s="525"/>
      <c r="N53" s="514">
        <f t="shared" si="5"/>
        <v>0</v>
      </c>
      <c r="O53" s="514">
        <f t="shared" si="6"/>
        <v>0</v>
      </c>
      <c r="P53" s="272"/>
    </row>
    <row r="54" spans="2:16" ht="12.5">
      <c r="B54" s="195" t="str">
        <f t="shared" si="4"/>
        <v/>
      </c>
      <c r="C54" s="507">
        <f>IF(D11="","-",+C53+1)</f>
        <v>2052</v>
      </c>
      <c r="D54" s="523">
        <f>IF(F53+SUM(E$17:E53)=D$10,F53,D$10-SUM(E$17:E53))</f>
        <v>1934311.7035896555</v>
      </c>
      <c r="E54" s="522">
        <f t="shared" si="13"/>
        <v>329807.14285714284</v>
      </c>
      <c r="F54" s="523">
        <f t="shared" si="14"/>
        <v>1604504.5607325127</v>
      </c>
      <c r="G54" s="524">
        <f t="shared" si="18"/>
        <v>553330.78881808394</v>
      </c>
      <c r="H54" s="491">
        <f t="shared" si="19"/>
        <v>553330.78881808394</v>
      </c>
      <c r="I54" s="511">
        <f t="shared" si="3"/>
        <v>0</v>
      </c>
      <c r="J54" s="511"/>
      <c r="K54" s="525"/>
      <c r="L54" s="514">
        <f t="shared" si="17"/>
        <v>0</v>
      </c>
      <c r="M54" s="525"/>
      <c r="N54" s="514">
        <f t="shared" si="5"/>
        <v>0</v>
      </c>
      <c r="O54" s="514">
        <f t="shared" si="6"/>
        <v>0</v>
      </c>
      <c r="P54" s="272"/>
    </row>
    <row r="55" spans="2:16" ht="12.5">
      <c r="B55" s="195" t="str">
        <f t="shared" si="4"/>
        <v/>
      </c>
      <c r="C55" s="507">
        <f>IF(D11="","-",+C54+1)</f>
        <v>2053</v>
      </c>
      <c r="D55" s="523">
        <f>IF(F54+SUM(E$17:E54)=D$10,F54,D$10-SUM(E$17:E54))</f>
        <v>1604504.5607325127</v>
      </c>
      <c r="E55" s="522">
        <f t="shared" si="13"/>
        <v>329807.14285714284</v>
      </c>
      <c r="F55" s="523">
        <f t="shared" si="14"/>
        <v>1274697.41787537</v>
      </c>
      <c r="G55" s="524">
        <f t="shared" si="18"/>
        <v>511667.31180820311</v>
      </c>
      <c r="H55" s="491">
        <f t="shared" si="19"/>
        <v>511667.31180820311</v>
      </c>
      <c r="I55" s="511">
        <f t="shared" si="3"/>
        <v>0</v>
      </c>
      <c r="J55" s="511"/>
      <c r="K55" s="525"/>
      <c r="L55" s="514">
        <f t="shared" si="17"/>
        <v>0</v>
      </c>
      <c r="M55" s="525"/>
      <c r="N55" s="514">
        <f t="shared" si="5"/>
        <v>0</v>
      </c>
      <c r="O55" s="514">
        <f t="shared" si="6"/>
        <v>0</v>
      </c>
      <c r="P55" s="272"/>
    </row>
    <row r="56" spans="2:16" ht="12.5">
      <c r="B56" s="195" t="str">
        <f t="shared" si="4"/>
        <v/>
      </c>
      <c r="C56" s="507">
        <f>IF(D11="","-",+C55+1)</f>
        <v>2054</v>
      </c>
      <c r="D56" s="523">
        <f>IF(F55+SUM(E$17:E55)=D$10,F55,D$10-SUM(E$17:E55))</f>
        <v>1274697.41787537</v>
      </c>
      <c r="E56" s="522">
        <f t="shared" si="13"/>
        <v>329807.14285714284</v>
      </c>
      <c r="F56" s="523">
        <f t="shared" si="14"/>
        <v>944890.27501822717</v>
      </c>
      <c r="G56" s="524">
        <f t="shared" si="18"/>
        <v>470003.83479832229</v>
      </c>
      <c r="H56" s="491">
        <f t="shared" si="19"/>
        <v>470003.83479832229</v>
      </c>
      <c r="I56" s="511">
        <f t="shared" si="3"/>
        <v>0</v>
      </c>
      <c r="J56" s="511"/>
      <c r="K56" s="525"/>
      <c r="L56" s="514">
        <f t="shared" si="17"/>
        <v>0</v>
      </c>
      <c r="M56" s="525"/>
      <c r="N56" s="514">
        <f t="shared" si="5"/>
        <v>0</v>
      </c>
      <c r="O56" s="514">
        <f t="shared" si="6"/>
        <v>0</v>
      </c>
      <c r="P56" s="272"/>
    </row>
    <row r="57" spans="2:16" ht="12.5">
      <c r="B57" s="195" t="str">
        <f t="shared" si="4"/>
        <v/>
      </c>
      <c r="C57" s="507">
        <f>IF(D11="","-",+C56+1)</f>
        <v>2055</v>
      </c>
      <c r="D57" s="523">
        <f>IF(F56+SUM(E$17:E56)=D$10,F56,D$10-SUM(E$17:E56))</f>
        <v>944890.27501822717</v>
      </c>
      <c r="E57" s="522">
        <f t="shared" si="13"/>
        <v>329807.14285714284</v>
      </c>
      <c r="F57" s="523">
        <f t="shared" si="14"/>
        <v>615083.13216108433</v>
      </c>
      <c r="G57" s="524">
        <f t="shared" si="18"/>
        <v>428340.35778844147</v>
      </c>
      <c r="H57" s="491">
        <f t="shared" si="19"/>
        <v>428340.35778844147</v>
      </c>
      <c r="I57" s="511">
        <f t="shared" si="3"/>
        <v>0</v>
      </c>
      <c r="J57" s="511"/>
      <c r="K57" s="525"/>
      <c r="L57" s="514">
        <f t="shared" si="17"/>
        <v>0</v>
      </c>
      <c r="M57" s="525"/>
      <c r="N57" s="514">
        <f t="shared" si="5"/>
        <v>0</v>
      </c>
      <c r="O57" s="514">
        <f t="shared" si="6"/>
        <v>0</v>
      </c>
      <c r="P57" s="272"/>
    </row>
    <row r="58" spans="2:16" ht="12.5">
      <c r="B58" s="195" t="str">
        <f t="shared" si="4"/>
        <v/>
      </c>
      <c r="C58" s="507">
        <f>IF(D11="","-",+C57+1)</f>
        <v>2056</v>
      </c>
      <c r="D58" s="523">
        <f>IF(F57+SUM(E$17:E57)=D$10,F57,D$10-SUM(E$17:E57))</f>
        <v>615083.13216108433</v>
      </c>
      <c r="E58" s="522">
        <f t="shared" si="13"/>
        <v>329807.14285714284</v>
      </c>
      <c r="F58" s="523">
        <f t="shared" si="14"/>
        <v>285275.98930394149</v>
      </c>
      <c r="G58" s="524">
        <f t="shared" si="18"/>
        <v>386676.88077856065</v>
      </c>
      <c r="H58" s="491">
        <f t="shared" si="19"/>
        <v>386676.88077856065</v>
      </c>
      <c r="I58" s="511">
        <f t="shared" si="3"/>
        <v>0</v>
      </c>
      <c r="J58" s="511"/>
      <c r="K58" s="525"/>
      <c r="L58" s="514">
        <f t="shared" si="17"/>
        <v>0</v>
      </c>
      <c r="M58" s="525"/>
      <c r="N58" s="514">
        <f t="shared" si="5"/>
        <v>0</v>
      </c>
      <c r="O58" s="514">
        <f t="shared" si="6"/>
        <v>0</v>
      </c>
      <c r="P58" s="272"/>
    </row>
    <row r="59" spans="2:16" ht="12.5">
      <c r="B59" s="195" t="str">
        <f t="shared" si="4"/>
        <v/>
      </c>
      <c r="C59" s="507">
        <f>IF(D11="","-",+C58+1)</f>
        <v>2057</v>
      </c>
      <c r="D59" s="523">
        <f>IF(F58+SUM(E$17:E58)=D$10,F58,D$10-SUM(E$17:E58))</f>
        <v>285275.98930394149</v>
      </c>
      <c r="E59" s="522">
        <f t="shared" si="13"/>
        <v>285275.98930394149</v>
      </c>
      <c r="F59" s="523">
        <f t="shared" si="14"/>
        <v>0</v>
      </c>
      <c r="G59" s="524">
        <f t="shared" si="18"/>
        <v>303294.98901218019</v>
      </c>
      <c r="H59" s="491">
        <f t="shared" si="19"/>
        <v>303294.98901218019</v>
      </c>
      <c r="I59" s="511">
        <f t="shared" si="3"/>
        <v>0</v>
      </c>
      <c r="J59" s="511"/>
      <c r="K59" s="525"/>
      <c r="L59" s="514">
        <f t="shared" si="17"/>
        <v>0</v>
      </c>
      <c r="M59" s="525"/>
      <c r="N59" s="514">
        <f t="shared" si="5"/>
        <v>0</v>
      </c>
      <c r="O59" s="514">
        <f t="shared" si="6"/>
        <v>0</v>
      </c>
      <c r="P59" s="272"/>
    </row>
    <row r="60" spans="2:16" ht="12.5">
      <c r="B60" s="195" t="str">
        <f t="shared" si="4"/>
        <v/>
      </c>
      <c r="C60" s="507">
        <f>IF(D11="","-",+C59+1)</f>
        <v>2058</v>
      </c>
      <c r="D60" s="523">
        <f>IF(F59+SUM(E$17:E59)=D$10,F59,D$10-SUM(E$17:E59))</f>
        <v>0</v>
      </c>
      <c r="E60" s="522">
        <f t="shared" si="13"/>
        <v>0</v>
      </c>
      <c r="F60" s="523">
        <f t="shared" si="14"/>
        <v>0</v>
      </c>
      <c r="G60" s="524">
        <f t="shared" si="18"/>
        <v>0</v>
      </c>
      <c r="H60" s="491">
        <f t="shared" si="19"/>
        <v>0</v>
      </c>
      <c r="I60" s="511">
        <f t="shared" si="3"/>
        <v>0</v>
      </c>
      <c r="J60" s="511"/>
      <c r="K60" s="525"/>
      <c r="L60" s="514">
        <f t="shared" si="17"/>
        <v>0</v>
      </c>
      <c r="M60" s="525"/>
      <c r="N60" s="514">
        <f t="shared" si="5"/>
        <v>0</v>
      </c>
      <c r="O60" s="514">
        <f t="shared" si="6"/>
        <v>0</v>
      </c>
      <c r="P60" s="272"/>
    </row>
    <row r="61" spans="2:16" ht="12.5">
      <c r="B61" s="195" t="str">
        <f t="shared" si="4"/>
        <v/>
      </c>
      <c r="C61" s="507">
        <f>IF(D11="","-",+C60+1)</f>
        <v>2059</v>
      </c>
      <c r="D61" s="523">
        <f>IF(F60+SUM(E$17:E60)=D$10,F60,D$10-SUM(E$17:E60))</f>
        <v>0</v>
      </c>
      <c r="E61" s="522">
        <f t="shared" si="13"/>
        <v>0</v>
      </c>
      <c r="F61" s="523">
        <f t="shared" si="14"/>
        <v>0</v>
      </c>
      <c r="G61" s="524">
        <f t="shared" si="18"/>
        <v>0</v>
      </c>
      <c r="H61" s="491">
        <f t="shared" si="19"/>
        <v>0</v>
      </c>
      <c r="I61" s="511">
        <f t="shared" si="3"/>
        <v>0</v>
      </c>
      <c r="J61" s="511"/>
      <c r="K61" s="525"/>
      <c r="L61" s="514">
        <f t="shared" si="17"/>
        <v>0</v>
      </c>
      <c r="M61" s="525"/>
      <c r="N61" s="514">
        <f t="shared" si="5"/>
        <v>0</v>
      </c>
      <c r="O61" s="514">
        <f t="shared" si="6"/>
        <v>0</v>
      </c>
      <c r="P61" s="272"/>
    </row>
    <row r="62" spans="2:16" ht="12.5">
      <c r="B62" s="195" t="str">
        <f t="shared" si="4"/>
        <v/>
      </c>
      <c r="C62" s="507">
        <f>IF(D11="","-",+C61+1)</f>
        <v>2060</v>
      </c>
      <c r="D62" s="523">
        <f>IF(F61+SUM(E$17:E61)=D$10,F61,D$10-SUM(E$17:E61))</f>
        <v>0</v>
      </c>
      <c r="E62" s="522">
        <f t="shared" si="13"/>
        <v>0</v>
      </c>
      <c r="F62" s="523">
        <f t="shared" si="14"/>
        <v>0</v>
      </c>
      <c r="G62" s="524">
        <f t="shared" si="18"/>
        <v>0</v>
      </c>
      <c r="H62" s="491">
        <f t="shared" si="19"/>
        <v>0</v>
      </c>
      <c r="I62" s="511">
        <f t="shared" si="3"/>
        <v>0</v>
      </c>
      <c r="J62" s="511"/>
      <c r="K62" s="525"/>
      <c r="L62" s="514">
        <f t="shared" si="17"/>
        <v>0</v>
      </c>
      <c r="M62" s="525"/>
      <c r="N62" s="514">
        <f t="shared" si="5"/>
        <v>0</v>
      </c>
      <c r="O62" s="514">
        <f t="shared" si="6"/>
        <v>0</v>
      </c>
      <c r="P62" s="272"/>
    </row>
    <row r="63" spans="2:16" ht="12.5">
      <c r="B63" s="195" t="str">
        <f t="shared" si="4"/>
        <v/>
      </c>
      <c r="C63" s="507">
        <f>IF(D11="","-",+C62+1)</f>
        <v>2061</v>
      </c>
      <c r="D63" s="523">
        <f>IF(F62+SUM(E$17:E62)=D$10,F62,D$10-SUM(E$17:E62))</f>
        <v>0</v>
      </c>
      <c r="E63" s="522">
        <f t="shared" si="13"/>
        <v>0</v>
      </c>
      <c r="F63" s="523">
        <f t="shared" si="14"/>
        <v>0</v>
      </c>
      <c r="G63" s="524">
        <f t="shared" si="18"/>
        <v>0</v>
      </c>
      <c r="H63" s="491">
        <f t="shared" si="19"/>
        <v>0</v>
      </c>
      <c r="I63" s="511">
        <f t="shared" si="3"/>
        <v>0</v>
      </c>
      <c r="J63" s="511"/>
      <c r="K63" s="525"/>
      <c r="L63" s="514">
        <f t="shared" si="17"/>
        <v>0</v>
      </c>
      <c r="M63" s="525"/>
      <c r="N63" s="514">
        <f t="shared" si="5"/>
        <v>0</v>
      </c>
      <c r="O63" s="514">
        <f t="shared" si="6"/>
        <v>0</v>
      </c>
      <c r="P63" s="272"/>
    </row>
    <row r="64" spans="2:16" ht="12.5">
      <c r="B64" s="195" t="str">
        <f t="shared" si="4"/>
        <v/>
      </c>
      <c r="C64" s="507">
        <f>IF(D11="","-",+C63+1)</f>
        <v>2062</v>
      </c>
      <c r="D64" s="523">
        <f>IF(F63+SUM(E$17:E63)=D$10,F63,D$10-SUM(E$17:E63))</f>
        <v>0</v>
      </c>
      <c r="E64" s="522">
        <f t="shared" si="13"/>
        <v>0</v>
      </c>
      <c r="F64" s="523">
        <f t="shared" si="14"/>
        <v>0</v>
      </c>
      <c r="G64" s="524">
        <f t="shared" si="18"/>
        <v>0</v>
      </c>
      <c r="H64" s="491">
        <f t="shared" si="19"/>
        <v>0</v>
      </c>
      <c r="I64" s="511">
        <f t="shared" si="3"/>
        <v>0</v>
      </c>
      <c r="J64" s="511"/>
      <c r="K64" s="525"/>
      <c r="L64" s="514">
        <f t="shared" si="17"/>
        <v>0</v>
      </c>
      <c r="M64" s="525"/>
      <c r="N64" s="514">
        <f t="shared" si="5"/>
        <v>0</v>
      </c>
      <c r="O64" s="514">
        <f t="shared" si="6"/>
        <v>0</v>
      </c>
      <c r="P64" s="272"/>
    </row>
    <row r="65" spans="2:16" ht="12.5">
      <c r="B65" s="195" t="str">
        <f t="shared" si="4"/>
        <v/>
      </c>
      <c r="C65" s="507">
        <f>IF(D11="","-",+C64+1)</f>
        <v>2063</v>
      </c>
      <c r="D65" s="523">
        <f>IF(F64+SUM(E$17:E64)=D$10,F64,D$10-SUM(E$17:E64))</f>
        <v>0</v>
      </c>
      <c r="E65" s="522">
        <f t="shared" si="13"/>
        <v>0</v>
      </c>
      <c r="F65" s="523">
        <f t="shared" si="14"/>
        <v>0</v>
      </c>
      <c r="G65" s="524">
        <f t="shared" si="18"/>
        <v>0</v>
      </c>
      <c r="H65" s="491">
        <f t="shared" si="19"/>
        <v>0</v>
      </c>
      <c r="I65" s="511">
        <f t="shared" si="3"/>
        <v>0</v>
      </c>
      <c r="J65" s="511"/>
      <c r="K65" s="525"/>
      <c r="L65" s="514">
        <f t="shared" si="17"/>
        <v>0</v>
      </c>
      <c r="M65" s="525"/>
      <c r="N65" s="514">
        <f t="shared" si="5"/>
        <v>0</v>
      </c>
      <c r="O65" s="514">
        <f t="shared" si="6"/>
        <v>0</v>
      </c>
      <c r="P65" s="272"/>
    </row>
    <row r="66" spans="2:16" ht="12.5">
      <c r="B66" s="195" t="str">
        <f t="shared" si="4"/>
        <v/>
      </c>
      <c r="C66" s="507">
        <f>IF(D11="","-",+C65+1)</f>
        <v>2064</v>
      </c>
      <c r="D66" s="523">
        <f>IF(F65+SUM(E$17:E65)=D$10,F65,D$10-SUM(E$17:E65))</f>
        <v>0</v>
      </c>
      <c r="E66" s="522">
        <f t="shared" si="13"/>
        <v>0</v>
      </c>
      <c r="F66" s="523">
        <f t="shared" si="14"/>
        <v>0</v>
      </c>
      <c r="G66" s="524">
        <f t="shared" si="18"/>
        <v>0</v>
      </c>
      <c r="H66" s="491">
        <f t="shared" si="19"/>
        <v>0</v>
      </c>
      <c r="I66" s="511">
        <f t="shared" si="3"/>
        <v>0</v>
      </c>
      <c r="J66" s="511"/>
      <c r="K66" s="525"/>
      <c r="L66" s="514">
        <f t="shared" si="17"/>
        <v>0</v>
      </c>
      <c r="M66" s="525"/>
      <c r="N66" s="514">
        <f t="shared" si="5"/>
        <v>0</v>
      </c>
      <c r="O66" s="514">
        <f t="shared" si="6"/>
        <v>0</v>
      </c>
      <c r="P66" s="272"/>
    </row>
    <row r="67" spans="2:16" ht="12.5">
      <c r="B67" s="195" t="str">
        <f t="shared" si="4"/>
        <v/>
      </c>
      <c r="C67" s="507">
        <f>IF(D11="","-",+C66+1)</f>
        <v>2065</v>
      </c>
      <c r="D67" s="523">
        <f>IF(F66+SUM(E$17:E66)=D$10,F66,D$10-SUM(E$17:E66))</f>
        <v>0</v>
      </c>
      <c r="E67" s="522">
        <f t="shared" si="13"/>
        <v>0</v>
      </c>
      <c r="F67" s="523">
        <f t="shared" si="14"/>
        <v>0</v>
      </c>
      <c r="G67" s="524">
        <f t="shared" si="18"/>
        <v>0</v>
      </c>
      <c r="H67" s="491">
        <f t="shared" si="19"/>
        <v>0</v>
      </c>
      <c r="I67" s="511">
        <f t="shared" si="3"/>
        <v>0</v>
      </c>
      <c r="J67" s="511"/>
      <c r="K67" s="525"/>
      <c r="L67" s="514">
        <f t="shared" si="17"/>
        <v>0</v>
      </c>
      <c r="M67" s="525"/>
      <c r="N67" s="514">
        <f t="shared" si="5"/>
        <v>0</v>
      </c>
      <c r="O67" s="514">
        <f t="shared" si="6"/>
        <v>0</v>
      </c>
      <c r="P67" s="272"/>
    </row>
    <row r="68" spans="2:16" ht="12.5">
      <c r="B68" s="195" t="str">
        <f t="shared" si="4"/>
        <v/>
      </c>
      <c r="C68" s="507">
        <f>IF(D11="","-",+C67+1)</f>
        <v>2066</v>
      </c>
      <c r="D68" s="523">
        <f>IF(F67+SUM(E$17:E67)=D$10,F67,D$10-SUM(E$17:E67))</f>
        <v>0</v>
      </c>
      <c r="E68" s="522">
        <f t="shared" si="13"/>
        <v>0</v>
      </c>
      <c r="F68" s="523">
        <f t="shared" si="14"/>
        <v>0</v>
      </c>
      <c r="G68" s="524">
        <f t="shared" si="18"/>
        <v>0</v>
      </c>
      <c r="H68" s="491">
        <f t="shared" si="19"/>
        <v>0</v>
      </c>
      <c r="I68" s="511">
        <f t="shared" si="3"/>
        <v>0</v>
      </c>
      <c r="J68" s="511"/>
      <c r="K68" s="525"/>
      <c r="L68" s="514">
        <f t="shared" si="17"/>
        <v>0</v>
      </c>
      <c r="M68" s="525"/>
      <c r="N68" s="514">
        <f t="shared" si="5"/>
        <v>0</v>
      </c>
      <c r="O68" s="514">
        <f t="shared" si="6"/>
        <v>0</v>
      </c>
      <c r="P68" s="272"/>
    </row>
    <row r="69" spans="2:16" ht="12.5">
      <c r="B69" s="195" t="str">
        <f t="shared" si="4"/>
        <v/>
      </c>
      <c r="C69" s="507">
        <f>IF(D11="","-",+C68+1)</f>
        <v>2067</v>
      </c>
      <c r="D69" s="523">
        <f>IF(F68+SUM(E$17:E68)=D$10,F68,D$10-SUM(E$17:E68))</f>
        <v>0</v>
      </c>
      <c r="E69" s="522">
        <f t="shared" si="13"/>
        <v>0</v>
      </c>
      <c r="F69" s="523">
        <f t="shared" si="14"/>
        <v>0</v>
      </c>
      <c r="G69" s="524">
        <f t="shared" si="18"/>
        <v>0</v>
      </c>
      <c r="H69" s="491">
        <f t="shared" si="19"/>
        <v>0</v>
      </c>
      <c r="I69" s="511">
        <f t="shared" si="3"/>
        <v>0</v>
      </c>
      <c r="J69" s="511"/>
      <c r="K69" s="525"/>
      <c r="L69" s="514">
        <f t="shared" si="17"/>
        <v>0</v>
      </c>
      <c r="M69" s="525"/>
      <c r="N69" s="514">
        <f t="shared" si="5"/>
        <v>0</v>
      </c>
      <c r="O69" s="514">
        <f t="shared" si="6"/>
        <v>0</v>
      </c>
      <c r="P69" s="272"/>
    </row>
    <row r="70" spans="2:16" ht="12.5">
      <c r="B70" s="195" t="str">
        <f t="shared" si="4"/>
        <v/>
      </c>
      <c r="C70" s="507">
        <f>IF(D11="","-",+C69+1)</f>
        <v>2068</v>
      </c>
      <c r="D70" s="523">
        <f>IF(F69+SUM(E$17:E69)=D$10,F69,D$10-SUM(E$17:E69))</f>
        <v>0</v>
      </c>
      <c r="E70" s="522">
        <f t="shared" si="13"/>
        <v>0</v>
      </c>
      <c r="F70" s="523">
        <f t="shared" si="14"/>
        <v>0</v>
      </c>
      <c r="G70" s="524">
        <f t="shared" si="18"/>
        <v>0</v>
      </c>
      <c r="H70" s="491">
        <f t="shared" si="19"/>
        <v>0</v>
      </c>
      <c r="I70" s="511">
        <f t="shared" si="3"/>
        <v>0</v>
      </c>
      <c r="J70" s="511"/>
      <c r="K70" s="525"/>
      <c r="L70" s="514">
        <f t="shared" si="17"/>
        <v>0</v>
      </c>
      <c r="M70" s="525"/>
      <c r="N70" s="514">
        <f t="shared" si="5"/>
        <v>0</v>
      </c>
      <c r="O70" s="514">
        <f t="shared" si="6"/>
        <v>0</v>
      </c>
      <c r="P70" s="272"/>
    </row>
    <row r="71" spans="2:16" ht="12.5">
      <c r="B71" s="195" t="str">
        <f t="shared" si="4"/>
        <v/>
      </c>
      <c r="C71" s="507">
        <f>IF(D11="","-",+C70+1)</f>
        <v>2069</v>
      </c>
      <c r="D71" s="523">
        <f>IF(F70+SUM(E$17:E70)=D$10,F70,D$10-SUM(E$17:E70))</f>
        <v>0</v>
      </c>
      <c r="E71" s="522">
        <f t="shared" si="13"/>
        <v>0</v>
      </c>
      <c r="F71" s="523">
        <f t="shared" si="14"/>
        <v>0</v>
      </c>
      <c r="G71" s="524">
        <f t="shared" si="18"/>
        <v>0</v>
      </c>
      <c r="H71" s="491">
        <f t="shared" si="19"/>
        <v>0</v>
      </c>
      <c r="I71" s="511">
        <f t="shared" si="3"/>
        <v>0</v>
      </c>
      <c r="J71" s="511"/>
      <c r="K71" s="525"/>
      <c r="L71" s="514">
        <f t="shared" si="17"/>
        <v>0</v>
      </c>
      <c r="M71" s="525"/>
      <c r="N71" s="514">
        <f t="shared" si="5"/>
        <v>0</v>
      </c>
      <c r="O71" s="514">
        <f t="shared" si="6"/>
        <v>0</v>
      </c>
      <c r="P71" s="272"/>
    </row>
    <row r="72" spans="2:16" ht="13" thickBot="1">
      <c r="B72" s="195" t="str">
        <f t="shared" si="4"/>
        <v/>
      </c>
      <c r="C72" s="527">
        <f>IF(D11="","-",+C71+1)</f>
        <v>2070</v>
      </c>
      <c r="D72" s="523">
        <f>IF(F71+SUM(E$17:E71)=D$10,F71,D$10-SUM(E$17:E71))</f>
        <v>0</v>
      </c>
      <c r="E72" s="522">
        <f t="shared" si="13"/>
        <v>0</v>
      </c>
      <c r="F72" s="523">
        <f t="shared" si="14"/>
        <v>0</v>
      </c>
      <c r="G72" s="524">
        <f t="shared" si="18"/>
        <v>0</v>
      </c>
      <c r="H72" s="491">
        <f t="shared" si="19"/>
        <v>0</v>
      </c>
      <c r="I72" s="511">
        <f t="shared" si="3"/>
        <v>0</v>
      </c>
      <c r="J72" s="511"/>
      <c r="K72" s="532"/>
      <c r="L72" s="533">
        <f t="shared" si="17"/>
        <v>0</v>
      </c>
      <c r="M72" s="532"/>
      <c r="N72" s="533">
        <f t="shared" si="5"/>
        <v>0</v>
      </c>
      <c r="O72" s="533">
        <f t="shared" si="6"/>
        <v>0</v>
      </c>
      <c r="P72" s="272"/>
    </row>
    <row r="73" spans="2:16" ht="12.5">
      <c r="C73" s="374" t="s">
        <v>78</v>
      </c>
      <c r="D73" s="375"/>
      <c r="E73" s="375">
        <f>SUM(E17:E72)</f>
        <v>13851900.000000004</v>
      </c>
      <c r="F73" s="375"/>
      <c r="G73" s="375">
        <f>SUM(G17:G72)</f>
        <v>51517076.449790873</v>
      </c>
      <c r="H73" s="375">
        <f>SUM(H17:H72)</f>
        <v>51517076.449790873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54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1602830.9434464206</v>
      </c>
      <c r="N87" s="546">
        <f>IF(J92&lt;D11,0,VLOOKUP(J92,C17:O72,11))</f>
        <v>1602830.9434464206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1702490.5536625395</v>
      </c>
      <c r="N88" s="550">
        <f>IF(J92&lt;D11,0,VLOOKUP(J92,C99:P154,7))</f>
        <v>1702490.5536625395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Benteler - Port Robson 138 kV Ckt 1 and 2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99659.610216118861</v>
      </c>
      <c r="N89" s="555">
        <f>+N88-N87</f>
        <v>99659.610216118861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TP2012172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628">
        <v>13851900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2015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337851.21951219509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2015</v>
      </c>
      <c r="D99" s="629">
        <v>0</v>
      </c>
      <c r="E99" s="630">
        <v>27531.333333333332</v>
      </c>
      <c r="F99" s="631">
        <v>13848260.666666666</v>
      </c>
      <c r="G99" s="632">
        <v>6924130.333333333</v>
      </c>
      <c r="H99" s="633">
        <v>939916.21761685633</v>
      </c>
      <c r="I99" s="634">
        <v>939916.21761685633</v>
      </c>
      <c r="J99" s="514">
        <f>+I99-H99</f>
        <v>0</v>
      </c>
      <c r="K99" s="514"/>
      <c r="L99" s="512">
        <f t="shared" ref="L99:L104" si="20">+H99</f>
        <v>939916.21761685633</v>
      </c>
      <c r="M99" s="513">
        <f t="shared" ref="M99:M130" si="21">IF(L99&lt;&gt;0,+H99-L99,0)</f>
        <v>0</v>
      </c>
      <c r="N99" s="512">
        <f t="shared" ref="N99:N104" si="22">+I99</f>
        <v>939916.21761685633</v>
      </c>
      <c r="O99" s="513">
        <f t="shared" ref="O99:O130" si="23">IF(N99&lt;&gt;0,+I99-N99,0)</f>
        <v>0</v>
      </c>
      <c r="P99" s="513">
        <f t="shared" ref="P99:P130" si="24">+O99-M99</f>
        <v>0</v>
      </c>
    </row>
    <row r="100" spans="1:16" ht="12.5">
      <c r="B100" s="195" t="str">
        <f>IF(D100=F99,"","IU")</f>
        <v>IU</v>
      </c>
      <c r="C100" s="507">
        <f>IF(D93="","-",+C99+1)</f>
        <v>2016</v>
      </c>
      <c r="D100" s="629">
        <v>13824368.666666666</v>
      </c>
      <c r="E100" s="630">
        <v>322137.20930232556</v>
      </c>
      <c r="F100" s="631">
        <v>13502231.457364341</v>
      </c>
      <c r="G100" s="631">
        <v>13663300.062015504</v>
      </c>
      <c r="H100" s="633">
        <v>2056692.9921555684</v>
      </c>
      <c r="I100" s="634">
        <v>2056692.9921555684</v>
      </c>
      <c r="J100" s="514">
        <f>+I100-H100</f>
        <v>0</v>
      </c>
      <c r="K100" s="514"/>
      <c r="L100" s="518">
        <f t="shared" si="20"/>
        <v>2056692.9921555684</v>
      </c>
      <c r="M100" s="514">
        <f>IF(L100&lt;&gt;0,+H100-L100,0)</f>
        <v>0</v>
      </c>
      <c r="N100" s="518">
        <f t="shared" si="22"/>
        <v>2056692.9921555684</v>
      </c>
      <c r="O100" s="514">
        <f>IF(N100&lt;&gt;0,+I100-N100,0)</f>
        <v>0</v>
      </c>
      <c r="P100" s="514">
        <f>+O100-M100</f>
        <v>0</v>
      </c>
    </row>
    <row r="101" spans="1:16" ht="12.5">
      <c r="B101" s="195" t="str">
        <f t="shared" ref="B101:B154" si="25">IF(D101=F100,"","IU")</f>
        <v/>
      </c>
      <c r="C101" s="507">
        <f>IF(D93="","-",+C100+1)</f>
        <v>2017</v>
      </c>
      <c r="D101" s="629">
        <v>13502231.457364341</v>
      </c>
      <c r="E101" s="630">
        <v>329807.14285714284</v>
      </c>
      <c r="F101" s="631">
        <v>13172424.314507198</v>
      </c>
      <c r="G101" s="631">
        <v>13337327.885935768</v>
      </c>
      <c r="H101" s="633">
        <v>1949911.8027709834</v>
      </c>
      <c r="I101" s="634">
        <v>1949911.8027709834</v>
      </c>
      <c r="J101" s="514">
        <f t="shared" ref="J101:J154" si="26">+I101-H101</f>
        <v>0</v>
      </c>
      <c r="K101" s="514"/>
      <c r="L101" s="518">
        <f t="shared" si="20"/>
        <v>1949911.8027709834</v>
      </c>
      <c r="M101" s="514">
        <f>IF(L101&lt;&gt;0,+H101-L101,0)</f>
        <v>0</v>
      </c>
      <c r="N101" s="518">
        <f t="shared" si="22"/>
        <v>1949911.8027709834</v>
      </c>
      <c r="O101" s="514">
        <f>IF(N101&lt;&gt;0,+I101-N101,0)</f>
        <v>0</v>
      </c>
      <c r="P101" s="514">
        <f>+O101-M101</f>
        <v>0</v>
      </c>
    </row>
    <row r="102" spans="1:16" ht="12.5">
      <c r="B102" s="195" t="str">
        <f t="shared" si="25"/>
        <v/>
      </c>
      <c r="C102" s="507">
        <f>IF(D93="","-",+C101+1)</f>
        <v>2018</v>
      </c>
      <c r="D102" s="629">
        <v>13172424.314507198</v>
      </c>
      <c r="E102" s="630">
        <v>329807.14285714284</v>
      </c>
      <c r="F102" s="631">
        <v>12842617.171650054</v>
      </c>
      <c r="G102" s="631">
        <v>13007520.743078627</v>
      </c>
      <c r="H102" s="633">
        <v>1703460.9834722793</v>
      </c>
      <c r="I102" s="634">
        <v>1703460.9834722793</v>
      </c>
      <c r="J102" s="514">
        <f t="shared" si="26"/>
        <v>0</v>
      </c>
      <c r="K102" s="514"/>
      <c r="L102" s="518">
        <f t="shared" si="20"/>
        <v>1703460.9834722793</v>
      </c>
      <c r="M102" s="514">
        <f>IF(L102&lt;&gt;0,+H102-L102,0)</f>
        <v>0</v>
      </c>
      <c r="N102" s="518">
        <f t="shared" si="22"/>
        <v>1703460.9834722793</v>
      </c>
      <c r="O102" s="514">
        <f>IF(N102&lt;&gt;0,+I102-N102,0)</f>
        <v>0</v>
      </c>
      <c r="P102" s="514">
        <f t="shared" si="24"/>
        <v>0</v>
      </c>
    </row>
    <row r="103" spans="1:16" ht="12.5">
      <c r="B103" s="195" t="str">
        <f t="shared" si="25"/>
        <v/>
      </c>
      <c r="C103" s="507">
        <f>IF(D93="","-",+C102+1)</f>
        <v>2019</v>
      </c>
      <c r="D103" s="629">
        <v>12842617.171650054</v>
      </c>
      <c r="E103" s="630">
        <v>322137.20930232556</v>
      </c>
      <c r="F103" s="631">
        <v>12520479.962347729</v>
      </c>
      <c r="G103" s="631">
        <v>12681548.566998892</v>
      </c>
      <c r="H103" s="633">
        <v>1679577.0989135858</v>
      </c>
      <c r="I103" s="634">
        <v>1679577.0989135858</v>
      </c>
      <c r="J103" s="514">
        <f t="shared" si="26"/>
        <v>0</v>
      </c>
      <c r="K103" s="514"/>
      <c r="L103" s="518">
        <f t="shared" si="20"/>
        <v>1679577.0989135858</v>
      </c>
      <c r="M103" s="514">
        <f>IF(L103&lt;&gt;0,+H103-L103,0)</f>
        <v>0</v>
      </c>
      <c r="N103" s="518">
        <f t="shared" si="22"/>
        <v>1679577.0989135858</v>
      </c>
      <c r="O103" s="514">
        <f t="shared" si="23"/>
        <v>0</v>
      </c>
      <c r="P103" s="514">
        <f t="shared" si="24"/>
        <v>0</v>
      </c>
    </row>
    <row r="104" spans="1:16" ht="12.5">
      <c r="B104" s="195" t="str">
        <f t="shared" si="25"/>
        <v/>
      </c>
      <c r="C104" s="507">
        <f>IF(D93="","-",+C103+1)</f>
        <v>2020</v>
      </c>
      <c r="D104" s="629">
        <v>12520479.962347729</v>
      </c>
      <c r="E104" s="630">
        <v>329807.14285714284</v>
      </c>
      <c r="F104" s="631">
        <v>12190672.819490585</v>
      </c>
      <c r="G104" s="631">
        <v>12355576.390919156</v>
      </c>
      <c r="H104" s="633">
        <v>1658943.8479839475</v>
      </c>
      <c r="I104" s="634">
        <v>1658943.8479839475</v>
      </c>
      <c r="J104" s="514">
        <f t="shared" si="26"/>
        <v>0</v>
      </c>
      <c r="K104" s="514"/>
      <c r="L104" s="518">
        <f t="shared" si="20"/>
        <v>1658943.8479839475</v>
      </c>
      <c r="M104" s="514">
        <f>IF(L104&lt;&gt;0,+H104-L104,0)</f>
        <v>0</v>
      </c>
      <c r="N104" s="518">
        <f t="shared" si="22"/>
        <v>1658943.8479839475</v>
      </c>
      <c r="O104" s="514">
        <f t="shared" si="23"/>
        <v>0</v>
      </c>
      <c r="P104" s="514">
        <f t="shared" si="24"/>
        <v>0</v>
      </c>
    </row>
    <row r="105" spans="1:16" ht="12.5">
      <c r="B105" s="195" t="str">
        <f t="shared" si="25"/>
        <v/>
      </c>
      <c r="C105" s="507">
        <f>IF(D93="","-",+C104+1)</f>
        <v>2021</v>
      </c>
      <c r="D105" s="374">
        <f>IF(F104+SUM(E$99:E104)=D$92,F104,D$92-SUM(E$99:E104))</f>
        <v>12190672.819490585</v>
      </c>
      <c r="E105" s="522">
        <f t="shared" ref="E105:E154" si="27">IF(+$J$96&lt;F104,$J$96,D105)</f>
        <v>337851.21951219509</v>
      </c>
      <c r="F105" s="523">
        <f t="shared" ref="F105:F154" si="28">+D105-E105</f>
        <v>11852821.599978391</v>
      </c>
      <c r="G105" s="523">
        <f t="shared" ref="G105:G154" si="29">+(F105+D105)/2</f>
        <v>12021747.209734488</v>
      </c>
      <c r="H105" s="526">
        <f t="shared" ref="H105:H154" si="30">+J$94*G105+E105</f>
        <v>1702490.5536625395</v>
      </c>
      <c r="I105" s="577">
        <f t="shared" ref="I105:I154" si="31">+J$95*G105+E105</f>
        <v>1702490.5536625395</v>
      </c>
      <c r="J105" s="514">
        <f t="shared" si="26"/>
        <v>0</v>
      </c>
      <c r="K105" s="514"/>
      <c r="L105" s="525"/>
      <c r="M105" s="514">
        <f t="shared" si="21"/>
        <v>0</v>
      </c>
      <c r="N105" s="525"/>
      <c r="O105" s="514">
        <f t="shared" si="23"/>
        <v>0</v>
      </c>
      <c r="P105" s="514">
        <f t="shared" si="24"/>
        <v>0</v>
      </c>
    </row>
    <row r="106" spans="1:16" ht="12.5">
      <c r="B106" s="195" t="str">
        <f t="shared" si="25"/>
        <v/>
      </c>
      <c r="C106" s="507">
        <f>IF(D93="","-",+C105+1)</f>
        <v>2022</v>
      </c>
      <c r="D106" s="374">
        <f>IF(F105+SUM(E$99:E105)=D$92,F105,D$92-SUM(E$99:E105))</f>
        <v>11852821.599978391</v>
      </c>
      <c r="E106" s="522">
        <f t="shared" si="27"/>
        <v>337851.21951219509</v>
      </c>
      <c r="F106" s="523">
        <f t="shared" si="28"/>
        <v>11514970.380466197</v>
      </c>
      <c r="G106" s="523">
        <f t="shared" si="29"/>
        <v>11683895.990222294</v>
      </c>
      <c r="H106" s="526">
        <f t="shared" si="30"/>
        <v>1664139.6338508439</v>
      </c>
      <c r="I106" s="577">
        <f t="shared" si="31"/>
        <v>1664139.6338508439</v>
      </c>
      <c r="J106" s="514">
        <f t="shared" si="26"/>
        <v>0</v>
      </c>
      <c r="K106" s="514"/>
      <c r="L106" s="525"/>
      <c r="M106" s="514">
        <f t="shared" si="21"/>
        <v>0</v>
      </c>
      <c r="N106" s="525"/>
      <c r="O106" s="514">
        <f t="shared" si="23"/>
        <v>0</v>
      </c>
      <c r="P106" s="514">
        <f t="shared" si="24"/>
        <v>0</v>
      </c>
    </row>
    <row r="107" spans="1:16" ht="12.5">
      <c r="B107" s="195" t="str">
        <f t="shared" si="25"/>
        <v/>
      </c>
      <c r="C107" s="507">
        <f>IF(D93="","-",+C106+1)</f>
        <v>2023</v>
      </c>
      <c r="D107" s="374">
        <f>IF(F106+SUM(E$99:E106)=D$92,F106,D$92-SUM(E$99:E106))</f>
        <v>11514970.380466197</v>
      </c>
      <c r="E107" s="522">
        <f t="shared" si="27"/>
        <v>337851.21951219509</v>
      </c>
      <c r="F107" s="523">
        <f t="shared" si="28"/>
        <v>11177119.160954002</v>
      </c>
      <c r="G107" s="523">
        <f t="shared" si="29"/>
        <v>11346044.770710099</v>
      </c>
      <c r="H107" s="526">
        <f t="shared" si="30"/>
        <v>1625788.7140391483</v>
      </c>
      <c r="I107" s="577">
        <f t="shared" si="31"/>
        <v>1625788.7140391483</v>
      </c>
      <c r="J107" s="514">
        <f t="shared" si="26"/>
        <v>0</v>
      </c>
      <c r="K107" s="514"/>
      <c r="L107" s="525"/>
      <c r="M107" s="514">
        <f t="shared" si="21"/>
        <v>0</v>
      </c>
      <c r="N107" s="525"/>
      <c r="O107" s="514">
        <f t="shared" si="23"/>
        <v>0</v>
      </c>
      <c r="P107" s="514">
        <f t="shared" si="24"/>
        <v>0</v>
      </c>
    </row>
    <row r="108" spans="1:16" ht="12.5">
      <c r="B108" s="195" t="str">
        <f t="shared" si="25"/>
        <v/>
      </c>
      <c r="C108" s="507">
        <f>IF(D93="","-",+C107+1)</f>
        <v>2024</v>
      </c>
      <c r="D108" s="374">
        <f>IF(F107+SUM(E$99:E107)=D$92,F107,D$92-SUM(E$99:E107))</f>
        <v>11177119.160954002</v>
      </c>
      <c r="E108" s="522">
        <f t="shared" si="27"/>
        <v>337851.21951219509</v>
      </c>
      <c r="F108" s="523">
        <f t="shared" si="28"/>
        <v>10839267.941441808</v>
      </c>
      <c r="G108" s="523">
        <f t="shared" si="29"/>
        <v>11008193.551197905</v>
      </c>
      <c r="H108" s="526">
        <f t="shared" si="30"/>
        <v>1587437.7942274527</v>
      </c>
      <c r="I108" s="577">
        <f t="shared" si="31"/>
        <v>1587437.7942274527</v>
      </c>
      <c r="J108" s="514">
        <f t="shared" si="26"/>
        <v>0</v>
      </c>
      <c r="K108" s="514"/>
      <c r="L108" s="525"/>
      <c r="M108" s="514">
        <f t="shared" si="21"/>
        <v>0</v>
      </c>
      <c r="N108" s="525"/>
      <c r="O108" s="514">
        <f t="shared" si="23"/>
        <v>0</v>
      </c>
      <c r="P108" s="514">
        <f t="shared" si="24"/>
        <v>0</v>
      </c>
    </row>
    <row r="109" spans="1:16" ht="12.5">
      <c r="B109" s="195" t="str">
        <f t="shared" si="25"/>
        <v/>
      </c>
      <c r="C109" s="507">
        <f>IF(D93="","-",+C108+1)</f>
        <v>2025</v>
      </c>
      <c r="D109" s="374">
        <f>IF(F108+SUM(E$99:E108)=D$92,F108,D$92-SUM(E$99:E108))</f>
        <v>10839267.941441808</v>
      </c>
      <c r="E109" s="522">
        <f t="shared" si="27"/>
        <v>337851.21951219509</v>
      </c>
      <c r="F109" s="523">
        <f t="shared" si="28"/>
        <v>10501416.721929614</v>
      </c>
      <c r="G109" s="523">
        <f t="shared" si="29"/>
        <v>10670342.331685711</v>
      </c>
      <c r="H109" s="526">
        <f t="shared" si="30"/>
        <v>1549086.8744157571</v>
      </c>
      <c r="I109" s="577">
        <f t="shared" si="31"/>
        <v>1549086.8744157571</v>
      </c>
      <c r="J109" s="514">
        <f t="shared" si="26"/>
        <v>0</v>
      </c>
      <c r="K109" s="514"/>
      <c r="L109" s="525"/>
      <c r="M109" s="514">
        <f t="shared" si="21"/>
        <v>0</v>
      </c>
      <c r="N109" s="525"/>
      <c r="O109" s="514">
        <f t="shared" si="23"/>
        <v>0</v>
      </c>
      <c r="P109" s="514">
        <f t="shared" si="24"/>
        <v>0</v>
      </c>
    </row>
    <row r="110" spans="1:16" ht="12.5">
      <c r="B110" s="195" t="str">
        <f t="shared" si="25"/>
        <v/>
      </c>
      <c r="C110" s="507">
        <f>IF(D93="","-",+C109+1)</f>
        <v>2026</v>
      </c>
      <c r="D110" s="374">
        <f>IF(F109+SUM(E$99:E109)=D$92,F109,D$92-SUM(E$99:E109))</f>
        <v>10501416.721929614</v>
      </c>
      <c r="E110" s="522">
        <f t="shared" si="27"/>
        <v>337851.21951219509</v>
      </c>
      <c r="F110" s="523">
        <f t="shared" si="28"/>
        <v>10163565.502417419</v>
      </c>
      <c r="G110" s="523">
        <f t="shared" si="29"/>
        <v>10332491.112173516</v>
      </c>
      <c r="H110" s="526">
        <f t="shared" si="30"/>
        <v>1510735.9546040616</v>
      </c>
      <c r="I110" s="577">
        <f t="shared" si="31"/>
        <v>1510735.9546040616</v>
      </c>
      <c r="J110" s="514">
        <f t="shared" si="26"/>
        <v>0</v>
      </c>
      <c r="K110" s="514"/>
      <c r="L110" s="525"/>
      <c r="M110" s="514">
        <f t="shared" si="21"/>
        <v>0</v>
      </c>
      <c r="N110" s="525"/>
      <c r="O110" s="514">
        <f t="shared" si="23"/>
        <v>0</v>
      </c>
      <c r="P110" s="514">
        <f t="shared" si="24"/>
        <v>0</v>
      </c>
    </row>
    <row r="111" spans="1:16" ht="12.5">
      <c r="B111" s="195" t="str">
        <f t="shared" si="25"/>
        <v/>
      </c>
      <c r="C111" s="507">
        <f>IF(D93="","-",+C110+1)</f>
        <v>2027</v>
      </c>
      <c r="D111" s="374">
        <f>IF(F110+SUM(E$99:E110)=D$92,F110,D$92-SUM(E$99:E110))</f>
        <v>10163565.502417419</v>
      </c>
      <c r="E111" s="522">
        <f t="shared" si="27"/>
        <v>337851.21951219509</v>
      </c>
      <c r="F111" s="523">
        <f t="shared" si="28"/>
        <v>9825714.2829052247</v>
      </c>
      <c r="G111" s="523">
        <f t="shared" si="29"/>
        <v>9994639.8926613219</v>
      </c>
      <c r="H111" s="526">
        <f t="shared" si="30"/>
        <v>1472385.0347923657</v>
      </c>
      <c r="I111" s="577">
        <f t="shared" si="31"/>
        <v>1472385.0347923657</v>
      </c>
      <c r="J111" s="514">
        <f t="shared" si="26"/>
        <v>0</v>
      </c>
      <c r="K111" s="514"/>
      <c r="L111" s="525"/>
      <c r="M111" s="514">
        <f t="shared" si="21"/>
        <v>0</v>
      </c>
      <c r="N111" s="525"/>
      <c r="O111" s="514">
        <f t="shared" si="23"/>
        <v>0</v>
      </c>
      <c r="P111" s="514">
        <f t="shared" si="24"/>
        <v>0</v>
      </c>
    </row>
    <row r="112" spans="1:16" ht="12.5">
      <c r="B112" s="195" t="str">
        <f t="shared" si="25"/>
        <v/>
      </c>
      <c r="C112" s="507">
        <f>IF(D93="","-",+C111+1)</f>
        <v>2028</v>
      </c>
      <c r="D112" s="374">
        <f>IF(F111+SUM(E$99:E111)=D$92,F111,D$92-SUM(E$99:E111))</f>
        <v>9825714.2829052247</v>
      </c>
      <c r="E112" s="522">
        <f t="shared" si="27"/>
        <v>337851.21951219509</v>
      </c>
      <c r="F112" s="523">
        <f t="shared" si="28"/>
        <v>9487863.0633930303</v>
      </c>
      <c r="G112" s="523">
        <f t="shared" si="29"/>
        <v>9656788.6731491275</v>
      </c>
      <c r="H112" s="526">
        <f t="shared" si="30"/>
        <v>1434034.1149806702</v>
      </c>
      <c r="I112" s="577">
        <f t="shared" si="31"/>
        <v>1434034.1149806702</v>
      </c>
      <c r="J112" s="514">
        <f t="shared" si="26"/>
        <v>0</v>
      </c>
      <c r="K112" s="514"/>
      <c r="L112" s="525"/>
      <c r="M112" s="514">
        <f t="shared" si="21"/>
        <v>0</v>
      </c>
      <c r="N112" s="525"/>
      <c r="O112" s="514">
        <f t="shared" si="23"/>
        <v>0</v>
      </c>
      <c r="P112" s="514">
        <f t="shared" si="24"/>
        <v>0</v>
      </c>
    </row>
    <row r="113" spans="2:16" ht="12.5">
      <c r="B113" s="195" t="str">
        <f t="shared" si="25"/>
        <v/>
      </c>
      <c r="C113" s="507">
        <f>IF(D93="","-",+C112+1)</f>
        <v>2029</v>
      </c>
      <c r="D113" s="374">
        <f>IF(F112+SUM(E$99:E112)=D$92,F112,D$92-SUM(E$99:E112))</f>
        <v>9487863.0633930303</v>
      </c>
      <c r="E113" s="522">
        <f t="shared" si="27"/>
        <v>337851.21951219509</v>
      </c>
      <c r="F113" s="523">
        <f t="shared" si="28"/>
        <v>9150011.8438808359</v>
      </c>
      <c r="G113" s="523">
        <f t="shared" si="29"/>
        <v>9318937.4536369331</v>
      </c>
      <c r="H113" s="526">
        <f t="shared" si="30"/>
        <v>1395683.1951689746</v>
      </c>
      <c r="I113" s="577">
        <f t="shared" si="31"/>
        <v>1395683.1951689746</v>
      </c>
      <c r="J113" s="514">
        <f t="shared" si="26"/>
        <v>0</v>
      </c>
      <c r="K113" s="514"/>
      <c r="L113" s="525"/>
      <c r="M113" s="514">
        <f t="shared" si="21"/>
        <v>0</v>
      </c>
      <c r="N113" s="525"/>
      <c r="O113" s="514">
        <f t="shared" si="23"/>
        <v>0</v>
      </c>
      <c r="P113" s="514">
        <f t="shared" si="24"/>
        <v>0</v>
      </c>
    </row>
    <row r="114" spans="2:16" ht="12.5">
      <c r="B114" s="195" t="str">
        <f t="shared" si="25"/>
        <v/>
      </c>
      <c r="C114" s="507">
        <f>IF(D93="","-",+C113+1)</f>
        <v>2030</v>
      </c>
      <c r="D114" s="374">
        <f>IF(F113+SUM(E$99:E113)=D$92,F113,D$92-SUM(E$99:E113))</f>
        <v>9150011.8438808359</v>
      </c>
      <c r="E114" s="522">
        <f t="shared" si="27"/>
        <v>337851.21951219509</v>
      </c>
      <c r="F114" s="523">
        <f t="shared" si="28"/>
        <v>8812160.6243686415</v>
      </c>
      <c r="G114" s="523">
        <f t="shared" si="29"/>
        <v>8981086.2341247387</v>
      </c>
      <c r="H114" s="526">
        <f t="shared" si="30"/>
        <v>1357332.275357279</v>
      </c>
      <c r="I114" s="577">
        <f t="shared" si="31"/>
        <v>1357332.275357279</v>
      </c>
      <c r="J114" s="514">
        <f t="shared" si="26"/>
        <v>0</v>
      </c>
      <c r="K114" s="514"/>
      <c r="L114" s="525"/>
      <c r="M114" s="514">
        <f t="shared" si="21"/>
        <v>0</v>
      </c>
      <c r="N114" s="525"/>
      <c r="O114" s="514">
        <f t="shared" si="23"/>
        <v>0</v>
      </c>
      <c r="P114" s="514">
        <f t="shared" si="24"/>
        <v>0</v>
      </c>
    </row>
    <row r="115" spans="2:16" ht="12.5">
      <c r="B115" s="195" t="str">
        <f t="shared" si="25"/>
        <v/>
      </c>
      <c r="C115" s="507">
        <f>IF(D93="","-",+C114+1)</f>
        <v>2031</v>
      </c>
      <c r="D115" s="374">
        <f>IF(F114+SUM(E$99:E114)=D$92,F114,D$92-SUM(E$99:E114))</f>
        <v>8812160.6243686415</v>
      </c>
      <c r="E115" s="522">
        <f t="shared" si="27"/>
        <v>337851.21951219509</v>
      </c>
      <c r="F115" s="523">
        <f t="shared" si="28"/>
        <v>8474309.4048564471</v>
      </c>
      <c r="G115" s="523">
        <f t="shared" si="29"/>
        <v>8643235.0146125443</v>
      </c>
      <c r="H115" s="526">
        <f t="shared" si="30"/>
        <v>1318981.3555455834</v>
      </c>
      <c r="I115" s="577">
        <f t="shared" si="31"/>
        <v>1318981.3555455834</v>
      </c>
      <c r="J115" s="514">
        <f t="shared" si="26"/>
        <v>0</v>
      </c>
      <c r="K115" s="514"/>
      <c r="L115" s="525"/>
      <c r="M115" s="514">
        <f t="shared" si="21"/>
        <v>0</v>
      </c>
      <c r="N115" s="525"/>
      <c r="O115" s="514">
        <f t="shared" si="23"/>
        <v>0</v>
      </c>
      <c r="P115" s="514">
        <f t="shared" si="24"/>
        <v>0</v>
      </c>
    </row>
    <row r="116" spans="2:16" ht="12.5">
      <c r="B116" s="195" t="str">
        <f t="shared" si="25"/>
        <v/>
      </c>
      <c r="C116" s="507">
        <f>IF(D93="","-",+C115+1)</f>
        <v>2032</v>
      </c>
      <c r="D116" s="374">
        <f>IF(F115+SUM(E$99:E115)=D$92,F115,D$92-SUM(E$99:E115))</f>
        <v>8474309.4048564471</v>
      </c>
      <c r="E116" s="522">
        <f t="shared" si="27"/>
        <v>337851.21951219509</v>
      </c>
      <c r="F116" s="523">
        <f t="shared" si="28"/>
        <v>8136458.1853442518</v>
      </c>
      <c r="G116" s="523">
        <f t="shared" si="29"/>
        <v>8305383.7951003499</v>
      </c>
      <c r="H116" s="526">
        <f t="shared" si="30"/>
        <v>1280630.4357338878</v>
      </c>
      <c r="I116" s="577">
        <f t="shared" si="31"/>
        <v>1280630.4357338878</v>
      </c>
      <c r="J116" s="514">
        <f t="shared" si="26"/>
        <v>0</v>
      </c>
      <c r="K116" s="514"/>
      <c r="L116" s="525"/>
      <c r="M116" s="514">
        <f t="shared" si="21"/>
        <v>0</v>
      </c>
      <c r="N116" s="525"/>
      <c r="O116" s="514">
        <f t="shared" si="23"/>
        <v>0</v>
      </c>
      <c r="P116" s="514">
        <f t="shared" si="24"/>
        <v>0</v>
      </c>
    </row>
    <row r="117" spans="2:16" ht="12.5">
      <c r="B117" s="195" t="str">
        <f t="shared" si="25"/>
        <v/>
      </c>
      <c r="C117" s="507">
        <f>IF(D93="","-",+C116+1)</f>
        <v>2033</v>
      </c>
      <c r="D117" s="374">
        <f>IF(F116+SUM(E$99:E116)=D$92,F116,D$92-SUM(E$99:E116))</f>
        <v>8136458.1853442518</v>
      </c>
      <c r="E117" s="522">
        <f t="shared" si="27"/>
        <v>337851.21951219509</v>
      </c>
      <c r="F117" s="523">
        <f t="shared" si="28"/>
        <v>7798606.9658320565</v>
      </c>
      <c r="G117" s="523">
        <f t="shared" si="29"/>
        <v>7967532.5755881537</v>
      </c>
      <c r="H117" s="526">
        <f t="shared" si="30"/>
        <v>1242279.515922192</v>
      </c>
      <c r="I117" s="577">
        <f t="shared" si="31"/>
        <v>1242279.515922192</v>
      </c>
      <c r="J117" s="514">
        <f t="shared" si="26"/>
        <v>0</v>
      </c>
      <c r="K117" s="514"/>
      <c r="L117" s="525"/>
      <c r="M117" s="514">
        <f t="shared" si="21"/>
        <v>0</v>
      </c>
      <c r="N117" s="525"/>
      <c r="O117" s="514">
        <f t="shared" si="23"/>
        <v>0</v>
      </c>
      <c r="P117" s="514">
        <f t="shared" si="24"/>
        <v>0</v>
      </c>
    </row>
    <row r="118" spans="2:16" ht="12.5">
      <c r="B118" s="195" t="str">
        <f t="shared" si="25"/>
        <v/>
      </c>
      <c r="C118" s="507">
        <f>IF(D93="","-",+C117+1)</f>
        <v>2034</v>
      </c>
      <c r="D118" s="374">
        <f>IF(F117+SUM(E$99:E117)=D$92,F117,D$92-SUM(E$99:E117))</f>
        <v>7798606.9658320565</v>
      </c>
      <c r="E118" s="522">
        <f t="shared" si="27"/>
        <v>337851.21951219509</v>
      </c>
      <c r="F118" s="523">
        <f t="shared" si="28"/>
        <v>7460755.7463198612</v>
      </c>
      <c r="G118" s="523">
        <f t="shared" si="29"/>
        <v>7629681.3560759593</v>
      </c>
      <c r="H118" s="526">
        <f t="shared" si="30"/>
        <v>1203928.5961104962</v>
      </c>
      <c r="I118" s="577">
        <f t="shared" si="31"/>
        <v>1203928.5961104962</v>
      </c>
      <c r="J118" s="514">
        <f t="shared" si="26"/>
        <v>0</v>
      </c>
      <c r="K118" s="514"/>
      <c r="L118" s="525"/>
      <c r="M118" s="514">
        <f t="shared" si="21"/>
        <v>0</v>
      </c>
      <c r="N118" s="525"/>
      <c r="O118" s="514">
        <f t="shared" si="23"/>
        <v>0</v>
      </c>
      <c r="P118" s="514">
        <f t="shared" si="24"/>
        <v>0</v>
      </c>
    </row>
    <row r="119" spans="2:16" ht="12.5">
      <c r="B119" s="195" t="str">
        <f t="shared" si="25"/>
        <v/>
      </c>
      <c r="C119" s="507">
        <f>IF(D93="","-",+C118+1)</f>
        <v>2035</v>
      </c>
      <c r="D119" s="374">
        <f>IF(F118+SUM(E$99:E118)=D$92,F118,D$92-SUM(E$99:E118))</f>
        <v>7460755.7463198612</v>
      </c>
      <c r="E119" s="522">
        <f t="shared" si="27"/>
        <v>337851.21951219509</v>
      </c>
      <c r="F119" s="523">
        <f t="shared" si="28"/>
        <v>7122904.5268076658</v>
      </c>
      <c r="G119" s="523">
        <f t="shared" si="29"/>
        <v>7291830.136563763</v>
      </c>
      <c r="H119" s="526">
        <f t="shared" si="30"/>
        <v>1165577.6762988004</v>
      </c>
      <c r="I119" s="577">
        <f t="shared" si="31"/>
        <v>1165577.6762988004</v>
      </c>
      <c r="J119" s="514">
        <f t="shared" si="26"/>
        <v>0</v>
      </c>
      <c r="K119" s="514"/>
      <c r="L119" s="525"/>
      <c r="M119" s="514">
        <f t="shared" si="21"/>
        <v>0</v>
      </c>
      <c r="N119" s="525"/>
      <c r="O119" s="514">
        <f t="shared" si="23"/>
        <v>0</v>
      </c>
      <c r="P119" s="514">
        <f t="shared" si="24"/>
        <v>0</v>
      </c>
    </row>
    <row r="120" spans="2:16" ht="12.5">
      <c r="B120" s="195" t="str">
        <f t="shared" si="25"/>
        <v/>
      </c>
      <c r="C120" s="507">
        <f>IF(D93="","-",+C119+1)</f>
        <v>2036</v>
      </c>
      <c r="D120" s="374">
        <f>IF(F119+SUM(E$99:E119)=D$92,F119,D$92-SUM(E$99:E119))</f>
        <v>7122904.5268076658</v>
      </c>
      <c r="E120" s="522">
        <f t="shared" si="27"/>
        <v>337851.21951219509</v>
      </c>
      <c r="F120" s="523">
        <f t="shared" si="28"/>
        <v>6785053.3072954705</v>
      </c>
      <c r="G120" s="523">
        <f t="shared" si="29"/>
        <v>6953978.9170515686</v>
      </c>
      <c r="H120" s="526">
        <f t="shared" si="30"/>
        <v>1127226.756487105</v>
      </c>
      <c r="I120" s="577">
        <f t="shared" si="31"/>
        <v>1127226.756487105</v>
      </c>
      <c r="J120" s="514">
        <f t="shared" si="26"/>
        <v>0</v>
      </c>
      <c r="K120" s="514"/>
      <c r="L120" s="525"/>
      <c r="M120" s="514">
        <f t="shared" si="21"/>
        <v>0</v>
      </c>
      <c r="N120" s="525"/>
      <c r="O120" s="514">
        <f t="shared" si="23"/>
        <v>0</v>
      </c>
      <c r="P120" s="514">
        <f t="shared" si="24"/>
        <v>0</v>
      </c>
    </row>
    <row r="121" spans="2:16" ht="12.5">
      <c r="B121" s="195" t="str">
        <f t="shared" si="25"/>
        <v/>
      </c>
      <c r="C121" s="507">
        <f>IF(D93="","-",+C120+1)</f>
        <v>2037</v>
      </c>
      <c r="D121" s="374">
        <f>IF(F120+SUM(E$99:E120)=D$92,F120,D$92-SUM(E$99:E120))</f>
        <v>6785053.3072954705</v>
      </c>
      <c r="E121" s="522">
        <f t="shared" si="27"/>
        <v>337851.21951219509</v>
      </c>
      <c r="F121" s="523">
        <f t="shared" si="28"/>
        <v>6447202.0877832752</v>
      </c>
      <c r="G121" s="523">
        <f t="shared" si="29"/>
        <v>6616127.6975393724</v>
      </c>
      <c r="H121" s="526">
        <f t="shared" si="30"/>
        <v>1088875.8366754092</v>
      </c>
      <c r="I121" s="577">
        <f t="shared" si="31"/>
        <v>1088875.8366754092</v>
      </c>
      <c r="J121" s="514">
        <f t="shared" si="26"/>
        <v>0</v>
      </c>
      <c r="K121" s="514"/>
      <c r="L121" s="525"/>
      <c r="M121" s="514">
        <f t="shared" si="21"/>
        <v>0</v>
      </c>
      <c r="N121" s="525"/>
      <c r="O121" s="514">
        <f t="shared" si="23"/>
        <v>0</v>
      </c>
      <c r="P121" s="514">
        <f t="shared" si="24"/>
        <v>0</v>
      </c>
    </row>
    <row r="122" spans="2:16" ht="12.5">
      <c r="B122" s="195" t="str">
        <f t="shared" si="25"/>
        <v/>
      </c>
      <c r="C122" s="507">
        <f>IF(D93="","-",+C121+1)</f>
        <v>2038</v>
      </c>
      <c r="D122" s="374">
        <f>IF(F121+SUM(E$99:E121)=D$92,F121,D$92-SUM(E$99:E121))</f>
        <v>6447202.0877832752</v>
      </c>
      <c r="E122" s="522">
        <f t="shared" si="27"/>
        <v>337851.21951219509</v>
      </c>
      <c r="F122" s="523">
        <f t="shared" si="28"/>
        <v>6109350.8682710798</v>
      </c>
      <c r="G122" s="523">
        <f t="shared" si="29"/>
        <v>6278276.478027178</v>
      </c>
      <c r="H122" s="526">
        <f t="shared" si="30"/>
        <v>1050524.9168637134</v>
      </c>
      <c r="I122" s="577">
        <f t="shared" si="31"/>
        <v>1050524.9168637134</v>
      </c>
      <c r="J122" s="514">
        <f t="shared" si="26"/>
        <v>0</v>
      </c>
      <c r="K122" s="514"/>
      <c r="L122" s="525"/>
      <c r="M122" s="514">
        <f t="shared" si="21"/>
        <v>0</v>
      </c>
      <c r="N122" s="525"/>
      <c r="O122" s="514">
        <f t="shared" si="23"/>
        <v>0</v>
      </c>
      <c r="P122" s="514">
        <f t="shared" si="24"/>
        <v>0</v>
      </c>
    </row>
    <row r="123" spans="2:16" ht="12.5">
      <c r="B123" s="195" t="str">
        <f t="shared" si="25"/>
        <v/>
      </c>
      <c r="C123" s="507">
        <f>IF(D93="","-",+C122+1)</f>
        <v>2039</v>
      </c>
      <c r="D123" s="374">
        <f>IF(F122+SUM(E$99:E122)=D$92,F122,D$92-SUM(E$99:E122))</f>
        <v>6109350.8682710798</v>
      </c>
      <c r="E123" s="522">
        <f t="shared" si="27"/>
        <v>337851.21951219509</v>
      </c>
      <c r="F123" s="523">
        <f t="shared" si="28"/>
        <v>5771499.6487588845</v>
      </c>
      <c r="G123" s="523">
        <f t="shared" si="29"/>
        <v>5940425.2585149817</v>
      </c>
      <c r="H123" s="526">
        <f t="shared" si="30"/>
        <v>1012173.9970520177</v>
      </c>
      <c r="I123" s="577">
        <f t="shared" si="31"/>
        <v>1012173.9970520177</v>
      </c>
      <c r="J123" s="514">
        <f t="shared" si="26"/>
        <v>0</v>
      </c>
      <c r="K123" s="514"/>
      <c r="L123" s="525"/>
      <c r="M123" s="514">
        <f t="shared" si="21"/>
        <v>0</v>
      </c>
      <c r="N123" s="525"/>
      <c r="O123" s="514">
        <f t="shared" si="23"/>
        <v>0</v>
      </c>
      <c r="P123" s="514">
        <f t="shared" si="24"/>
        <v>0</v>
      </c>
    </row>
    <row r="124" spans="2:16" ht="12.5">
      <c r="B124" s="195" t="str">
        <f t="shared" si="25"/>
        <v/>
      </c>
      <c r="C124" s="507">
        <f>IF(D93="","-",+C123+1)</f>
        <v>2040</v>
      </c>
      <c r="D124" s="374">
        <f>IF(F123+SUM(E$99:E123)=D$92,F123,D$92-SUM(E$99:E123))</f>
        <v>5771499.6487588845</v>
      </c>
      <c r="E124" s="522">
        <f t="shared" si="27"/>
        <v>337851.21951219509</v>
      </c>
      <c r="F124" s="523">
        <f t="shared" si="28"/>
        <v>5433648.4292466892</v>
      </c>
      <c r="G124" s="523">
        <f t="shared" si="29"/>
        <v>5602574.0390027873</v>
      </c>
      <c r="H124" s="526">
        <f t="shared" si="30"/>
        <v>973823.07724032202</v>
      </c>
      <c r="I124" s="577">
        <f t="shared" si="31"/>
        <v>973823.07724032202</v>
      </c>
      <c r="J124" s="514">
        <f t="shared" si="26"/>
        <v>0</v>
      </c>
      <c r="K124" s="514"/>
      <c r="L124" s="525"/>
      <c r="M124" s="514">
        <f t="shared" si="21"/>
        <v>0</v>
      </c>
      <c r="N124" s="525"/>
      <c r="O124" s="514">
        <f t="shared" si="23"/>
        <v>0</v>
      </c>
      <c r="P124" s="514">
        <f t="shared" si="24"/>
        <v>0</v>
      </c>
    </row>
    <row r="125" spans="2:16" ht="12.5">
      <c r="B125" s="195" t="str">
        <f t="shared" si="25"/>
        <v/>
      </c>
      <c r="C125" s="507">
        <f>IF(D93="","-",+C124+1)</f>
        <v>2041</v>
      </c>
      <c r="D125" s="374">
        <f>IF(F124+SUM(E$99:E124)=D$92,F124,D$92-SUM(E$99:E124))</f>
        <v>5433648.4292466892</v>
      </c>
      <c r="E125" s="522">
        <f t="shared" si="27"/>
        <v>337851.21951219509</v>
      </c>
      <c r="F125" s="523">
        <f t="shared" si="28"/>
        <v>5095797.2097344939</v>
      </c>
      <c r="G125" s="523">
        <f t="shared" si="29"/>
        <v>5264722.8194905911</v>
      </c>
      <c r="H125" s="526">
        <f t="shared" si="30"/>
        <v>935472.1574286262</v>
      </c>
      <c r="I125" s="577">
        <f t="shared" si="31"/>
        <v>935472.1574286262</v>
      </c>
      <c r="J125" s="514">
        <f t="shared" si="26"/>
        <v>0</v>
      </c>
      <c r="K125" s="514"/>
      <c r="L125" s="525"/>
      <c r="M125" s="514">
        <f t="shared" si="21"/>
        <v>0</v>
      </c>
      <c r="N125" s="525"/>
      <c r="O125" s="514">
        <f t="shared" si="23"/>
        <v>0</v>
      </c>
      <c r="P125" s="514">
        <f t="shared" si="24"/>
        <v>0</v>
      </c>
    </row>
    <row r="126" spans="2:16" ht="12.5">
      <c r="B126" s="195" t="str">
        <f t="shared" si="25"/>
        <v/>
      </c>
      <c r="C126" s="507">
        <f>IF(D93="","-",+C125+1)</f>
        <v>2042</v>
      </c>
      <c r="D126" s="374">
        <f>IF(F125+SUM(E$99:E125)=D$92,F125,D$92-SUM(E$99:E125))</f>
        <v>5095797.2097344939</v>
      </c>
      <c r="E126" s="522">
        <f t="shared" si="27"/>
        <v>337851.21951219509</v>
      </c>
      <c r="F126" s="523">
        <f t="shared" si="28"/>
        <v>4757945.9902222985</v>
      </c>
      <c r="G126" s="523">
        <f t="shared" si="29"/>
        <v>4926871.5999783967</v>
      </c>
      <c r="H126" s="526">
        <f t="shared" si="30"/>
        <v>897121.23761693062</v>
      </c>
      <c r="I126" s="577">
        <f t="shared" si="31"/>
        <v>897121.23761693062</v>
      </c>
      <c r="J126" s="514">
        <f t="shared" si="26"/>
        <v>0</v>
      </c>
      <c r="K126" s="514"/>
      <c r="L126" s="525"/>
      <c r="M126" s="514">
        <f t="shared" si="21"/>
        <v>0</v>
      </c>
      <c r="N126" s="525"/>
      <c r="O126" s="514">
        <f t="shared" si="23"/>
        <v>0</v>
      </c>
      <c r="P126" s="514">
        <f t="shared" si="24"/>
        <v>0</v>
      </c>
    </row>
    <row r="127" spans="2:16" ht="12.5">
      <c r="B127" s="195" t="str">
        <f t="shared" si="25"/>
        <v/>
      </c>
      <c r="C127" s="507">
        <f>IF(D93="","-",+C126+1)</f>
        <v>2043</v>
      </c>
      <c r="D127" s="374">
        <f>IF(F126+SUM(E$99:E126)=D$92,F126,D$92-SUM(E$99:E126))</f>
        <v>4757945.9902222985</v>
      </c>
      <c r="E127" s="522">
        <f t="shared" si="27"/>
        <v>337851.21951219509</v>
      </c>
      <c r="F127" s="523">
        <f t="shared" si="28"/>
        <v>4420094.7707101032</v>
      </c>
      <c r="G127" s="523">
        <f t="shared" si="29"/>
        <v>4589020.3804662004</v>
      </c>
      <c r="H127" s="526">
        <f t="shared" si="30"/>
        <v>858770.31780523481</v>
      </c>
      <c r="I127" s="577">
        <f t="shared" si="31"/>
        <v>858770.31780523481</v>
      </c>
      <c r="J127" s="514">
        <f t="shared" si="26"/>
        <v>0</v>
      </c>
      <c r="K127" s="514"/>
      <c r="L127" s="525"/>
      <c r="M127" s="514">
        <f t="shared" si="21"/>
        <v>0</v>
      </c>
      <c r="N127" s="525"/>
      <c r="O127" s="514">
        <f t="shared" si="23"/>
        <v>0</v>
      </c>
      <c r="P127" s="514">
        <f t="shared" si="24"/>
        <v>0</v>
      </c>
    </row>
    <row r="128" spans="2:16" ht="12.5">
      <c r="B128" s="195" t="str">
        <f t="shared" si="25"/>
        <v/>
      </c>
      <c r="C128" s="507">
        <f>IF(D93="","-",+C127+1)</f>
        <v>2044</v>
      </c>
      <c r="D128" s="374">
        <f>IF(F127+SUM(E$99:E127)=D$92,F127,D$92-SUM(E$99:E127))</f>
        <v>4420094.7707101032</v>
      </c>
      <c r="E128" s="522">
        <f t="shared" si="27"/>
        <v>337851.21951219509</v>
      </c>
      <c r="F128" s="523">
        <f t="shared" si="28"/>
        <v>4082243.5511979079</v>
      </c>
      <c r="G128" s="523">
        <f t="shared" si="29"/>
        <v>4251169.160954006</v>
      </c>
      <c r="H128" s="526">
        <f t="shared" si="30"/>
        <v>820419.39799353923</v>
      </c>
      <c r="I128" s="577">
        <f t="shared" si="31"/>
        <v>820419.39799353923</v>
      </c>
      <c r="J128" s="514">
        <f t="shared" si="26"/>
        <v>0</v>
      </c>
      <c r="K128" s="514"/>
      <c r="L128" s="525"/>
      <c r="M128" s="514">
        <f t="shared" si="21"/>
        <v>0</v>
      </c>
      <c r="N128" s="525"/>
      <c r="O128" s="514">
        <f t="shared" si="23"/>
        <v>0</v>
      </c>
      <c r="P128" s="514">
        <f t="shared" si="24"/>
        <v>0</v>
      </c>
    </row>
    <row r="129" spans="2:16" ht="12.5">
      <c r="B129" s="195" t="str">
        <f t="shared" si="25"/>
        <v/>
      </c>
      <c r="C129" s="507">
        <f>IF(D93="","-",+C128+1)</f>
        <v>2045</v>
      </c>
      <c r="D129" s="374">
        <f>IF(F128+SUM(E$99:E128)=D$92,F128,D$92-SUM(E$99:E128))</f>
        <v>4082243.5511979079</v>
      </c>
      <c r="E129" s="522">
        <f t="shared" si="27"/>
        <v>337851.21951219509</v>
      </c>
      <c r="F129" s="523">
        <f t="shared" si="28"/>
        <v>3744392.3316857126</v>
      </c>
      <c r="G129" s="523">
        <f t="shared" si="29"/>
        <v>3913317.9414418102</v>
      </c>
      <c r="H129" s="526">
        <f t="shared" si="30"/>
        <v>782068.47818184341</v>
      </c>
      <c r="I129" s="577">
        <f t="shared" si="31"/>
        <v>782068.47818184341</v>
      </c>
      <c r="J129" s="514">
        <f t="shared" si="26"/>
        <v>0</v>
      </c>
      <c r="K129" s="514"/>
      <c r="L129" s="525"/>
      <c r="M129" s="514">
        <f t="shared" si="21"/>
        <v>0</v>
      </c>
      <c r="N129" s="525"/>
      <c r="O129" s="514">
        <f t="shared" si="23"/>
        <v>0</v>
      </c>
      <c r="P129" s="514">
        <f t="shared" si="24"/>
        <v>0</v>
      </c>
    </row>
    <row r="130" spans="2:16" ht="12.5">
      <c r="B130" s="195" t="str">
        <f t="shared" si="25"/>
        <v/>
      </c>
      <c r="C130" s="507">
        <f>IF(D93="","-",+C129+1)</f>
        <v>2046</v>
      </c>
      <c r="D130" s="374">
        <f>IF(F129+SUM(E$99:E129)=D$92,F129,D$92-SUM(E$99:E129))</f>
        <v>3744392.3316857126</v>
      </c>
      <c r="E130" s="522">
        <f t="shared" si="27"/>
        <v>337851.21951219509</v>
      </c>
      <c r="F130" s="523">
        <f t="shared" si="28"/>
        <v>3406541.1121735172</v>
      </c>
      <c r="G130" s="523">
        <f t="shared" si="29"/>
        <v>3575466.7219296149</v>
      </c>
      <c r="H130" s="526">
        <f t="shared" si="30"/>
        <v>743717.55837014772</v>
      </c>
      <c r="I130" s="577">
        <f t="shared" si="31"/>
        <v>743717.55837014772</v>
      </c>
      <c r="J130" s="514">
        <f t="shared" si="26"/>
        <v>0</v>
      </c>
      <c r="K130" s="514"/>
      <c r="L130" s="525"/>
      <c r="M130" s="514">
        <f t="shared" si="21"/>
        <v>0</v>
      </c>
      <c r="N130" s="525"/>
      <c r="O130" s="514">
        <f t="shared" si="23"/>
        <v>0</v>
      </c>
      <c r="P130" s="514">
        <f t="shared" si="24"/>
        <v>0</v>
      </c>
    </row>
    <row r="131" spans="2:16" ht="12.5">
      <c r="B131" s="195" t="str">
        <f t="shared" si="25"/>
        <v/>
      </c>
      <c r="C131" s="507">
        <f>IF(D93="","-",+C130+1)</f>
        <v>2047</v>
      </c>
      <c r="D131" s="374">
        <f>IF(F130+SUM(E$99:E130)=D$92,F130,D$92-SUM(E$99:E130))</f>
        <v>3406541.1121735172</v>
      </c>
      <c r="E131" s="522">
        <f t="shared" si="27"/>
        <v>337851.21951219509</v>
      </c>
      <c r="F131" s="523">
        <f t="shared" si="28"/>
        <v>3068689.8926613219</v>
      </c>
      <c r="G131" s="523">
        <f t="shared" si="29"/>
        <v>3237615.5024174196</v>
      </c>
      <c r="H131" s="526">
        <f t="shared" si="30"/>
        <v>705366.63855845202</v>
      </c>
      <c r="I131" s="577">
        <f t="shared" si="31"/>
        <v>705366.63855845202</v>
      </c>
      <c r="J131" s="514">
        <f t="shared" si="26"/>
        <v>0</v>
      </c>
      <c r="K131" s="514"/>
      <c r="L131" s="525"/>
      <c r="M131" s="514">
        <f t="shared" ref="M131:M154" si="32">IF(L541&lt;&gt;0,+H541-L541,0)</f>
        <v>0</v>
      </c>
      <c r="N131" s="525"/>
      <c r="O131" s="514">
        <f t="shared" ref="O131:O154" si="33">IF(N541&lt;&gt;0,+I541-N541,0)</f>
        <v>0</v>
      </c>
      <c r="P131" s="514">
        <f t="shared" ref="P131:P154" si="34">+O541-M541</f>
        <v>0</v>
      </c>
    </row>
    <row r="132" spans="2:16" ht="12.5">
      <c r="B132" s="195" t="str">
        <f t="shared" si="25"/>
        <v/>
      </c>
      <c r="C132" s="507">
        <f>IF(D93="","-",+C131+1)</f>
        <v>2048</v>
      </c>
      <c r="D132" s="374">
        <f>IF(F131+SUM(E$99:E131)=D$92,F131,D$92-SUM(E$99:E131))</f>
        <v>3068689.8926613219</v>
      </c>
      <c r="E132" s="522">
        <f t="shared" si="27"/>
        <v>337851.21951219509</v>
      </c>
      <c r="F132" s="523">
        <f t="shared" si="28"/>
        <v>2730838.6731491266</v>
      </c>
      <c r="G132" s="523">
        <f t="shared" si="29"/>
        <v>2899764.2829052242</v>
      </c>
      <c r="H132" s="526">
        <f t="shared" si="30"/>
        <v>667015.7187467562</v>
      </c>
      <c r="I132" s="577">
        <f t="shared" si="31"/>
        <v>667015.7187467562</v>
      </c>
      <c r="J132" s="514">
        <f t="shared" si="26"/>
        <v>0</v>
      </c>
      <c r="K132" s="514"/>
      <c r="L132" s="525"/>
      <c r="M132" s="514">
        <f t="shared" si="32"/>
        <v>0</v>
      </c>
      <c r="N132" s="525"/>
      <c r="O132" s="514">
        <f t="shared" si="33"/>
        <v>0</v>
      </c>
      <c r="P132" s="514">
        <f t="shared" si="34"/>
        <v>0</v>
      </c>
    </row>
    <row r="133" spans="2:16" ht="12.5">
      <c r="B133" s="195" t="str">
        <f t="shared" si="25"/>
        <v/>
      </c>
      <c r="C133" s="507">
        <f>IF(D93="","-",+C132+1)</f>
        <v>2049</v>
      </c>
      <c r="D133" s="374">
        <f>IF(F132+SUM(E$99:E132)=D$92,F132,D$92-SUM(E$99:E132))</f>
        <v>2730838.6731491266</v>
      </c>
      <c r="E133" s="522">
        <f t="shared" si="27"/>
        <v>337851.21951219509</v>
      </c>
      <c r="F133" s="523">
        <f t="shared" si="28"/>
        <v>2392987.4536369313</v>
      </c>
      <c r="G133" s="523">
        <f t="shared" si="29"/>
        <v>2561913.0633930289</v>
      </c>
      <c r="H133" s="526">
        <f t="shared" si="30"/>
        <v>628664.79893506062</v>
      </c>
      <c r="I133" s="577">
        <f t="shared" si="31"/>
        <v>628664.79893506062</v>
      </c>
      <c r="J133" s="514">
        <f t="shared" si="26"/>
        <v>0</v>
      </c>
      <c r="K133" s="514"/>
      <c r="L133" s="525"/>
      <c r="M133" s="514">
        <f t="shared" si="32"/>
        <v>0</v>
      </c>
      <c r="N133" s="525"/>
      <c r="O133" s="514">
        <f t="shared" si="33"/>
        <v>0</v>
      </c>
      <c r="P133" s="514">
        <f t="shared" si="34"/>
        <v>0</v>
      </c>
    </row>
    <row r="134" spans="2:16" ht="12.5">
      <c r="B134" s="195" t="str">
        <f t="shared" si="25"/>
        <v/>
      </c>
      <c r="C134" s="507">
        <f>IF(D93="","-",+C133+1)</f>
        <v>2050</v>
      </c>
      <c r="D134" s="374">
        <f>IF(F133+SUM(E$99:E133)=D$92,F133,D$92-SUM(E$99:E133))</f>
        <v>2392987.4536369313</v>
      </c>
      <c r="E134" s="522">
        <f t="shared" si="27"/>
        <v>337851.21951219509</v>
      </c>
      <c r="F134" s="523">
        <f t="shared" si="28"/>
        <v>2055136.2341247362</v>
      </c>
      <c r="G134" s="523">
        <f t="shared" si="29"/>
        <v>2224061.8438808336</v>
      </c>
      <c r="H134" s="526">
        <f t="shared" si="30"/>
        <v>590313.87912336481</v>
      </c>
      <c r="I134" s="577">
        <f t="shared" si="31"/>
        <v>590313.87912336481</v>
      </c>
      <c r="J134" s="514">
        <f t="shared" si="26"/>
        <v>0</v>
      </c>
      <c r="K134" s="514"/>
      <c r="L134" s="525"/>
      <c r="M134" s="514">
        <f t="shared" si="32"/>
        <v>0</v>
      </c>
      <c r="N134" s="525"/>
      <c r="O134" s="514">
        <f t="shared" si="33"/>
        <v>0</v>
      </c>
      <c r="P134" s="514">
        <f t="shared" si="34"/>
        <v>0</v>
      </c>
    </row>
    <row r="135" spans="2:16" ht="12.5">
      <c r="B135" s="195" t="str">
        <f t="shared" si="25"/>
        <v/>
      </c>
      <c r="C135" s="507">
        <f>IF(D93="","-",+C134+1)</f>
        <v>2051</v>
      </c>
      <c r="D135" s="374">
        <f>IF(F134+SUM(E$99:E134)=D$92,F134,D$92-SUM(E$99:E134))</f>
        <v>2055136.2341247362</v>
      </c>
      <c r="E135" s="522">
        <f t="shared" si="27"/>
        <v>337851.21951219509</v>
      </c>
      <c r="F135" s="523">
        <f t="shared" si="28"/>
        <v>1717285.0146125411</v>
      </c>
      <c r="G135" s="523">
        <f t="shared" si="29"/>
        <v>1886210.6243686387</v>
      </c>
      <c r="H135" s="526">
        <f t="shared" si="30"/>
        <v>551962.95931166923</v>
      </c>
      <c r="I135" s="577">
        <f t="shared" si="31"/>
        <v>551962.95931166923</v>
      </c>
      <c r="J135" s="514">
        <f t="shared" si="26"/>
        <v>0</v>
      </c>
      <c r="K135" s="514"/>
      <c r="L135" s="525"/>
      <c r="M135" s="514">
        <f t="shared" si="32"/>
        <v>0</v>
      </c>
      <c r="N135" s="525"/>
      <c r="O135" s="514">
        <f t="shared" si="33"/>
        <v>0</v>
      </c>
      <c r="P135" s="514">
        <f t="shared" si="34"/>
        <v>0</v>
      </c>
    </row>
    <row r="136" spans="2:16" ht="12.5">
      <c r="B136" s="195" t="str">
        <f t="shared" si="25"/>
        <v/>
      </c>
      <c r="C136" s="507">
        <f>IF(D93="","-",+C135+1)</f>
        <v>2052</v>
      </c>
      <c r="D136" s="374">
        <f>IF(F135+SUM(E$99:E135)=D$92,F135,D$92-SUM(E$99:E135))</f>
        <v>1717285.0146125411</v>
      </c>
      <c r="E136" s="522">
        <f t="shared" si="27"/>
        <v>337851.21951219509</v>
      </c>
      <c r="F136" s="523">
        <f t="shared" si="28"/>
        <v>1379433.795100346</v>
      </c>
      <c r="G136" s="523">
        <f t="shared" si="29"/>
        <v>1548359.4048564434</v>
      </c>
      <c r="H136" s="526">
        <f t="shared" si="30"/>
        <v>513612.03949997347</v>
      </c>
      <c r="I136" s="577">
        <f t="shared" si="31"/>
        <v>513612.03949997347</v>
      </c>
      <c r="J136" s="514">
        <f t="shared" si="26"/>
        <v>0</v>
      </c>
      <c r="K136" s="514"/>
      <c r="L136" s="525"/>
      <c r="M136" s="514">
        <f t="shared" si="32"/>
        <v>0</v>
      </c>
      <c r="N136" s="525"/>
      <c r="O136" s="514">
        <f t="shared" si="33"/>
        <v>0</v>
      </c>
      <c r="P136" s="514">
        <f t="shared" si="34"/>
        <v>0</v>
      </c>
    </row>
    <row r="137" spans="2:16" ht="12.5">
      <c r="B137" s="195" t="str">
        <f t="shared" si="25"/>
        <v/>
      </c>
      <c r="C137" s="507">
        <f>IF(D93="","-",+C136+1)</f>
        <v>2053</v>
      </c>
      <c r="D137" s="374">
        <f>IF(F136+SUM(E$99:E136)=D$92,F136,D$92-SUM(E$99:E136))</f>
        <v>1379433.795100346</v>
      </c>
      <c r="E137" s="522">
        <f t="shared" si="27"/>
        <v>337851.21951219509</v>
      </c>
      <c r="F137" s="523">
        <f t="shared" si="28"/>
        <v>1041582.5755881509</v>
      </c>
      <c r="G137" s="523">
        <f t="shared" si="29"/>
        <v>1210508.1853442485</v>
      </c>
      <c r="H137" s="526">
        <f t="shared" si="30"/>
        <v>475261.11968827783</v>
      </c>
      <c r="I137" s="577">
        <f t="shared" si="31"/>
        <v>475261.11968827783</v>
      </c>
      <c r="J137" s="514">
        <f t="shared" si="26"/>
        <v>0</v>
      </c>
      <c r="K137" s="514"/>
      <c r="L137" s="525"/>
      <c r="M137" s="514">
        <f t="shared" si="32"/>
        <v>0</v>
      </c>
      <c r="N137" s="525"/>
      <c r="O137" s="514">
        <f t="shared" si="33"/>
        <v>0</v>
      </c>
      <c r="P137" s="514">
        <f t="shared" si="34"/>
        <v>0</v>
      </c>
    </row>
    <row r="138" spans="2:16" ht="12.5">
      <c r="B138" s="195" t="str">
        <f t="shared" si="25"/>
        <v/>
      </c>
      <c r="C138" s="507">
        <f>IF(D93="","-",+C137+1)</f>
        <v>2054</v>
      </c>
      <c r="D138" s="374">
        <f>IF(F137+SUM(E$99:E137)=D$92,F137,D$92-SUM(E$99:E137))</f>
        <v>1041582.5755881509</v>
      </c>
      <c r="E138" s="522">
        <f t="shared" si="27"/>
        <v>337851.21951219509</v>
      </c>
      <c r="F138" s="523">
        <f t="shared" si="28"/>
        <v>703731.35607595579</v>
      </c>
      <c r="G138" s="523">
        <f t="shared" si="29"/>
        <v>872656.96583205333</v>
      </c>
      <c r="H138" s="526">
        <f t="shared" si="30"/>
        <v>436910.19987658213</v>
      </c>
      <c r="I138" s="577">
        <f t="shared" si="31"/>
        <v>436910.19987658213</v>
      </c>
      <c r="J138" s="514">
        <f t="shared" si="26"/>
        <v>0</v>
      </c>
      <c r="K138" s="514"/>
      <c r="L138" s="525"/>
      <c r="M138" s="514">
        <f t="shared" si="32"/>
        <v>0</v>
      </c>
      <c r="N138" s="525"/>
      <c r="O138" s="514">
        <f t="shared" si="33"/>
        <v>0</v>
      </c>
      <c r="P138" s="514">
        <f t="shared" si="34"/>
        <v>0</v>
      </c>
    </row>
    <row r="139" spans="2:16" ht="12.5">
      <c r="B139" s="195" t="str">
        <f t="shared" si="25"/>
        <v/>
      </c>
      <c r="C139" s="507">
        <f>IF(D93="","-",+C138+1)</f>
        <v>2055</v>
      </c>
      <c r="D139" s="374">
        <f>IF(F138+SUM(E$99:E138)=D$92,F138,D$92-SUM(E$99:E138))</f>
        <v>703731.35607595579</v>
      </c>
      <c r="E139" s="522">
        <f t="shared" si="27"/>
        <v>337851.21951219509</v>
      </c>
      <c r="F139" s="523">
        <f t="shared" si="28"/>
        <v>365880.13656376069</v>
      </c>
      <c r="G139" s="523">
        <f t="shared" si="29"/>
        <v>534805.74631985824</v>
      </c>
      <c r="H139" s="526">
        <f t="shared" si="30"/>
        <v>398559.28006488644</v>
      </c>
      <c r="I139" s="577">
        <f t="shared" si="31"/>
        <v>398559.28006488644</v>
      </c>
      <c r="J139" s="514">
        <f t="shared" si="26"/>
        <v>0</v>
      </c>
      <c r="K139" s="514"/>
      <c r="L139" s="525"/>
      <c r="M139" s="514">
        <f t="shared" si="32"/>
        <v>0</v>
      </c>
      <c r="N139" s="525"/>
      <c r="O139" s="514">
        <f t="shared" si="33"/>
        <v>0</v>
      </c>
      <c r="P139" s="514">
        <f t="shared" si="34"/>
        <v>0</v>
      </c>
    </row>
    <row r="140" spans="2:16" ht="12.5">
      <c r="B140" s="195" t="str">
        <f t="shared" si="25"/>
        <v/>
      </c>
      <c r="C140" s="507">
        <f>IF(D93="","-",+C139+1)</f>
        <v>2056</v>
      </c>
      <c r="D140" s="374">
        <f>IF(F139+SUM(E$99:E139)=D$92,F139,D$92-SUM(E$99:E139))</f>
        <v>365880.13656376069</v>
      </c>
      <c r="E140" s="522">
        <f t="shared" si="27"/>
        <v>337851.21951219509</v>
      </c>
      <c r="F140" s="523">
        <f t="shared" si="28"/>
        <v>28028.917051565601</v>
      </c>
      <c r="G140" s="523">
        <f t="shared" si="29"/>
        <v>196954.52680766315</v>
      </c>
      <c r="H140" s="526">
        <f t="shared" si="30"/>
        <v>360208.36025319074</v>
      </c>
      <c r="I140" s="577">
        <f t="shared" si="31"/>
        <v>360208.36025319074</v>
      </c>
      <c r="J140" s="514">
        <f t="shared" si="26"/>
        <v>0</v>
      </c>
      <c r="K140" s="514"/>
      <c r="L140" s="525"/>
      <c r="M140" s="514">
        <f t="shared" si="32"/>
        <v>0</v>
      </c>
      <c r="N140" s="525"/>
      <c r="O140" s="514">
        <f t="shared" si="33"/>
        <v>0</v>
      </c>
      <c r="P140" s="514">
        <f t="shared" si="34"/>
        <v>0</v>
      </c>
    </row>
    <row r="141" spans="2:16" ht="12.5">
      <c r="B141" s="195" t="str">
        <f t="shared" si="25"/>
        <v/>
      </c>
      <c r="C141" s="507">
        <f>IF(D93="","-",+C140+1)</f>
        <v>2057</v>
      </c>
      <c r="D141" s="374">
        <f>IF(F140+SUM(E$99:E140)=D$92,F140,D$92-SUM(E$99:E140))</f>
        <v>28028.917051565601</v>
      </c>
      <c r="E141" s="522">
        <f t="shared" si="27"/>
        <v>28028.917051565601</v>
      </c>
      <c r="F141" s="523">
        <f t="shared" si="28"/>
        <v>0</v>
      </c>
      <c r="G141" s="523">
        <f t="shared" si="29"/>
        <v>14014.4585257828</v>
      </c>
      <c r="H141" s="526">
        <f t="shared" si="30"/>
        <v>29619.757469139498</v>
      </c>
      <c r="I141" s="577">
        <f t="shared" si="31"/>
        <v>29619.757469139498</v>
      </c>
      <c r="J141" s="514">
        <f t="shared" si="26"/>
        <v>0</v>
      </c>
      <c r="K141" s="514"/>
      <c r="L141" s="525"/>
      <c r="M141" s="514">
        <f t="shared" si="32"/>
        <v>0</v>
      </c>
      <c r="N141" s="525"/>
      <c r="O141" s="514">
        <f t="shared" si="33"/>
        <v>0</v>
      </c>
      <c r="P141" s="514">
        <f t="shared" si="34"/>
        <v>0</v>
      </c>
    </row>
    <row r="142" spans="2:16" ht="12.5">
      <c r="B142" s="195" t="str">
        <f t="shared" si="25"/>
        <v/>
      </c>
      <c r="C142" s="507">
        <f>IF(D93="","-",+C141+1)</f>
        <v>2058</v>
      </c>
      <c r="D142" s="374">
        <f>IF(F141+SUM(E$99:E141)=D$92,F141,D$92-SUM(E$99:E141))</f>
        <v>0</v>
      </c>
      <c r="E142" s="522">
        <f t="shared" si="27"/>
        <v>0</v>
      </c>
      <c r="F142" s="523">
        <f t="shared" si="28"/>
        <v>0</v>
      </c>
      <c r="G142" s="523">
        <f t="shared" si="29"/>
        <v>0</v>
      </c>
      <c r="H142" s="526">
        <f t="shared" si="30"/>
        <v>0</v>
      </c>
      <c r="I142" s="577">
        <f t="shared" si="31"/>
        <v>0</v>
      </c>
      <c r="J142" s="514">
        <f t="shared" si="26"/>
        <v>0</v>
      </c>
      <c r="K142" s="514"/>
      <c r="L142" s="525"/>
      <c r="M142" s="514">
        <f t="shared" si="32"/>
        <v>0</v>
      </c>
      <c r="N142" s="525"/>
      <c r="O142" s="514">
        <f t="shared" si="33"/>
        <v>0</v>
      </c>
      <c r="P142" s="514">
        <f t="shared" si="34"/>
        <v>0</v>
      </c>
    </row>
    <row r="143" spans="2:16" ht="12.5">
      <c r="B143" s="195" t="str">
        <f t="shared" si="25"/>
        <v/>
      </c>
      <c r="C143" s="507">
        <f>IF(D93="","-",+C142+1)</f>
        <v>2059</v>
      </c>
      <c r="D143" s="374">
        <f>IF(F142+SUM(E$99:E142)=D$92,F142,D$92-SUM(E$99:E142))</f>
        <v>0</v>
      </c>
      <c r="E143" s="522">
        <f t="shared" si="27"/>
        <v>0</v>
      </c>
      <c r="F143" s="523">
        <f t="shared" si="28"/>
        <v>0</v>
      </c>
      <c r="G143" s="523">
        <f t="shared" si="29"/>
        <v>0</v>
      </c>
      <c r="H143" s="526">
        <f t="shared" si="30"/>
        <v>0</v>
      </c>
      <c r="I143" s="577">
        <f t="shared" si="31"/>
        <v>0</v>
      </c>
      <c r="J143" s="514">
        <f t="shared" si="26"/>
        <v>0</v>
      </c>
      <c r="K143" s="514"/>
      <c r="L143" s="525"/>
      <c r="M143" s="514">
        <f t="shared" si="32"/>
        <v>0</v>
      </c>
      <c r="N143" s="525"/>
      <c r="O143" s="514">
        <f t="shared" si="33"/>
        <v>0</v>
      </c>
      <c r="P143" s="514">
        <f t="shared" si="34"/>
        <v>0</v>
      </c>
    </row>
    <row r="144" spans="2:16" ht="12.5">
      <c r="B144" s="195" t="str">
        <f t="shared" si="25"/>
        <v/>
      </c>
      <c r="C144" s="507">
        <f>IF(D93="","-",+C143+1)</f>
        <v>2060</v>
      </c>
      <c r="D144" s="374">
        <f>IF(F143+SUM(E$99:E143)=D$92,F143,D$92-SUM(E$99:E143))</f>
        <v>0</v>
      </c>
      <c r="E144" s="522">
        <f t="shared" si="27"/>
        <v>0</v>
      </c>
      <c r="F144" s="523">
        <f t="shared" si="28"/>
        <v>0</v>
      </c>
      <c r="G144" s="523">
        <f t="shared" si="29"/>
        <v>0</v>
      </c>
      <c r="H144" s="526">
        <f t="shared" si="30"/>
        <v>0</v>
      </c>
      <c r="I144" s="577">
        <f t="shared" si="31"/>
        <v>0</v>
      </c>
      <c r="J144" s="514">
        <f t="shared" si="26"/>
        <v>0</v>
      </c>
      <c r="K144" s="514"/>
      <c r="L144" s="525"/>
      <c r="M144" s="514">
        <f t="shared" si="32"/>
        <v>0</v>
      </c>
      <c r="N144" s="525"/>
      <c r="O144" s="514">
        <f t="shared" si="33"/>
        <v>0</v>
      </c>
      <c r="P144" s="514">
        <f t="shared" si="34"/>
        <v>0</v>
      </c>
    </row>
    <row r="145" spans="2:16" ht="12.5">
      <c r="B145" s="195" t="str">
        <f t="shared" si="25"/>
        <v/>
      </c>
      <c r="C145" s="507">
        <f>IF(D93="","-",+C144+1)</f>
        <v>2061</v>
      </c>
      <c r="D145" s="374">
        <f>IF(F144+SUM(E$99:E144)=D$92,F144,D$92-SUM(E$99:E144))</f>
        <v>0</v>
      </c>
      <c r="E145" s="522">
        <f t="shared" si="27"/>
        <v>0</v>
      </c>
      <c r="F145" s="523">
        <f t="shared" si="28"/>
        <v>0</v>
      </c>
      <c r="G145" s="523">
        <f t="shared" si="29"/>
        <v>0</v>
      </c>
      <c r="H145" s="526">
        <f t="shared" si="30"/>
        <v>0</v>
      </c>
      <c r="I145" s="577">
        <f t="shared" si="31"/>
        <v>0</v>
      </c>
      <c r="J145" s="514">
        <f t="shared" si="26"/>
        <v>0</v>
      </c>
      <c r="K145" s="514"/>
      <c r="L145" s="525"/>
      <c r="M145" s="514">
        <f t="shared" si="32"/>
        <v>0</v>
      </c>
      <c r="N145" s="525"/>
      <c r="O145" s="514">
        <f t="shared" si="33"/>
        <v>0</v>
      </c>
      <c r="P145" s="514">
        <f t="shared" si="34"/>
        <v>0</v>
      </c>
    </row>
    <row r="146" spans="2:16" ht="12.5">
      <c r="B146" s="195" t="str">
        <f t="shared" si="25"/>
        <v/>
      </c>
      <c r="C146" s="507">
        <f>IF(D93="","-",+C145+1)</f>
        <v>2062</v>
      </c>
      <c r="D146" s="374">
        <f>IF(F145+SUM(E$99:E145)=D$92,F145,D$92-SUM(E$99:E145))</f>
        <v>0</v>
      </c>
      <c r="E146" s="522">
        <f t="shared" si="27"/>
        <v>0</v>
      </c>
      <c r="F146" s="523">
        <f t="shared" si="28"/>
        <v>0</v>
      </c>
      <c r="G146" s="523">
        <f t="shared" si="29"/>
        <v>0</v>
      </c>
      <c r="H146" s="526">
        <f t="shared" si="30"/>
        <v>0</v>
      </c>
      <c r="I146" s="577">
        <f t="shared" si="31"/>
        <v>0</v>
      </c>
      <c r="J146" s="514">
        <f t="shared" si="26"/>
        <v>0</v>
      </c>
      <c r="K146" s="514"/>
      <c r="L146" s="525"/>
      <c r="M146" s="514">
        <f t="shared" si="32"/>
        <v>0</v>
      </c>
      <c r="N146" s="525"/>
      <c r="O146" s="514">
        <f t="shared" si="33"/>
        <v>0</v>
      </c>
      <c r="P146" s="514">
        <f t="shared" si="34"/>
        <v>0</v>
      </c>
    </row>
    <row r="147" spans="2:16" ht="12.5">
      <c r="B147" s="195" t="str">
        <f t="shared" si="25"/>
        <v/>
      </c>
      <c r="C147" s="507">
        <f>IF(D93="","-",+C146+1)</f>
        <v>2063</v>
      </c>
      <c r="D147" s="374">
        <f>IF(F146+SUM(E$99:E146)=D$92,F146,D$92-SUM(E$99:E146))</f>
        <v>0</v>
      </c>
      <c r="E147" s="522">
        <f t="shared" si="27"/>
        <v>0</v>
      </c>
      <c r="F147" s="523">
        <f t="shared" si="28"/>
        <v>0</v>
      </c>
      <c r="G147" s="523">
        <f t="shared" si="29"/>
        <v>0</v>
      </c>
      <c r="H147" s="526">
        <f t="shared" si="30"/>
        <v>0</v>
      </c>
      <c r="I147" s="577">
        <f t="shared" si="31"/>
        <v>0</v>
      </c>
      <c r="J147" s="514">
        <f t="shared" si="26"/>
        <v>0</v>
      </c>
      <c r="K147" s="514"/>
      <c r="L147" s="525"/>
      <c r="M147" s="514">
        <f t="shared" si="32"/>
        <v>0</v>
      </c>
      <c r="N147" s="525"/>
      <c r="O147" s="514">
        <f t="shared" si="33"/>
        <v>0</v>
      </c>
      <c r="P147" s="514">
        <f t="shared" si="34"/>
        <v>0</v>
      </c>
    </row>
    <row r="148" spans="2:16" ht="12.5">
      <c r="B148" s="195" t="str">
        <f t="shared" si="25"/>
        <v/>
      </c>
      <c r="C148" s="507">
        <f>IF(D93="","-",+C147+1)</f>
        <v>2064</v>
      </c>
      <c r="D148" s="374">
        <f>IF(F147+SUM(E$99:E147)=D$92,F147,D$92-SUM(E$99:E147))</f>
        <v>0</v>
      </c>
      <c r="E148" s="522">
        <f t="shared" si="27"/>
        <v>0</v>
      </c>
      <c r="F148" s="523">
        <f t="shared" si="28"/>
        <v>0</v>
      </c>
      <c r="G148" s="523">
        <f t="shared" si="29"/>
        <v>0</v>
      </c>
      <c r="H148" s="526">
        <f t="shared" si="30"/>
        <v>0</v>
      </c>
      <c r="I148" s="577">
        <f t="shared" si="31"/>
        <v>0</v>
      </c>
      <c r="J148" s="514">
        <f t="shared" si="26"/>
        <v>0</v>
      </c>
      <c r="K148" s="514"/>
      <c r="L148" s="525"/>
      <c r="M148" s="514">
        <f t="shared" si="32"/>
        <v>0</v>
      </c>
      <c r="N148" s="525"/>
      <c r="O148" s="514">
        <f t="shared" si="33"/>
        <v>0</v>
      </c>
      <c r="P148" s="514">
        <f t="shared" si="34"/>
        <v>0</v>
      </c>
    </row>
    <row r="149" spans="2:16" ht="12.5">
      <c r="B149" s="195" t="str">
        <f t="shared" si="25"/>
        <v/>
      </c>
      <c r="C149" s="507">
        <f>IF(D93="","-",+C148+1)</f>
        <v>2065</v>
      </c>
      <c r="D149" s="374">
        <f>IF(F148+SUM(E$99:E148)=D$92,F148,D$92-SUM(E$99:E148))</f>
        <v>0</v>
      </c>
      <c r="E149" s="522">
        <f t="shared" si="27"/>
        <v>0</v>
      </c>
      <c r="F149" s="523">
        <f t="shared" si="28"/>
        <v>0</v>
      </c>
      <c r="G149" s="523">
        <f t="shared" si="29"/>
        <v>0</v>
      </c>
      <c r="H149" s="526">
        <f t="shared" si="30"/>
        <v>0</v>
      </c>
      <c r="I149" s="577">
        <f t="shared" si="31"/>
        <v>0</v>
      </c>
      <c r="J149" s="514">
        <f t="shared" si="26"/>
        <v>0</v>
      </c>
      <c r="K149" s="514"/>
      <c r="L149" s="525"/>
      <c r="M149" s="514">
        <f t="shared" si="32"/>
        <v>0</v>
      </c>
      <c r="N149" s="525"/>
      <c r="O149" s="514">
        <f t="shared" si="33"/>
        <v>0</v>
      </c>
      <c r="P149" s="514">
        <f t="shared" si="34"/>
        <v>0</v>
      </c>
    </row>
    <row r="150" spans="2:16" ht="12.5">
      <c r="B150" s="195" t="str">
        <f t="shared" si="25"/>
        <v/>
      </c>
      <c r="C150" s="507">
        <f>IF(D93="","-",+C149+1)</f>
        <v>2066</v>
      </c>
      <c r="D150" s="374">
        <f>IF(F149+SUM(E$99:E149)=D$92,F149,D$92-SUM(E$99:E149))</f>
        <v>0</v>
      </c>
      <c r="E150" s="522">
        <f t="shared" si="27"/>
        <v>0</v>
      </c>
      <c r="F150" s="523">
        <f t="shared" si="28"/>
        <v>0</v>
      </c>
      <c r="G150" s="523">
        <f t="shared" si="29"/>
        <v>0</v>
      </c>
      <c r="H150" s="526">
        <f t="shared" si="30"/>
        <v>0</v>
      </c>
      <c r="I150" s="577">
        <f t="shared" si="31"/>
        <v>0</v>
      </c>
      <c r="J150" s="514">
        <f t="shared" si="26"/>
        <v>0</v>
      </c>
      <c r="K150" s="514"/>
      <c r="L150" s="525"/>
      <c r="M150" s="514">
        <f t="shared" si="32"/>
        <v>0</v>
      </c>
      <c r="N150" s="525"/>
      <c r="O150" s="514">
        <f t="shared" si="33"/>
        <v>0</v>
      </c>
      <c r="P150" s="514">
        <f t="shared" si="34"/>
        <v>0</v>
      </c>
    </row>
    <row r="151" spans="2:16" ht="12.5">
      <c r="B151" s="195" t="str">
        <f t="shared" si="25"/>
        <v/>
      </c>
      <c r="C151" s="507">
        <f>IF(D93="","-",+C150+1)</f>
        <v>2067</v>
      </c>
      <c r="D151" s="374">
        <f>IF(F150+SUM(E$99:E150)=D$92,F150,D$92-SUM(E$99:E150))</f>
        <v>0</v>
      </c>
      <c r="E151" s="522">
        <f t="shared" si="27"/>
        <v>0</v>
      </c>
      <c r="F151" s="523">
        <f t="shared" si="28"/>
        <v>0</v>
      </c>
      <c r="G151" s="523">
        <f t="shared" si="29"/>
        <v>0</v>
      </c>
      <c r="H151" s="526">
        <f t="shared" si="30"/>
        <v>0</v>
      </c>
      <c r="I151" s="577">
        <f t="shared" si="31"/>
        <v>0</v>
      </c>
      <c r="J151" s="514">
        <f t="shared" si="26"/>
        <v>0</v>
      </c>
      <c r="K151" s="514"/>
      <c r="L151" s="525"/>
      <c r="M151" s="514">
        <f t="shared" si="32"/>
        <v>0</v>
      </c>
      <c r="N151" s="525"/>
      <c r="O151" s="514">
        <f t="shared" si="33"/>
        <v>0</v>
      </c>
      <c r="P151" s="514">
        <f t="shared" si="34"/>
        <v>0</v>
      </c>
    </row>
    <row r="152" spans="2:16" ht="12.5">
      <c r="B152" s="195" t="str">
        <f t="shared" si="25"/>
        <v/>
      </c>
      <c r="C152" s="507">
        <f>IF(D93="","-",+C151+1)</f>
        <v>2068</v>
      </c>
      <c r="D152" s="374">
        <f>IF(F151+SUM(E$99:E151)=D$92,F151,D$92-SUM(E$99:E151))</f>
        <v>0</v>
      </c>
      <c r="E152" s="522">
        <f t="shared" si="27"/>
        <v>0</v>
      </c>
      <c r="F152" s="523">
        <f t="shared" si="28"/>
        <v>0</v>
      </c>
      <c r="G152" s="523">
        <f t="shared" si="29"/>
        <v>0</v>
      </c>
      <c r="H152" s="526">
        <f t="shared" si="30"/>
        <v>0</v>
      </c>
      <c r="I152" s="577">
        <f t="shared" si="31"/>
        <v>0</v>
      </c>
      <c r="J152" s="514">
        <f t="shared" si="26"/>
        <v>0</v>
      </c>
      <c r="K152" s="514"/>
      <c r="L152" s="525"/>
      <c r="M152" s="514">
        <f t="shared" si="32"/>
        <v>0</v>
      </c>
      <c r="N152" s="525"/>
      <c r="O152" s="514">
        <f t="shared" si="33"/>
        <v>0</v>
      </c>
      <c r="P152" s="514">
        <f t="shared" si="34"/>
        <v>0</v>
      </c>
    </row>
    <row r="153" spans="2:16" ht="12.5">
      <c r="B153" s="195" t="str">
        <f t="shared" si="25"/>
        <v/>
      </c>
      <c r="C153" s="507">
        <f>IF(D93="","-",+C152+1)</f>
        <v>2069</v>
      </c>
      <c r="D153" s="374">
        <f>IF(F152+SUM(E$99:E152)=D$92,F152,D$92-SUM(E$99:E152))</f>
        <v>0</v>
      </c>
      <c r="E153" s="522">
        <f t="shared" si="27"/>
        <v>0</v>
      </c>
      <c r="F153" s="523">
        <f t="shared" si="28"/>
        <v>0</v>
      </c>
      <c r="G153" s="523">
        <f t="shared" si="29"/>
        <v>0</v>
      </c>
      <c r="H153" s="526">
        <f t="shared" si="30"/>
        <v>0</v>
      </c>
      <c r="I153" s="577">
        <f t="shared" si="31"/>
        <v>0</v>
      </c>
      <c r="J153" s="514">
        <f t="shared" si="26"/>
        <v>0</v>
      </c>
      <c r="K153" s="514"/>
      <c r="L153" s="525"/>
      <c r="M153" s="514">
        <f t="shared" si="32"/>
        <v>0</v>
      </c>
      <c r="N153" s="525"/>
      <c r="O153" s="514">
        <f t="shared" si="33"/>
        <v>0</v>
      </c>
      <c r="P153" s="514">
        <f t="shared" si="34"/>
        <v>0</v>
      </c>
    </row>
    <row r="154" spans="2:16" ht="13" thickBot="1">
      <c r="B154" s="195" t="str">
        <f t="shared" si="25"/>
        <v/>
      </c>
      <c r="C154" s="527">
        <f>IF(D93="","-",+C153+1)</f>
        <v>2070</v>
      </c>
      <c r="D154" s="578">
        <f>IF(F153+SUM(E$99:E153)=D$92,F153,D$92-SUM(E$99:E153))</f>
        <v>0</v>
      </c>
      <c r="E154" s="529">
        <f t="shared" si="27"/>
        <v>0</v>
      </c>
      <c r="F154" s="528">
        <f t="shared" si="28"/>
        <v>0</v>
      </c>
      <c r="G154" s="528">
        <f t="shared" si="29"/>
        <v>0</v>
      </c>
      <c r="H154" s="530">
        <f t="shared" si="30"/>
        <v>0</v>
      </c>
      <c r="I154" s="579">
        <f t="shared" si="31"/>
        <v>0</v>
      </c>
      <c r="J154" s="533">
        <f t="shared" si="26"/>
        <v>0</v>
      </c>
      <c r="K154" s="514"/>
      <c r="L154" s="532"/>
      <c r="M154" s="533">
        <f t="shared" si="32"/>
        <v>0</v>
      </c>
      <c r="N154" s="532"/>
      <c r="O154" s="533">
        <f t="shared" si="33"/>
        <v>0</v>
      </c>
      <c r="P154" s="533">
        <f t="shared" si="34"/>
        <v>0</v>
      </c>
    </row>
    <row r="155" spans="2:16" ht="12.5">
      <c r="C155" s="374" t="s">
        <v>78</v>
      </c>
      <c r="D155" s="375"/>
      <c r="E155" s="375">
        <f>SUM(E99:E154)</f>
        <v>13851899.999999994</v>
      </c>
      <c r="F155" s="375"/>
      <c r="G155" s="375"/>
      <c r="H155" s="375">
        <f>SUM(H99:H154)</f>
        <v>47146703.150865577</v>
      </c>
      <c r="I155" s="375">
        <f>SUM(I99:I154)</f>
        <v>47146703.150865577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2" priority="3" stopIfTrue="1" operator="equal">
      <formula>$I$10</formula>
    </cfRule>
  </conditionalFormatting>
  <conditionalFormatting sqref="C99:C153">
    <cfRule type="cellIs" dxfId="51" priority="4" stopIfTrue="1" operator="equal">
      <formula>$J$92</formula>
    </cfRule>
  </conditionalFormatting>
  <conditionalFormatting sqref="C154">
    <cfRule type="cellIs" dxfId="50" priority="1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104"/>
  <dimension ref="A1:P162"/>
  <sheetViews>
    <sheetView view="pageBreakPreview" zoomScale="80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32.54296875" style="183" customWidth="1"/>
    <col min="17" max="17" width="9.1796875" style="183" customWidth="1"/>
    <col min="18" max="18" width="8.7265625" style="183"/>
    <col min="19" max="21" width="9.1796875" style="183" customWidth="1"/>
    <col min="22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55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1210467.8508998295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1210467.8508998295</v>
      </c>
      <c r="O6" s="269"/>
      <c r="P6" s="269"/>
    </row>
    <row r="7" spans="1:16" ht="13.5" thickBot="1">
      <c r="C7" s="467" t="s">
        <v>48</v>
      </c>
      <c r="D7" s="624" t="s">
        <v>355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356</v>
      </c>
      <c r="E9" s="637" t="s">
        <v>506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9381462.7200000007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223368.16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8831593</v>
      </c>
      <c r="E17" s="630">
        <v>105138.01190476192</v>
      </c>
      <c r="F17" s="631">
        <v>8726454.9880952388</v>
      </c>
      <c r="G17" s="630">
        <v>1240275.0587599066</v>
      </c>
      <c r="H17" s="639">
        <v>1240275.0587599066</v>
      </c>
      <c r="I17" s="511">
        <f t="shared" ref="I17:I72" si="0">H17-G17</f>
        <v>0</v>
      </c>
      <c r="J17" s="511"/>
      <c r="K17" s="512">
        <f t="shared" ref="K17:K22" si="1">+G17</f>
        <v>1240275.0587599066</v>
      </c>
      <c r="L17" s="513">
        <f t="shared" ref="L17:L72" si="2">IF(K17&lt;&gt;0,+G17-K17,0)</f>
        <v>0</v>
      </c>
      <c r="M17" s="512">
        <f t="shared" ref="M17:M22" si="3">+H17</f>
        <v>1240275.0587599066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31">
        <v>9270344.9880952388</v>
      </c>
      <c r="E18" s="630">
        <v>218034.48837209304</v>
      </c>
      <c r="F18" s="631">
        <v>9052310.4997231457</v>
      </c>
      <c r="G18" s="630">
        <v>1353054.593855357</v>
      </c>
      <c r="H18" s="639">
        <v>1353054.593855357</v>
      </c>
      <c r="I18" s="511">
        <f t="shared" si="0"/>
        <v>0</v>
      </c>
      <c r="J18" s="511"/>
      <c r="K18" s="518">
        <f t="shared" si="1"/>
        <v>1353054.593855357</v>
      </c>
      <c r="L18" s="519">
        <f t="shared" ref="L18:L23" si="6">IF(K18&lt;&gt;0,+G18-K18,0)</f>
        <v>0</v>
      </c>
      <c r="M18" s="518">
        <f t="shared" si="3"/>
        <v>1353054.593855357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31">
        <v>9052310.4997231457</v>
      </c>
      <c r="E19" s="630">
        <v>228670.31707317074</v>
      </c>
      <c r="F19" s="631">
        <v>8823640.1826499756</v>
      </c>
      <c r="G19" s="630">
        <v>1364634.2393042783</v>
      </c>
      <c r="H19" s="639">
        <v>1364634.2393042783</v>
      </c>
      <c r="I19" s="511">
        <f t="shared" si="0"/>
        <v>0</v>
      </c>
      <c r="J19" s="511"/>
      <c r="K19" s="518">
        <f t="shared" si="1"/>
        <v>1364634.2393042783</v>
      </c>
      <c r="L19" s="519">
        <f t="shared" si="6"/>
        <v>0</v>
      </c>
      <c r="M19" s="518">
        <f t="shared" si="3"/>
        <v>1364634.2393042783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31">
        <v>8823640.1826499756</v>
      </c>
      <c r="E20" s="630">
        <v>228670.31707317074</v>
      </c>
      <c r="F20" s="631">
        <v>8594969.8655768055</v>
      </c>
      <c r="G20" s="630">
        <v>1335571.5914042245</v>
      </c>
      <c r="H20" s="639">
        <v>1335571.5914042245</v>
      </c>
      <c r="I20" s="511">
        <f t="shared" si="0"/>
        <v>0</v>
      </c>
      <c r="J20" s="511"/>
      <c r="K20" s="518">
        <f t="shared" si="1"/>
        <v>1335571.5914042245</v>
      </c>
      <c r="L20" s="519">
        <f t="shared" si="6"/>
        <v>0</v>
      </c>
      <c r="M20" s="518">
        <f t="shared" si="3"/>
        <v>1335571.5914042245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/>
      </c>
      <c r="C21" s="507">
        <f>IF(D11="","-",+C20+1)</f>
        <v>2020</v>
      </c>
      <c r="D21" s="631">
        <v>8594969.8655768055</v>
      </c>
      <c r="E21" s="630">
        <v>228670.31707317074</v>
      </c>
      <c r="F21" s="631">
        <v>8366299.5485036345</v>
      </c>
      <c r="G21" s="630">
        <v>1096539.9309391833</v>
      </c>
      <c r="H21" s="639">
        <v>1096539.9309391833</v>
      </c>
      <c r="I21" s="511">
        <f t="shared" si="0"/>
        <v>0</v>
      </c>
      <c r="J21" s="511"/>
      <c r="K21" s="518">
        <f t="shared" si="1"/>
        <v>1096539.9309391833</v>
      </c>
      <c r="L21" s="519">
        <f t="shared" si="6"/>
        <v>0</v>
      </c>
      <c r="M21" s="518">
        <f t="shared" si="3"/>
        <v>1096539.9309391833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31">
        <v>8382915.3772047106</v>
      </c>
      <c r="E22" s="630">
        <v>223368.16666666666</v>
      </c>
      <c r="F22" s="631">
        <v>8159547.2105380436</v>
      </c>
      <c r="G22" s="630">
        <v>1100156.2769158005</v>
      </c>
      <c r="H22" s="639">
        <v>1100156.2769158005</v>
      </c>
      <c r="I22" s="511">
        <f t="shared" si="0"/>
        <v>0</v>
      </c>
      <c r="J22" s="511"/>
      <c r="K22" s="518">
        <f t="shared" si="1"/>
        <v>1100156.2769158005</v>
      </c>
      <c r="L22" s="519">
        <f t="shared" si="6"/>
        <v>0</v>
      </c>
      <c r="M22" s="518">
        <f t="shared" si="3"/>
        <v>1100156.2769158005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31">
        <v>8148911.3818369657</v>
      </c>
      <c r="E23" s="630">
        <v>223368.16666666666</v>
      </c>
      <c r="F23" s="631">
        <v>7925543.2151702987</v>
      </c>
      <c r="G23" s="630">
        <v>1127106.9316908673</v>
      </c>
      <c r="H23" s="639">
        <v>1127106.9316908673</v>
      </c>
      <c r="I23" s="511">
        <f t="shared" si="0"/>
        <v>0</v>
      </c>
      <c r="J23" s="511"/>
      <c r="K23" s="518">
        <f t="shared" ref="K23" si="8">+G23</f>
        <v>1127106.9316908673</v>
      </c>
      <c r="L23" s="519">
        <f t="shared" si="6"/>
        <v>0</v>
      </c>
      <c r="M23" s="518">
        <f t="shared" ref="M23" si="9">+H23</f>
        <v>1127106.9316908673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>IU</v>
      </c>
      <c r="C24" s="507">
        <f>IF(D11="","-",+C23+1)</f>
        <v>2023</v>
      </c>
      <c r="D24" s="523">
        <f>IF(F23+SUM(E$17:E23)=D$10,F23,D$10-SUM(E$17:E23))</f>
        <v>7925542.9351703003</v>
      </c>
      <c r="E24" s="522">
        <f>IF(+I14&lt;F23,I14,D24)</f>
        <v>223368.16</v>
      </c>
      <c r="F24" s="523">
        <f t="shared" ref="F24:F72" si="10">+D24-E24</f>
        <v>7702174.7751703002</v>
      </c>
      <c r="G24" s="524">
        <f t="shared" ref="G24:G49" si="11">+I$12*((D24+F24)/2)+E24</f>
        <v>1210467.8508998295</v>
      </c>
      <c r="H24" s="491">
        <f t="shared" ref="H24:H49" si="12">+I$13*((D24+F24)/2)+E24</f>
        <v>1210467.8508998295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2024</v>
      </c>
      <c r="D25" s="523">
        <f>IF(F24+SUM(E$17:E24)=D$10,F24,D$10-SUM(E$17:E24))</f>
        <v>7702174.7751703002</v>
      </c>
      <c r="E25" s="522">
        <f>IF(+I14&lt;F24,I14,D25)</f>
        <v>223368.16</v>
      </c>
      <c r="F25" s="523">
        <f t="shared" si="10"/>
        <v>7478806.6151703</v>
      </c>
      <c r="G25" s="524">
        <f t="shared" si="11"/>
        <v>1182250.4687101101</v>
      </c>
      <c r="H25" s="491">
        <f t="shared" si="12"/>
        <v>1182250.4687101101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7478806.6151703</v>
      </c>
      <c r="E26" s="522">
        <f>IF(+I14&lt;F25,I14,D26)</f>
        <v>223368.16</v>
      </c>
      <c r="F26" s="523">
        <f t="shared" si="10"/>
        <v>7255438.4551702999</v>
      </c>
      <c r="G26" s="524">
        <f t="shared" si="11"/>
        <v>1154033.0865203908</v>
      </c>
      <c r="H26" s="491">
        <f t="shared" si="12"/>
        <v>1154033.0865203908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7255438.4551702999</v>
      </c>
      <c r="E27" s="522">
        <f>IF(+I14&lt;F26,I14,D27)</f>
        <v>223368.16</v>
      </c>
      <c r="F27" s="523">
        <f t="shared" si="10"/>
        <v>7032070.2951702997</v>
      </c>
      <c r="G27" s="524">
        <f t="shared" si="11"/>
        <v>1125815.7043306713</v>
      </c>
      <c r="H27" s="491">
        <f t="shared" si="12"/>
        <v>1125815.7043306713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7032070.2951702997</v>
      </c>
      <c r="E28" s="522">
        <f>IF(+I14&lt;F27,I14,D28)</f>
        <v>223368.16</v>
      </c>
      <c r="F28" s="523">
        <f t="shared" si="10"/>
        <v>6808702.1351702996</v>
      </c>
      <c r="G28" s="524">
        <f t="shared" si="11"/>
        <v>1097598.3221409519</v>
      </c>
      <c r="H28" s="491">
        <f t="shared" si="12"/>
        <v>1097598.3221409519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6808702.1351702996</v>
      </c>
      <c r="E29" s="522">
        <f>IF(+I14&lt;F28,I14,D29)</f>
        <v>223368.16</v>
      </c>
      <c r="F29" s="523">
        <f t="shared" si="10"/>
        <v>6585333.9751702994</v>
      </c>
      <c r="G29" s="524">
        <f t="shared" si="11"/>
        <v>1069380.9399512324</v>
      </c>
      <c r="H29" s="491">
        <f t="shared" si="12"/>
        <v>1069380.9399512324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6585333.9751702994</v>
      </c>
      <c r="E30" s="522">
        <f>IF(+I14&lt;F29,I14,D30)</f>
        <v>223368.16</v>
      </c>
      <c r="F30" s="523">
        <f t="shared" si="10"/>
        <v>6361965.8151702993</v>
      </c>
      <c r="G30" s="524">
        <f t="shared" si="11"/>
        <v>1041163.557761513</v>
      </c>
      <c r="H30" s="491">
        <f t="shared" si="12"/>
        <v>1041163.557761513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6361965.8151702993</v>
      </c>
      <c r="E31" s="522">
        <f>IF(+I14&lt;F30,I14,D31)</f>
        <v>223368.16</v>
      </c>
      <c r="F31" s="523">
        <f t="shared" si="10"/>
        <v>6138597.6551702991</v>
      </c>
      <c r="G31" s="524">
        <f t="shared" si="11"/>
        <v>1012946.1755717937</v>
      </c>
      <c r="H31" s="491">
        <f t="shared" si="12"/>
        <v>1012946.1755717937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6138597.6551702991</v>
      </c>
      <c r="E32" s="522">
        <f>IF(+I14&lt;F31,I14,D32)</f>
        <v>223368.16</v>
      </c>
      <c r="F32" s="523">
        <f t="shared" si="10"/>
        <v>5915229.495170299</v>
      </c>
      <c r="G32" s="524">
        <f t="shared" si="11"/>
        <v>984728.79338207422</v>
      </c>
      <c r="H32" s="491">
        <f t="shared" si="12"/>
        <v>984728.79338207422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5915229.495170299</v>
      </c>
      <c r="E33" s="522">
        <f>IF(+I14&lt;F32,I14,D33)</f>
        <v>223368.16</v>
      </c>
      <c r="F33" s="523">
        <f t="shared" si="10"/>
        <v>5691861.3351702988</v>
      </c>
      <c r="G33" s="524">
        <f t="shared" si="11"/>
        <v>956511.41119235486</v>
      </c>
      <c r="H33" s="491">
        <f t="shared" si="12"/>
        <v>956511.41119235486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5691861.3351702988</v>
      </c>
      <c r="E34" s="522">
        <f>IF(+I14&lt;F33,I14,D34)</f>
        <v>223368.16</v>
      </c>
      <c r="F34" s="523">
        <f t="shared" si="10"/>
        <v>5468493.1751702987</v>
      </c>
      <c r="G34" s="524">
        <f t="shared" si="11"/>
        <v>928294.02900263539</v>
      </c>
      <c r="H34" s="491">
        <f t="shared" si="12"/>
        <v>928294.02900263539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5468493.1751702987</v>
      </c>
      <c r="E35" s="522">
        <f>IF(+I14&lt;F34,I14,D35)</f>
        <v>223368.16</v>
      </c>
      <c r="F35" s="523">
        <f t="shared" si="10"/>
        <v>5245125.0151702985</v>
      </c>
      <c r="G35" s="524">
        <f t="shared" si="11"/>
        <v>900076.64681291592</v>
      </c>
      <c r="H35" s="491">
        <f t="shared" si="12"/>
        <v>900076.64681291592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5245125.0151702985</v>
      </c>
      <c r="E36" s="522">
        <f>IF(+I14&lt;F35,I14,D36)</f>
        <v>223368.16</v>
      </c>
      <c r="F36" s="523">
        <f t="shared" si="10"/>
        <v>5021756.8551702984</v>
      </c>
      <c r="G36" s="524">
        <f t="shared" si="11"/>
        <v>871859.26462319656</v>
      </c>
      <c r="H36" s="491">
        <f t="shared" si="12"/>
        <v>871859.26462319656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5021756.8551702984</v>
      </c>
      <c r="E37" s="522">
        <f>IF(+I14&lt;F36,I14,D37)</f>
        <v>223368.16</v>
      </c>
      <c r="F37" s="523">
        <f t="shared" si="10"/>
        <v>4798388.6951702982</v>
      </c>
      <c r="G37" s="524">
        <f t="shared" si="11"/>
        <v>843641.88243347709</v>
      </c>
      <c r="H37" s="491">
        <f t="shared" si="12"/>
        <v>843641.88243347709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4798388.6951702982</v>
      </c>
      <c r="E38" s="522">
        <f>IF(+I14&lt;F37,I14,D38)</f>
        <v>223368.16</v>
      </c>
      <c r="F38" s="523">
        <f t="shared" si="10"/>
        <v>4575020.5351702981</v>
      </c>
      <c r="G38" s="524">
        <f t="shared" si="11"/>
        <v>815424.50024375774</v>
      </c>
      <c r="H38" s="491">
        <f t="shared" si="12"/>
        <v>815424.50024375774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4575020.5351702981</v>
      </c>
      <c r="E39" s="522">
        <f>IF(+I14&lt;F38,I14,D39)</f>
        <v>223368.16</v>
      </c>
      <c r="F39" s="523">
        <f t="shared" si="10"/>
        <v>4351652.3751702979</v>
      </c>
      <c r="G39" s="524">
        <f t="shared" si="11"/>
        <v>787207.11805403826</v>
      </c>
      <c r="H39" s="491">
        <f t="shared" si="12"/>
        <v>787207.11805403826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4351652.3751702979</v>
      </c>
      <c r="E40" s="522">
        <f>IF(+I14&lt;F39,I14,D40)</f>
        <v>223368.16</v>
      </c>
      <c r="F40" s="523">
        <f t="shared" si="10"/>
        <v>4128284.2151702978</v>
      </c>
      <c r="G40" s="524">
        <f t="shared" si="11"/>
        <v>758989.73586431891</v>
      </c>
      <c r="H40" s="491">
        <f t="shared" si="12"/>
        <v>758989.73586431891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4128284.2151702978</v>
      </c>
      <c r="E41" s="522">
        <f>IF(+I14&lt;F40,I14,D41)</f>
        <v>223368.16</v>
      </c>
      <c r="F41" s="523">
        <f t="shared" si="10"/>
        <v>3904916.0551702976</v>
      </c>
      <c r="G41" s="524">
        <f t="shared" si="11"/>
        <v>730772.35367459944</v>
      </c>
      <c r="H41" s="491">
        <f t="shared" si="12"/>
        <v>730772.35367459944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3904916.0551702976</v>
      </c>
      <c r="E42" s="522">
        <f>IF(+I14&lt;F41,I14,D42)</f>
        <v>223368.16</v>
      </c>
      <c r="F42" s="523">
        <f t="shared" si="10"/>
        <v>3681547.8951702975</v>
      </c>
      <c r="G42" s="524">
        <f t="shared" si="11"/>
        <v>702554.97148487996</v>
      </c>
      <c r="H42" s="491">
        <f t="shared" si="12"/>
        <v>702554.97148487996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3681547.8951702975</v>
      </c>
      <c r="E43" s="522">
        <f>IF(+I14&lt;F42,I14,D43)</f>
        <v>223368.16</v>
      </c>
      <c r="F43" s="523">
        <f t="shared" si="10"/>
        <v>3458179.7351702973</v>
      </c>
      <c r="G43" s="524">
        <f t="shared" si="11"/>
        <v>674337.58929516061</v>
      </c>
      <c r="H43" s="491">
        <f t="shared" si="12"/>
        <v>674337.58929516061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3458179.7351702973</v>
      </c>
      <c r="E44" s="522">
        <f>IF(+I14&lt;F43,I14,D44)</f>
        <v>223368.16</v>
      </c>
      <c r="F44" s="523">
        <f t="shared" si="10"/>
        <v>3234811.5751702972</v>
      </c>
      <c r="G44" s="524">
        <f t="shared" si="11"/>
        <v>646120.20710544114</v>
      </c>
      <c r="H44" s="491">
        <f t="shared" si="12"/>
        <v>646120.20710544114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3234811.5751702972</v>
      </c>
      <c r="E45" s="522">
        <f>IF(+I14&lt;F44,I14,D45)</f>
        <v>223368.16</v>
      </c>
      <c r="F45" s="523">
        <f t="shared" si="10"/>
        <v>3011443.415170297</v>
      </c>
      <c r="G45" s="524">
        <f t="shared" si="11"/>
        <v>617902.82491572166</v>
      </c>
      <c r="H45" s="491">
        <f t="shared" si="12"/>
        <v>617902.82491572166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3011443.415170297</v>
      </c>
      <c r="E46" s="522">
        <f>IF(+I14&lt;F45,I14,D46)</f>
        <v>223368.16</v>
      </c>
      <c r="F46" s="523">
        <f t="shared" si="10"/>
        <v>2788075.2551702969</v>
      </c>
      <c r="G46" s="524">
        <f t="shared" si="11"/>
        <v>589685.44272600231</v>
      </c>
      <c r="H46" s="491">
        <f t="shared" si="12"/>
        <v>589685.44272600231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2788075.2551702969</v>
      </c>
      <c r="E47" s="522">
        <f>IF(+I14&lt;F46,I14,D47)</f>
        <v>223368.16</v>
      </c>
      <c r="F47" s="523">
        <f t="shared" si="10"/>
        <v>2564707.0951702967</v>
      </c>
      <c r="G47" s="524">
        <f t="shared" si="11"/>
        <v>561468.06053628284</v>
      </c>
      <c r="H47" s="491">
        <f t="shared" si="12"/>
        <v>561468.06053628284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2564707.0951702967</v>
      </c>
      <c r="E48" s="522">
        <f>IF(+I14&lt;F47,I14,D48)</f>
        <v>223368.16</v>
      </c>
      <c r="F48" s="523">
        <f t="shared" si="10"/>
        <v>2341338.9351702966</v>
      </c>
      <c r="G48" s="524">
        <f t="shared" si="11"/>
        <v>533250.67834656348</v>
      </c>
      <c r="H48" s="491">
        <f t="shared" si="12"/>
        <v>533250.67834656348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2341338.9351702966</v>
      </c>
      <c r="E49" s="522">
        <f>IF(+I14&lt;F48,I14,D49)</f>
        <v>223368.16</v>
      </c>
      <c r="F49" s="523">
        <f t="shared" si="10"/>
        <v>2117970.7751702964</v>
      </c>
      <c r="G49" s="524">
        <f t="shared" si="11"/>
        <v>505033.29615684401</v>
      </c>
      <c r="H49" s="491">
        <f t="shared" si="12"/>
        <v>505033.29615684401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2117970.7751702964</v>
      </c>
      <c r="E50" s="522">
        <f>IF(+I14&lt;F49,I14,D50)</f>
        <v>223368.16</v>
      </c>
      <c r="F50" s="523">
        <f t="shared" si="10"/>
        <v>1894602.6151702965</v>
      </c>
      <c r="G50" s="524">
        <f t="shared" ref="G50:G72" si="13">+I$12*((D50+F50)/2)+E50</f>
        <v>476815.91396712459</v>
      </c>
      <c r="H50" s="491">
        <f t="shared" ref="H50:H72" si="14">+I$13*((D50+F50)/2)+E50</f>
        <v>476815.91396712459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1894602.6151702965</v>
      </c>
      <c r="E51" s="522">
        <f>IF(+I14&lt;F50,I14,D51)</f>
        <v>223368.16</v>
      </c>
      <c r="F51" s="523">
        <f t="shared" si="10"/>
        <v>1671234.4551702966</v>
      </c>
      <c r="G51" s="524">
        <f t="shared" si="13"/>
        <v>448598.53177740524</v>
      </c>
      <c r="H51" s="491">
        <f t="shared" si="14"/>
        <v>448598.53177740524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1671234.4551702966</v>
      </c>
      <c r="E52" s="522">
        <f>IF(+I14&lt;F51,I14,D52)</f>
        <v>223368.16</v>
      </c>
      <c r="F52" s="523">
        <f t="shared" si="10"/>
        <v>1447866.2951702967</v>
      </c>
      <c r="G52" s="524">
        <f t="shared" si="13"/>
        <v>420381.14958768582</v>
      </c>
      <c r="H52" s="491">
        <f t="shared" si="14"/>
        <v>420381.14958768582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1447866.2951702967</v>
      </c>
      <c r="E53" s="522">
        <f>IF(+I14&lt;F52,I14,D53)</f>
        <v>223368.16</v>
      </c>
      <c r="F53" s="523">
        <f t="shared" si="10"/>
        <v>1224498.1351702968</v>
      </c>
      <c r="G53" s="524">
        <f t="shared" si="13"/>
        <v>392163.76739796647</v>
      </c>
      <c r="H53" s="491">
        <f t="shared" si="14"/>
        <v>392163.76739796647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1224498.1351702968</v>
      </c>
      <c r="E54" s="522">
        <f>IF(+I14&lt;F53,I14,D54)</f>
        <v>223368.16</v>
      </c>
      <c r="F54" s="523">
        <f t="shared" si="10"/>
        <v>1001129.9751702967</v>
      </c>
      <c r="G54" s="524">
        <f t="shared" si="13"/>
        <v>363946.385208247</v>
      </c>
      <c r="H54" s="491">
        <f t="shared" si="14"/>
        <v>363946.385208247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1001129.9751702967</v>
      </c>
      <c r="E55" s="522">
        <f>IF(+I14&lt;F54,I14,D55)</f>
        <v>223368.16</v>
      </c>
      <c r="F55" s="523">
        <f t="shared" si="10"/>
        <v>777761.8151702967</v>
      </c>
      <c r="G55" s="524">
        <f t="shared" si="13"/>
        <v>335729.00301852764</v>
      </c>
      <c r="H55" s="491">
        <f t="shared" si="14"/>
        <v>335729.00301852764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777761.8151702967</v>
      </c>
      <c r="E56" s="522">
        <f>IF(+I14&lt;F55,I14,D56)</f>
        <v>223368.16</v>
      </c>
      <c r="F56" s="523">
        <f t="shared" si="10"/>
        <v>554393.65517029667</v>
      </c>
      <c r="G56" s="524">
        <f t="shared" si="13"/>
        <v>307511.62082880823</v>
      </c>
      <c r="H56" s="491">
        <f t="shared" si="14"/>
        <v>307511.62082880823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554393.65517029667</v>
      </c>
      <c r="E57" s="522">
        <f>IF(+I14&lt;F56,I14,D57)</f>
        <v>223368.16</v>
      </c>
      <c r="F57" s="523">
        <f t="shared" si="10"/>
        <v>331025.49517029664</v>
      </c>
      <c r="G57" s="524">
        <f t="shared" si="13"/>
        <v>279294.23863908881</v>
      </c>
      <c r="H57" s="491">
        <f t="shared" si="14"/>
        <v>279294.23863908881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331025.49517029664</v>
      </c>
      <c r="E58" s="522">
        <f>IF(+I14&lt;F57,I14,D58)</f>
        <v>223368.16</v>
      </c>
      <c r="F58" s="523">
        <f t="shared" si="10"/>
        <v>107657.33517029663</v>
      </c>
      <c r="G58" s="524">
        <f t="shared" si="13"/>
        <v>251076.8564493694</v>
      </c>
      <c r="H58" s="491">
        <f t="shared" si="14"/>
        <v>251076.8564493694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107657.33517029663</v>
      </c>
      <c r="E59" s="522">
        <f>IF(+I14&lt;F58,I14,D59)</f>
        <v>107657.33517029663</v>
      </c>
      <c r="F59" s="523">
        <f t="shared" si="10"/>
        <v>0</v>
      </c>
      <c r="G59" s="524">
        <f t="shared" si="13"/>
        <v>114457.33784755149</v>
      </c>
      <c r="H59" s="491">
        <f t="shared" si="14"/>
        <v>114457.33784755149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0"/>
        <v>0</v>
      </c>
      <c r="G60" s="524">
        <f t="shared" si="13"/>
        <v>0</v>
      </c>
      <c r="H60" s="491">
        <f t="shared" si="14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0"/>
        <v>0</v>
      </c>
      <c r="G61" s="526">
        <f t="shared" si="13"/>
        <v>0</v>
      </c>
      <c r="H61" s="491">
        <f t="shared" si="14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0"/>
        <v>0</v>
      </c>
      <c r="G62" s="526">
        <f t="shared" si="13"/>
        <v>0</v>
      </c>
      <c r="H62" s="491">
        <f t="shared" si="14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0"/>
        <v>0</v>
      </c>
      <c r="G63" s="526">
        <f t="shared" si="13"/>
        <v>0</v>
      </c>
      <c r="H63" s="491">
        <f t="shared" si="14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0"/>
        <v>0</v>
      </c>
      <c r="G64" s="526">
        <f t="shared" si="13"/>
        <v>0</v>
      </c>
      <c r="H64" s="491">
        <f t="shared" si="14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0"/>
        <v>0</v>
      </c>
      <c r="G65" s="526">
        <f t="shared" si="13"/>
        <v>0</v>
      </c>
      <c r="H65" s="491">
        <f t="shared" si="14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0"/>
        <v>0</v>
      </c>
      <c r="G66" s="526">
        <f t="shared" si="13"/>
        <v>0</v>
      </c>
      <c r="H66" s="491">
        <f t="shared" si="14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0"/>
        <v>0</v>
      </c>
      <c r="G67" s="526">
        <f t="shared" si="13"/>
        <v>0</v>
      </c>
      <c r="H67" s="491">
        <f t="shared" si="14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0"/>
        <v>0</v>
      </c>
      <c r="G68" s="526">
        <f t="shared" si="13"/>
        <v>0</v>
      </c>
      <c r="H68" s="491">
        <f t="shared" si="14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0"/>
        <v>0</v>
      </c>
      <c r="G69" s="526">
        <f t="shared" si="13"/>
        <v>0</v>
      </c>
      <c r="H69" s="491">
        <f t="shared" si="14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0"/>
        <v>0</v>
      </c>
      <c r="G70" s="526">
        <f t="shared" si="13"/>
        <v>0</v>
      </c>
      <c r="H70" s="491">
        <f t="shared" si="14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0"/>
        <v>0</v>
      </c>
      <c r="G71" s="526">
        <f t="shared" si="13"/>
        <v>0</v>
      </c>
      <c r="H71" s="491">
        <f t="shared" si="14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0"/>
        <v>0</v>
      </c>
      <c r="G72" s="530">
        <f t="shared" si="13"/>
        <v>0</v>
      </c>
      <c r="H72" s="471">
        <f t="shared" si="14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9381462.7200000025</v>
      </c>
      <c r="F73" s="375"/>
      <c r="G73" s="375">
        <f>SUM(G17:G72)</f>
        <v>34308828.339328155</v>
      </c>
      <c r="H73" s="375">
        <f>SUM(H17:H72)</f>
        <v>34308828.339328155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55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1100156.2769158005</v>
      </c>
      <c r="N87" s="546">
        <f>IF(J92&lt;D11,0,VLOOKUP(J92,C17:O72,11))</f>
        <v>1100156.2769158005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1163426.5326920082</v>
      </c>
      <c r="N88" s="550">
        <f>IF(J92&lt;D11,0,VLOOKUP(J92,C99:P154,7))</f>
        <v>1163426.5326920082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Ellerbe Rd-S Shreveport 69 kv 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63270.255776207661</v>
      </c>
      <c r="N89" s="555">
        <f>+N88-N87</f>
        <v>63270.255776207661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TP201154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v>9381463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228816.17073170733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145356.32558139536</v>
      </c>
      <c r="F99" s="651">
        <v>9230126.674418604</v>
      </c>
      <c r="G99" s="652">
        <v>4615063.337209302</v>
      </c>
      <c r="H99" s="653">
        <v>731238.56219016481</v>
      </c>
      <c r="I99" s="654">
        <v>731238.56219016481</v>
      </c>
      <c r="J99" s="514">
        <f t="shared" ref="J99:J130" si="15">+I99-H99</f>
        <v>0</v>
      </c>
      <c r="K99" s="514"/>
      <c r="L99" s="512">
        <f>+H99</f>
        <v>731238.56219016481</v>
      </c>
      <c r="M99" s="513">
        <f t="shared" ref="M99:M130" si="16">IF(L99&lt;&gt;0,+H99-L99,0)</f>
        <v>0</v>
      </c>
      <c r="N99" s="512">
        <f>+I99</f>
        <v>731238.56219016481</v>
      </c>
      <c r="O99" s="513">
        <f t="shared" ref="O99:O130" si="17">IF(N99&lt;&gt;0,+I99-N99,0)</f>
        <v>0</v>
      </c>
      <c r="P99" s="513">
        <f t="shared" ref="P99:P130" si="18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9236106.674418604</v>
      </c>
      <c r="E100" s="630">
        <v>223368.16666666666</v>
      </c>
      <c r="F100" s="631">
        <v>9012738.507751938</v>
      </c>
      <c r="G100" s="631">
        <v>9124422.59108527</v>
      </c>
      <c r="H100" s="633">
        <v>1331725.0793304511</v>
      </c>
      <c r="I100" s="634">
        <v>1331725.0793304511</v>
      </c>
      <c r="J100" s="514">
        <f t="shared" si="15"/>
        <v>0</v>
      </c>
      <c r="K100" s="514"/>
      <c r="L100" s="655">
        <f>+H100</f>
        <v>1331725.0793304511</v>
      </c>
      <c r="M100" s="514">
        <f t="shared" si="16"/>
        <v>0</v>
      </c>
      <c r="N100" s="655">
        <f>+I100</f>
        <v>1331725.0793304511</v>
      </c>
      <c r="O100" s="514">
        <f t="shared" si="17"/>
        <v>0</v>
      </c>
      <c r="P100" s="514">
        <f t="shared" si="18"/>
        <v>0</v>
      </c>
    </row>
    <row r="101" spans="1:16" ht="12.5">
      <c r="B101" s="195" t="str">
        <f t="shared" ref="B101:B154" si="19">IF(D101=F100,"","IU")</f>
        <v/>
      </c>
      <c r="C101" s="507">
        <f>IF(D93="","-",+C100+1)</f>
        <v>2018</v>
      </c>
      <c r="D101" s="629">
        <v>9012738.507751938</v>
      </c>
      <c r="E101" s="630">
        <v>223368.16666666666</v>
      </c>
      <c r="F101" s="631">
        <v>8789370.3410852719</v>
      </c>
      <c r="G101" s="631">
        <v>8901054.4244186059</v>
      </c>
      <c r="H101" s="633">
        <v>1163360.3325167969</v>
      </c>
      <c r="I101" s="634">
        <v>1163360.3325167969</v>
      </c>
      <c r="J101" s="514">
        <f t="shared" si="15"/>
        <v>0</v>
      </c>
      <c r="K101" s="514"/>
      <c r="L101" s="655">
        <f>+H101</f>
        <v>1163360.3325167969</v>
      </c>
      <c r="M101" s="514">
        <f t="shared" ref="M101" si="20">IF(L101&lt;&gt;0,+H101-L101,0)</f>
        <v>0</v>
      </c>
      <c r="N101" s="655">
        <f>+I101</f>
        <v>1163360.3325167969</v>
      </c>
      <c r="O101" s="514">
        <f t="shared" ref="O101" si="21">IF(N101&lt;&gt;0,+I101-N101,0)</f>
        <v>0</v>
      </c>
      <c r="P101" s="514">
        <f t="shared" si="18"/>
        <v>0</v>
      </c>
    </row>
    <row r="102" spans="1:16" ht="12.5">
      <c r="B102" s="195" t="str">
        <f t="shared" si="19"/>
        <v/>
      </c>
      <c r="C102" s="507">
        <f>IF(D93="","-",+C101+1)</f>
        <v>2019</v>
      </c>
      <c r="D102" s="629">
        <v>8789370.3410852719</v>
      </c>
      <c r="E102" s="630">
        <v>218173.55813953487</v>
      </c>
      <c r="F102" s="631">
        <v>8571196.7829457372</v>
      </c>
      <c r="G102" s="631">
        <v>8680283.5620155036</v>
      </c>
      <c r="H102" s="633">
        <v>1147315.8547577483</v>
      </c>
      <c r="I102" s="634">
        <v>1147315.8547577483</v>
      </c>
      <c r="J102" s="514">
        <f t="shared" si="15"/>
        <v>0</v>
      </c>
      <c r="K102" s="514"/>
      <c r="L102" s="655">
        <f>+H102</f>
        <v>1147315.8547577483</v>
      </c>
      <c r="M102" s="514">
        <f t="shared" ref="M102:M103" si="22">IF(L102&lt;&gt;0,+H102-L102,0)</f>
        <v>0</v>
      </c>
      <c r="N102" s="655">
        <f>+I102</f>
        <v>1147315.8547577483</v>
      </c>
      <c r="O102" s="514">
        <f t="shared" si="17"/>
        <v>0</v>
      </c>
      <c r="P102" s="514">
        <f t="shared" si="18"/>
        <v>0</v>
      </c>
    </row>
    <row r="103" spans="1:16" ht="12.5">
      <c r="B103" s="195" t="str">
        <f t="shared" si="19"/>
        <v/>
      </c>
      <c r="C103" s="507">
        <f>IF(D93="","-",+C102+1)</f>
        <v>2020</v>
      </c>
      <c r="D103" s="629">
        <v>8571196.7829457372</v>
      </c>
      <c r="E103" s="630">
        <v>223368.16666666666</v>
      </c>
      <c r="F103" s="631">
        <v>8347828.6162790703</v>
      </c>
      <c r="G103" s="631">
        <v>8459512.6996124033</v>
      </c>
      <c r="H103" s="633">
        <v>1133390.3688526335</v>
      </c>
      <c r="I103" s="634">
        <v>1133390.3688526335</v>
      </c>
      <c r="J103" s="514">
        <f t="shared" si="15"/>
        <v>0</v>
      </c>
      <c r="K103" s="514"/>
      <c r="L103" s="655">
        <f>+H103</f>
        <v>1133390.3688526335</v>
      </c>
      <c r="M103" s="514">
        <f t="shared" si="22"/>
        <v>0</v>
      </c>
      <c r="N103" s="655">
        <f>+I103</f>
        <v>1133390.3688526335</v>
      </c>
      <c r="O103" s="514">
        <f t="shared" si="17"/>
        <v>0</v>
      </c>
      <c r="P103" s="514">
        <f t="shared" si="18"/>
        <v>0</v>
      </c>
    </row>
    <row r="104" spans="1:16" ht="12.5">
      <c r="B104" s="195" t="str">
        <f t="shared" si="19"/>
        <v/>
      </c>
      <c r="C104" s="507">
        <f>IF(D93="","-",+C103+1)</f>
        <v>2021</v>
      </c>
      <c r="D104" s="374">
        <f>IF(F103+SUM(E$99:E103)=D$92,F103,D$92-SUM(E$99:E103))</f>
        <v>8347828.6162790703</v>
      </c>
      <c r="E104" s="522">
        <f>IF(+J96&lt;F103,J96,D104)</f>
        <v>228816.17073170733</v>
      </c>
      <c r="F104" s="523">
        <f t="shared" ref="F104:F130" si="23">+D104-E104</f>
        <v>8119012.4455473628</v>
      </c>
      <c r="G104" s="523">
        <f t="shared" ref="G104:G130" si="24">+(F104+D104)/2</f>
        <v>8233420.530913217</v>
      </c>
      <c r="H104" s="526">
        <f t="shared" ref="H104:H154" si="25">+J$94*G104+E104</f>
        <v>1163426.5326920082</v>
      </c>
      <c r="I104" s="577">
        <f t="shared" ref="I104:I154" si="26">+J$95*G104+E104</f>
        <v>1163426.5326920082</v>
      </c>
      <c r="J104" s="514">
        <f t="shared" si="15"/>
        <v>0</v>
      </c>
      <c r="K104" s="514"/>
      <c r="L104" s="525"/>
      <c r="M104" s="514">
        <f t="shared" si="16"/>
        <v>0</v>
      </c>
      <c r="N104" s="525"/>
      <c r="O104" s="514">
        <f t="shared" si="17"/>
        <v>0</v>
      </c>
      <c r="P104" s="514">
        <f t="shared" si="18"/>
        <v>0</v>
      </c>
    </row>
    <row r="105" spans="1:16" ht="12.5">
      <c r="B105" s="195" t="str">
        <f t="shared" si="19"/>
        <v/>
      </c>
      <c r="C105" s="507">
        <f>IF(D93="","-",+C104+1)</f>
        <v>2022</v>
      </c>
      <c r="D105" s="374">
        <f>IF(F104+SUM(E$99:E104)=D$92,F104,D$92-SUM(E$99:E104))</f>
        <v>8119012.4455473628</v>
      </c>
      <c r="E105" s="522">
        <f>IF(+J96&lt;F104,J96,D105)</f>
        <v>228816.17073170733</v>
      </c>
      <c r="F105" s="523">
        <f t="shared" si="23"/>
        <v>7890196.2748156553</v>
      </c>
      <c r="G105" s="523">
        <f t="shared" si="24"/>
        <v>8004604.3601815086</v>
      </c>
      <c r="H105" s="526">
        <f t="shared" si="25"/>
        <v>1137452.642090041</v>
      </c>
      <c r="I105" s="577">
        <f t="shared" si="26"/>
        <v>1137452.642090041</v>
      </c>
      <c r="J105" s="514">
        <f t="shared" si="15"/>
        <v>0</v>
      </c>
      <c r="K105" s="514"/>
      <c r="L105" s="525"/>
      <c r="M105" s="514">
        <f t="shared" si="16"/>
        <v>0</v>
      </c>
      <c r="N105" s="525"/>
      <c r="O105" s="514">
        <f t="shared" si="17"/>
        <v>0</v>
      </c>
      <c r="P105" s="514">
        <f t="shared" si="18"/>
        <v>0</v>
      </c>
    </row>
    <row r="106" spans="1:16" ht="12.5">
      <c r="B106" s="195" t="str">
        <f t="shared" si="19"/>
        <v/>
      </c>
      <c r="C106" s="507">
        <f>IF(D93="","-",+C105+1)</f>
        <v>2023</v>
      </c>
      <c r="D106" s="374">
        <f>IF(F105+SUM(E$99:E105)=D$92,F105,D$92-SUM(E$99:E105))</f>
        <v>7890196.2748156553</v>
      </c>
      <c r="E106" s="522">
        <f>IF(+J96&lt;F105,J96,D106)</f>
        <v>228816.17073170733</v>
      </c>
      <c r="F106" s="523">
        <f t="shared" si="23"/>
        <v>7661380.1040839478</v>
      </c>
      <c r="G106" s="523">
        <f t="shared" si="24"/>
        <v>7775788.189449802</v>
      </c>
      <c r="H106" s="526">
        <f t="shared" si="25"/>
        <v>1111478.7514880737</v>
      </c>
      <c r="I106" s="577">
        <f t="shared" si="26"/>
        <v>1111478.7514880737</v>
      </c>
      <c r="J106" s="514">
        <f t="shared" si="15"/>
        <v>0</v>
      </c>
      <c r="K106" s="514"/>
      <c r="L106" s="525"/>
      <c r="M106" s="514">
        <f t="shared" si="16"/>
        <v>0</v>
      </c>
      <c r="N106" s="525"/>
      <c r="O106" s="514">
        <f t="shared" si="17"/>
        <v>0</v>
      </c>
      <c r="P106" s="514">
        <f t="shared" si="18"/>
        <v>0</v>
      </c>
    </row>
    <row r="107" spans="1:16" ht="12.5">
      <c r="B107" s="195" t="str">
        <f t="shared" si="19"/>
        <v/>
      </c>
      <c r="C107" s="507">
        <f>IF(D93="","-",+C106+1)</f>
        <v>2024</v>
      </c>
      <c r="D107" s="374">
        <f>IF(F106+SUM(E$99:E106)=D$92,F106,D$92-SUM(E$99:E106))</f>
        <v>7661380.1040839478</v>
      </c>
      <c r="E107" s="522">
        <f>IF(+J96&lt;F106,J96,D107)</f>
        <v>228816.17073170733</v>
      </c>
      <c r="F107" s="523">
        <f t="shared" si="23"/>
        <v>7432563.9333522404</v>
      </c>
      <c r="G107" s="523">
        <f t="shared" si="24"/>
        <v>7546972.0187180936</v>
      </c>
      <c r="H107" s="526">
        <f t="shared" si="25"/>
        <v>1085504.8608861063</v>
      </c>
      <c r="I107" s="577">
        <f t="shared" si="26"/>
        <v>1085504.8608861063</v>
      </c>
      <c r="J107" s="514">
        <f t="shared" si="15"/>
        <v>0</v>
      </c>
      <c r="K107" s="514"/>
      <c r="L107" s="525"/>
      <c r="M107" s="514">
        <f t="shared" si="16"/>
        <v>0</v>
      </c>
      <c r="N107" s="525"/>
      <c r="O107" s="514">
        <f t="shared" si="17"/>
        <v>0</v>
      </c>
      <c r="P107" s="514">
        <f t="shared" si="18"/>
        <v>0</v>
      </c>
    </row>
    <row r="108" spans="1:16" ht="12.5">
      <c r="B108" s="195" t="str">
        <f t="shared" si="19"/>
        <v/>
      </c>
      <c r="C108" s="507">
        <f>IF(D93="","-",+C107+1)</f>
        <v>2025</v>
      </c>
      <c r="D108" s="374">
        <f>IF(F107+SUM(E$99:E107)=D$92,F107,D$92-SUM(E$99:E107))</f>
        <v>7432563.9333522404</v>
      </c>
      <c r="E108" s="522">
        <f>IF(+J96&lt;F107,J96,D108)</f>
        <v>228816.17073170733</v>
      </c>
      <c r="F108" s="523">
        <f t="shared" si="23"/>
        <v>7203747.7626205329</v>
      </c>
      <c r="G108" s="523">
        <f t="shared" si="24"/>
        <v>7318155.8479863871</v>
      </c>
      <c r="H108" s="526">
        <f t="shared" si="25"/>
        <v>1059530.970284139</v>
      </c>
      <c r="I108" s="577">
        <f t="shared" si="26"/>
        <v>1059530.970284139</v>
      </c>
      <c r="J108" s="514">
        <f t="shared" si="15"/>
        <v>0</v>
      </c>
      <c r="K108" s="514"/>
      <c r="L108" s="525"/>
      <c r="M108" s="514">
        <f t="shared" si="16"/>
        <v>0</v>
      </c>
      <c r="N108" s="525"/>
      <c r="O108" s="514">
        <f t="shared" si="17"/>
        <v>0</v>
      </c>
      <c r="P108" s="514">
        <f t="shared" si="18"/>
        <v>0</v>
      </c>
    </row>
    <row r="109" spans="1:16" ht="12.5">
      <c r="B109" s="195" t="str">
        <f t="shared" si="19"/>
        <v/>
      </c>
      <c r="C109" s="507">
        <f>IF(D93="","-",+C108+1)</f>
        <v>2026</v>
      </c>
      <c r="D109" s="374">
        <f>IF(F108+SUM(E$99:E108)=D$92,F108,D$92-SUM(E$99:E108))</f>
        <v>7203747.7626205329</v>
      </c>
      <c r="E109" s="522">
        <f>IF(+J96&lt;F108,J96,D109)</f>
        <v>228816.17073170733</v>
      </c>
      <c r="F109" s="523">
        <f t="shared" si="23"/>
        <v>6974931.5918888254</v>
      </c>
      <c r="G109" s="523">
        <f t="shared" si="24"/>
        <v>7089339.6772546787</v>
      </c>
      <c r="H109" s="526">
        <f t="shared" si="25"/>
        <v>1033557.0796821718</v>
      </c>
      <c r="I109" s="577">
        <f t="shared" si="26"/>
        <v>1033557.0796821718</v>
      </c>
      <c r="J109" s="514">
        <f t="shared" si="15"/>
        <v>0</v>
      </c>
      <c r="K109" s="514"/>
      <c r="L109" s="525"/>
      <c r="M109" s="514">
        <f t="shared" si="16"/>
        <v>0</v>
      </c>
      <c r="N109" s="525"/>
      <c r="O109" s="514">
        <f t="shared" si="17"/>
        <v>0</v>
      </c>
      <c r="P109" s="514">
        <f t="shared" si="18"/>
        <v>0</v>
      </c>
    </row>
    <row r="110" spans="1:16" ht="12.5">
      <c r="B110" s="195" t="str">
        <f t="shared" si="19"/>
        <v/>
      </c>
      <c r="C110" s="507">
        <f>IF(D93="","-",+C109+1)</f>
        <v>2027</v>
      </c>
      <c r="D110" s="374">
        <f>IF(F109+SUM(E$99:E109)=D$92,F109,D$92-SUM(E$99:E109))</f>
        <v>6974931.5918888254</v>
      </c>
      <c r="E110" s="522">
        <f>IF(+J96&lt;F109,J96,D110)</f>
        <v>228816.17073170733</v>
      </c>
      <c r="F110" s="523">
        <f t="shared" si="23"/>
        <v>6746115.4211571179</v>
      </c>
      <c r="G110" s="523">
        <f t="shared" si="24"/>
        <v>6860523.5065229721</v>
      </c>
      <c r="H110" s="526">
        <f t="shared" si="25"/>
        <v>1007583.1890802047</v>
      </c>
      <c r="I110" s="577">
        <f t="shared" si="26"/>
        <v>1007583.1890802047</v>
      </c>
      <c r="J110" s="514">
        <f t="shared" si="15"/>
        <v>0</v>
      </c>
      <c r="K110" s="514"/>
      <c r="L110" s="525"/>
      <c r="M110" s="514">
        <f t="shared" si="16"/>
        <v>0</v>
      </c>
      <c r="N110" s="525"/>
      <c r="O110" s="514">
        <f t="shared" si="17"/>
        <v>0</v>
      </c>
      <c r="P110" s="514">
        <f t="shared" si="18"/>
        <v>0</v>
      </c>
    </row>
    <row r="111" spans="1:16" ht="12.5">
      <c r="B111" s="195" t="str">
        <f t="shared" si="19"/>
        <v/>
      </c>
      <c r="C111" s="507">
        <f>IF(D93="","-",+C110+1)</f>
        <v>2028</v>
      </c>
      <c r="D111" s="374">
        <f>IF(F110+SUM(E$99:E110)=D$92,F110,D$92-SUM(E$99:E110))</f>
        <v>6746115.4211571179</v>
      </c>
      <c r="E111" s="522">
        <f>IF(+J96&lt;F110,J96,D111)</f>
        <v>228816.17073170733</v>
      </c>
      <c r="F111" s="523">
        <f t="shared" si="23"/>
        <v>6517299.2504254105</v>
      </c>
      <c r="G111" s="523">
        <f t="shared" si="24"/>
        <v>6631707.3357912637</v>
      </c>
      <c r="H111" s="526">
        <f t="shared" si="25"/>
        <v>981609.29847823735</v>
      </c>
      <c r="I111" s="577">
        <f t="shared" si="26"/>
        <v>981609.29847823735</v>
      </c>
      <c r="J111" s="514">
        <f t="shared" si="15"/>
        <v>0</v>
      </c>
      <c r="K111" s="514"/>
      <c r="L111" s="525"/>
      <c r="M111" s="514">
        <f t="shared" si="16"/>
        <v>0</v>
      </c>
      <c r="N111" s="525"/>
      <c r="O111" s="514">
        <f t="shared" si="17"/>
        <v>0</v>
      </c>
      <c r="P111" s="514">
        <f t="shared" si="18"/>
        <v>0</v>
      </c>
    </row>
    <row r="112" spans="1:16" ht="12.5">
      <c r="B112" s="195" t="str">
        <f t="shared" si="19"/>
        <v/>
      </c>
      <c r="C112" s="507">
        <f>IF(D93="","-",+C111+1)</f>
        <v>2029</v>
      </c>
      <c r="D112" s="374">
        <f>IF(F111+SUM(E$99:E111)=D$92,F111,D$92-SUM(E$99:E111))</f>
        <v>6517299.2504254105</v>
      </c>
      <c r="E112" s="522">
        <f>IF(+J96&lt;F111,J96,D112)</f>
        <v>228816.17073170733</v>
      </c>
      <c r="F112" s="523">
        <f t="shared" si="23"/>
        <v>6288483.079693703</v>
      </c>
      <c r="G112" s="523">
        <f t="shared" si="24"/>
        <v>6402891.1650595572</v>
      </c>
      <c r="H112" s="526">
        <f t="shared" si="25"/>
        <v>955635.40787627012</v>
      </c>
      <c r="I112" s="577">
        <f t="shared" si="26"/>
        <v>955635.40787627012</v>
      </c>
      <c r="J112" s="514">
        <f t="shared" si="15"/>
        <v>0</v>
      </c>
      <c r="K112" s="514"/>
      <c r="L112" s="525"/>
      <c r="M112" s="514">
        <f t="shared" si="16"/>
        <v>0</v>
      </c>
      <c r="N112" s="525"/>
      <c r="O112" s="514">
        <f t="shared" si="17"/>
        <v>0</v>
      </c>
      <c r="P112" s="514">
        <f t="shared" si="18"/>
        <v>0</v>
      </c>
    </row>
    <row r="113" spans="2:16" ht="12.5">
      <c r="B113" s="195" t="str">
        <f t="shared" si="19"/>
        <v/>
      </c>
      <c r="C113" s="507">
        <f>IF(D93="","-",+C112+1)</f>
        <v>2030</v>
      </c>
      <c r="D113" s="374">
        <f>IF(F112+SUM(E$99:E112)=D$92,F112,D$92-SUM(E$99:E112))</f>
        <v>6288483.079693703</v>
      </c>
      <c r="E113" s="522">
        <f>IF(+J96&lt;F112,J96,D113)</f>
        <v>228816.17073170733</v>
      </c>
      <c r="F113" s="523">
        <f t="shared" si="23"/>
        <v>6059666.9089619955</v>
      </c>
      <c r="G113" s="523">
        <f t="shared" si="24"/>
        <v>6174074.9943278488</v>
      </c>
      <c r="H113" s="526">
        <f t="shared" si="25"/>
        <v>929661.51727430278</v>
      </c>
      <c r="I113" s="577">
        <f t="shared" si="26"/>
        <v>929661.51727430278</v>
      </c>
      <c r="J113" s="514">
        <f t="shared" si="15"/>
        <v>0</v>
      </c>
      <c r="K113" s="514"/>
      <c r="L113" s="525"/>
      <c r="M113" s="514">
        <f t="shared" si="16"/>
        <v>0</v>
      </c>
      <c r="N113" s="525"/>
      <c r="O113" s="514">
        <f t="shared" si="17"/>
        <v>0</v>
      </c>
      <c r="P113" s="514">
        <f t="shared" si="18"/>
        <v>0</v>
      </c>
    </row>
    <row r="114" spans="2:16" ht="12.5">
      <c r="B114" s="195" t="str">
        <f t="shared" si="19"/>
        <v/>
      </c>
      <c r="C114" s="507">
        <f>IF(D93="","-",+C113+1)</f>
        <v>2031</v>
      </c>
      <c r="D114" s="374">
        <f>IF(F113+SUM(E$99:E113)=D$92,F113,D$92-SUM(E$99:E113))</f>
        <v>6059666.9089619955</v>
      </c>
      <c r="E114" s="522">
        <f>IF(+J96&lt;F113,J96,D114)</f>
        <v>228816.17073170733</v>
      </c>
      <c r="F114" s="523">
        <f t="shared" si="23"/>
        <v>5830850.738230288</v>
      </c>
      <c r="G114" s="523">
        <f t="shared" si="24"/>
        <v>5945258.8235961422</v>
      </c>
      <c r="H114" s="526">
        <f t="shared" si="25"/>
        <v>903687.62667233567</v>
      </c>
      <c r="I114" s="577">
        <f t="shared" si="26"/>
        <v>903687.62667233567</v>
      </c>
      <c r="J114" s="514">
        <f t="shared" si="15"/>
        <v>0</v>
      </c>
      <c r="K114" s="514"/>
      <c r="L114" s="525"/>
      <c r="M114" s="514">
        <f t="shared" si="16"/>
        <v>0</v>
      </c>
      <c r="N114" s="525"/>
      <c r="O114" s="514">
        <f t="shared" si="17"/>
        <v>0</v>
      </c>
      <c r="P114" s="514">
        <f t="shared" si="18"/>
        <v>0</v>
      </c>
    </row>
    <row r="115" spans="2:16" ht="12.5">
      <c r="B115" s="195" t="str">
        <f t="shared" si="19"/>
        <v/>
      </c>
      <c r="C115" s="507">
        <f>IF(D93="","-",+C114+1)</f>
        <v>2032</v>
      </c>
      <c r="D115" s="374">
        <f>IF(F114+SUM(E$99:E114)=D$92,F114,D$92-SUM(E$99:E114))</f>
        <v>5830850.738230288</v>
      </c>
      <c r="E115" s="522">
        <f>IF(+J96&lt;F114,J96,D115)</f>
        <v>228816.17073170733</v>
      </c>
      <c r="F115" s="523">
        <f t="shared" si="23"/>
        <v>5602034.5674985806</v>
      </c>
      <c r="G115" s="523">
        <f t="shared" si="24"/>
        <v>5716442.6528644338</v>
      </c>
      <c r="H115" s="526">
        <f t="shared" si="25"/>
        <v>877713.73607036821</v>
      </c>
      <c r="I115" s="577">
        <f t="shared" si="26"/>
        <v>877713.73607036821</v>
      </c>
      <c r="J115" s="514">
        <f t="shared" si="15"/>
        <v>0</v>
      </c>
      <c r="K115" s="514"/>
      <c r="L115" s="525"/>
      <c r="M115" s="514">
        <f t="shared" si="16"/>
        <v>0</v>
      </c>
      <c r="N115" s="525"/>
      <c r="O115" s="514">
        <f t="shared" si="17"/>
        <v>0</v>
      </c>
      <c r="P115" s="514">
        <f t="shared" si="18"/>
        <v>0</v>
      </c>
    </row>
    <row r="116" spans="2:16" ht="12.5">
      <c r="B116" s="195" t="str">
        <f t="shared" si="19"/>
        <v/>
      </c>
      <c r="C116" s="507">
        <f>IF(D93="","-",+C115+1)</f>
        <v>2033</v>
      </c>
      <c r="D116" s="374">
        <f>IF(F115+SUM(E$99:E115)=D$92,F115,D$92-SUM(E$99:E115))</f>
        <v>5602034.5674985806</v>
      </c>
      <c r="E116" s="522">
        <f>IF(+J96&lt;F115,J96,D116)</f>
        <v>228816.17073170733</v>
      </c>
      <c r="F116" s="523">
        <f t="shared" si="23"/>
        <v>5373218.3967668731</v>
      </c>
      <c r="G116" s="523">
        <f t="shared" si="24"/>
        <v>5487626.4821327273</v>
      </c>
      <c r="H116" s="526">
        <f t="shared" si="25"/>
        <v>851739.84546840109</v>
      </c>
      <c r="I116" s="577">
        <f t="shared" si="26"/>
        <v>851739.84546840109</v>
      </c>
      <c r="J116" s="514">
        <f t="shared" si="15"/>
        <v>0</v>
      </c>
      <c r="K116" s="514"/>
      <c r="L116" s="525"/>
      <c r="M116" s="514">
        <f t="shared" si="16"/>
        <v>0</v>
      </c>
      <c r="N116" s="525"/>
      <c r="O116" s="514">
        <f t="shared" si="17"/>
        <v>0</v>
      </c>
      <c r="P116" s="514">
        <f t="shared" si="18"/>
        <v>0</v>
      </c>
    </row>
    <row r="117" spans="2:16" ht="12.5">
      <c r="B117" s="195" t="str">
        <f t="shared" si="19"/>
        <v/>
      </c>
      <c r="C117" s="507">
        <f>IF(D93="","-",+C116+1)</f>
        <v>2034</v>
      </c>
      <c r="D117" s="374">
        <f>IF(F116+SUM(E$99:E116)=D$92,F116,D$92-SUM(E$99:E116))</f>
        <v>5373218.3967668731</v>
      </c>
      <c r="E117" s="522">
        <f>IF(+J96&lt;F116,J96,D117)</f>
        <v>228816.17073170733</v>
      </c>
      <c r="F117" s="523">
        <f t="shared" si="23"/>
        <v>5144402.2260351656</v>
      </c>
      <c r="G117" s="523">
        <f t="shared" si="24"/>
        <v>5258810.3114010189</v>
      </c>
      <c r="H117" s="526">
        <f t="shared" si="25"/>
        <v>825765.95486643375</v>
      </c>
      <c r="I117" s="577">
        <f t="shared" si="26"/>
        <v>825765.95486643375</v>
      </c>
      <c r="J117" s="514">
        <f t="shared" si="15"/>
        <v>0</v>
      </c>
      <c r="K117" s="514"/>
      <c r="L117" s="525"/>
      <c r="M117" s="514">
        <f t="shared" si="16"/>
        <v>0</v>
      </c>
      <c r="N117" s="525"/>
      <c r="O117" s="514">
        <f t="shared" si="17"/>
        <v>0</v>
      </c>
      <c r="P117" s="514">
        <f t="shared" si="18"/>
        <v>0</v>
      </c>
    </row>
    <row r="118" spans="2:16" ht="12.5">
      <c r="B118" s="195" t="str">
        <f t="shared" si="19"/>
        <v/>
      </c>
      <c r="C118" s="507">
        <f>IF(D93="","-",+C117+1)</f>
        <v>2035</v>
      </c>
      <c r="D118" s="374">
        <f>IF(F117+SUM(E$99:E117)=D$92,F117,D$92-SUM(E$99:E117))</f>
        <v>5144402.2260351656</v>
      </c>
      <c r="E118" s="522">
        <f>IF(+J96&lt;F117,J96,D118)</f>
        <v>228816.17073170733</v>
      </c>
      <c r="F118" s="523">
        <f t="shared" si="23"/>
        <v>4915586.0553034581</v>
      </c>
      <c r="G118" s="523">
        <f t="shared" si="24"/>
        <v>5029994.1406693123</v>
      </c>
      <c r="H118" s="526">
        <f t="shared" si="25"/>
        <v>799792.06426446652</v>
      </c>
      <c r="I118" s="577">
        <f t="shared" si="26"/>
        <v>799792.06426446652</v>
      </c>
      <c r="J118" s="514">
        <f t="shared" si="15"/>
        <v>0</v>
      </c>
      <c r="K118" s="514"/>
      <c r="L118" s="525"/>
      <c r="M118" s="514">
        <f t="shared" si="16"/>
        <v>0</v>
      </c>
      <c r="N118" s="525"/>
      <c r="O118" s="514">
        <f t="shared" si="17"/>
        <v>0</v>
      </c>
      <c r="P118" s="514">
        <f t="shared" si="18"/>
        <v>0</v>
      </c>
    </row>
    <row r="119" spans="2:16" ht="12.5">
      <c r="B119" s="195" t="str">
        <f t="shared" si="19"/>
        <v/>
      </c>
      <c r="C119" s="507">
        <f>IF(D93="","-",+C118+1)</f>
        <v>2036</v>
      </c>
      <c r="D119" s="374">
        <f>IF(F118+SUM(E$99:E118)=D$92,F118,D$92-SUM(E$99:E118))</f>
        <v>4915586.0553034581</v>
      </c>
      <c r="E119" s="522">
        <f>IF(+J96&lt;F118,J96,D119)</f>
        <v>228816.17073170733</v>
      </c>
      <c r="F119" s="523">
        <f t="shared" si="23"/>
        <v>4686769.8845717506</v>
      </c>
      <c r="G119" s="523">
        <f t="shared" si="24"/>
        <v>4801177.9699376039</v>
      </c>
      <c r="H119" s="526">
        <f t="shared" si="25"/>
        <v>773818.17366249918</v>
      </c>
      <c r="I119" s="577">
        <f t="shared" si="26"/>
        <v>773818.17366249918</v>
      </c>
      <c r="J119" s="514">
        <f t="shared" si="15"/>
        <v>0</v>
      </c>
      <c r="K119" s="514"/>
      <c r="L119" s="525"/>
      <c r="M119" s="514">
        <f t="shared" si="16"/>
        <v>0</v>
      </c>
      <c r="N119" s="525"/>
      <c r="O119" s="514">
        <f t="shared" si="17"/>
        <v>0</v>
      </c>
      <c r="P119" s="514">
        <f t="shared" si="18"/>
        <v>0</v>
      </c>
    </row>
    <row r="120" spans="2:16" ht="12.5">
      <c r="B120" s="195" t="str">
        <f t="shared" si="19"/>
        <v/>
      </c>
      <c r="C120" s="507">
        <f>IF(D93="","-",+C119+1)</f>
        <v>2037</v>
      </c>
      <c r="D120" s="374">
        <f>IF(F119+SUM(E$99:E119)=D$92,F119,D$92-SUM(E$99:E119))</f>
        <v>4686769.8845717506</v>
      </c>
      <c r="E120" s="522">
        <f>IF(+J96&lt;F119,J96,D120)</f>
        <v>228816.17073170733</v>
      </c>
      <c r="F120" s="523">
        <f t="shared" si="23"/>
        <v>4457953.7138400432</v>
      </c>
      <c r="G120" s="523">
        <f t="shared" si="24"/>
        <v>4572361.7992058974</v>
      </c>
      <c r="H120" s="526">
        <f t="shared" si="25"/>
        <v>747844.28306053195</v>
      </c>
      <c r="I120" s="577">
        <f t="shared" si="26"/>
        <v>747844.28306053195</v>
      </c>
      <c r="J120" s="514">
        <f t="shared" si="15"/>
        <v>0</v>
      </c>
      <c r="K120" s="514"/>
      <c r="L120" s="525"/>
      <c r="M120" s="514">
        <f t="shared" si="16"/>
        <v>0</v>
      </c>
      <c r="N120" s="525"/>
      <c r="O120" s="514">
        <f t="shared" si="17"/>
        <v>0</v>
      </c>
      <c r="P120" s="514">
        <f t="shared" si="18"/>
        <v>0</v>
      </c>
    </row>
    <row r="121" spans="2:16" ht="12.5">
      <c r="B121" s="195" t="str">
        <f t="shared" si="19"/>
        <v/>
      </c>
      <c r="C121" s="507">
        <f>IF(D93="","-",+C120+1)</f>
        <v>2038</v>
      </c>
      <c r="D121" s="374">
        <f>IF(F120+SUM(E$99:E120)=D$92,F120,D$92-SUM(E$99:E120))</f>
        <v>4457953.7138400432</v>
      </c>
      <c r="E121" s="522">
        <f>IF(+J96&lt;F120,J96,D121)</f>
        <v>228816.17073170733</v>
      </c>
      <c r="F121" s="523">
        <f t="shared" si="23"/>
        <v>4229137.5431083357</v>
      </c>
      <c r="G121" s="523">
        <f t="shared" si="24"/>
        <v>4343545.628474189</v>
      </c>
      <c r="H121" s="526">
        <f t="shared" si="25"/>
        <v>721870.3924585646</v>
      </c>
      <c r="I121" s="577">
        <f t="shared" si="26"/>
        <v>721870.3924585646</v>
      </c>
      <c r="J121" s="514">
        <f t="shared" si="15"/>
        <v>0</v>
      </c>
      <c r="K121" s="514"/>
      <c r="L121" s="525"/>
      <c r="M121" s="514">
        <f t="shared" si="16"/>
        <v>0</v>
      </c>
      <c r="N121" s="525"/>
      <c r="O121" s="514">
        <f t="shared" si="17"/>
        <v>0</v>
      </c>
      <c r="P121" s="514">
        <f t="shared" si="18"/>
        <v>0</v>
      </c>
    </row>
    <row r="122" spans="2:16" ht="12.5">
      <c r="B122" s="195" t="str">
        <f t="shared" si="19"/>
        <v/>
      </c>
      <c r="C122" s="507">
        <f>IF(D93="","-",+C121+1)</f>
        <v>2039</v>
      </c>
      <c r="D122" s="374">
        <f>IF(F121+SUM(E$99:E121)=D$92,F121,D$92-SUM(E$99:E121))</f>
        <v>4229137.5431083357</v>
      </c>
      <c r="E122" s="522">
        <f>IF(+J96&lt;F121,J96,D122)</f>
        <v>228816.17073170733</v>
      </c>
      <c r="F122" s="523">
        <f t="shared" si="23"/>
        <v>4000321.3723766282</v>
      </c>
      <c r="G122" s="523">
        <f t="shared" si="24"/>
        <v>4114729.457742482</v>
      </c>
      <c r="H122" s="526">
        <f t="shared" si="25"/>
        <v>695896.50185659737</v>
      </c>
      <c r="I122" s="577">
        <f t="shared" si="26"/>
        <v>695896.50185659737</v>
      </c>
      <c r="J122" s="514">
        <f t="shared" si="15"/>
        <v>0</v>
      </c>
      <c r="K122" s="514"/>
      <c r="L122" s="525"/>
      <c r="M122" s="514">
        <f t="shared" si="16"/>
        <v>0</v>
      </c>
      <c r="N122" s="525"/>
      <c r="O122" s="514">
        <f t="shared" si="17"/>
        <v>0</v>
      </c>
      <c r="P122" s="514">
        <f t="shared" si="18"/>
        <v>0</v>
      </c>
    </row>
    <row r="123" spans="2:16" ht="12.5">
      <c r="B123" s="195" t="str">
        <f t="shared" si="19"/>
        <v/>
      </c>
      <c r="C123" s="507">
        <f>IF(D93="","-",+C122+1)</f>
        <v>2040</v>
      </c>
      <c r="D123" s="374">
        <f>IF(F122+SUM(E$99:E122)=D$92,F122,D$92-SUM(E$99:E122))</f>
        <v>4000321.3723766282</v>
      </c>
      <c r="E123" s="522">
        <f>IF(+J96&lt;F122,J96,D123)</f>
        <v>228816.17073170733</v>
      </c>
      <c r="F123" s="523">
        <f t="shared" si="23"/>
        <v>3771505.2016449207</v>
      </c>
      <c r="G123" s="523">
        <f t="shared" si="24"/>
        <v>3885913.2870107745</v>
      </c>
      <c r="H123" s="526">
        <f t="shared" si="25"/>
        <v>669922.61125463014</v>
      </c>
      <c r="I123" s="577">
        <f t="shared" si="26"/>
        <v>669922.61125463014</v>
      </c>
      <c r="J123" s="514">
        <f t="shared" si="15"/>
        <v>0</v>
      </c>
      <c r="K123" s="514"/>
      <c r="L123" s="525"/>
      <c r="M123" s="514">
        <f t="shared" si="16"/>
        <v>0</v>
      </c>
      <c r="N123" s="525"/>
      <c r="O123" s="514">
        <f t="shared" si="17"/>
        <v>0</v>
      </c>
      <c r="P123" s="514">
        <f t="shared" si="18"/>
        <v>0</v>
      </c>
    </row>
    <row r="124" spans="2:16" ht="12.5">
      <c r="B124" s="195" t="str">
        <f t="shared" si="19"/>
        <v/>
      </c>
      <c r="C124" s="507">
        <f>IF(D93="","-",+C123+1)</f>
        <v>2041</v>
      </c>
      <c r="D124" s="374">
        <f>IF(F123+SUM(E$99:E123)=D$92,F123,D$92-SUM(E$99:E123))</f>
        <v>3771505.2016449207</v>
      </c>
      <c r="E124" s="522">
        <f>IF(+J96&lt;F123,J96,D124)</f>
        <v>228816.17073170733</v>
      </c>
      <c r="F124" s="523">
        <f t="shared" si="23"/>
        <v>3542689.0309132133</v>
      </c>
      <c r="G124" s="523">
        <f t="shared" si="24"/>
        <v>3657097.116279067</v>
      </c>
      <c r="H124" s="526">
        <f t="shared" si="25"/>
        <v>643948.72065266292</v>
      </c>
      <c r="I124" s="577">
        <f t="shared" si="26"/>
        <v>643948.72065266292</v>
      </c>
      <c r="J124" s="514">
        <f t="shared" si="15"/>
        <v>0</v>
      </c>
      <c r="K124" s="514"/>
      <c r="L124" s="525"/>
      <c r="M124" s="514">
        <f t="shared" si="16"/>
        <v>0</v>
      </c>
      <c r="N124" s="525"/>
      <c r="O124" s="514">
        <f t="shared" si="17"/>
        <v>0</v>
      </c>
      <c r="P124" s="514">
        <f t="shared" si="18"/>
        <v>0</v>
      </c>
    </row>
    <row r="125" spans="2:16" ht="12.5">
      <c r="B125" s="195" t="str">
        <f t="shared" si="19"/>
        <v/>
      </c>
      <c r="C125" s="507">
        <f>IF(D93="","-",+C124+1)</f>
        <v>2042</v>
      </c>
      <c r="D125" s="374">
        <f>IF(F124+SUM(E$99:E124)=D$92,F124,D$92-SUM(E$99:E124))</f>
        <v>3542689.0309132133</v>
      </c>
      <c r="E125" s="522">
        <f>IF(+J96&lt;F124,J96,D125)</f>
        <v>228816.17073170733</v>
      </c>
      <c r="F125" s="523">
        <f t="shared" si="23"/>
        <v>3313872.8601815058</v>
      </c>
      <c r="G125" s="523">
        <f t="shared" si="24"/>
        <v>3428280.9455473595</v>
      </c>
      <c r="H125" s="526">
        <f t="shared" si="25"/>
        <v>617974.83005069557</v>
      </c>
      <c r="I125" s="577">
        <f t="shared" si="26"/>
        <v>617974.83005069557</v>
      </c>
      <c r="J125" s="514">
        <f t="shared" si="15"/>
        <v>0</v>
      </c>
      <c r="K125" s="514"/>
      <c r="L125" s="525"/>
      <c r="M125" s="514">
        <f t="shared" si="16"/>
        <v>0</v>
      </c>
      <c r="N125" s="525"/>
      <c r="O125" s="514">
        <f t="shared" si="17"/>
        <v>0</v>
      </c>
      <c r="P125" s="514">
        <f t="shared" si="18"/>
        <v>0</v>
      </c>
    </row>
    <row r="126" spans="2:16" ht="12.5">
      <c r="B126" s="195" t="str">
        <f t="shared" si="19"/>
        <v/>
      </c>
      <c r="C126" s="507">
        <f>IF(D93="","-",+C125+1)</f>
        <v>2043</v>
      </c>
      <c r="D126" s="374">
        <f>IF(F125+SUM(E$99:E125)=D$92,F125,D$92-SUM(E$99:E125))</f>
        <v>3313872.8601815058</v>
      </c>
      <c r="E126" s="522">
        <f>IF(+J96&lt;F125,J96,D126)</f>
        <v>228816.17073170733</v>
      </c>
      <c r="F126" s="523">
        <f t="shared" si="23"/>
        <v>3085056.6894497983</v>
      </c>
      <c r="G126" s="523">
        <f t="shared" si="24"/>
        <v>3199464.7748156521</v>
      </c>
      <c r="H126" s="526">
        <f t="shared" si="25"/>
        <v>592000.93944872834</v>
      </c>
      <c r="I126" s="577">
        <f t="shared" si="26"/>
        <v>592000.93944872834</v>
      </c>
      <c r="J126" s="514">
        <f t="shared" si="15"/>
        <v>0</v>
      </c>
      <c r="K126" s="514"/>
      <c r="L126" s="525"/>
      <c r="M126" s="514">
        <f t="shared" si="16"/>
        <v>0</v>
      </c>
      <c r="N126" s="525"/>
      <c r="O126" s="514">
        <f t="shared" si="17"/>
        <v>0</v>
      </c>
      <c r="P126" s="514">
        <f t="shared" si="18"/>
        <v>0</v>
      </c>
    </row>
    <row r="127" spans="2:16" ht="12.5">
      <c r="B127" s="195" t="str">
        <f t="shared" si="19"/>
        <v/>
      </c>
      <c r="C127" s="507">
        <f>IF(D93="","-",+C126+1)</f>
        <v>2044</v>
      </c>
      <c r="D127" s="374">
        <f>IF(F126+SUM(E$99:E126)=D$92,F126,D$92-SUM(E$99:E126))</f>
        <v>3085056.6894497983</v>
      </c>
      <c r="E127" s="522">
        <f>IF(+J96&lt;F126,J96,D127)</f>
        <v>228816.17073170733</v>
      </c>
      <c r="F127" s="523">
        <f t="shared" si="23"/>
        <v>2856240.5187180908</v>
      </c>
      <c r="G127" s="523">
        <f t="shared" si="24"/>
        <v>2970648.6040839446</v>
      </c>
      <c r="H127" s="526">
        <f t="shared" si="25"/>
        <v>566027.04884676111</v>
      </c>
      <c r="I127" s="577">
        <f t="shared" si="26"/>
        <v>566027.04884676111</v>
      </c>
      <c r="J127" s="514">
        <f t="shared" si="15"/>
        <v>0</v>
      </c>
      <c r="K127" s="514"/>
      <c r="L127" s="525"/>
      <c r="M127" s="514">
        <f t="shared" si="16"/>
        <v>0</v>
      </c>
      <c r="N127" s="525"/>
      <c r="O127" s="514">
        <f t="shared" si="17"/>
        <v>0</v>
      </c>
      <c r="P127" s="514">
        <f t="shared" si="18"/>
        <v>0</v>
      </c>
    </row>
    <row r="128" spans="2:16" ht="12.5">
      <c r="B128" s="195" t="str">
        <f t="shared" si="19"/>
        <v/>
      </c>
      <c r="C128" s="507">
        <f>IF(D93="","-",+C127+1)</f>
        <v>2045</v>
      </c>
      <c r="D128" s="374">
        <f>IF(F127+SUM(E$99:E127)=D$92,F127,D$92-SUM(E$99:E127))</f>
        <v>2856240.5187180908</v>
      </c>
      <c r="E128" s="522">
        <f>IF(+J96&lt;F127,J96,D128)</f>
        <v>228816.17073170733</v>
      </c>
      <c r="F128" s="523">
        <f t="shared" si="23"/>
        <v>2627424.3479863834</v>
      </c>
      <c r="G128" s="523">
        <f t="shared" si="24"/>
        <v>2741832.4333522371</v>
      </c>
      <c r="H128" s="526">
        <f t="shared" si="25"/>
        <v>540053.15824479389</v>
      </c>
      <c r="I128" s="577">
        <f t="shared" si="26"/>
        <v>540053.15824479389</v>
      </c>
      <c r="J128" s="514">
        <f t="shared" si="15"/>
        <v>0</v>
      </c>
      <c r="K128" s="514"/>
      <c r="L128" s="525"/>
      <c r="M128" s="514">
        <f t="shared" si="16"/>
        <v>0</v>
      </c>
      <c r="N128" s="525"/>
      <c r="O128" s="514">
        <f t="shared" si="17"/>
        <v>0</v>
      </c>
      <c r="P128" s="514">
        <f t="shared" si="18"/>
        <v>0</v>
      </c>
    </row>
    <row r="129" spans="2:16" ht="12.5">
      <c r="B129" s="195" t="str">
        <f t="shared" si="19"/>
        <v/>
      </c>
      <c r="C129" s="507">
        <f>IF(D93="","-",+C128+1)</f>
        <v>2046</v>
      </c>
      <c r="D129" s="374">
        <f>IF(F128+SUM(E$99:E128)=D$92,F128,D$92-SUM(E$99:E128))</f>
        <v>2627424.3479863834</v>
      </c>
      <c r="E129" s="522">
        <f>IF(+J96&lt;F128,J96,D129)</f>
        <v>228816.17073170733</v>
      </c>
      <c r="F129" s="523">
        <f t="shared" si="23"/>
        <v>2398608.1772546759</v>
      </c>
      <c r="G129" s="523">
        <f t="shared" si="24"/>
        <v>2513016.2626205296</v>
      </c>
      <c r="H129" s="526">
        <f t="shared" si="25"/>
        <v>514079.26764282654</v>
      </c>
      <c r="I129" s="577">
        <f t="shared" si="26"/>
        <v>514079.26764282654</v>
      </c>
      <c r="J129" s="514">
        <f t="shared" si="15"/>
        <v>0</v>
      </c>
      <c r="K129" s="514"/>
      <c r="L129" s="525"/>
      <c r="M129" s="514">
        <f t="shared" si="16"/>
        <v>0</v>
      </c>
      <c r="N129" s="525"/>
      <c r="O129" s="514">
        <f t="shared" si="17"/>
        <v>0</v>
      </c>
      <c r="P129" s="514">
        <f t="shared" si="18"/>
        <v>0</v>
      </c>
    </row>
    <row r="130" spans="2:16" ht="12.5">
      <c r="B130" s="195" t="str">
        <f t="shared" si="19"/>
        <v/>
      </c>
      <c r="C130" s="507">
        <f>IF(D93="","-",+C129+1)</f>
        <v>2047</v>
      </c>
      <c r="D130" s="374">
        <f>IF(F129+SUM(E$99:E129)=D$92,F129,D$92-SUM(E$99:E129))</f>
        <v>2398608.1772546759</v>
      </c>
      <c r="E130" s="522">
        <f>IF(+J96&lt;F129,J96,D130)</f>
        <v>228816.17073170733</v>
      </c>
      <c r="F130" s="523">
        <f t="shared" si="23"/>
        <v>2169792.0065229684</v>
      </c>
      <c r="G130" s="523">
        <f t="shared" si="24"/>
        <v>2284200.0918888221</v>
      </c>
      <c r="H130" s="526">
        <f t="shared" si="25"/>
        <v>488105.37704085931</v>
      </c>
      <c r="I130" s="577">
        <f t="shared" si="26"/>
        <v>488105.37704085931</v>
      </c>
      <c r="J130" s="514">
        <f t="shared" si="15"/>
        <v>0</v>
      </c>
      <c r="K130" s="514"/>
      <c r="L130" s="525"/>
      <c r="M130" s="514">
        <f t="shared" si="16"/>
        <v>0</v>
      </c>
      <c r="N130" s="525"/>
      <c r="O130" s="514">
        <f t="shared" si="17"/>
        <v>0</v>
      </c>
      <c r="P130" s="514">
        <f t="shared" si="18"/>
        <v>0</v>
      </c>
    </row>
    <row r="131" spans="2:16" ht="12.5">
      <c r="B131" s="195" t="str">
        <f t="shared" si="19"/>
        <v/>
      </c>
      <c r="C131" s="507">
        <f>IF(D93="","-",+C130+1)</f>
        <v>2048</v>
      </c>
      <c r="D131" s="374">
        <f>IF(F130+SUM(E$99:E130)=D$92,F130,D$92-SUM(E$99:E130))</f>
        <v>2169792.0065229684</v>
      </c>
      <c r="E131" s="522">
        <f>IF(+J96&lt;F130,J96,D131)</f>
        <v>228816.17073170733</v>
      </c>
      <c r="F131" s="523">
        <f t="shared" ref="F131:F154" si="27">+D131-E131</f>
        <v>1940975.8357912612</v>
      </c>
      <c r="G131" s="523">
        <f t="shared" ref="G131:G154" si="28">+(F131+D131)/2</f>
        <v>2055383.9211571147</v>
      </c>
      <c r="H131" s="526">
        <f t="shared" si="25"/>
        <v>462131.48643889203</v>
      </c>
      <c r="I131" s="577">
        <f t="shared" si="26"/>
        <v>462131.48643889203</v>
      </c>
      <c r="J131" s="514">
        <f t="shared" ref="J131:J154" si="29">+I541-H541</f>
        <v>0</v>
      </c>
      <c r="K131" s="514"/>
      <c r="L131" s="525"/>
      <c r="M131" s="514">
        <f t="shared" ref="M131:M154" si="30">IF(L541&lt;&gt;0,+H541-L541,0)</f>
        <v>0</v>
      </c>
      <c r="N131" s="525"/>
      <c r="O131" s="514">
        <f t="shared" ref="O131:O154" si="31">IF(N541&lt;&gt;0,+I541-N541,0)</f>
        <v>0</v>
      </c>
      <c r="P131" s="514">
        <f t="shared" ref="P131:P154" si="32">+O541-M541</f>
        <v>0</v>
      </c>
    </row>
    <row r="132" spans="2:16" ht="12.5">
      <c r="B132" s="195" t="str">
        <f t="shared" si="19"/>
        <v/>
      </c>
      <c r="C132" s="507">
        <f>IF(D93="","-",+C131+1)</f>
        <v>2049</v>
      </c>
      <c r="D132" s="374">
        <f>IF(F131+SUM(E$99:E131)=D$92,F131,D$92-SUM(E$99:E131))</f>
        <v>1940975.8357912612</v>
      </c>
      <c r="E132" s="522">
        <f>IF(+J96&lt;F131,J96,D132)</f>
        <v>228816.17073170733</v>
      </c>
      <c r="F132" s="523">
        <f t="shared" si="27"/>
        <v>1712159.6650595539</v>
      </c>
      <c r="G132" s="523">
        <f t="shared" si="28"/>
        <v>1826567.7504254077</v>
      </c>
      <c r="H132" s="526">
        <f t="shared" si="25"/>
        <v>436157.59583692485</v>
      </c>
      <c r="I132" s="577">
        <f t="shared" si="26"/>
        <v>436157.59583692485</v>
      </c>
      <c r="J132" s="514">
        <f t="shared" si="29"/>
        <v>0</v>
      </c>
      <c r="K132" s="514"/>
      <c r="L132" s="525"/>
      <c r="M132" s="514">
        <f t="shared" si="30"/>
        <v>0</v>
      </c>
      <c r="N132" s="525"/>
      <c r="O132" s="514">
        <f t="shared" si="31"/>
        <v>0</v>
      </c>
      <c r="P132" s="514">
        <f t="shared" si="32"/>
        <v>0</v>
      </c>
    </row>
    <row r="133" spans="2:16" ht="12.5">
      <c r="B133" s="195" t="str">
        <f t="shared" si="19"/>
        <v/>
      </c>
      <c r="C133" s="507">
        <f>IF(D93="","-",+C132+1)</f>
        <v>2050</v>
      </c>
      <c r="D133" s="374">
        <f>IF(F132+SUM(E$99:E132)=D$92,F132,D$92-SUM(E$99:E132))</f>
        <v>1712159.6650595539</v>
      </c>
      <c r="E133" s="522">
        <f>IF(+J96&lt;F132,J96,D133)</f>
        <v>228816.17073170733</v>
      </c>
      <c r="F133" s="523">
        <f t="shared" si="27"/>
        <v>1483343.4943278467</v>
      </c>
      <c r="G133" s="523">
        <f t="shared" si="28"/>
        <v>1597751.5796937002</v>
      </c>
      <c r="H133" s="526">
        <f t="shared" si="25"/>
        <v>410183.70523495757</v>
      </c>
      <c r="I133" s="577">
        <f t="shared" si="26"/>
        <v>410183.70523495757</v>
      </c>
      <c r="J133" s="514">
        <f t="shared" si="29"/>
        <v>0</v>
      </c>
      <c r="K133" s="514"/>
      <c r="L133" s="525"/>
      <c r="M133" s="514">
        <f t="shared" si="30"/>
        <v>0</v>
      </c>
      <c r="N133" s="525"/>
      <c r="O133" s="514">
        <f t="shared" si="31"/>
        <v>0</v>
      </c>
      <c r="P133" s="514">
        <f t="shared" si="32"/>
        <v>0</v>
      </c>
    </row>
    <row r="134" spans="2:16" ht="12.5">
      <c r="B134" s="195" t="str">
        <f t="shared" si="19"/>
        <v/>
      </c>
      <c r="C134" s="507">
        <f>IF(D93="","-",+C133+1)</f>
        <v>2051</v>
      </c>
      <c r="D134" s="374">
        <f>IF(F133+SUM(E$99:E133)=D$92,F133,D$92-SUM(E$99:E133))</f>
        <v>1483343.4943278467</v>
      </c>
      <c r="E134" s="522">
        <f>IF(+J96&lt;F133,J96,D134)</f>
        <v>228816.17073170733</v>
      </c>
      <c r="F134" s="523">
        <f t="shared" si="27"/>
        <v>1254527.3235961394</v>
      </c>
      <c r="G134" s="523">
        <f t="shared" si="28"/>
        <v>1368935.4089619932</v>
      </c>
      <c r="H134" s="526">
        <f t="shared" si="25"/>
        <v>384209.81463299034</v>
      </c>
      <c r="I134" s="577">
        <f t="shared" si="26"/>
        <v>384209.81463299034</v>
      </c>
      <c r="J134" s="514">
        <f t="shared" si="29"/>
        <v>0</v>
      </c>
      <c r="K134" s="514"/>
      <c r="L134" s="525"/>
      <c r="M134" s="514">
        <f t="shared" si="30"/>
        <v>0</v>
      </c>
      <c r="N134" s="525"/>
      <c r="O134" s="514">
        <f t="shared" si="31"/>
        <v>0</v>
      </c>
      <c r="P134" s="514">
        <f t="shared" si="32"/>
        <v>0</v>
      </c>
    </row>
    <row r="135" spans="2:16" ht="12.5">
      <c r="B135" s="195" t="str">
        <f t="shared" si="19"/>
        <v/>
      </c>
      <c r="C135" s="507">
        <f>IF(D93="","-",+C134+1)</f>
        <v>2052</v>
      </c>
      <c r="D135" s="374">
        <f>IF(F134+SUM(E$99:E134)=D$92,F134,D$92-SUM(E$99:E134))</f>
        <v>1254527.3235961394</v>
      </c>
      <c r="E135" s="522">
        <f>IF(+J96&lt;F134,J96,D135)</f>
        <v>228816.17073170733</v>
      </c>
      <c r="F135" s="523">
        <f t="shared" si="27"/>
        <v>1025711.1528644321</v>
      </c>
      <c r="G135" s="523">
        <f t="shared" si="28"/>
        <v>1140119.2382302857</v>
      </c>
      <c r="H135" s="526">
        <f t="shared" si="25"/>
        <v>358235.92403102305</v>
      </c>
      <c r="I135" s="577">
        <f t="shared" si="26"/>
        <v>358235.92403102305</v>
      </c>
      <c r="J135" s="514">
        <f t="shared" si="29"/>
        <v>0</v>
      </c>
      <c r="K135" s="514"/>
      <c r="L135" s="525"/>
      <c r="M135" s="514">
        <f t="shared" si="30"/>
        <v>0</v>
      </c>
      <c r="N135" s="525"/>
      <c r="O135" s="514">
        <f t="shared" si="31"/>
        <v>0</v>
      </c>
      <c r="P135" s="514">
        <f t="shared" si="32"/>
        <v>0</v>
      </c>
    </row>
    <row r="136" spans="2:16" ht="12.5">
      <c r="B136" s="195" t="str">
        <f t="shared" si="19"/>
        <v/>
      </c>
      <c r="C136" s="507">
        <f>IF(D93="","-",+C135+1)</f>
        <v>2053</v>
      </c>
      <c r="D136" s="374">
        <f>IF(F135+SUM(E$99:E135)=D$92,F135,D$92-SUM(E$99:E135))</f>
        <v>1025711.1528644321</v>
      </c>
      <c r="E136" s="522">
        <f>IF(+J96&lt;F135,J96,D136)</f>
        <v>228816.17073170733</v>
      </c>
      <c r="F136" s="523">
        <f t="shared" si="27"/>
        <v>796894.98213272472</v>
      </c>
      <c r="G136" s="523">
        <f t="shared" si="28"/>
        <v>911303.06749857846</v>
      </c>
      <c r="H136" s="526">
        <f t="shared" si="25"/>
        <v>332262.03342905582</v>
      </c>
      <c r="I136" s="577">
        <f t="shared" si="26"/>
        <v>332262.03342905582</v>
      </c>
      <c r="J136" s="514">
        <f t="shared" si="29"/>
        <v>0</v>
      </c>
      <c r="K136" s="514"/>
      <c r="L136" s="525"/>
      <c r="M136" s="514">
        <f t="shared" si="30"/>
        <v>0</v>
      </c>
      <c r="N136" s="525"/>
      <c r="O136" s="514">
        <f t="shared" si="31"/>
        <v>0</v>
      </c>
      <c r="P136" s="514">
        <f t="shared" si="32"/>
        <v>0</v>
      </c>
    </row>
    <row r="137" spans="2:16" ht="12.5">
      <c r="B137" s="195" t="str">
        <f t="shared" si="19"/>
        <v/>
      </c>
      <c r="C137" s="507">
        <f>IF(D93="","-",+C136+1)</f>
        <v>2054</v>
      </c>
      <c r="D137" s="374">
        <f>IF(F136+SUM(E$99:E136)=D$92,F136,D$92-SUM(E$99:E136))</f>
        <v>796894.98213272472</v>
      </c>
      <c r="E137" s="522">
        <f>IF(+J96&lt;F136,J96,D137)</f>
        <v>228816.17073170733</v>
      </c>
      <c r="F137" s="523">
        <f t="shared" si="27"/>
        <v>568078.81140101736</v>
      </c>
      <c r="G137" s="523">
        <f t="shared" si="28"/>
        <v>682486.89676687098</v>
      </c>
      <c r="H137" s="526">
        <f t="shared" si="25"/>
        <v>306288.1428270886</v>
      </c>
      <c r="I137" s="577">
        <f t="shared" si="26"/>
        <v>306288.1428270886</v>
      </c>
      <c r="J137" s="514">
        <f t="shared" si="29"/>
        <v>0</v>
      </c>
      <c r="K137" s="514"/>
      <c r="L137" s="525"/>
      <c r="M137" s="514">
        <f t="shared" si="30"/>
        <v>0</v>
      </c>
      <c r="N137" s="525"/>
      <c r="O137" s="514">
        <f t="shared" si="31"/>
        <v>0</v>
      </c>
      <c r="P137" s="514">
        <f t="shared" si="32"/>
        <v>0</v>
      </c>
    </row>
    <row r="138" spans="2:16" ht="12.5">
      <c r="B138" s="195" t="str">
        <f t="shared" si="19"/>
        <v/>
      </c>
      <c r="C138" s="507">
        <f>IF(D93="","-",+C137+1)</f>
        <v>2055</v>
      </c>
      <c r="D138" s="374">
        <f>IF(F137+SUM(E$99:E137)=D$92,F137,D$92-SUM(E$99:E137))</f>
        <v>568078.81140101736</v>
      </c>
      <c r="E138" s="522">
        <f>IF(+J96&lt;F137,J96,D138)</f>
        <v>228816.17073170733</v>
      </c>
      <c r="F138" s="523">
        <f t="shared" si="27"/>
        <v>339262.64066931</v>
      </c>
      <c r="G138" s="523">
        <f t="shared" si="28"/>
        <v>453670.72603516368</v>
      </c>
      <c r="H138" s="526">
        <f t="shared" si="25"/>
        <v>280314.25222512131</v>
      </c>
      <c r="I138" s="577">
        <f t="shared" si="26"/>
        <v>280314.25222512131</v>
      </c>
      <c r="J138" s="514">
        <f t="shared" si="29"/>
        <v>0</v>
      </c>
      <c r="K138" s="514"/>
      <c r="L138" s="525"/>
      <c r="M138" s="514">
        <f t="shared" si="30"/>
        <v>0</v>
      </c>
      <c r="N138" s="525"/>
      <c r="O138" s="514">
        <f t="shared" si="31"/>
        <v>0</v>
      </c>
      <c r="P138" s="514">
        <f t="shared" si="32"/>
        <v>0</v>
      </c>
    </row>
    <row r="139" spans="2:16" ht="12.5">
      <c r="B139" s="195" t="str">
        <f t="shared" si="19"/>
        <v/>
      </c>
      <c r="C139" s="507">
        <f>IF(D93="","-",+C138+1)</f>
        <v>2056</v>
      </c>
      <c r="D139" s="374">
        <f>IF(F138+SUM(E$99:E138)=D$92,F138,D$92-SUM(E$99:E138))</f>
        <v>339262.64066931</v>
      </c>
      <c r="E139" s="522">
        <f>IF(+J96&lt;F138,J96,D139)</f>
        <v>228816.17073170733</v>
      </c>
      <c r="F139" s="523">
        <f t="shared" si="27"/>
        <v>110446.46993760267</v>
      </c>
      <c r="G139" s="523">
        <f t="shared" si="28"/>
        <v>224854.55530345632</v>
      </c>
      <c r="H139" s="526">
        <f t="shared" si="25"/>
        <v>254340.36162315408</v>
      </c>
      <c r="I139" s="577">
        <f t="shared" si="26"/>
        <v>254340.36162315408</v>
      </c>
      <c r="J139" s="514">
        <f t="shared" si="29"/>
        <v>0</v>
      </c>
      <c r="K139" s="514"/>
      <c r="L139" s="525"/>
      <c r="M139" s="514">
        <f t="shared" si="30"/>
        <v>0</v>
      </c>
      <c r="N139" s="525"/>
      <c r="O139" s="514">
        <f t="shared" si="31"/>
        <v>0</v>
      </c>
      <c r="P139" s="514">
        <f t="shared" si="32"/>
        <v>0</v>
      </c>
    </row>
    <row r="140" spans="2:16" ht="12.5">
      <c r="B140" s="195" t="str">
        <f t="shared" si="19"/>
        <v/>
      </c>
      <c r="C140" s="507">
        <f>IF(D93="","-",+C139+1)</f>
        <v>2057</v>
      </c>
      <c r="D140" s="374">
        <f>IF(F139+SUM(E$99:E139)=D$92,F139,D$92-SUM(E$99:E139))</f>
        <v>110446.46993760267</v>
      </c>
      <c r="E140" s="522">
        <f>IF(+J96&lt;F139,J96,D140)</f>
        <v>110446.46993760267</v>
      </c>
      <c r="F140" s="523">
        <f t="shared" si="27"/>
        <v>0</v>
      </c>
      <c r="G140" s="523">
        <f t="shared" si="28"/>
        <v>55223.234968801335</v>
      </c>
      <c r="H140" s="526">
        <f t="shared" si="25"/>
        <v>116715.09273283424</v>
      </c>
      <c r="I140" s="577">
        <f t="shared" si="26"/>
        <v>116715.09273283424</v>
      </c>
      <c r="J140" s="514">
        <f t="shared" si="29"/>
        <v>0</v>
      </c>
      <c r="K140" s="514"/>
      <c r="L140" s="525"/>
      <c r="M140" s="514">
        <f t="shared" si="30"/>
        <v>0</v>
      </c>
      <c r="N140" s="525"/>
      <c r="O140" s="514">
        <f t="shared" si="31"/>
        <v>0</v>
      </c>
      <c r="P140" s="514">
        <f t="shared" si="32"/>
        <v>0</v>
      </c>
    </row>
    <row r="141" spans="2:16" ht="12.5">
      <c r="B141" s="195" t="str">
        <f t="shared" si="19"/>
        <v/>
      </c>
      <c r="C141" s="507">
        <f>IF(D93="","-",+C140+1)</f>
        <v>2058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7"/>
        <v>0</v>
      </c>
      <c r="G141" s="523">
        <f t="shared" si="28"/>
        <v>0</v>
      </c>
      <c r="H141" s="526">
        <f t="shared" si="25"/>
        <v>0</v>
      </c>
      <c r="I141" s="577">
        <f t="shared" si="26"/>
        <v>0</v>
      </c>
      <c r="J141" s="514">
        <f t="shared" si="29"/>
        <v>0</v>
      </c>
      <c r="K141" s="514"/>
      <c r="L141" s="525"/>
      <c r="M141" s="514">
        <f t="shared" si="30"/>
        <v>0</v>
      </c>
      <c r="N141" s="525"/>
      <c r="O141" s="514">
        <f t="shared" si="31"/>
        <v>0</v>
      </c>
      <c r="P141" s="514">
        <f t="shared" si="32"/>
        <v>0</v>
      </c>
    </row>
    <row r="142" spans="2:16" ht="12.5">
      <c r="B142" s="195" t="str">
        <f t="shared" si="19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7"/>
        <v>0</v>
      </c>
      <c r="G142" s="523">
        <f t="shared" si="28"/>
        <v>0</v>
      </c>
      <c r="H142" s="526">
        <f t="shared" si="25"/>
        <v>0</v>
      </c>
      <c r="I142" s="577">
        <f t="shared" si="26"/>
        <v>0</v>
      </c>
      <c r="J142" s="514">
        <f t="shared" si="29"/>
        <v>0</v>
      </c>
      <c r="K142" s="514"/>
      <c r="L142" s="525"/>
      <c r="M142" s="514">
        <f t="shared" si="30"/>
        <v>0</v>
      </c>
      <c r="N142" s="525"/>
      <c r="O142" s="514">
        <f t="shared" si="31"/>
        <v>0</v>
      </c>
      <c r="P142" s="514">
        <f t="shared" si="32"/>
        <v>0</v>
      </c>
    </row>
    <row r="143" spans="2:16" ht="12.5">
      <c r="B143" s="195" t="str">
        <f t="shared" si="19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7"/>
        <v>0</v>
      </c>
      <c r="G143" s="523">
        <f t="shared" si="28"/>
        <v>0</v>
      </c>
      <c r="H143" s="526">
        <f t="shared" si="25"/>
        <v>0</v>
      </c>
      <c r="I143" s="577">
        <f t="shared" si="26"/>
        <v>0</v>
      </c>
      <c r="J143" s="514">
        <f t="shared" si="29"/>
        <v>0</v>
      </c>
      <c r="K143" s="514"/>
      <c r="L143" s="525"/>
      <c r="M143" s="514">
        <f t="shared" si="30"/>
        <v>0</v>
      </c>
      <c r="N143" s="525"/>
      <c r="O143" s="514">
        <f t="shared" si="31"/>
        <v>0</v>
      </c>
      <c r="P143" s="514">
        <f t="shared" si="32"/>
        <v>0</v>
      </c>
    </row>
    <row r="144" spans="2:16" ht="12.5">
      <c r="B144" s="195" t="str">
        <f t="shared" si="19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7"/>
        <v>0</v>
      </c>
      <c r="G144" s="523">
        <f t="shared" si="28"/>
        <v>0</v>
      </c>
      <c r="H144" s="526">
        <f t="shared" si="25"/>
        <v>0</v>
      </c>
      <c r="I144" s="577">
        <f t="shared" si="26"/>
        <v>0</v>
      </c>
      <c r="J144" s="514">
        <f t="shared" si="29"/>
        <v>0</v>
      </c>
      <c r="K144" s="514"/>
      <c r="L144" s="525"/>
      <c r="M144" s="514">
        <f t="shared" si="30"/>
        <v>0</v>
      </c>
      <c r="N144" s="525"/>
      <c r="O144" s="514">
        <f t="shared" si="31"/>
        <v>0</v>
      </c>
      <c r="P144" s="514">
        <f t="shared" si="32"/>
        <v>0</v>
      </c>
    </row>
    <row r="145" spans="2:16" ht="12.5">
      <c r="B145" s="195" t="str">
        <f t="shared" si="19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7"/>
        <v>0</v>
      </c>
      <c r="G145" s="523">
        <f t="shared" si="28"/>
        <v>0</v>
      </c>
      <c r="H145" s="526">
        <f t="shared" si="25"/>
        <v>0</v>
      </c>
      <c r="I145" s="577">
        <f t="shared" si="26"/>
        <v>0</v>
      </c>
      <c r="J145" s="514">
        <f t="shared" si="29"/>
        <v>0</v>
      </c>
      <c r="K145" s="514"/>
      <c r="L145" s="525"/>
      <c r="M145" s="514">
        <f t="shared" si="30"/>
        <v>0</v>
      </c>
      <c r="N145" s="525"/>
      <c r="O145" s="514">
        <f t="shared" si="31"/>
        <v>0</v>
      </c>
      <c r="P145" s="514">
        <f t="shared" si="32"/>
        <v>0</v>
      </c>
    </row>
    <row r="146" spans="2:16" ht="12.5">
      <c r="B146" s="195" t="str">
        <f t="shared" si="19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7"/>
        <v>0</v>
      </c>
      <c r="G146" s="523">
        <f t="shared" si="28"/>
        <v>0</v>
      </c>
      <c r="H146" s="526">
        <f t="shared" si="25"/>
        <v>0</v>
      </c>
      <c r="I146" s="577">
        <f t="shared" si="26"/>
        <v>0</v>
      </c>
      <c r="J146" s="514">
        <f t="shared" si="29"/>
        <v>0</v>
      </c>
      <c r="K146" s="514"/>
      <c r="L146" s="525"/>
      <c r="M146" s="514">
        <f t="shared" si="30"/>
        <v>0</v>
      </c>
      <c r="N146" s="525"/>
      <c r="O146" s="514">
        <f t="shared" si="31"/>
        <v>0</v>
      </c>
      <c r="P146" s="514">
        <f t="shared" si="32"/>
        <v>0</v>
      </c>
    </row>
    <row r="147" spans="2:16" ht="12.5">
      <c r="B147" s="195" t="str">
        <f t="shared" si="19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7"/>
        <v>0</v>
      </c>
      <c r="G147" s="523">
        <f t="shared" si="28"/>
        <v>0</v>
      </c>
      <c r="H147" s="526">
        <f t="shared" si="25"/>
        <v>0</v>
      </c>
      <c r="I147" s="577">
        <f t="shared" si="26"/>
        <v>0</v>
      </c>
      <c r="J147" s="514">
        <f t="shared" si="29"/>
        <v>0</v>
      </c>
      <c r="K147" s="514"/>
      <c r="L147" s="525"/>
      <c r="M147" s="514">
        <f t="shared" si="30"/>
        <v>0</v>
      </c>
      <c r="N147" s="525"/>
      <c r="O147" s="514">
        <f t="shared" si="31"/>
        <v>0</v>
      </c>
      <c r="P147" s="514">
        <f t="shared" si="32"/>
        <v>0</v>
      </c>
    </row>
    <row r="148" spans="2:16" ht="12.5">
      <c r="B148" s="195" t="str">
        <f t="shared" si="19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7"/>
        <v>0</v>
      </c>
      <c r="G148" s="523">
        <f t="shared" si="28"/>
        <v>0</v>
      </c>
      <c r="H148" s="526">
        <f t="shared" si="25"/>
        <v>0</v>
      </c>
      <c r="I148" s="577">
        <f t="shared" si="26"/>
        <v>0</v>
      </c>
      <c r="J148" s="514">
        <f t="shared" si="29"/>
        <v>0</v>
      </c>
      <c r="K148" s="514"/>
      <c r="L148" s="525"/>
      <c r="M148" s="514">
        <f t="shared" si="30"/>
        <v>0</v>
      </c>
      <c r="N148" s="525"/>
      <c r="O148" s="514">
        <f t="shared" si="31"/>
        <v>0</v>
      </c>
      <c r="P148" s="514">
        <f t="shared" si="32"/>
        <v>0</v>
      </c>
    </row>
    <row r="149" spans="2:16" ht="12.5">
      <c r="B149" s="195" t="str">
        <f t="shared" si="19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7"/>
        <v>0</v>
      </c>
      <c r="G149" s="523">
        <f t="shared" si="28"/>
        <v>0</v>
      </c>
      <c r="H149" s="526">
        <f t="shared" si="25"/>
        <v>0</v>
      </c>
      <c r="I149" s="577">
        <f t="shared" si="26"/>
        <v>0</v>
      </c>
      <c r="J149" s="514">
        <f t="shared" si="29"/>
        <v>0</v>
      </c>
      <c r="K149" s="514"/>
      <c r="L149" s="525"/>
      <c r="M149" s="514">
        <f t="shared" si="30"/>
        <v>0</v>
      </c>
      <c r="N149" s="525"/>
      <c r="O149" s="514">
        <f t="shared" si="31"/>
        <v>0</v>
      </c>
      <c r="P149" s="514">
        <f t="shared" si="32"/>
        <v>0</v>
      </c>
    </row>
    <row r="150" spans="2:16" ht="12.5">
      <c r="B150" s="195" t="str">
        <f t="shared" si="19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7"/>
        <v>0</v>
      </c>
      <c r="G150" s="523">
        <f t="shared" si="28"/>
        <v>0</v>
      </c>
      <c r="H150" s="526">
        <f t="shared" si="25"/>
        <v>0</v>
      </c>
      <c r="I150" s="577">
        <f t="shared" si="26"/>
        <v>0</v>
      </c>
      <c r="J150" s="514">
        <f t="shared" si="29"/>
        <v>0</v>
      </c>
      <c r="K150" s="514"/>
      <c r="L150" s="525"/>
      <c r="M150" s="514">
        <f t="shared" si="30"/>
        <v>0</v>
      </c>
      <c r="N150" s="525"/>
      <c r="O150" s="514">
        <f t="shared" si="31"/>
        <v>0</v>
      </c>
      <c r="P150" s="514">
        <f t="shared" si="32"/>
        <v>0</v>
      </c>
    </row>
    <row r="151" spans="2:16" ht="12.5">
      <c r="B151" s="195" t="str">
        <f t="shared" si="19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7"/>
        <v>0</v>
      </c>
      <c r="G151" s="523">
        <f t="shared" si="28"/>
        <v>0</v>
      </c>
      <c r="H151" s="526">
        <f t="shared" si="25"/>
        <v>0</v>
      </c>
      <c r="I151" s="577">
        <f t="shared" si="26"/>
        <v>0</v>
      </c>
      <c r="J151" s="514">
        <f t="shared" si="29"/>
        <v>0</v>
      </c>
      <c r="K151" s="514"/>
      <c r="L151" s="525"/>
      <c r="M151" s="514">
        <f t="shared" si="30"/>
        <v>0</v>
      </c>
      <c r="N151" s="525"/>
      <c r="O151" s="514">
        <f t="shared" si="31"/>
        <v>0</v>
      </c>
      <c r="P151" s="514">
        <f t="shared" si="32"/>
        <v>0</v>
      </c>
    </row>
    <row r="152" spans="2:16" ht="12.5">
      <c r="B152" s="195" t="str">
        <f t="shared" si="19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7"/>
        <v>0</v>
      </c>
      <c r="G152" s="523">
        <f t="shared" si="28"/>
        <v>0</v>
      </c>
      <c r="H152" s="526">
        <f t="shared" si="25"/>
        <v>0</v>
      </c>
      <c r="I152" s="577">
        <f t="shared" si="26"/>
        <v>0</v>
      </c>
      <c r="J152" s="514">
        <f t="shared" si="29"/>
        <v>0</v>
      </c>
      <c r="K152" s="514"/>
      <c r="L152" s="525"/>
      <c r="M152" s="514">
        <f t="shared" si="30"/>
        <v>0</v>
      </c>
      <c r="N152" s="525"/>
      <c r="O152" s="514">
        <f t="shared" si="31"/>
        <v>0</v>
      </c>
      <c r="P152" s="514">
        <f t="shared" si="32"/>
        <v>0</v>
      </c>
    </row>
    <row r="153" spans="2:16" ht="12.5">
      <c r="B153" s="195" t="str">
        <f t="shared" si="19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7"/>
        <v>0</v>
      </c>
      <c r="G153" s="523">
        <f t="shared" si="28"/>
        <v>0</v>
      </c>
      <c r="H153" s="526">
        <f t="shared" si="25"/>
        <v>0</v>
      </c>
      <c r="I153" s="577">
        <f t="shared" si="26"/>
        <v>0</v>
      </c>
      <c r="J153" s="514">
        <f t="shared" si="29"/>
        <v>0</v>
      </c>
      <c r="K153" s="514"/>
      <c r="L153" s="525"/>
      <c r="M153" s="514">
        <f t="shared" si="30"/>
        <v>0</v>
      </c>
      <c r="N153" s="525"/>
      <c r="O153" s="514">
        <f t="shared" si="31"/>
        <v>0</v>
      </c>
      <c r="P153" s="514">
        <f t="shared" si="32"/>
        <v>0</v>
      </c>
    </row>
    <row r="154" spans="2:16" ht="13" thickBot="1">
      <c r="B154" s="195" t="str">
        <f t="shared" si="19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7"/>
        <v>0</v>
      </c>
      <c r="G154" s="528">
        <f t="shared" si="28"/>
        <v>0</v>
      </c>
      <c r="H154" s="530">
        <f t="shared" si="25"/>
        <v>0</v>
      </c>
      <c r="I154" s="579">
        <f t="shared" si="26"/>
        <v>0</v>
      </c>
      <c r="J154" s="533">
        <f t="shared" si="29"/>
        <v>0</v>
      </c>
      <c r="K154" s="514"/>
      <c r="L154" s="532"/>
      <c r="M154" s="533">
        <f t="shared" si="30"/>
        <v>0</v>
      </c>
      <c r="N154" s="532"/>
      <c r="O154" s="533">
        <f t="shared" si="31"/>
        <v>0</v>
      </c>
      <c r="P154" s="533">
        <f t="shared" si="32"/>
        <v>0</v>
      </c>
    </row>
    <row r="155" spans="2:16" ht="12.5">
      <c r="C155" s="374" t="s">
        <v>78</v>
      </c>
      <c r="D155" s="375"/>
      <c r="E155" s="375">
        <f>SUM(E99:E154)</f>
        <v>9381462.9999999963</v>
      </c>
      <c r="F155" s="375"/>
      <c r="G155" s="375"/>
      <c r="H155" s="375">
        <f>SUM(H99:H154)</f>
        <v>31143549.388053551</v>
      </c>
      <c r="I155" s="375">
        <f>SUM(I99:I154)</f>
        <v>31143549.388053551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9" priority="1" stopIfTrue="1" operator="equal">
      <formula>$I$10</formula>
    </cfRule>
  </conditionalFormatting>
  <conditionalFormatting sqref="C99:C154">
    <cfRule type="cellIs" dxfId="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105"/>
  <dimension ref="A1:P162"/>
  <sheetViews>
    <sheetView view="pageBreakPreview" zoomScale="80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56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201589.94885481661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201589.94885481661</v>
      </c>
      <c r="O6" s="269"/>
      <c r="P6" s="269"/>
    </row>
    <row r="7" spans="1:16" ht="13.5" thickBot="1">
      <c r="C7" s="467" t="s">
        <v>48</v>
      </c>
      <c r="D7" s="624" t="s">
        <v>357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358</v>
      </c>
      <c r="E9" s="637" t="s">
        <v>401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1558180.6099999999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9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37099.53833333333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1111302</v>
      </c>
      <c r="E17" s="630">
        <v>13229.785714285714</v>
      </c>
      <c r="F17" s="631">
        <v>1098072.2142857143</v>
      </c>
      <c r="G17" s="630">
        <v>156066.99191753985</v>
      </c>
      <c r="H17" s="639">
        <v>156066.99191753985</v>
      </c>
      <c r="I17" s="511">
        <f t="shared" ref="I17:I72" si="0">H17-G17</f>
        <v>0</v>
      </c>
      <c r="J17" s="511"/>
      <c r="K17" s="512">
        <f t="shared" ref="K17:K22" si="1">+G17</f>
        <v>156066.99191753985</v>
      </c>
      <c r="L17" s="513">
        <f t="shared" ref="L17:L72" si="2">IF(K17&lt;&gt;0,+G17-K17,0)</f>
        <v>0</v>
      </c>
      <c r="M17" s="512">
        <f t="shared" ref="M17:M22" si="3">+H17</f>
        <v>156066.99191753985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31">
        <v>1543391.2142857143</v>
      </c>
      <c r="E18" s="630">
        <v>36200.488372093023</v>
      </c>
      <c r="F18" s="631">
        <v>1507190.7259136213</v>
      </c>
      <c r="G18" s="630">
        <v>225172.65115998022</v>
      </c>
      <c r="H18" s="639">
        <v>225172.65115998022</v>
      </c>
      <c r="I18" s="511">
        <f t="shared" si="0"/>
        <v>0</v>
      </c>
      <c r="J18" s="511"/>
      <c r="K18" s="518">
        <f t="shared" si="1"/>
        <v>225172.65115998022</v>
      </c>
      <c r="L18" s="519">
        <f t="shared" ref="L18:L23" si="6">IF(K18&lt;&gt;0,+G18-K18,0)</f>
        <v>0</v>
      </c>
      <c r="M18" s="518">
        <f t="shared" si="3"/>
        <v>225172.65115998022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31">
        <v>1507190.7259136213</v>
      </c>
      <c r="E19" s="630">
        <v>37966.365853658535</v>
      </c>
      <c r="F19" s="631">
        <v>1469224.3600599626</v>
      </c>
      <c r="G19" s="630">
        <v>227108.76254780369</v>
      </c>
      <c r="H19" s="639">
        <v>227108.76254780369</v>
      </c>
      <c r="I19" s="511">
        <f t="shared" si="0"/>
        <v>0</v>
      </c>
      <c r="J19" s="511"/>
      <c r="K19" s="518">
        <f t="shared" si="1"/>
        <v>227108.76254780369</v>
      </c>
      <c r="L19" s="519">
        <f t="shared" si="6"/>
        <v>0</v>
      </c>
      <c r="M19" s="518">
        <f t="shared" si="3"/>
        <v>227108.76254780369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31">
        <v>1469224.3600599626</v>
      </c>
      <c r="E20" s="630">
        <v>37966.365853658535</v>
      </c>
      <c r="F20" s="631">
        <v>1431257.994206304</v>
      </c>
      <c r="G20" s="630">
        <v>222283.46149005229</v>
      </c>
      <c r="H20" s="639">
        <v>222283.46149005229</v>
      </c>
      <c r="I20" s="511">
        <f t="shared" si="0"/>
        <v>0</v>
      </c>
      <c r="J20" s="511"/>
      <c r="K20" s="518">
        <f t="shared" si="1"/>
        <v>222283.46149005229</v>
      </c>
      <c r="L20" s="519">
        <f t="shared" si="6"/>
        <v>0</v>
      </c>
      <c r="M20" s="518">
        <f t="shared" si="3"/>
        <v>222283.46149005229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/>
      </c>
      <c r="C21" s="507">
        <f>IF(D11="","-",+C20+1)</f>
        <v>2020</v>
      </c>
      <c r="D21" s="631">
        <v>1431257.994206304</v>
      </c>
      <c r="E21" s="630">
        <v>37966.365853658535</v>
      </c>
      <c r="F21" s="631">
        <v>1393291.6283526453</v>
      </c>
      <c r="G21" s="630">
        <v>182492.15165602544</v>
      </c>
      <c r="H21" s="639">
        <v>182492.15165602544</v>
      </c>
      <c r="I21" s="511">
        <f t="shared" si="0"/>
        <v>0</v>
      </c>
      <c r="J21" s="511"/>
      <c r="K21" s="518">
        <f t="shared" si="1"/>
        <v>182492.15165602544</v>
      </c>
      <c r="L21" s="519">
        <f t="shared" si="6"/>
        <v>0</v>
      </c>
      <c r="M21" s="518">
        <f t="shared" si="3"/>
        <v>182492.15165602544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31">
        <v>1396617.5058342111</v>
      </c>
      <c r="E22" s="630">
        <v>37099.547619047618</v>
      </c>
      <c r="F22" s="631">
        <v>1359517.9582151636</v>
      </c>
      <c r="G22" s="630">
        <v>183180.99059024267</v>
      </c>
      <c r="H22" s="639">
        <v>183180.99059024267</v>
      </c>
      <c r="I22" s="511">
        <f t="shared" si="0"/>
        <v>0</v>
      </c>
      <c r="J22" s="511"/>
      <c r="K22" s="518">
        <f t="shared" si="1"/>
        <v>183180.99059024267</v>
      </c>
      <c r="L22" s="519">
        <f t="shared" si="6"/>
        <v>0</v>
      </c>
      <c r="M22" s="518">
        <f t="shared" si="3"/>
        <v>183180.99059024267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31">
        <v>1357752.080733598</v>
      </c>
      <c r="E23" s="630">
        <v>37099.547619047618</v>
      </c>
      <c r="F23" s="631">
        <v>1320652.5331145504</v>
      </c>
      <c r="G23" s="630">
        <v>187684.94156484964</v>
      </c>
      <c r="H23" s="639">
        <v>187684.94156484964</v>
      </c>
      <c r="I23" s="511">
        <f t="shared" si="0"/>
        <v>0</v>
      </c>
      <c r="J23" s="511"/>
      <c r="K23" s="518">
        <f t="shared" ref="K23" si="8">+G23</f>
        <v>187684.94156484964</v>
      </c>
      <c r="L23" s="519">
        <f t="shared" si="6"/>
        <v>0</v>
      </c>
      <c r="M23" s="518">
        <f t="shared" ref="M23" si="9">+H23</f>
        <v>187684.94156484964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>IU</v>
      </c>
      <c r="C24" s="507">
        <f>IF(D11="","-",+C23+1)</f>
        <v>2023</v>
      </c>
      <c r="D24" s="523">
        <f>IF(F23+SUM(E$17:E23)=D$10,F23,D$10-SUM(E$17:E23))</f>
        <v>1320652.1431145503</v>
      </c>
      <c r="E24" s="522">
        <f>IF(+I14&lt;F23,I14,D24)</f>
        <v>37099.53833333333</v>
      </c>
      <c r="F24" s="523">
        <f t="shared" ref="F24:F72" si="10">+D24-E24</f>
        <v>1283552.6047812169</v>
      </c>
      <c r="G24" s="524">
        <f t="shared" ref="G24:G49" si="11">+I$12*((D24+F24)/2)+E24</f>
        <v>201589.94885481661</v>
      </c>
      <c r="H24" s="491">
        <f t="shared" ref="H24:H49" si="12">+I$13*((D24+F24)/2)+E24</f>
        <v>201589.94885481661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2024</v>
      </c>
      <c r="D25" s="523">
        <f>IF(F24+SUM(E$17:E24)=D$10,F24,D$10-SUM(E$17:E24))</f>
        <v>1283552.6047812169</v>
      </c>
      <c r="E25" s="522">
        <f>IF(+I14&lt;F24,I14,D25)</f>
        <v>37099.53833333333</v>
      </c>
      <c r="F25" s="523">
        <f t="shared" si="10"/>
        <v>1246453.0664478836</v>
      </c>
      <c r="G25" s="524">
        <f t="shared" si="11"/>
        <v>196903.28334163962</v>
      </c>
      <c r="H25" s="491">
        <f t="shared" si="12"/>
        <v>196903.28334163962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1246453.0664478836</v>
      </c>
      <c r="E26" s="522">
        <f>IF(+I14&lt;F25,I14,D26)</f>
        <v>37099.53833333333</v>
      </c>
      <c r="F26" s="523">
        <f t="shared" si="10"/>
        <v>1209353.5281145503</v>
      </c>
      <c r="G26" s="524">
        <f t="shared" si="11"/>
        <v>192216.61782846253</v>
      </c>
      <c r="H26" s="491">
        <f t="shared" si="12"/>
        <v>192216.61782846253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1209353.5281145503</v>
      </c>
      <c r="E27" s="522">
        <f>IF(+I14&lt;F26,I14,D27)</f>
        <v>37099.53833333333</v>
      </c>
      <c r="F27" s="523">
        <f t="shared" si="10"/>
        <v>1172253.989781217</v>
      </c>
      <c r="G27" s="524">
        <f t="shared" si="11"/>
        <v>187529.95231528551</v>
      </c>
      <c r="H27" s="491">
        <f t="shared" si="12"/>
        <v>187529.95231528551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1172253.989781217</v>
      </c>
      <c r="E28" s="522">
        <f>IF(+I14&lt;F27,I14,D28)</f>
        <v>37099.53833333333</v>
      </c>
      <c r="F28" s="523">
        <f t="shared" si="10"/>
        <v>1135154.4514478836</v>
      </c>
      <c r="G28" s="524">
        <f t="shared" si="11"/>
        <v>182843.28680210843</v>
      </c>
      <c r="H28" s="491">
        <f t="shared" si="12"/>
        <v>182843.28680210843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1135154.4514478836</v>
      </c>
      <c r="E29" s="522">
        <f>IF(+I14&lt;F28,I14,D29)</f>
        <v>37099.53833333333</v>
      </c>
      <c r="F29" s="523">
        <f t="shared" si="10"/>
        <v>1098054.9131145503</v>
      </c>
      <c r="G29" s="524">
        <f t="shared" si="11"/>
        <v>178156.62128893143</v>
      </c>
      <c r="H29" s="491">
        <f t="shared" si="12"/>
        <v>178156.62128893143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1098054.9131145503</v>
      </c>
      <c r="E30" s="522">
        <f>IF(+I14&lt;F29,I14,D30)</f>
        <v>37099.53833333333</v>
      </c>
      <c r="F30" s="523">
        <f t="shared" si="10"/>
        <v>1060955.374781217</v>
      </c>
      <c r="G30" s="524">
        <f t="shared" si="11"/>
        <v>173469.95577575435</v>
      </c>
      <c r="H30" s="491">
        <f t="shared" si="12"/>
        <v>173469.95577575435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1060955.374781217</v>
      </c>
      <c r="E31" s="522">
        <f>IF(+I14&lt;F30,I14,D31)</f>
        <v>37099.53833333333</v>
      </c>
      <c r="F31" s="523">
        <f t="shared" si="10"/>
        <v>1023855.8364478836</v>
      </c>
      <c r="G31" s="524">
        <f t="shared" si="11"/>
        <v>168783.29026257733</v>
      </c>
      <c r="H31" s="491">
        <f t="shared" si="12"/>
        <v>168783.29026257733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1023855.8364478836</v>
      </c>
      <c r="E32" s="522">
        <f>IF(+I14&lt;F31,I14,D32)</f>
        <v>37099.53833333333</v>
      </c>
      <c r="F32" s="523">
        <f t="shared" si="10"/>
        <v>986756.2981145503</v>
      </c>
      <c r="G32" s="524">
        <f t="shared" si="11"/>
        <v>164096.62474940027</v>
      </c>
      <c r="H32" s="491">
        <f t="shared" si="12"/>
        <v>164096.62474940027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986756.2981145503</v>
      </c>
      <c r="E33" s="522">
        <f>IF(+I14&lt;F32,I14,D33)</f>
        <v>37099.53833333333</v>
      </c>
      <c r="F33" s="523">
        <f t="shared" si="10"/>
        <v>949656.75978121697</v>
      </c>
      <c r="G33" s="524">
        <f t="shared" si="11"/>
        <v>159409.95923622325</v>
      </c>
      <c r="H33" s="491">
        <f t="shared" si="12"/>
        <v>159409.95923622325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949656.75978121697</v>
      </c>
      <c r="E34" s="522">
        <f>IF(+I14&lt;F33,I14,D34)</f>
        <v>37099.53833333333</v>
      </c>
      <c r="F34" s="523">
        <f t="shared" si="10"/>
        <v>912557.22144788364</v>
      </c>
      <c r="G34" s="524">
        <f t="shared" si="11"/>
        <v>154723.2937230462</v>
      </c>
      <c r="H34" s="491">
        <f t="shared" si="12"/>
        <v>154723.2937230462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912557.22144788364</v>
      </c>
      <c r="E35" s="522">
        <f>IF(+I14&lt;F34,I14,D35)</f>
        <v>37099.53833333333</v>
      </c>
      <c r="F35" s="523">
        <f t="shared" si="10"/>
        <v>875457.68311455031</v>
      </c>
      <c r="G35" s="524">
        <f t="shared" si="11"/>
        <v>150036.62820986914</v>
      </c>
      <c r="H35" s="491">
        <f t="shared" si="12"/>
        <v>150036.62820986914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875457.68311455031</v>
      </c>
      <c r="E36" s="522">
        <f>IF(+I14&lt;F35,I14,D36)</f>
        <v>37099.53833333333</v>
      </c>
      <c r="F36" s="523">
        <f t="shared" si="10"/>
        <v>838358.14478121698</v>
      </c>
      <c r="G36" s="524">
        <f t="shared" si="11"/>
        <v>145349.96269669209</v>
      </c>
      <c r="H36" s="491">
        <f t="shared" si="12"/>
        <v>145349.96269669209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838358.14478121698</v>
      </c>
      <c r="E37" s="522">
        <f>IF(+I14&lt;F36,I14,D37)</f>
        <v>37099.53833333333</v>
      </c>
      <c r="F37" s="523">
        <f t="shared" si="10"/>
        <v>801258.60644788365</v>
      </c>
      <c r="G37" s="524">
        <f t="shared" si="11"/>
        <v>140663.29718351504</v>
      </c>
      <c r="H37" s="491">
        <f t="shared" si="12"/>
        <v>140663.29718351504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801258.60644788365</v>
      </c>
      <c r="E38" s="522">
        <f>IF(+I14&lt;F37,I14,D38)</f>
        <v>37099.53833333333</v>
      </c>
      <c r="F38" s="523">
        <f t="shared" si="10"/>
        <v>764159.06811455032</v>
      </c>
      <c r="G38" s="524">
        <f t="shared" si="11"/>
        <v>135976.63167033801</v>
      </c>
      <c r="H38" s="491">
        <f t="shared" si="12"/>
        <v>135976.63167033801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764159.06811455032</v>
      </c>
      <c r="E39" s="522">
        <f>IF(+I14&lt;F38,I14,D39)</f>
        <v>37099.53833333333</v>
      </c>
      <c r="F39" s="523">
        <f t="shared" si="10"/>
        <v>727059.52978121699</v>
      </c>
      <c r="G39" s="524">
        <f t="shared" si="11"/>
        <v>131289.96615716096</v>
      </c>
      <c r="H39" s="491">
        <f t="shared" si="12"/>
        <v>131289.96615716096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727059.52978121699</v>
      </c>
      <c r="E40" s="522">
        <f>IF(+I14&lt;F39,I14,D40)</f>
        <v>37099.53833333333</v>
      </c>
      <c r="F40" s="523">
        <f t="shared" si="10"/>
        <v>689959.99144788366</v>
      </c>
      <c r="G40" s="524">
        <f t="shared" si="11"/>
        <v>126603.30064398392</v>
      </c>
      <c r="H40" s="491">
        <f t="shared" si="12"/>
        <v>126603.30064398392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689959.99144788366</v>
      </c>
      <c r="E41" s="522">
        <f>IF(+I14&lt;F40,I14,D41)</f>
        <v>37099.53833333333</v>
      </c>
      <c r="F41" s="523">
        <f t="shared" si="10"/>
        <v>652860.45311455033</v>
      </c>
      <c r="G41" s="524">
        <f t="shared" si="11"/>
        <v>121916.63513080687</v>
      </c>
      <c r="H41" s="491">
        <f t="shared" si="12"/>
        <v>121916.63513080687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652860.45311455033</v>
      </c>
      <c r="E42" s="522">
        <f>IF(+I14&lt;F41,I14,D42)</f>
        <v>37099.53833333333</v>
      </c>
      <c r="F42" s="523">
        <f t="shared" si="10"/>
        <v>615760.914781217</v>
      </c>
      <c r="G42" s="524">
        <f t="shared" si="11"/>
        <v>117229.96961762983</v>
      </c>
      <c r="H42" s="491">
        <f t="shared" si="12"/>
        <v>117229.96961762983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615760.914781217</v>
      </c>
      <c r="E43" s="522">
        <f>IF(+I14&lt;F42,I14,D43)</f>
        <v>37099.53833333333</v>
      </c>
      <c r="F43" s="523">
        <f t="shared" si="10"/>
        <v>578661.37644788367</v>
      </c>
      <c r="G43" s="524">
        <f t="shared" si="11"/>
        <v>112543.30410445279</v>
      </c>
      <c r="H43" s="491">
        <f t="shared" si="12"/>
        <v>112543.30410445279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578661.37644788367</v>
      </c>
      <c r="E44" s="522">
        <f>IF(+I14&lt;F43,I14,D44)</f>
        <v>37099.53833333333</v>
      </c>
      <c r="F44" s="523">
        <f t="shared" si="10"/>
        <v>541561.83811455034</v>
      </c>
      <c r="G44" s="524">
        <f t="shared" si="11"/>
        <v>107856.63859127574</v>
      </c>
      <c r="H44" s="491">
        <f t="shared" si="12"/>
        <v>107856.63859127574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541561.83811455034</v>
      </c>
      <c r="E45" s="522">
        <f>IF(+I14&lt;F44,I14,D45)</f>
        <v>37099.53833333333</v>
      </c>
      <c r="F45" s="523">
        <f t="shared" si="10"/>
        <v>504462.29978121701</v>
      </c>
      <c r="G45" s="524">
        <f t="shared" si="11"/>
        <v>103169.9730780987</v>
      </c>
      <c r="H45" s="491">
        <f t="shared" si="12"/>
        <v>103169.9730780987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504462.29978121701</v>
      </c>
      <c r="E46" s="522">
        <f>IF(+I14&lt;F45,I14,D46)</f>
        <v>37099.53833333333</v>
      </c>
      <c r="F46" s="523">
        <f t="shared" si="10"/>
        <v>467362.76144788368</v>
      </c>
      <c r="G46" s="524">
        <f t="shared" si="11"/>
        <v>98483.307564921648</v>
      </c>
      <c r="H46" s="491">
        <f t="shared" si="12"/>
        <v>98483.307564921648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467362.76144788368</v>
      </c>
      <c r="E47" s="522">
        <f>IF(+I14&lt;F46,I14,D47)</f>
        <v>37099.53833333333</v>
      </c>
      <c r="F47" s="523">
        <f t="shared" si="10"/>
        <v>430263.22311455035</v>
      </c>
      <c r="G47" s="524">
        <f t="shared" si="11"/>
        <v>93796.642051744609</v>
      </c>
      <c r="H47" s="491">
        <f t="shared" si="12"/>
        <v>93796.642051744609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430263.22311455035</v>
      </c>
      <c r="E48" s="522">
        <f>IF(+I14&lt;F47,I14,D48)</f>
        <v>37099.53833333333</v>
      </c>
      <c r="F48" s="523">
        <f t="shared" si="10"/>
        <v>393163.68478121702</v>
      </c>
      <c r="G48" s="524">
        <f t="shared" si="11"/>
        <v>89109.976538567571</v>
      </c>
      <c r="H48" s="491">
        <f t="shared" si="12"/>
        <v>89109.976538567571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393163.68478121702</v>
      </c>
      <c r="E49" s="522">
        <f>IF(+I14&lt;F48,I14,D49)</f>
        <v>37099.53833333333</v>
      </c>
      <c r="F49" s="523">
        <f t="shared" si="10"/>
        <v>356064.14644788369</v>
      </c>
      <c r="G49" s="524">
        <f t="shared" si="11"/>
        <v>84423.311025390518</v>
      </c>
      <c r="H49" s="491">
        <f t="shared" si="12"/>
        <v>84423.311025390518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356064.14644788369</v>
      </c>
      <c r="E50" s="522">
        <f>IF(+I14&lt;F49,I14,D50)</f>
        <v>37099.53833333333</v>
      </c>
      <c r="F50" s="523">
        <f t="shared" si="10"/>
        <v>318964.60811455036</v>
      </c>
      <c r="G50" s="524">
        <f t="shared" ref="G50:G72" si="13">+I$12*((D50+F50)/2)+E50</f>
        <v>79736.645512213465</v>
      </c>
      <c r="H50" s="491">
        <f t="shared" ref="H50:H72" si="14">+I$13*((D50+F50)/2)+E50</f>
        <v>79736.645512213465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318964.60811455036</v>
      </c>
      <c r="E51" s="522">
        <f>IF(+I14&lt;F50,I14,D51)</f>
        <v>37099.53833333333</v>
      </c>
      <c r="F51" s="523">
        <f t="shared" si="10"/>
        <v>281865.06978121703</v>
      </c>
      <c r="G51" s="524">
        <f t="shared" si="13"/>
        <v>75049.979999036426</v>
      </c>
      <c r="H51" s="491">
        <f t="shared" si="14"/>
        <v>75049.979999036426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281865.06978121703</v>
      </c>
      <c r="E52" s="522">
        <f>IF(+I14&lt;F51,I14,D52)</f>
        <v>37099.53833333333</v>
      </c>
      <c r="F52" s="523">
        <f t="shared" si="10"/>
        <v>244765.5314478837</v>
      </c>
      <c r="G52" s="524">
        <f t="shared" si="13"/>
        <v>70363.314485859388</v>
      </c>
      <c r="H52" s="491">
        <f t="shared" si="14"/>
        <v>70363.314485859388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244765.5314478837</v>
      </c>
      <c r="E53" s="522">
        <f>IF(+I14&lt;F52,I14,D53)</f>
        <v>37099.53833333333</v>
      </c>
      <c r="F53" s="523">
        <f t="shared" si="10"/>
        <v>207665.99311455037</v>
      </c>
      <c r="G53" s="524">
        <f t="shared" si="13"/>
        <v>65676.648972682335</v>
      </c>
      <c r="H53" s="491">
        <f t="shared" si="14"/>
        <v>65676.648972682335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207665.99311455037</v>
      </c>
      <c r="E54" s="522">
        <f>IF(+I14&lt;F53,I14,D54)</f>
        <v>37099.53833333333</v>
      </c>
      <c r="F54" s="523">
        <f t="shared" si="10"/>
        <v>170566.45478121703</v>
      </c>
      <c r="G54" s="524">
        <f t="shared" si="13"/>
        <v>60989.983459505296</v>
      </c>
      <c r="H54" s="491">
        <f t="shared" si="14"/>
        <v>60989.983459505296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170566.45478121703</v>
      </c>
      <c r="E55" s="522">
        <f>IF(+I14&lt;F54,I14,D55)</f>
        <v>37099.53833333333</v>
      </c>
      <c r="F55" s="523">
        <f t="shared" si="10"/>
        <v>133466.9164478837</v>
      </c>
      <c r="G55" s="524">
        <f t="shared" si="13"/>
        <v>56303.31794632825</v>
      </c>
      <c r="H55" s="491">
        <f t="shared" si="14"/>
        <v>56303.31794632825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133466.9164478837</v>
      </c>
      <c r="E56" s="522">
        <f>IF(+I14&lt;F55,I14,D56)</f>
        <v>37099.53833333333</v>
      </c>
      <c r="F56" s="523">
        <f t="shared" si="10"/>
        <v>96367.378114550374</v>
      </c>
      <c r="G56" s="524">
        <f t="shared" si="13"/>
        <v>51616.652433151205</v>
      </c>
      <c r="H56" s="491">
        <f t="shared" si="14"/>
        <v>51616.652433151205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96367.378114550374</v>
      </c>
      <c r="E57" s="522">
        <f>IF(+I14&lt;F56,I14,D57)</f>
        <v>37099.53833333333</v>
      </c>
      <c r="F57" s="523">
        <f t="shared" si="10"/>
        <v>59267.839781217044</v>
      </c>
      <c r="G57" s="524">
        <f t="shared" si="13"/>
        <v>46929.986919974166</v>
      </c>
      <c r="H57" s="491">
        <f t="shared" si="14"/>
        <v>46929.986919974166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59267.839781217044</v>
      </c>
      <c r="E58" s="522">
        <f>IF(+I14&lt;F57,I14,D58)</f>
        <v>37099.53833333333</v>
      </c>
      <c r="F58" s="523">
        <f t="shared" si="10"/>
        <v>22168.301447883714</v>
      </c>
      <c r="G58" s="524">
        <f t="shared" si="13"/>
        <v>42243.321406797113</v>
      </c>
      <c r="H58" s="491">
        <f t="shared" si="14"/>
        <v>42243.321406797113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22168.301447883714</v>
      </c>
      <c r="E59" s="522">
        <f>IF(+I14&lt;F58,I14,D59)</f>
        <v>22168.301447883714</v>
      </c>
      <c r="F59" s="523">
        <f t="shared" si="10"/>
        <v>0</v>
      </c>
      <c r="G59" s="524">
        <f t="shared" si="13"/>
        <v>23568.526606321346</v>
      </c>
      <c r="H59" s="491">
        <f t="shared" si="14"/>
        <v>23568.526606321346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0"/>
        <v>0</v>
      </c>
      <c r="G60" s="524">
        <f t="shared" si="13"/>
        <v>0</v>
      </c>
      <c r="H60" s="491">
        <f t="shared" si="14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0"/>
        <v>0</v>
      </c>
      <c r="G61" s="526">
        <f t="shared" si="13"/>
        <v>0</v>
      </c>
      <c r="H61" s="491">
        <f t="shared" si="14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0"/>
        <v>0</v>
      </c>
      <c r="G62" s="526">
        <f t="shared" si="13"/>
        <v>0</v>
      </c>
      <c r="H62" s="491">
        <f t="shared" si="14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0"/>
        <v>0</v>
      </c>
      <c r="G63" s="526">
        <f t="shared" si="13"/>
        <v>0</v>
      </c>
      <c r="H63" s="491">
        <f t="shared" si="14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0"/>
        <v>0</v>
      </c>
      <c r="G64" s="526">
        <f t="shared" si="13"/>
        <v>0</v>
      </c>
      <c r="H64" s="491">
        <f t="shared" si="14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0"/>
        <v>0</v>
      </c>
      <c r="G65" s="526">
        <f t="shared" si="13"/>
        <v>0</v>
      </c>
      <c r="H65" s="491">
        <f t="shared" si="14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0"/>
        <v>0</v>
      </c>
      <c r="G66" s="526">
        <f t="shared" si="13"/>
        <v>0</v>
      </c>
      <c r="H66" s="491">
        <f t="shared" si="14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0"/>
        <v>0</v>
      </c>
      <c r="G67" s="526">
        <f t="shared" si="13"/>
        <v>0</v>
      </c>
      <c r="H67" s="491">
        <f t="shared" si="14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0"/>
        <v>0</v>
      </c>
      <c r="G68" s="526">
        <f t="shared" si="13"/>
        <v>0</v>
      </c>
      <c r="H68" s="491">
        <f t="shared" si="14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0"/>
        <v>0</v>
      </c>
      <c r="G69" s="526">
        <f t="shared" si="13"/>
        <v>0</v>
      </c>
      <c r="H69" s="491">
        <f t="shared" si="14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0"/>
        <v>0</v>
      </c>
      <c r="G70" s="526">
        <f t="shared" si="13"/>
        <v>0</v>
      </c>
      <c r="H70" s="491">
        <f t="shared" si="14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0"/>
        <v>0</v>
      </c>
      <c r="G71" s="526">
        <f t="shared" si="13"/>
        <v>0</v>
      </c>
      <c r="H71" s="491">
        <f t="shared" si="14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0"/>
        <v>0</v>
      </c>
      <c r="G72" s="530">
        <f t="shared" si="13"/>
        <v>0</v>
      </c>
      <c r="H72" s="471">
        <f t="shared" si="14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1558180.6099999999</v>
      </c>
      <c r="F73" s="375"/>
      <c r="G73" s="375">
        <f>SUM(G17:G72)</f>
        <v>5674640.7071110569</v>
      </c>
      <c r="H73" s="375">
        <f>SUM(H17:H72)</f>
        <v>5674640.7071110569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56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183180.99059024267</v>
      </c>
      <c r="N87" s="546">
        <f>IF(J92&lt;D11,0,VLOOKUP(J92,C17:O72,11))</f>
        <v>183180.99059024267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194948.41896293132</v>
      </c>
      <c r="N88" s="550">
        <f>IF(J92&lt;D11,0,VLOOKUP(J92,C99:P154,7))</f>
        <v>194948.41896293132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Logansport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11767.42837268865</v>
      </c>
      <c r="N89" s="555">
        <f>+N88-N87</f>
        <v>11767.42837268865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TP2011022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v>1558181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9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38004.414634146342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9050.1220930232557</v>
      </c>
      <c r="F99" s="651">
        <v>1547570.8779069767</v>
      </c>
      <c r="G99" s="652">
        <v>773785.43895348837</v>
      </c>
      <c r="H99" s="653">
        <v>107282.1745058736</v>
      </c>
      <c r="I99" s="654">
        <v>107282.1745058736</v>
      </c>
      <c r="J99" s="514">
        <f t="shared" ref="J99:J130" si="15">+I99-H99</f>
        <v>0</v>
      </c>
      <c r="K99" s="514"/>
      <c r="L99" s="512">
        <f>+H99</f>
        <v>107282.1745058736</v>
      </c>
      <c r="M99" s="513">
        <f t="shared" ref="M99:M130" si="16">IF(L99&lt;&gt;0,+H99-L99,0)</f>
        <v>0</v>
      </c>
      <c r="N99" s="512">
        <f>+I99</f>
        <v>107282.1745058736</v>
      </c>
      <c r="O99" s="513">
        <f t="shared" ref="O99:O130" si="17">IF(N99&lt;&gt;0,+I99-N99,0)</f>
        <v>0</v>
      </c>
      <c r="P99" s="513">
        <f t="shared" ref="P99:P130" si="18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1549130.8779069767</v>
      </c>
      <c r="E100" s="630">
        <v>37099.547619047618</v>
      </c>
      <c r="F100" s="631">
        <v>1512031.3302879292</v>
      </c>
      <c r="G100" s="631">
        <v>1530581.1040974529</v>
      </c>
      <c r="H100" s="633">
        <v>223021.4654373239</v>
      </c>
      <c r="I100" s="634">
        <v>223021.4654373239</v>
      </c>
      <c r="J100" s="514">
        <f t="shared" si="15"/>
        <v>0</v>
      </c>
      <c r="K100" s="514"/>
      <c r="L100" s="655">
        <f>+H100</f>
        <v>223021.4654373239</v>
      </c>
      <c r="M100" s="514">
        <f t="shared" si="16"/>
        <v>0</v>
      </c>
      <c r="N100" s="655">
        <f>+I100</f>
        <v>223021.4654373239</v>
      </c>
      <c r="O100" s="514">
        <f t="shared" si="17"/>
        <v>0</v>
      </c>
      <c r="P100" s="514">
        <f t="shared" si="18"/>
        <v>0</v>
      </c>
    </row>
    <row r="101" spans="1:16" ht="12.5">
      <c r="B101" s="195" t="str">
        <f t="shared" ref="B101:B154" si="19">IF(D101=F100,"","IU")</f>
        <v/>
      </c>
      <c r="C101" s="507">
        <f>IF(D93="","-",+C100+1)</f>
        <v>2018</v>
      </c>
      <c r="D101" s="629">
        <v>1512031.3302879292</v>
      </c>
      <c r="E101" s="630">
        <v>37099.547619047618</v>
      </c>
      <c r="F101" s="631">
        <v>1474931.7826688816</v>
      </c>
      <c r="G101" s="631">
        <v>1493481.5564784054</v>
      </c>
      <c r="H101" s="633">
        <v>194818.04882044392</v>
      </c>
      <c r="I101" s="634">
        <v>194818.04882044392</v>
      </c>
      <c r="J101" s="514">
        <f t="shared" si="15"/>
        <v>0</v>
      </c>
      <c r="K101" s="514"/>
      <c r="L101" s="655">
        <f>+H101</f>
        <v>194818.04882044392</v>
      </c>
      <c r="M101" s="514">
        <f t="shared" ref="M101" si="20">IF(L101&lt;&gt;0,+H101-L101,0)</f>
        <v>0</v>
      </c>
      <c r="N101" s="655">
        <f>+I101</f>
        <v>194818.04882044392</v>
      </c>
      <c r="O101" s="514">
        <f t="shared" ref="O101" si="21">IF(N101&lt;&gt;0,+I101-N101,0)</f>
        <v>0</v>
      </c>
      <c r="P101" s="514">
        <f t="shared" si="18"/>
        <v>0</v>
      </c>
    </row>
    <row r="102" spans="1:16" ht="12.5">
      <c r="B102" s="195" t="str">
        <f t="shared" si="19"/>
        <v/>
      </c>
      <c r="C102" s="507">
        <f>IF(D93="","-",+C101+1)</f>
        <v>2019</v>
      </c>
      <c r="D102" s="629">
        <v>1474931.7826688816</v>
      </c>
      <c r="E102" s="630">
        <v>36236.767441860466</v>
      </c>
      <c r="F102" s="631">
        <v>1438695.0152270212</v>
      </c>
      <c r="G102" s="631">
        <v>1456813.3989479514</v>
      </c>
      <c r="H102" s="633">
        <v>192174.86987504771</v>
      </c>
      <c r="I102" s="634">
        <v>192174.86987504771</v>
      </c>
      <c r="J102" s="514">
        <f t="shared" si="15"/>
        <v>0</v>
      </c>
      <c r="K102" s="514"/>
      <c r="L102" s="655">
        <f>+H102</f>
        <v>192174.86987504771</v>
      </c>
      <c r="M102" s="514">
        <f t="shared" ref="M102:M103" si="22">IF(L102&lt;&gt;0,+H102-L102,0)</f>
        <v>0</v>
      </c>
      <c r="N102" s="655">
        <f>+I102</f>
        <v>192174.86987504771</v>
      </c>
      <c r="O102" s="514">
        <f t="shared" si="17"/>
        <v>0</v>
      </c>
      <c r="P102" s="514">
        <f t="shared" si="18"/>
        <v>0</v>
      </c>
    </row>
    <row r="103" spans="1:16" ht="12.5">
      <c r="B103" s="195" t="str">
        <f t="shared" si="19"/>
        <v/>
      </c>
      <c r="C103" s="507">
        <f>IF(D93="","-",+C102+1)</f>
        <v>2020</v>
      </c>
      <c r="D103" s="629">
        <v>1438695.0152270212</v>
      </c>
      <c r="E103" s="630">
        <v>37099.547619047618</v>
      </c>
      <c r="F103" s="631">
        <v>1401595.4676079736</v>
      </c>
      <c r="G103" s="631">
        <v>1420145.2414174974</v>
      </c>
      <c r="H103" s="633">
        <v>189870.01394601294</v>
      </c>
      <c r="I103" s="634">
        <v>189870.01394601294</v>
      </c>
      <c r="J103" s="514">
        <f t="shared" si="15"/>
        <v>0</v>
      </c>
      <c r="K103" s="514"/>
      <c r="L103" s="655">
        <f>+H103</f>
        <v>189870.01394601294</v>
      </c>
      <c r="M103" s="514">
        <f t="shared" si="22"/>
        <v>0</v>
      </c>
      <c r="N103" s="655">
        <f>+I103</f>
        <v>189870.01394601294</v>
      </c>
      <c r="O103" s="514">
        <f t="shared" si="17"/>
        <v>0</v>
      </c>
      <c r="P103" s="514">
        <f t="shared" si="18"/>
        <v>0</v>
      </c>
    </row>
    <row r="104" spans="1:16" ht="12.5">
      <c r="B104" s="195" t="str">
        <f t="shared" si="19"/>
        <v/>
      </c>
      <c r="C104" s="507">
        <f>IF(D93="","-",+C103+1)</f>
        <v>2021</v>
      </c>
      <c r="D104" s="374">
        <f>IF(F103+SUM(E$99:E103)=D$92,F103,D$92-SUM(E$99:E103))</f>
        <v>1401595.4676079736</v>
      </c>
      <c r="E104" s="522">
        <f>IF(+J96&lt;F103,J96,D104)</f>
        <v>38004.414634146342</v>
      </c>
      <c r="F104" s="523">
        <f t="shared" ref="F104:F130" si="23">+D104-E104</f>
        <v>1363591.0529738273</v>
      </c>
      <c r="G104" s="523">
        <f t="shared" ref="G104:G130" si="24">+(F104+D104)/2</f>
        <v>1382593.2602909005</v>
      </c>
      <c r="H104" s="526">
        <f t="shared" ref="H104:H154" si="25">+J$94*G104+E104</f>
        <v>194948.41896293132</v>
      </c>
      <c r="I104" s="577">
        <f t="shared" ref="I104:I154" si="26">+J$95*G104+E104</f>
        <v>194948.41896293132</v>
      </c>
      <c r="J104" s="514">
        <f t="shared" si="15"/>
        <v>0</v>
      </c>
      <c r="K104" s="514"/>
      <c r="L104" s="525"/>
      <c r="M104" s="514">
        <f t="shared" si="16"/>
        <v>0</v>
      </c>
      <c r="N104" s="525"/>
      <c r="O104" s="514">
        <f t="shared" si="17"/>
        <v>0</v>
      </c>
      <c r="P104" s="514">
        <f t="shared" si="18"/>
        <v>0</v>
      </c>
    </row>
    <row r="105" spans="1:16" ht="12.5">
      <c r="B105" s="195" t="str">
        <f t="shared" si="19"/>
        <v/>
      </c>
      <c r="C105" s="507">
        <f>IF(D93="","-",+C104+1)</f>
        <v>2022</v>
      </c>
      <c r="D105" s="374">
        <f>IF(F104+SUM(E$99:E104)=D$92,F104,D$92-SUM(E$99:E104))</f>
        <v>1363591.0529738273</v>
      </c>
      <c r="E105" s="522">
        <f>IF(+J96&lt;F104,J96,D105)</f>
        <v>38004.414634146342</v>
      </c>
      <c r="F105" s="523">
        <f t="shared" si="23"/>
        <v>1325586.6383396811</v>
      </c>
      <c r="G105" s="523">
        <f t="shared" si="24"/>
        <v>1344588.8456567542</v>
      </c>
      <c r="H105" s="526">
        <f t="shared" si="25"/>
        <v>190634.37723702315</v>
      </c>
      <c r="I105" s="577">
        <f t="shared" si="26"/>
        <v>190634.37723702315</v>
      </c>
      <c r="J105" s="514">
        <f t="shared" si="15"/>
        <v>0</v>
      </c>
      <c r="K105" s="514"/>
      <c r="L105" s="525"/>
      <c r="M105" s="514">
        <f t="shared" si="16"/>
        <v>0</v>
      </c>
      <c r="N105" s="525"/>
      <c r="O105" s="514">
        <f t="shared" si="17"/>
        <v>0</v>
      </c>
      <c r="P105" s="514">
        <f t="shared" si="18"/>
        <v>0</v>
      </c>
    </row>
    <row r="106" spans="1:16" ht="12.5">
      <c r="B106" s="195" t="str">
        <f t="shared" si="19"/>
        <v/>
      </c>
      <c r="C106" s="507">
        <f>IF(D93="","-",+C105+1)</f>
        <v>2023</v>
      </c>
      <c r="D106" s="374">
        <f>IF(F105+SUM(E$99:E105)=D$92,F105,D$92-SUM(E$99:E105))</f>
        <v>1325586.6383396811</v>
      </c>
      <c r="E106" s="522">
        <f>IF(+J96&lt;F105,J96,D106)</f>
        <v>38004.414634146342</v>
      </c>
      <c r="F106" s="523">
        <f t="shared" si="23"/>
        <v>1287582.2237055348</v>
      </c>
      <c r="G106" s="523">
        <f t="shared" si="24"/>
        <v>1306584.431022608</v>
      </c>
      <c r="H106" s="526">
        <f t="shared" si="25"/>
        <v>186320.33551111494</v>
      </c>
      <c r="I106" s="577">
        <f t="shared" si="26"/>
        <v>186320.33551111494</v>
      </c>
      <c r="J106" s="514">
        <f t="shared" si="15"/>
        <v>0</v>
      </c>
      <c r="K106" s="514"/>
      <c r="L106" s="525"/>
      <c r="M106" s="514">
        <f t="shared" si="16"/>
        <v>0</v>
      </c>
      <c r="N106" s="525"/>
      <c r="O106" s="514">
        <f t="shared" si="17"/>
        <v>0</v>
      </c>
      <c r="P106" s="514">
        <f t="shared" si="18"/>
        <v>0</v>
      </c>
    </row>
    <row r="107" spans="1:16" ht="12.5">
      <c r="B107" s="195" t="str">
        <f t="shared" si="19"/>
        <v/>
      </c>
      <c r="C107" s="507">
        <f>IF(D93="","-",+C106+1)</f>
        <v>2024</v>
      </c>
      <c r="D107" s="374">
        <f>IF(F106+SUM(E$99:E106)=D$92,F106,D$92-SUM(E$99:E106))</f>
        <v>1287582.2237055348</v>
      </c>
      <c r="E107" s="522">
        <f>IF(+J96&lt;F106,J96,D107)</f>
        <v>38004.414634146342</v>
      </c>
      <c r="F107" s="523">
        <f t="shared" si="23"/>
        <v>1249577.8090713886</v>
      </c>
      <c r="G107" s="523">
        <f t="shared" si="24"/>
        <v>1268580.0163884617</v>
      </c>
      <c r="H107" s="526">
        <f t="shared" si="25"/>
        <v>182006.29378520674</v>
      </c>
      <c r="I107" s="577">
        <f t="shared" si="26"/>
        <v>182006.29378520674</v>
      </c>
      <c r="J107" s="514">
        <f t="shared" si="15"/>
        <v>0</v>
      </c>
      <c r="K107" s="514"/>
      <c r="L107" s="525"/>
      <c r="M107" s="514">
        <f t="shared" si="16"/>
        <v>0</v>
      </c>
      <c r="N107" s="525"/>
      <c r="O107" s="514">
        <f t="shared" si="17"/>
        <v>0</v>
      </c>
      <c r="P107" s="514">
        <f t="shared" si="18"/>
        <v>0</v>
      </c>
    </row>
    <row r="108" spans="1:16" ht="12.5">
      <c r="B108" s="195" t="str">
        <f t="shared" si="19"/>
        <v/>
      </c>
      <c r="C108" s="507">
        <f>IF(D93="","-",+C107+1)</f>
        <v>2025</v>
      </c>
      <c r="D108" s="374">
        <f>IF(F107+SUM(E$99:E107)=D$92,F107,D$92-SUM(E$99:E107))</f>
        <v>1249577.8090713886</v>
      </c>
      <c r="E108" s="522">
        <f>IF(+J96&lt;F107,J96,D108)</f>
        <v>38004.414634146342</v>
      </c>
      <c r="F108" s="523">
        <f t="shared" si="23"/>
        <v>1211573.3944372423</v>
      </c>
      <c r="G108" s="523">
        <f t="shared" si="24"/>
        <v>1230575.6017543154</v>
      </c>
      <c r="H108" s="526">
        <f t="shared" si="25"/>
        <v>177692.25205929857</v>
      </c>
      <c r="I108" s="577">
        <f t="shared" si="26"/>
        <v>177692.25205929857</v>
      </c>
      <c r="J108" s="514">
        <f t="shared" si="15"/>
        <v>0</v>
      </c>
      <c r="K108" s="514"/>
      <c r="L108" s="525"/>
      <c r="M108" s="514">
        <f t="shared" si="16"/>
        <v>0</v>
      </c>
      <c r="N108" s="525"/>
      <c r="O108" s="514">
        <f t="shared" si="17"/>
        <v>0</v>
      </c>
      <c r="P108" s="514">
        <f t="shared" si="18"/>
        <v>0</v>
      </c>
    </row>
    <row r="109" spans="1:16" ht="12.5">
      <c r="B109" s="195" t="str">
        <f t="shared" si="19"/>
        <v/>
      </c>
      <c r="C109" s="507">
        <f>IF(D93="","-",+C108+1)</f>
        <v>2026</v>
      </c>
      <c r="D109" s="374">
        <f>IF(F108+SUM(E$99:E108)=D$92,F108,D$92-SUM(E$99:E108))</f>
        <v>1211573.3944372423</v>
      </c>
      <c r="E109" s="522">
        <f>IF(+J96&lt;F108,J96,D109)</f>
        <v>38004.414634146342</v>
      </c>
      <c r="F109" s="523">
        <f t="shared" si="23"/>
        <v>1173568.979803096</v>
      </c>
      <c r="G109" s="523">
        <f t="shared" si="24"/>
        <v>1192571.1871201692</v>
      </c>
      <c r="H109" s="526">
        <f t="shared" si="25"/>
        <v>173378.21033339037</v>
      </c>
      <c r="I109" s="577">
        <f t="shared" si="26"/>
        <v>173378.21033339037</v>
      </c>
      <c r="J109" s="514">
        <f t="shared" si="15"/>
        <v>0</v>
      </c>
      <c r="K109" s="514"/>
      <c r="L109" s="525"/>
      <c r="M109" s="514">
        <f t="shared" si="16"/>
        <v>0</v>
      </c>
      <c r="N109" s="525"/>
      <c r="O109" s="514">
        <f t="shared" si="17"/>
        <v>0</v>
      </c>
      <c r="P109" s="514">
        <f t="shared" si="18"/>
        <v>0</v>
      </c>
    </row>
    <row r="110" spans="1:16" ht="12.5">
      <c r="B110" s="195" t="str">
        <f t="shared" si="19"/>
        <v/>
      </c>
      <c r="C110" s="507">
        <f>IF(D93="","-",+C109+1)</f>
        <v>2027</v>
      </c>
      <c r="D110" s="374">
        <f>IF(F109+SUM(E$99:E109)=D$92,F109,D$92-SUM(E$99:E109))</f>
        <v>1173568.979803096</v>
      </c>
      <c r="E110" s="522">
        <f>IF(+J96&lt;F109,J96,D110)</f>
        <v>38004.414634146342</v>
      </c>
      <c r="F110" s="523">
        <f t="shared" si="23"/>
        <v>1135564.5651689498</v>
      </c>
      <c r="G110" s="523">
        <f t="shared" si="24"/>
        <v>1154566.7724860229</v>
      </c>
      <c r="H110" s="526">
        <f t="shared" si="25"/>
        <v>169064.16860748216</v>
      </c>
      <c r="I110" s="577">
        <f t="shared" si="26"/>
        <v>169064.16860748216</v>
      </c>
      <c r="J110" s="514">
        <f t="shared" si="15"/>
        <v>0</v>
      </c>
      <c r="K110" s="514"/>
      <c r="L110" s="525"/>
      <c r="M110" s="514">
        <f t="shared" si="16"/>
        <v>0</v>
      </c>
      <c r="N110" s="525"/>
      <c r="O110" s="514">
        <f t="shared" si="17"/>
        <v>0</v>
      </c>
      <c r="P110" s="514">
        <f t="shared" si="18"/>
        <v>0</v>
      </c>
    </row>
    <row r="111" spans="1:16" ht="12.5">
      <c r="B111" s="195" t="str">
        <f t="shared" si="19"/>
        <v/>
      </c>
      <c r="C111" s="507">
        <f>IF(D93="","-",+C110+1)</f>
        <v>2028</v>
      </c>
      <c r="D111" s="374">
        <f>IF(F110+SUM(E$99:E110)=D$92,F110,D$92-SUM(E$99:E110))</f>
        <v>1135564.5651689498</v>
      </c>
      <c r="E111" s="522">
        <f>IF(+J96&lt;F110,J96,D111)</f>
        <v>38004.414634146342</v>
      </c>
      <c r="F111" s="523">
        <f t="shared" si="23"/>
        <v>1097560.1505348035</v>
      </c>
      <c r="G111" s="523">
        <f t="shared" si="24"/>
        <v>1116562.3578518766</v>
      </c>
      <c r="H111" s="526">
        <f t="shared" si="25"/>
        <v>164750.12688157399</v>
      </c>
      <c r="I111" s="577">
        <f t="shared" si="26"/>
        <v>164750.12688157399</v>
      </c>
      <c r="J111" s="514">
        <f t="shared" si="15"/>
        <v>0</v>
      </c>
      <c r="K111" s="514"/>
      <c r="L111" s="525"/>
      <c r="M111" s="514">
        <f t="shared" si="16"/>
        <v>0</v>
      </c>
      <c r="N111" s="525"/>
      <c r="O111" s="514">
        <f t="shared" si="17"/>
        <v>0</v>
      </c>
      <c r="P111" s="514">
        <f t="shared" si="18"/>
        <v>0</v>
      </c>
    </row>
    <row r="112" spans="1:16" ht="12.5">
      <c r="B112" s="195" t="str">
        <f t="shared" si="19"/>
        <v/>
      </c>
      <c r="C112" s="507">
        <f>IF(D93="","-",+C111+1)</f>
        <v>2029</v>
      </c>
      <c r="D112" s="374">
        <f>IF(F111+SUM(E$99:E111)=D$92,F111,D$92-SUM(E$99:E111))</f>
        <v>1097560.1505348035</v>
      </c>
      <c r="E112" s="522">
        <f>IF(+J96&lt;F111,J96,D112)</f>
        <v>38004.414634146342</v>
      </c>
      <c r="F112" s="523">
        <f t="shared" si="23"/>
        <v>1059555.7359006573</v>
      </c>
      <c r="G112" s="523">
        <f t="shared" si="24"/>
        <v>1078557.9432177304</v>
      </c>
      <c r="H112" s="526">
        <f t="shared" si="25"/>
        <v>160436.08515566579</v>
      </c>
      <c r="I112" s="577">
        <f t="shared" si="26"/>
        <v>160436.08515566579</v>
      </c>
      <c r="J112" s="514">
        <f t="shared" si="15"/>
        <v>0</v>
      </c>
      <c r="K112" s="514"/>
      <c r="L112" s="525"/>
      <c r="M112" s="514">
        <f t="shared" si="16"/>
        <v>0</v>
      </c>
      <c r="N112" s="525"/>
      <c r="O112" s="514">
        <f t="shared" si="17"/>
        <v>0</v>
      </c>
      <c r="P112" s="514">
        <f t="shared" si="18"/>
        <v>0</v>
      </c>
    </row>
    <row r="113" spans="2:16" ht="12.5">
      <c r="B113" s="195" t="str">
        <f t="shared" si="19"/>
        <v/>
      </c>
      <c r="C113" s="507">
        <f>IF(D93="","-",+C112+1)</f>
        <v>2030</v>
      </c>
      <c r="D113" s="374">
        <f>IF(F112+SUM(E$99:E112)=D$92,F112,D$92-SUM(E$99:E112))</f>
        <v>1059555.7359006573</v>
      </c>
      <c r="E113" s="522">
        <f>IF(+J96&lt;F112,J96,D113)</f>
        <v>38004.414634146342</v>
      </c>
      <c r="F113" s="523">
        <f t="shared" si="23"/>
        <v>1021551.3212665109</v>
      </c>
      <c r="G113" s="523">
        <f t="shared" si="24"/>
        <v>1040553.5285835841</v>
      </c>
      <c r="H113" s="526">
        <f t="shared" si="25"/>
        <v>156122.04342975758</v>
      </c>
      <c r="I113" s="577">
        <f t="shared" si="26"/>
        <v>156122.04342975758</v>
      </c>
      <c r="J113" s="514">
        <f t="shared" si="15"/>
        <v>0</v>
      </c>
      <c r="K113" s="514"/>
      <c r="L113" s="525"/>
      <c r="M113" s="514">
        <f t="shared" si="16"/>
        <v>0</v>
      </c>
      <c r="N113" s="525"/>
      <c r="O113" s="514">
        <f t="shared" si="17"/>
        <v>0</v>
      </c>
      <c r="P113" s="514">
        <f t="shared" si="18"/>
        <v>0</v>
      </c>
    </row>
    <row r="114" spans="2:16" ht="12.5">
      <c r="B114" s="195" t="str">
        <f t="shared" si="19"/>
        <v/>
      </c>
      <c r="C114" s="507">
        <f>IF(D93="","-",+C113+1)</f>
        <v>2031</v>
      </c>
      <c r="D114" s="374">
        <f>IF(F113+SUM(E$99:E113)=D$92,F113,D$92-SUM(E$99:E113))</f>
        <v>1021551.3212665109</v>
      </c>
      <c r="E114" s="522">
        <f>IF(+J96&lt;F113,J96,D114)</f>
        <v>38004.414634146342</v>
      </c>
      <c r="F114" s="523">
        <f t="shared" si="23"/>
        <v>983546.90663236449</v>
      </c>
      <c r="G114" s="523">
        <f t="shared" si="24"/>
        <v>1002549.1139494376</v>
      </c>
      <c r="H114" s="526">
        <f t="shared" si="25"/>
        <v>151808.00170384938</v>
      </c>
      <c r="I114" s="577">
        <f t="shared" si="26"/>
        <v>151808.00170384938</v>
      </c>
      <c r="J114" s="514">
        <f t="shared" si="15"/>
        <v>0</v>
      </c>
      <c r="K114" s="514"/>
      <c r="L114" s="525"/>
      <c r="M114" s="514">
        <f t="shared" si="16"/>
        <v>0</v>
      </c>
      <c r="N114" s="525"/>
      <c r="O114" s="514">
        <f t="shared" si="17"/>
        <v>0</v>
      </c>
      <c r="P114" s="514">
        <f t="shared" si="18"/>
        <v>0</v>
      </c>
    </row>
    <row r="115" spans="2:16" ht="12.5">
      <c r="B115" s="195" t="str">
        <f t="shared" si="19"/>
        <v/>
      </c>
      <c r="C115" s="507">
        <f>IF(D93="","-",+C114+1)</f>
        <v>2032</v>
      </c>
      <c r="D115" s="374">
        <f>IF(F114+SUM(E$99:E114)=D$92,F114,D$92-SUM(E$99:E114))</f>
        <v>983546.90663236449</v>
      </c>
      <c r="E115" s="522">
        <f>IF(+J96&lt;F114,J96,D115)</f>
        <v>38004.414634146342</v>
      </c>
      <c r="F115" s="523">
        <f t="shared" si="23"/>
        <v>945542.49199821812</v>
      </c>
      <c r="G115" s="523">
        <f t="shared" si="24"/>
        <v>964544.69931529136</v>
      </c>
      <c r="H115" s="526">
        <f t="shared" si="25"/>
        <v>147493.95997794118</v>
      </c>
      <c r="I115" s="577">
        <f t="shared" si="26"/>
        <v>147493.95997794118</v>
      </c>
      <c r="J115" s="514">
        <f t="shared" si="15"/>
        <v>0</v>
      </c>
      <c r="K115" s="514"/>
      <c r="L115" s="525"/>
      <c r="M115" s="514">
        <f t="shared" si="16"/>
        <v>0</v>
      </c>
      <c r="N115" s="525"/>
      <c r="O115" s="514">
        <f t="shared" si="17"/>
        <v>0</v>
      </c>
      <c r="P115" s="514">
        <f t="shared" si="18"/>
        <v>0</v>
      </c>
    </row>
    <row r="116" spans="2:16" ht="12.5">
      <c r="B116" s="195" t="str">
        <f t="shared" si="19"/>
        <v/>
      </c>
      <c r="C116" s="507">
        <f>IF(D93="","-",+C115+1)</f>
        <v>2033</v>
      </c>
      <c r="D116" s="374">
        <f>IF(F115+SUM(E$99:E115)=D$92,F115,D$92-SUM(E$99:E115))</f>
        <v>945542.49199821812</v>
      </c>
      <c r="E116" s="522">
        <f>IF(+J96&lt;F115,J96,D116)</f>
        <v>38004.414634146342</v>
      </c>
      <c r="F116" s="523">
        <f t="shared" si="23"/>
        <v>907538.07736407174</v>
      </c>
      <c r="G116" s="523">
        <f t="shared" si="24"/>
        <v>926540.28468114487</v>
      </c>
      <c r="H116" s="526">
        <f t="shared" si="25"/>
        <v>143179.91825203298</v>
      </c>
      <c r="I116" s="577">
        <f t="shared" si="26"/>
        <v>143179.91825203298</v>
      </c>
      <c r="J116" s="514">
        <f t="shared" si="15"/>
        <v>0</v>
      </c>
      <c r="K116" s="514"/>
      <c r="L116" s="525"/>
      <c r="M116" s="514">
        <f t="shared" si="16"/>
        <v>0</v>
      </c>
      <c r="N116" s="525"/>
      <c r="O116" s="514">
        <f t="shared" si="17"/>
        <v>0</v>
      </c>
      <c r="P116" s="514">
        <f t="shared" si="18"/>
        <v>0</v>
      </c>
    </row>
    <row r="117" spans="2:16" ht="12.5">
      <c r="B117" s="195" t="str">
        <f t="shared" si="19"/>
        <v/>
      </c>
      <c r="C117" s="507">
        <f>IF(D93="","-",+C116+1)</f>
        <v>2034</v>
      </c>
      <c r="D117" s="374">
        <f>IF(F116+SUM(E$99:E116)=D$92,F116,D$92-SUM(E$99:E116))</f>
        <v>907538.07736407174</v>
      </c>
      <c r="E117" s="522">
        <f>IF(+J96&lt;F116,J96,D117)</f>
        <v>38004.414634146342</v>
      </c>
      <c r="F117" s="523">
        <f t="shared" si="23"/>
        <v>869533.66272992536</v>
      </c>
      <c r="G117" s="523">
        <f t="shared" si="24"/>
        <v>888535.87004699861</v>
      </c>
      <c r="H117" s="526">
        <f t="shared" si="25"/>
        <v>138865.87652612478</v>
      </c>
      <c r="I117" s="577">
        <f t="shared" si="26"/>
        <v>138865.87652612478</v>
      </c>
      <c r="J117" s="514">
        <f t="shared" si="15"/>
        <v>0</v>
      </c>
      <c r="K117" s="514"/>
      <c r="L117" s="525"/>
      <c r="M117" s="514">
        <f t="shared" si="16"/>
        <v>0</v>
      </c>
      <c r="N117" s="525"/>
      <c r="O117" s="514">
        <f t="shared" si="17"/>
        <v>0</v>
      </c>
      <c r="P117" s="514">
        <f t="shared" si="18"/>
        <v>0</v>
      </c>
    </row>
    <row r="118" spans="2:16" ht="12.5">
      <c r="B118" s="195" t="str">
        <f t="shared" si="19"/>
        <v/>
      </c>
      <c r="C118" s="507">
        <f>IF(D93="","-",+C117+1)</f>
        <v>2035</v>
      </c>
      <c r="D118" s="374">
        <f>IF(F117+SUM(E$99:E117)=D$92,F117,D$92-SUM(E$99:E117))</f>
        <v>869533.66272992536</v>
      </c>
      <c r="E118" s="522">
        <f>IF(+J96&lt;F117,J96,D118)</f>
        <v>38004.414634146342</v>
      </c>
      <c r="F118" s="523">
        <f t="shared" si="23"/>
        <v>831529.24809577898</v>
      </c>
      <c r="G118" s="523">
        <f t="shared" si="24"/>
        <v>850531.45541285211</v>
      </c>
      <c r="H118" s="526">
        <f t="shared" si="25"/>
        <v>134551.83480021654</v>
      </c>
      <c r="I118" s="577">
        <f t="shared" si="26"/>
        <v>134551.83480021654</v>
      </c>
      <c r="J118" s="514">
        <f t="shared" si="15"/>
        <v>0</v>
      </c>
      <c r="K118" s="514"/>
      <c r="L118" s="525"/>
      <c r="M118" s="514">
        <f t="shared" si="16"/>
        <v>0</v>
      </c>
      <c r="N118" s="525"/>
      <c r="O118" s="514">
        <f t="shared" si="17"/>
        <v>0</v>
      </c>
      <c r="P118" s="514">
        <f t="shared" si="18"/>
        <v>0</v>
      </c>
    </row>
    <row r="119" spans="2:16" ht="12.5">
      <c r="B119" s="195" t="str">
        <f t="shared" si="19"/>
        <v/>
      </c>
      <c r="C119" s="507">
        <f>IF(D93="","-",+C118+1)</f>
        <v>2036</v>
      </c>
      <c r="D119" s="374">
        <f>IF(F118+SUM(E$99:E118)=D$92,F118,D$92-SUM(E$99:E118))</f>
        <v>831529.24809577898</v>
      </c>
      <c r="E119" s="522">
        <f>IF(+J96&lt;F118,J96,D119)</f>
        <v>38004.414634146342</v>
      </c>
      <c r="F119" s="523">
        <f t="shared" si="23"/>
        <v>793524.8334616326</v>
      </c>
      <c r="G119" s="523">
        <f t="shared" si="24"/>
        <v>812527.04077870585</v>
      </c>
      <c r="H119" s="526">
        <f t="shared" si="25"/>
        <v>130237.79307430837</v>
      </c>
      <c r="I119" s="577">
        <f t="shared" si="26"/>
        <v>130237.79307430837</v>
      </c>
      <c r="J119" s="514">
        <f t="shared" si="15"/>
        <v>0</v>
      </c>
      <c r="K119" s="514"/>
      <c r="L119" s="525"/>
      <c r="M119" s="514">
        <f t="shared" si="16"/>
        <v>0</v>
      </c>
      <c r="N119" s="525"/>
      <c r="O119" s="514">
        <f t="shared" si="17"/>
        <v>0</v>
      </c>
      <c r="P119" s="514">
        <f t="shared" si="18"/>
        <v>0</v>
      </c>
    </row>
    <row r="120" spans="2:16" ht="12.5">
      <c r="B120" s="195" t="str">
        <f t="shared" si="19"/>
        <v/>
      </c>
      <c r="C120" s="507">
        <f>IF(D93="","-",+C119+1)</f>
        <v>2037</v>
      </c>
      <c r="D120" s="374">
        <f>IF(F119+SUM(E$99:E119)=D$92,F119,D$92-SUM(E$99:E119))</f>
        <v>793524.8334616326</v>
      </c>
      <c r="E120" s="522">
        <f>IF(+J96&lt;F119,J96,D120)</f>
        <v>38004.414634146342</v>
      </c>
      <c r="F120" s="523">
        <f t="shared" si="23"/>
        <v>755520.41882748622</v>
      </c>
      <c r="G120" s="523">
        <f t="shared" si="24"/>
        <v>774522.62614455936</v>
      </c>
      <c r="H120" s="526">
        <f t="shared" si="25"/>
        <v>125923.75134840014</v>
      </c>
      <c r="I120" s="577">
        <f t="shared" si="26"/>
        <v>125923.75134840014</v>
      </c>
      <c r="J120" s="514">
        <f t="shared" si="15"/>
        <v>0</v>
      </c>
      <c r="K120" s="514"/>
      <c r="L120" s="525"/>
      <c r="M120" s="514">
        <f t="shared" si="16"/>
        <v>0</v>
      </c>
      <c r="N120" s="525"/>
      <c r="O120" s="514">
        <f t="shared" si="17"/>
        <v>0</v>
      </c>
      <c r="P120" s="514">
        <f t="shared" si="18"/>
        <v>0</v>
      </c>
    </row>
    <row r="121" spans="2:16" ht="12.5">
      <c r="B121" s="195" t="str">
        <f t="shared" si="19"/>
        <v/>
      </c>
      <c r="C121" s="507">
        <f>IF(D93="","-",+C120+1)</f>
        <v>2038</v>
      </c>
      <c r="D121" s="374">
        <f>IF(F120+SUM(E$99:E120)=D$92,F120,D$92-SUM(E$99:E120))</f>
        <v>755520.41882748622</v>
      </c>
      <c r="E121" s="522">
        <f>IF(+J96&lt;F120,J96,D121)</f>
        <v>38004.414634146342</v>
      </c>
      <c r="F121" s="523">
        <f t="shared" si="23"/>
        <v>717516.00419333985</v>
      </c>
      <c r="G121" s="523">
        <f t="shared" si="24"/>
        <v>736518.21151041309</v>
      </c>
      <c r="H121" s="526">
        <f t="shared" si="25"/>
        <v>121609.70962249197</v>
      </c>
      <c r="I121" s="577">
        <f t="shared" si="26"/>
        <v>121609.70962249197</v>
      </c>
      <c r="J121" s="514">
        <f t="shared" si="15"/>
        <v>0</v>
      </c>
      <c r="K121" s="514"/>
      <c r="L121" s="525"/>
      <c r="M121" s="514">
        <f t="shared" si="16"/>
        <v>0</v>
      </c>
      <c r="N121" s="525"/>
      <c r="O121" s="514">
        <f t="shared" si="17"/>
        <v>0</v>
      </c>
      <c r="P121" s="514">
        <f t="shared" si="18"/>
        <v>0</v>
      </c>
    </row>
    <row r="122" spans="2:16" ht="12.5">
      <c r="B122" s="195" t="str">
        <f t="shared" si="19"/>
        <v/>
      </c>
      <c r="C122" s="507">
        <f>IF(D93="","-",+C121+1)</f>
        <v>2039</v>
      </c>
      <c r="D122" s="374">
        <f>IF(F121+SUM(E$99:E121)=D$92,F121,D$92-SUM(E$99:E121))</f>
        <v>717516.00419333985</v>
      </c>
      <c r="E122" s="522">
        <f>IF(+J96&lt;F121,J96,D122)</f>
        <v>38004.414634146342</v>
      </c>
      <c r="F122" s="523">
        <f t="shared" si="23"/>
        <v>679511.58955919347</v>
      </c>
      <c r="G122" s="523">
        <f t="shared" si="24"/>
        <v>698513.7968762666</v>
      </c>
      <c r="H122" s="526">
        <f t="shared" si="25"/>
        <v>117295.66789658373</v>
      </c>
      <c r="I122" s="577">
        <f t="shared" si="26"/>
        <v>117295.66789658373</v>
      </c>
      <c r="J122" s="514">
        <f t="shared" si="15"/>
        <v>0</v>
      </c>
      <c r="K122" s="514"/>
      <c r="L122" s="525"/>
      <c r="M122" s="514">
        <f t="shared" si="16"/>
        <v>0</v>
      </c>
      <c r="N122" s="525"/>
      <c r="O122" s="514">
        <f t="shared" si="17"/>
        <v>0</v>
      </c>
      <c r="P122" s="514">
        <f t="shared" si="18"/>
        <v>0</v>
      </c>
    </row>
    <row r="123" spans="2:16" ht="12.5">
      <c r="B123" s="195" t="str">
        <f t="shared" si="19"/>
        <v/>
      </c>
      <c r="C123" s="507">
        <f>IF(D93="","-",+C122+1)</f>
        <v>2040</v>
      </c>
      <c r="D123" s="374">
        <f>IF(F122+SUM(E$99:E122)=D$92,F122,D$92-SUM(E$99:E122))</f>
        <v>679511.58955919347</v>
      </c>
      <c r="E123" s="522">
        <f>IF(+J96&lt;F122,J96,D123)</f>
        <v>38004.414634146342</v>
      </c>
      <c r="F123" s="523">
        <f t="shared" si="23"/>
        <v>641507.17492504709</v>
      </c>
      <c r="G123" s="523">
        <f t="shared" si="24"/>
        <v>660509.38224212034</v>
      </c>
      <c r="H123" s="526">
        <f t="shared" si="25"/>
        <v>112981.62617067553</v>
      </c>
      <c r="I123" s="577">
        <f t="shared" si="26"/>
        <v>112981.62617067553</v>
      </c>
      <c r="J123" s="514">
        <f t="shared" si="15"/>
        <v>0</v>
      </c>
      <c r="K123" s="514"/>
      <c r="L123" s="525"/>
      <c r="M123" s="514">
        <f t="shared" si="16"/>
        <v>0</v>
      </c>
      <c r="N123" s="525"/>
      <c r="O123" s="514">
        <f t="shared" si="17"/>
        <v>0</v>
      </c>
      <c r="P123" s="514">
        <f t="shared" si="18"/>
        <v>0</v>
      </c>
    </row>
    <row r="124" spans="2:16" ht="12.5">
      <c r="B124" s="195" t="str">
        <f t="shared" si="19"/>
        <v/>
      </c>
      <c r="C124" s="507">
        <f>IF(D93="","-",+C123+1)</f>
        <v>2041</v>
      </c>
      <c r="D124" s="374">
        <f>IF(F123+SUM(E$99:E123)=D$92,F123,D$92-SUM(E$99:E123))</f>
        <v>641507.17492504709</v>
      </c>
      <c r="E124" s="522">
        <f>IF(+J96&lt;F123,J96,D124)</f>
        <v>38004.414634146342</v>
      </c>
      <c r="F124" s="523">
        <f t="shared" si="23"/>
        <v>603502.76029090071</v>
      </c>
      <c r="G124" s="523">
        <f t="shared" si="24"/>
        <v>622504.96760797384</v>
      </c>
      <c r="H124" s="526">
        <f t="shared" si="25"/>
        <v>108667.58444476733</v>
      </c>
      <c r="I124" s="577">
        <f t="shared" si="26"/>
        <v>108667.58444476733</v>
      </c>
      <c r="J124" s="514">
        <f t="shared" si="15"/>
        <v>0</v>
      </c>
      <c r="K124" s="514"/>
      <c r="L124" s="525"/>
      <c r="M124" s="514">
        <f t="shared" si="16"/>
        <v>0</v>
      </c>
      <c r="N124" s="525"/>
      <c r="O124" s="514">
        <f t="shared" si="17"/>
        <v>0</v>
      </c>
      <c r="P124" s="514">
        <f t="shared" si="18"/>
        <v>0</v>
      </c>
    </row>
    <row r="125" spans="2:16" ht="12.5">
      <c r="B125" s="195" t="str">
        <f t="shared" si="19"/>
        <v/>
      </c>
      <c r="C125" s="507">
        <f>IF(D93="","-",+C124+1)</f>
        <v>2042</v>
      </c>
      <c r="D125" s="374">
        <f>IF(F124+SUM(E$99:E124)=D$92,F124,D$92-SUM(E$99:E124))</f>
        <v>603502.76029090071</v>
      </c>
      <c r="E125" s="522">
        <f>IF(+J96&lt;F124,J96,D125)</f>
        <v>38004.414634146342</v>
      </c>
      <c r="F125" s="523">
        <f t="shared" si="23"/>
        <v>565498.34565675433</v>
      </c>
      <c r="G125" s="523">
        <f t="shared" si="24"/>
        <v>584500.55297382758</v>
      </c>
      <c r="H125" s="526">
        <f t="shared" si="25"/>
        <v>104353.54271885913</v>
      </c>
      <c r="I125" s="577">
        <f t="shared" si="26"/>
        <v>104353.54271885913</v>
      </c>
      <c r="J125" s="514">
        <f t="shared" si="15"/>
        <v>0</v>
      </c>
      <c r="K125" s="514"/>
      <c r="L125" s="525"/>
      <c r="M125" s="514">
        <f t="shared" si="16"/>
        <v>0</v>
      </c>
      <c r="N125" s="525"/>
      <c r="O125" s="514">
        <f t="shared" si="17"/>
        <v>0</v>
      </c>
      <c r="P125" s="514">
        <f t="shared" si="18"/>
        <v>0</v>
      </c>
    </row>
    <row r="126" spans="2:16" ht="12.5">
      <c r="B126" s="195" t="str">
        <f t="shared" si="19"/>
        <v/>
      </c>
      <c r="C126" s="507">
        <f>IF(D93="","-",+C125+1)</f>
        <v>2043</v>
      </c>
      <c r="D126" s="374">
        <f>IF(F125+SUM(E$99:E125)=D$92,F125,D$92-SUM(E$99:E125))</f>
        <v>565498.34565675433</v>
      </c>
      <c r="E126" s="522">
        <f>IF(+J96&lt;F125,J96,D126)</f>
        <v>38004.414634146342</v>
      </c>
      <c r="F126" s="523">
        <f t="shared" si="23"/>
        <v>527493.93102260795</v>
      </c>
      <c r="G126" s="523">
        <f t="shared" si="24"/>
        <v>546496.13833968109</v>
      </c>
      <c r="H126" s="526">
        <f t="shared" si="25"/>
        <v>100039.50099295093</v>
      </c>
      <c r="I126" s="577">
        <f t="shared" si="26"/>
        <v>100039.50099295093</v>
      </c>
      <c r="J126" s="514">
        <f t="shared" si="15"/>
        <v>0</v>
      </c>
      <c r="K126" s="514"/>
      <c r="L126" s="525"/>
      <c r="M126" s="514">
        <f t="shared" si="16"/>
        <v>0</v>
      </c>
      <c r="N126" s="525"/>
      <c r="O126" s="514">
        <f t="shared" si="17"/>
        <v>0</v>
      </c>
      <c r="P126" s="514">
        <f t="shared" si="18"/>
        <v>0</v>
      </c>
    </row>
    <row r="127" spans="2:16" ht="12.5">
      <c r="B127" s="195" t="str">
        <f t="shared" si="19"/>
        <v/>
      </c>
      <c r="C127" s="507">
        <f>IF(D93="","-",+C126+1)</f>
        <v>2044</v>
      </c>
      <c r="D127" s="374">
        <f>IF(F126+SUM(E$99:E126)=D$92,F126,D$92-SUM(E$99:E126))</f>
        <v>527493.93102260795</v>
      </c>
      <c r="E127" s="522">
        <f>IF(+J96&lt;F126,J96,D127)</f>
        <v>38004.414634146342</v>
      </c>
      <c r="F127" s="523">
        <f t="shared" si="23"/>
        <v>489489.51638846163</v>
      </c>
      <c r="G127" s="523">
        <f t="shared" si="24"/>
        <v>508491.72370553482</v>
      </c>
      <c r="H127" s="526">
        <f t="shared" si="25"/>
        <v>95725.459267042723</v>
      </c>
      <c r="I127" s="577">
        <f t="shared" si="26"/>
        <v>95725.459267042723</v>
      </c>
      <c r="J127" s="514">
        <f t="shared" si="15"/>
        <v>0</v>
      </c>
      <c r="K127" s="514"/>
      <c r="L127" s="525"/>
      <c r="M127" s="514">
        <f t="shared" si="16"/>
        <v>0</v>
      </c>
      <c r="N127" s="525"/>
      <c r="O127" s="514">
        <f t="shared" si="17"/>
        <v>0</v>
      </c>
      <c r="P127" s="514">
        <f t="shared" si="18"/>
        <v>0</v>
      </c>
    </row>
    <row r="128" spans="2:16" ht="12.5">
      <c r="B128" s="195" t="str">
        <f t="shared" si="19"/>
        <v/>
      </c>
      <c r="C128" s="507">
        <f>IF(D93="","-",+C127+1)</f>
        <v>2045</v>
      </c>
      <c r="D128" s="374">
        <f>IF(F127+SUM(E$99:E127)=D$92,F127,D$92-SUM(E$99:E127))</f>
        <v>489489.51638846163</v>
      </c>
      <c r="E128" s="522">
        <f>IF(+J96&lt;F127,J96,D128)</f>
        <v>38004.414634146342</v>
      </c>
      <c r="F128" s="523">
        <f t="shared" si="23"/>
        <v>451485.10175431531</v>
      </c>
      <c r="G128" s="523">
        <f t="shared" si="24"/>
        <v>470487.30907138844</v>
      </c>
      <c r="H128" s="526">
        <f t="shared" si="25"/>
        <v>91411.41754113452</v>
      </c>
      <c r="I128" s="577">
        <f t="shared" si="26"/>
        <v>91411.41754113452</v>
      </c>
      <c r="J128" s="514">
        <f t="shared" si="15"/>
        <v>0</v>
      </c>
      <c r="K128" s="514"/>
      <c r="L128" s="525"/>
      <c r="M128" s="514">
        <f t="shared" si="16"/>
        <v>0</v>
      </c>
      <c r="N128" s="525"/>
      <c r="O128" s="514">
        <f t="shared" si="17"/>
        <v>0</v>
      </c>
      <c r="P128" s="514">
        <f t="shared" si="18"/>
        <v>0</v>
      </c>
    </row>
    <row r="129" spans="2:16" ht="12.5">
      <c r="B129" s="195" t="str">
        <f t="shared" si="19"/>
        <v/>
      </c>
      <c r="C129" s="507">
        <f>IF(D93="","-",+C128+1)</f>
        <v>2046</v>
      </c>
      <c r="D129" s="374">
        <f>IF(F128+SUM(E$99:E128)=D$92,F128,D$92-SUM(E$99:E128))</f>
        <v>451485.10175431531</v>
      </c>
      <c r="E129" s="522">
        <f>IF(+J96&lt;F128,J96,D129)</f>
        <v>38004.414634146342</v>
      </c>
      <c r="F129" s="523">
        <f t="shared" si="23"/>
        <v>413480.68712016899</v>
      </c>
      <c r="G129" s="523">
        <f t="shared" si="24"/>
        <v>432482.89443724218</v>
      </c>
      <c r="H129" s="526">
        <f t="shared" si="25"/>
        <v>87097.375815226318</v>
      </c>
      <c r="I129" s="577">
        <f t="shared" si="26"/>
        <v>87097.375815226318</v>
      </c>
      <c r="J129" s="514">
        <f t="shared" si="15"/>
        <v>0</v>
      </c>
      <c r="K129" s="514"/>
      <c r="L129" s="525"/>
      <c r="M129" s="514">
        <f t="shared" si="16"/>
        <v>0</v>
      </c>
      <c r="N129" s="525"/>
      <c r="O129" s="514">
        <f t="shared" si="17"/>
        <v>0</v>
      </c>
      <c r="P129" s="514">
        <f t="shared" si="18"/>
        <v>0</v>
      </c>
    </row>
    <row r="130" spans="2:16" ht="12.5">
      <c r="B130" s="195" t="str">
        <f t="shared" si="19"/>
        <v/>
      </c>
      <c r="C130" s="507">
        <f>IF(D93="","-",+C129+1)</f>
        <v>2047</v>
      </c>
      <c r="D130" s="374">
        <f>IF(F129+SUM(E$99:E129)=D$92,F129,D$92-SUM(E$99:E129))</f>
        <v>413480.68712016899</v>
      </c>
      <c r="E130" s="522">
        <f>IF(+J96&lt;F129,J96,D130)</f>
        <v>38004.414634146342</v>
      </c>
      <c r="F130" s="523">
        <f t="shared" si="23"/>
        <v>375476.27248602267</v>
      </c>
      <c r="G130" s="523">
        <f t="shared" si="24"/>
        <v>394478.4798030958</v>
      </c>
      <c r="H130" s="526">
        <f t="shared" si="25"/>
        <v>82783.334089318116</v>
      </c>
      <c r="I130" s="577">
        <f t="shared" si="26"/>
        <v>82783.334089318116</v>
      </c>
      <c r="J130" s="514">
        <f t="shared" si="15"/>
        <v>0</v>
      </c>
      <c r="K130" s="514"/>
      <c r="L130" s="525"/>
      <c r="M130" s="514">
        <f t="shared" si="16"/>
        <v>0</v>
      </c>
      <c r="N130" s="525"/>
      <c r="O130" s="514">
        <f t="shared" si="17"/>
        <v>0</v>
      </c>
      <c r="P130" s="514">
        <f t="shared" si="18"/>
        <v>0</v>
      </c>
    </row>
    <row r="131" spans="2:16" ht="12.5">
      <c r="B131" s="195" t="str">
        <f t="shared" si="19"/>
        <v/>
      </c>
      <c r="C131" s="507">
        <f>IF(D93="","-",+C130+1)</f>
        <v>2048</v>
      </c>
      <c r="D131" s="374">
        <f>IF(F130+SUM(E$99:E130)=D$92,F130,D$92-SUM(E$99:E130))</f>
        <v>375476.27248602267</v>
      </c>
      <c r="E131" s="522">
        <f>IF(+J96&lt;F130,J96,D131)</f>
        <v>38004.414634146342</v>
      </c>
      <c r="F131" s="523">
        <f t="shared" ref="F131:F154" si="27">+D131-E131</f>
        <v>337471.85785187635</v>
      </c>
      <c r="G131" s="523">
        <f t="shared" ref="G131:G154" si="28">+(F131+D131)/2</f>
        <v>356474.06516894954</v>
      </c>
      <c r="H131" s="526">
        <f t="shared" si="25"/>
        <v>78469.292363409928</v>
      </c>
      <c r="I131" s="577">
        <f t="shared" si="26"/>
        <v>78469.292363409928</v>
      </c>
      <c r="J131" s="514">
        <f t="shared" ref="J131:J154" si="29">+I541-H541</f>
        <v>0</v>
      </c>
      <c r="K131" s="514"/>
      <c r="L131" s="525"/>
      <c r="M131" s="514">
        <f t="shared" ref="M131:M154" si="30">IF(L541&lt;&gt;0,+H541-L541,0)</f>
        <v>0</v>
      </c>
      <c r="N131" s="525"/>
      <c r="O131" s="514">
        <f t="shared" ref="O131:O154" si="31">IF(N541&lt;&gt;0,+I541-N541,0)</f>
        <v>0</v>
      </c>
      <c r="P131" s="514">
        <f t="shared" ref="P131:P154" si="32">+O541-M541</f>
        <v>0</v>
      </c>
    </row>
    <row r="132" spans="2:16" ht="12.5">
      <c r="B132" s="195" t="str">
        <f t="shared" si="19"/>
        <v/>
      </c>
      <c r="C132" s="507">
        <f>IF(D93="","-",+C131+1)</f>
        <v>2049</v>
      </c>
      <c r="D132" s="374">
        <f>IF(F131+SUM(E$99:E131)=D$92,F131,D$92-SUM(E$99:E131))</f>
        <v>337471.85785187635</v>
      </c>
      <c r="E132" s="522">
        <f>IF(+J96&lt;F131,J96,D132)</f>
        <v>38004.414634146342</v>
      </c>
      <c r="F132" s="523">
        <f t="shared" si="27"/>
        <v>299467.44321773003</v>
      </c>
      <c r="G132" s="523">
        <f t="shared" si="28"/>
        <v>318469.65053480316</v>
      </c>
      <c r="H132" s="526">
        <f t="shared" si="25"/>
        <v>74155.250637501726</v>
      </c>
      <c r="I132" s="577">
        <f t="shared" si="26"/>
        <v>74155.250637501726</v>
      </c>
      <c r="J132" s="514">
        <f t="shared" si="29"/>
        <v>0</v>
      </c>
      <c r="K132" s="514"/>
      <c r="L132" s="525"/>
      <c r="M132" s="514">
        <f t="shared" si="30"/>
        <v>0</v>
      </c>
      <c r="N132" s="525"/>
      <c r="O132" s="514">
        <f t="shared" si="31"/>
        <v>0</v>
      </c>
      <c r="P132" s="514">
        <f t="shared" si="32"/>
        <v>0</v>
      </c>
    </row>
    <row r="133" spans="2:16" ht="12.5">
      <c r="B133" s="195" t="str">
        <f t="shared" si="19"/>
        <v/>
      </c>
      <c r="C133" s="507">
        <f>IF(D93="","-",+C132+1)</f>
        <v>2050</v>
      </c>
      <c r="D133" s="374">
        <f>IF(F132+SUM(E$99:E132)=D$92,F132,D$92-SUM(E$99:E132))</f>
        <v>299467.44321773003</v>
      </c>
      <c r="E133" s="522">
        <f>IF(+J96&lt;F132,J96,D133)</f>
        <v>38004.414634146342</v>
      </c>
      <c r="F133" s="523">
        <f t="shared" si="27"/>
        <v>261463.02858358368</v>
      </c>
      <c r="G133" s="523">
        <f t="shared" si="28"/>
        <v>280465.23590065684</v>
      </c>
      <c r="H133" s="526">
        <f t="shared" si="25"/>
        <v>69841.208911593523</v>
      </c>
      <c r="I133" s="577">
        <f t="shared" si="26"/>
        <v>69841.208911593523</v>
      </c>
      <c r="J133" s="514">
        <f t="shared" si="29"/>
        <v>0</v>
      </c>
      <c r="K133" s="514"/>
      <c r="L133" s="525"/>
      <c r="M133" s="514">
        <f t="shared" si="30"/>
        <v>0</v>
      </c>
      <c r="N133" s="525"/>
      <c r="O133" s="514">
        <f t="shared" si="31"/>
        <v>0</v>
      </c>
      <c r="P133" s="514">
        <f t="shared" si="32"/>
        <v>0</v>
      </c>
    </row>
    <row r="134" spans="2:16" ht="12.5">
      <c r="B134" s="195" t="str">
        <f t="shared" si="19"/>
        <v/>
      </c>
      <c r="C134" s="507">
        <f>IF(D93="","-",+C133+1)</f>
        <v>2051</v>
      </c>
      <c r="D134" s="374">
        <f>IF(F133+SUM(E$99:E133)=D$92,F133,D$92-SUM(E$99:E133))</f>
        <v>261463.02858358368</v>
      </c>
      <c r="E134" s="522">
        <f>IF(+J96&lt;F133,J96,D134)</f>
        <v>38004.414634146342</v>
      </c>
      <c r="F134" s="523">
        <f t="shared" si="27"/>
        <v>223458.61394943733</v>
      </c>
      <c r="G134" s="523">
        <f t="shared" si="28"/>
        <v>242460.82126651052</v>
      </c>
      <c r="H134" s="526">
        <f t="shared" si="25"/>
        <v>65527.167185685328</v>
      </c>
      <c r="I134" s="577">
        <f t="shared" si="26"/>
        <v>65527.167185685328</v>
      </c>
      <c r="J134" s="514">
        <f t="shared" si="29"/>
        <v>0</v>
      </c>
      <c r="K134" s="514"/>
      <c r="L134" s="525"/>
      <c r="M134" s="514">
        <f t="shared" si="30"/>
        <v>0</v>
      </c>
      <c r="N134" s="525"/>
      <c r="O134" s="514">
        <f t="shared" si="31"/>
        <v>0</v>
      </c>
      <c r="P134" s="514">
        <f t="shared" si="32"/>
        <v>0</v>
      </c>
    </row>
    <row r="135" spans="2:16" ht="12.5">
      <c r="B135" s="195" t="str">
        <f t="shared" si="19"/>
        <v/>
      </c>
      <c r="C135" s="507">
        <f>IF(D93="","-",+C134+1)</f>
        <v>2052</v>
      </c>
      <c r="D135" s="374">
        <f>IF(F134+SUM(E$99:E134)=D$92,F134,D$92-SUM(E$99:E134))</f>
        <v>223458.61394943733</v>
      </c>
      <c r="E135" s="522">
        <f>IF(+J96&lt;F134,J96,D135)</f>
        <v>38004.414634146342</v>
      </c>
      <c r="F135" s="523">
        <f t="shared" si="27"/>
        <v>185454.19931529099</v>
      </c>
      <c r="G135" s="523">
        <f t="shared" si="28"/>
        <v>204456.40663236415</v>
      </c>
      <c r="H135" s="526">
        <f t="shared" si="25"/>
        <v>61213.125459777126</v>
      </c>
      <c r="I135" s="577">
        <f t="shared" si="26"/>
        <v>61213.125459777126</v>
      </c>
      <c r="J135" s="514">
        <f t="shared" si="29"/>
        <v>0</v>
      </c>
      <c r="K135" s="514"/>
      <c r="L135" s="525"/>
      <c r="M135" s="514">
        <f t="shared" si="30"/>
        <v>0</v>
      </c>
      <c r="N135" s="525"/>
      <c r="O135" s="514">
        <f t="shared" si="31"/>
        <v>0</v>
      </c>
      <c r="P135" s="514">
        <f t="shared" si="32"/>
        <v>0</v>
      </c>
    </row>
    <row r="136" spans="2:16" ht="12.5">
      <c r="B136" s="195" t="str">
        <f t="shared" si="19"/>
        <v/>
      </c>
      <c r="C136" s="507">
        <f>IF(D93="","-",+C135+1)</f>
        <v>2053</v>
      </c>
      <c r="D136" s="374">
        <f>IF(F135+SUM(E$99:E135)=D$92,F135,D$92-SUM(E$99:E135))</f>
        <v>185454.19931529099</v>
      </c>
      <c r="E136" s="522">
        <f>IF(+J96&lt;F135,J96,D136)</f>
        <v>38004.414634146342</v>
      </c>
      <c r="F136" s="523">
        <f t="shared" si="27"/>
        <v>147449.78468114464</v>
      </c>
      <c r="G136" s="523">
        <f t="shared" si="28"/>
        <v>166451.99199821783</v>
      </c>
      <c r="H136" s="526">
        <f t="shared" si="25"/>
        <v>56899.083733868931</v>
      </c>
      <c r="I136" s="577">
        <f t="shared" si="26"/>
        <v>56899.083733868931</v>
      </c>
      <c r="J136" s="514">
        <f t="shared" si="29"/>
        <v>0</v>
      </c>
      <c r="K136" s="514"/>
      <c r="L136" s="525"/>
      <c r="M136" s="514">
        <f t="shared" si="30"/>
        <v>0</v>
      </c>
      <c r="N136" s="525"/>
      <c r="O136" s="514">
        <f t="shared" si="31"/>
        <v>0</v>
      </c>
      <c r="P136" s="514">
        <f t="shared" si="32"/>
        <v>0</v>
      </c>
    </row>
    <row r="137" spans="2:16" ht="12.5">
      <c r="B137" s="195" t="str">
        <f t="shared" si="19"/>
        <v/>
      </c>
      <c r="C137" s="507">
        <f>IF(D93="","-",+C136+1)</f>
        <v>2054</v>
      </c>
      <c r="D137" s="374">
        <f>IF(F136+SUM(E$99:E136)=D$92,F136,D$92-SUM(E$99:E136))</f>
        <v>147449.78468114464</v>
      </c>
      <c r="E137" s="522">
        <f>IF(+J96&lt;F136,J96,D137)</f>
        <v>38004.414634146342</v>
      </c>
      <c r="F137" s="523">
        <f t="shared" si="27"/>
        <v>109445.37004699829</v>
      </c>
      <c r="G137" s="523">
        <f t="shared" si="28"/>
        <v>128447.57736407146</v>
      </c>
      <c r="H137" s="526">
        <f t="shared" si="25"/>
        <v>52585.042007960721</v>
      </c>
      <c r="I137" s="577">
        <f t="shared" si="26"/>
        <v>52585.042007960721</v>
      </c>
      <c r="J137" s="514">
        <f t="shared" si="29"/>
        <v>0</v>
      </c>
      <c r="K137" s="514"/>
      <c r="L137" s="525"/>
      <c r="M137" s="514">
        <f t="shared" si="30"/>
        <v>0</v>
      </c>
      <c r="N137" s="525"/>
      <c r="O137" s="514">
        <f t="shared" si="31"/>
        <v>0</v>
      </c>
      <c r="P137" s="514">
        <f t="shared" si="32"/>
        <v>0</v>
      </c>
    </row>
    <row r="138" spans="2:16" ht="12.5">
      <c r="B138" s="195" t="str">
        <f t="shared" si="19"/>
        <v/>
      </c>
      <c r="C138" s="507">
        <f>IF(D93="","-",+C137+1)</f>
        <v>2055</v>
      </c>
      <c r="D138" s="374">
        <f>IF(F137+SUM(E$99:E137)=D$92,F137,D$92-SUM(E$99:E137))</f>
        <v>109445.37004699829</v>
      </c>
      <c r="E138" s="522">
        <f>IF(+J96&lt;F137,J96,D138)</f>
        <v>38004.414634146342</v>
      </c>
      <c r="F138" s="523">
        <f t="shared" si="27"/>
        <v>71440.955412851938</v>
      </c>
      <c r="G138" s="523">
        <f t="shared" si="28"/>
        <v>90443.162729925112</v>
      </c>
      <c r="H138" s="526">
        <f t="shared" si="25"/>
        <v>48271.000282052519</v>
      </c>
      <c r="I138" s="577">
        <f t="shared" si="26"/>
        <v>48271.000282052519</v>
      </c>
      <c r="J138" s="514">
        <f t="shared" si="29"/>
        <v>0</v>
      </c>
      <c r="K138" s="514"/>
      <c r="L138" s="525"/>
      <c r="M138" s="514">
        <f t="shared" si="30"/>
        <v>0</v>
      </c>
      <c r="N138" s="525"/>
      <c r="O138" s="514">
        <f t="shared" si="31"/>
        <v>0</v>
      </c>
      <c r="P138" s="514">
        <f t="shared" si="32"/>
        <v>0</v>
      </c>
    </row>
    <row r="139" spans="2:16" ht="12.5">
      <c r="B139" s="195" t="str">
        <f t="shared" si="19"/>
        <v/>
      </c>
      <c r="C139" s="507">
        <f>IF(D93="","-",+C138+1)</f>
        <v>2056</v>
      </c>
      <c r="D139" s="374">
        <f>IF(F138+SUM(E$99:E138)=D$92,F138,D$92-SUM(E$99:E138))</f>
        <v>71440.955412851938</v>
      </c>
      <c r="E139" s="522">
        <f>IF(+J96&lt;F138,J96,D139)</f>
        <v>38004.414634146342</v>
      </c>
      <c r="F139" s="523">
        <f t="shared" si="27"/>
        <v>33436.540778705596</v>
      </c>
      <c r="G139" s="523">
        <f t="shared" si="28"/>
        <v>52438.748095778763</v>
      </c>
      <c r="H139" s="526">
        <f t="shared" si="25"/>
        <v>43956.958556144316</v>
      </c>
      <c r="I139" s="577">
        <f t="shared" si="26"/>
        <v>43956.958556144316</v>
      </c>
      <c r="J139" s="514">
        <f t="shared" si="29"/>
        <v>0</v>
      </c>
      <c r="K139" s="514"/>
      <c r="L139" s="525"/>
      <c r="M139" s="514">
        <f t="shared" si="30"/>
        <v>0</v>
      </c>
      <c r="N139" s="525"/>
      <c r="O139" s="514">
        <f t="shared" si="31"/>
        <v>0</v>
      </c>
      <c r="P139" s="514">
        <f t="shared" si="32"/>
        <v>0</v>
      </c>
    </row>
    <row r="140" spans="2:16" ht="12.5">
      <c r="B140" s="195" t="str">
        <f t="shared" si="19"/>
        <v/>
      </c>
      <c r="C140" s="507">
        <f>IF(D93="","-",+C139+1)</f>
        <v>2057</v>
      </c>
      <c r="D140" s="374">
        <f>IF(F139+SUM(E$99:E139)=D$92,F139,D$92-SUM(E$99:E139))</f>
        <v>33436.540778705596</v>
      </c>
      <c r="E140" s="522">
        <f>IF(+J96&lt;F139,J96,D140)</f>
        <v>33436.540778705596</v>
      </c>
      <c r="F140" s="523">
        <f t="shared" si="27"/>
        <v>0</v>
      </c>
      <c r="G140" s="523">
        <f t="shared" si="28"/>
        <v>16718.270389352798</v>
      </c>
      <c r="H140" s="526">
        <f t="shared" si="25"/>
        <v>35334.302308227532</v>
      </c>
      <c r="I140" s="577">
        <f t="shared" si="26"/>
        <v>35334.302308227532</v>
      </c>
      <c r="J140" s="514">
        <f t="shared" si="29"/>
        <v>0</v>
      </c>
      <c r="K140" s="514"/>
      <c r="L140" s="525"/>
      <c r="M140" s="514">
        <f t="shared" si="30"/>
        <v>0</v>
      </c>
      <c r="N140" s="525"/>
      <c r="O140" s="514">
        <f t="shared" si="31"/>
        <v>0</v>
      </c>
      <c r="P140" s="514">
        <f t="shared" si="32"/>
        <v>0</v>
      </c>
    </row>
    <row r="141" spans="2:16" ht="12.5">
      <c r="B141" s="195" t="str">
        <f t="shared" si="19"/>
        <v/>
      </c>
      <c r="C141" s="507">
        <f>IF(D93="","-",+C140+1)</f>
        <v>2058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7"/>
        <v>0</v>
      </c>
      <c r="G141" s="523">
        <f t="shared" si="28"/>
        <v>0</v>
      </c>
      <c r="H141" s="526">
        <f t="shared" si="25"/>
        <v>0</v>
      </c>
      <c r="I141" s="577">
        <f t="shared" si="26"/>
        <v>0</v>
      </c>
      <c r="J141" s="514">
        <f t="shared" si="29"/>
        <v>0</v>
      </c>
      <c r="K141" s="514"/>
      <c r="L141" s="525"/>
      <c r="M141" s="514">
        <f t="shared" si="30"/>
        <v>0</v>
      </c>
      <c r="N141" s="525"/>
      <c r="O141" s="514">
        <f t="shared" si="31"/>
        <v>0</v>
      </c>
      <c r="P141" s="514">
        <f t="shared" si="32"/>
        <v>0</v>
      </c>
    </row>
    <row r="142" spans="2:16" ht="12.5">
      <c r="B142" s="195" t="str">
        <f t="shared" si="19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7"/>
        <v>0</v>
      </c>
      <c r="G142" s="523">
        <f t="shared" si="28"/>
        <v>0</v>
      </c>
      <c r="H142" s="526">
        <f t="shared" si="25"/>
        <v>0</v>
      </c>
      <c r="I142" s="577">
        <f t="shared" si="26"/>
        <v>0</v>
      </c>
      <c r="J142" s="514">
        <f t="shared" si="29"/>
        <v>0</v>
      </c>
      <c r="K142" s="514"/>
      <c r="L142" s="525"/>
      <c r="M142" s="514">
        <f t="shared" si="30"/>
        <v>0</v>
      </c>
      <c r="N142" s="525"/>
      <c r="O142" s="514">
        <f t="shared" si="31"/>
        <v>0</v>
      </c>
      <c r="P142" s="514">
        <f t="shared" si="32"/>
        <v>0</v>
      </c>
    </row>
    <row r="143" spans="2:16" ht="12.5">
      <c r="B143" s="195" t="str">
        <f t="shared" si="19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7"/>
        <v>0</v>
      </c>
      <c r="G143" s="523">
        <f t="shared" si="28"/>
        <v>0</v>
      </c>
      <c r="H143" s="526">
        <f t="shared" si="25"/>
        <v>0</v>
      </c>
      <c r="I143" s="577">
        <f t="shared" si="26"/>
        <v>0</v>
      </c>
      <c r="J143" s="514">
        <f t="shared" si="29"/>
        <v>0</v>
      </c>
      <c r="K143" s="514"/>
      <c r="L143" s="525"/>
      <c r="M143" s="514">
        <f t="shared" si="30"/>
        <v>0</v>
      </c>
      <c r="N143" s="525"/>
      <c r="O143" s="514">
        <f t="shared" si="31"/>
        <v>0</v>
      </c>
      <c r="P143" s="514">
        <f t="shared" si="32"/>
        <v>0</v>
      </c>
    </row>
    <row r="144" spans="2:16" ht="12.5">
      <c r="B144" s="195" t="str">
        <f t="shared" si="19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7"/>
        <v>0</v>
      </c>
      <c r="G144" s="523">
        <f t="shared" si="28"/>
        <v>0</v>
      </c>
      <c r="H144" s="526">
        <f t="shared" si="25"/>
        <v>0</v>
      </c>
      <c r="I144" s="577">
        <f t="shared" si="26"/>
        <v>0</v>
      </c>
      <c r="J144" s="514">
        <f t="shared" si="29"/>
        <v>0</v>
      </c>
      <c r="K144" s="514"/>
      <c r="L144" s="525"/>
      <c r="M144" s="514">
        <f t="shared" si="30"/>
        <v>0</v>
      </c>
      <c r="N144" s="525"/>
      <c r="O144" s="514">
        <f t="shared" si="31"/>
        <v>0</v>
      </c>
      <c r="P144" s="514">
        <f t="shared" si="32"/>
        <v>0</v>
      </c>
    </row>
    <row r="145" spans="2:16" ht="12.5">
      <c r="B145" s="195" t="str">
        <f t="shared" si="19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7"/>
        <v>0</v>
      </c>
      <c r="G145" s="523">
        <f t="shared" si="28"/>
        <v>0</v>
      </c>
      <c r="H145" s="526">
        <f t="shared" si="25"/>
        <v>0</v>
      </c>
      <c r="I145" s="577">
        <f t="shared" si="26"/>
        <v>0</v>
      </c>
      <c r="J145" s="514">
        <f t="shared" si="29"/>
        <v>0</v>
      </c>
      <c r="K145" s="514"/>
      <c r="L145" s="525"/>
      <c r="M145" s="514">
        <f t="shared" si="30"/>
        <v>0</v>
      </c>
      <c r="N145" s="525"/>
      <c r="O145" s="514">
        <f t="shared" si="31"/>
        <v>0</v>
      </c>
      <c r="P145" s="514">
        <f t="shared" si="32"/>
        <v>0</v>
      </c>
    </row>
    <row r="146" spans="2:16" ht="12.5">
      <c r="B146" s="195" t="str">
        <f t="shared" si="19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7"/>
        <v>0</v>
      </c>
      <c r="G146" s="523">
        <f t="shared" si="28"/>
        <v>0</v>
      </c>
      <c r="H146" s="526">
        <f t="shared" si="25"/>
        <v>0</v>
      </c>
      <c r="I146" s="577">
        <f t="shared" si="26"/>
        <v>0</v>
      </c>
      <c r="J146" s="514">
        <f t="shared" si="29"/>
        <v>0</v>
      </c>
      <c r="K146" s="514"/>
      <c r="L146" s="525"/>
      <c r="M146" s="514">
        <f t="shared" si="30"/>
        <v>0</v>
      </c>
      <c r="N146" s="525"/>
      <c r="O146" s="514">
        <f t="shared" si="31"/>
        <v>0</v>
      </c>
      <c r="P146" s="514">
        <f t="shared" si="32"/>
        <v>0</v>
      </c>
    </row>
    <row r="147" spans="2:16" ht="12.5">
      <c r="B147" s="195" t="str">
        <f t="shared" si="19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7"/>
        <v>0</v>
      </c>
      <c r="G147" s="523">
        <f t="shared" si="28"/>
        <v>0</v>
      </c>
      <c r="H147" s="526">
        <f t="shared" si="25"/>
        <v>0</v>
      </c>
      <c r="I147" s="577">
        <f t="shared" si="26"/>
        <v>0</v>
      </c>
      <c r="J147" s="514">
        <f t="shared" si="29"/>
        <v>0</v>
      </c>
      <c r="K147" s="514"/>
      <c r="L147" s="525"/>
      <c r="M147" s="514">
        <f t="shared" si="30"/>
        <v>0</v>
      </c>
      <c r="N147" s="525"/>
      <c r="O147" s="514">
        <f t="shared" si="31"/>
        <v>0</v>
      </c>
      <c r="P147" s="514">
        <f t="shared" si="32"/>
        <v>0</v>
      </c>
    </row>
    <row r="148" spans="2:16" ht="12.5">
      <c r="B148" s="195" t="str">
        <f t="shared" si="19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7"/>
        <v>0</v>
      </c>
      <c r="G148" s="523">
        <f t="shared" si="28"/>
        <v>0</v>
      </c>
      <c r="H148" s="526">
        <f t="shared" si="25"/>
        <v>0</v>
      </c>
      <c r="I148" s="577">
        <f t="shared" si="26"/>
        <v>0</v>
      </c>
      <c r="J148" s="514">
        <f t="shared" si="29"/>
        <v>0</v>
      </c>
      <c r="K148" s="514"/>
      <c r="L148" s="525"/>
      <c r="M148" s="514">
        <f t="shared" si="30"/>
        <v>0</v>
      </c>
      <c r="N148" s="525"/>
      <c r="O148" s="514">
        <f t="shared" si="31"/>
        <v>0</v>
      </c>
      <c r="P148" s="514">
        <f t="shared" si="32"/>
        <v>0</v>
      </c>
    </row>
    <row r="149" spans="2:16" ht="12.5">
      <c r="B149" s="195" t="str">
        <f t="shared" si="19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7"/>
        <v>0</v>
      </c>
      <c r="G149" s="523">
        <f t="shared" si="28"/>
        <v>0</v>
      </c>
      <c r="H149" s="526">
        <f t="shared" si="25"/>
        <v>0</v>
      </c>
      <c r="I149" s="577">
        <f t="shared" si="26"/>
        <v>0</v>
      </c>
      <c r="J149" s="514">
        <f t="shared" si="29"/>
        <v>0</v>
      </c>
      <c r="K149" s="514"/>
      <c r="L149" s="525"/>
      <c r="M149" s="514">
        <f t="shared" si="30"/>
        <v>0</v>
      </c>
      <c r="N149" s="525"/>
      <c r="O149" s="514">
        <f t="shared" si="31"/>
        <v>0</v>
      </c>
      <c r="P149" s="514">
        <f t="shared" si="32"/>
        <v>0</v>
      </c>
    </row>
    <row r="150" spans="2:16" ht="12.5">
      <c r="B150" s="195" t="str">
        <f t="shared" si="19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7"/>
        <v>0</v>
      </c>
      <c r="G150" s="523">
        <f t="shared" si="28"/>
        <v>0</v>
      </c>
      <c r="H150" s="526">
        <f t="shared" si="25"/>
        <v>0</v>
      </c>
      <c r="I150" s="577">
        <f t="shared" si="26"/>
        <v>0</v>
      </c>
      <c r="J150" s="514">
        <f t="shared" si="29"/>
        <v>0</v>
      </c>
      <c r="K150" s="514"/>
      <c r="L150" s="525"/>
      <c r="M150" s="514">
        <f t="shared" si="30"/>
        <v>0</v>
      </c>
      <c r="N150" s="525"/>
      <c r="O150" s="514">
        <f t="shared" si="31"/>
        <v>0</v>
      </c>
      <c r="P150" s="514">
        <f t="shared" si="32"/>
        <v>0</v>
      </c>
    </row>
    <row r="151" spans="2:16" ht="12.5">
      <c r="B151" s="195" t="str">
        <f t="shared" si="19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7"/>
        <v>0</v>
      </c>
      <c r="G151" s="523">
        <f t="shared" si="28"/>
        <v>0</v>
      </c>
      <c r="H151" s="526">
        <f t="shared" si="25"/>
        <v>0</v>
      </c>
      <c r="I151" s="577">
        <f t="shared" si="26"/>
        <v>0</v>
      </c>
      <c r="J151" s="514">
        <f t="shared" si="29"/>
        <v>0</v>
      </c>
      <c r="K151" s="514"/>
      <c r="L151" s="525"/>
      <c r="M151" s="514">
        <f t="shared" si="30"/>
        <v>0</v>
      </c>
      <c r="N151" s="525"/>
      <c r="O151" s="514">
        <f t="shared" si="31"/>
        <v>0</v>
      </c>
      <c r="P151" s="514">
        <f t="shared" si="32"/>
        <v>0</v>
      </c>
    </row>
    <row r="152" spans="2:16" ht="12.5">
      <c r="B152" s="195" t="str">
        <f t="shared" si="19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7"/>
        <v>0</v>
      </c>
      <c r="G152" s="523">
        <f t="shared" si="28"/>
        <v>0</v>
      </c>
      <c r="H152" s="526">
        <f t="shared" si="25"/>
        <v>0</v>
      </c>
      <c r="I152" s="577">
        <f t="shared" si="26"/>
        <v>0</v>
      </c>
      <c r="J152" s="514">
        <f t="shared" si="29"/>
        <v>0</v>
      </c>
      <c r="K152" s="514"/>
      <c r="L152" s="525"/>
      <c r="M152" s="514">
        <f t="shared" si="30"/>
        <v>0</v>
      </c>
      <c r="N152" s="525"/>
      <c r="O152" s="514">
        <f t="shared" si="31"/>
        <v>0</v>
      </c>
      <c r="P152" s="514">
        <f t="shared" si="32"/>
        <v>0</v>
      </c>
    </row>
    <row r="153" spans="2:16" ht="12.5">
      <c r="B153" s="195" t="str">
        <f t="shared" si="19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7"/>
        <v>0</v>
      </c>
      <c r="G153" s="523">
        <f t="shared" si="28"/>
        <v>0</v>
      </c>
      <c r="H153" s="526">
        <f t="shared" si="25"/>
        <v>0</v>
      </c>
      <c r="I153" s="577">
        <f t="shared" si="26"/>
        <v>0</v>
      </c>
      <c r="J153" s="514">
        <f t="shared" si="29"/>
        <v>0</v>
      </c>
      <c r="K153" s="514"/>
      <c r="L153" s="525"/>
      <c r="M153" s="514">
        <f t="shared" si="30"/>
        <v>0</v>
      </c>
      <c r="N153" s="525"/>
      <c r="O153" s="514">
        <f t="shared" si="31"/>
        <v>0</v>
      </c>
      <c r="P153" s="514">
        <f t="shared" si="32"/>
        <v>0</v>
      </c>
    </row>
    <row r="154" spans="2:16" ht="13" thickBot="1">
      <c r="B154" s="195" t="str">
        <f t="shared" si="19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7"/>
        <v>0</v>
      </c>
      <c r="G154" s="528">
        <f t="shared" si="28"/>
        <v>0</v>
      </c>
      <c r="H154" s="530">
        <f t="shared" si="25"/>
        <v>0</v>
      </c>
      <c r="I154" s="579">
        <f t="shared" si="26"/>
        <v>0</v>
      </c>
      <c r="J154" s="533">
        <f t="shared" si="29"/>
        <v>0</v>
      </c>
      <c r="K154" s="514"/>
      <c r="L154" s="532"/>
      <c r="M154" s="533">
        <f t="shared" si="30"/>
        <v>0</v>
      </c>
      <c r="N154" s="532"/>
      <c r="O154" s="533">
        <f t="shared" si="31"/>
        <v>0</v>
      </c>
      <c r="P154" s="533">
        <f t="shared" si="32"/>
        <v>0</v>
      </c>
    </row>
    <row r="155" spans="2:16" ht="12.5">
      <c r="C155" s="374" t="s">
        <v>78</v>
      </c>
      <c r="D155" s="375"/>
      <c r="E155" s="375">
        <f>SUM(E99:E154)</f>
        <v>1558180.9999999998</v>
      </c>
      <c r="F155" s="375"/>
      <c r="G155" s="375"/>
      <c r="H155" s="375">
        <f>SUM(H99:H154)</f>
        <v>5242797.6702362923</v>
      </c>
      <c r="I155" s="375">
        <f>SUM(I99:I154)</f>
        <v>5242797.6702362923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7" priority="1" stopIfTrue="1" operator="equal">
      <formula>$I$10</formula>
    </cfRule>
  </conditionalFormatting>
  <conditionalFormatting sqref="C99:C154">
    <cfRule type="cellIs" dxfId="46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1"/>
  <dimension ref="A1:Q162"/>
  <sheetViews>
    <sheetView view="pageBreakPreview" zoomScale="84" zoomScaleNormal="100" zoomScaleSheetLayoutView="84" workbookViewId="0">
      <selection activeCell="D10" sqref="D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3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1494217.6887684264</v>
      </c>
      <c r="O5" s="249"/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1494217.6887684264</v>
      </c>
      <c r="O6" s="269"/>
      <c r="P6" s="269"/>
    </row>
    <row r="7" spans="1:17" ht="13.5" thickBot="1">
      <c r="C7" s="467" t="s">
        <v>48</v>
      </c>
      <c r="D7" s="468" t="s">
        <v>242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583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584"/>
      <c r="O8" s="585"/>
      <c r="P8" s="396"/>
    </row>
    <row r="9" spans="1:17" ht="13.5" thickBot="1">
      <c r="A9" s="191"/>
      <c r="C9" s="476" t="s">
        <v>50</v>
      </c>
      <c r="D9" s="477" t="s">
        <v>142</v>
      </c>
      <c r="E9" s="666" t="s">
        <v>473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13742804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327209.61904761905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13558697</v>
      </c>
      <c r="E17" s="509">
        <v>0</v>
      </c>
      <c r="F17" s="508">
        <v>13558697</v>
      </c>
      <c r="G17" s="509">
        <v>173170</v>
      </c>
      <c r="H17" s="510">
        <v>173170</v>
      </c>
      <c r="I17" s="511">
        <f t="shared" ref="I17:I48" si="0">H17-G17</f>
        <v>0</v>
      </c>
      <c r="J17" s="511"/>
      <c r="K17" s="512">
        <v>173170</v>
      </c>
      <c r="L17" s="513">
        <f t="shared" ref="L17:L48" si="1">IF(K17&lt;&gt;0,+G17-K17,0)</f>
        <v>0</v>
      </c>
      <c r="M17" s="512">
        <v>173170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14833730</v>
      </c>
      <c r="E18" s="516">
        <v>390361</v>
      </c>
      <c r="F18" s="515">
        <v>14443368</v>
      </c>
      <c r="G18" s="516">
        <v>2466812</v>
      </c>
      <c r="H18" s="510">
        <v>2466812</v>
      </c>
      <c r="I18" s="517">
        <v>0</v>
      </c>
      <c r="J18" s="511"/>
      <c r="K18" s="518">
        <f t="shared" ref="K18:K23" si="4">G18</f>
        <v>2466812</v>
      </c>
      <c r="L18" s="519">
        <f t="shared" si="1"/>
        <v>0</v>
      </c>
      <c r="M18" s="518">
        <f t="shared" ref="M18:M23" si="5">H18</f>
        <v>2466812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13352442</v>
      </c>
      <c r="E19" s="516">
        <v>335190.31707317074</v>
      </c>
      <c r="F19" s="515">
        <v>13017251.68292683</v>
      </c>
      <c r="G19" s="516">
        <v>2368383.292220511</v>
      </c>
      <c r="H19" s="510">
        <v>2368383.292220511</v>
      </c>
      <c r="I19" s="517">
        <v>0</v>
      </c>
      <c r="J19" s="511"/>
      <c r="K19" s="518">
        <f t="shared" si="4"/>
        <v>2368383.292220511</v>
      </c>
      <c r="L19" s="519">
        <f t="shared" si="1"/>
        <v>0</v>
      </c>
      <c r="M19" s="518">
        <f t="shared" si="5"/>
        <v>2368383.292220511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13017251.68292683</v>
      </c>
      <c r="E20" s="520">
        <v>327209.59523809527</v>
      </c>
      <c r="F20" s="515">
        <v>12690042.087688735</v>
      </c>
      <c r="G20" s="516">
        <v>2214474.4319801349</v>
      </c>
      <c r="H20" s="510">
        <v>2214474.4319801349</v>
      </c>
      <c r="I20" s="517">
        <v>0</v>
      </c>
      <c r="J20" s="511"/>
      <c r="K20" s="518">
        <f t="shared" si="4"/>
        <v>2214474.4319801349</v>
      </c>
      <c r="L20" s="519">
        <f t="shared" si="1"/>
        <v>0</v>
      </c>
      <c r="M20" s="518">
        <f t="shared" si="5"/>
        <v>2214474.4319801349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12690042.087688735</v>
      </c>
      <c r="E21" s="520">
        <v>327209.59523809527</v>
      </c>
      <c r="F21" s="515">
        <v>12362832.49245064</v>
      </c>
      <c r="G21" s="516">
        <v>2057846.4420481771</v>
      </c>
      <c r="H21" s="510">
        <v>2057846.4420481771</v>
      </c>
      <c r="I21" s="511">
        <v>0</v>
      </c>
      <c r="J21" s="511"/>
      <c r="K21" s="518">
        <f t="shared" si="4"/>
        <v>2057846.4420481771</v>
      </c>
      <c r="L21" s="519">
        <f t="shared" ref="L21:L26" si="7">IF(K21&lt;&gt;0,+G21-K21,0)</f>
        <v>0</v>
      </c>
      <c r="M21" s="518">
        <f t="shared" si="5"/>
        <v>2057846.4420481771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12362832.49245064</v>
      </c>
      <c r="E22" s="520">
        <v>327209.59523809527</v>
      </c>
      <c r="F22" s="515">
        <v>12035622.897212544</v>
      </c>
      <c r="G22" s="516">
        <v>1950941.5974063124</v>
      </c>
      <c r="H22" s="510">
        <v>1950941.5974063124</v>
      </c>
      <c r="I22" s="511">
        <v>0</v>
      </c>
      <c r="J22" s="511"/>
      <c r="K22" s="518">
        <f t="shared" si="4"/>
        <v>1950941.5974063124</v>
      </c>
      <c r="L22" s="519">
        <f t="shared" si="7"/>
        <v>0</v>
      </c>
      <c r="M22" s="518">
        <f t="shared" si="5"/>
        <v>1950941.5974063124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12035622.897212544</v>
      </c>
      <c r="E23" s="520">
        <v>327209.59523809527</v>
      </c>
      <c r="F23" s="515">
        <v>11708413.301974449</v>
      </c>
      <c r="G23" s="516">
        <v>1869263.8389089857</v>
      </c>
      <c r="H23" s="510">
        <v>1869263.8389089857</v>
      </c>
      <c r="I23" s="511">
        <v>0</v>
      </c>
      <c r="J23" s="511"/>
      <c r="K23" s="518">
        <f t="shared" si="4"/>
        <v>1869263.8389089857</v>
      </c>
      <c r="L23" s="519">
        <f t="shared" si="7"/>
        <v>0</v>
      </c>
      <c r="M23" s="518">
        <f t="shared" si="5"/>
        <v>1869263.8389089857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>IU</v>
      </c>
      <c r="C24" s="507">
        <f>IF(D11="","-",+C23+1)</f>
        <v>2016</v>
      </c>
      <c r="D24" s="515">
        <v>11708414.301974449</v>
      </c>
      <c r="E24" s="520">
        <v>327209.61904761905</v>
      </c>
      <c r="F24" s="515">
        <v>11381204.68292683</v>
      </c>
      <c r="G24" s="516">
        <v>1807676.4398879381</v>
      </c>
      <c r="H24" s="510">
        <v>1807676.4398879381</v>
      </c>
      <c r="I24" s="511">
        <f t="shared" si="0"/>
        <v>0</v>
      </c>
      <c r="J24" s="511"/>
      <c r="K24" s="518">
        <f t="shared" ref="K24:K29" si="10">G24</f>
        <v>1807676.4398879381</v>
      </c>
      <c r="L24" s="519">
        <f t="shared" si="7"/>
        <v>0</v>
      </c>
      <c r="M24" s="518">
        <f t="shared" ref="M24:M29" si="11">H24</f>
        <v>1807676.4398879381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11381204.68292683</v>
      </c>
      <c r="E25" s="520">
        <v>319600.09302325582</v>
      </c>
      <c r="F25" s="515">
        <v>11061604.589903574</v>
      </c>
      <c r="G25" s="516">
        <v>1709848.34416372</v>
      </c>
      <c r="H25" s="510">
        <v>1709848.34416372</v>
      </c>
      <c r="I25" s="511">
        <f t="shared" si="0"/>
        <v>0</v>
      </c>
      <c r="J25" s="511"/>
      <c r="K25" s="518">
        <f t="shared" si="10"/>
        <v>1709848.34416372</v>
      </c>
      <c r="L25" s="519">
        <f t="shared" si="7"/>
        <v>0</v>
      </c>
      <c r="M25" s="518">
        <f t="shared" si="11"/>
        <v>1709848.34416372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11061604.589903574</v>
      </c>
      <c r="E26" s="520">
        <v>335190.34146341466</v>
      </c>
      <c r="F26" s="515">
        <v>10726414.248440159</v>
      </c>
      <c r="G26" s="516">
        <v>1719754.6523090333</v>
      </c>
      <c r="H26" s="510">
        <v>1719754.6523090333</v>
      </c>
      <c r="I26" s="511">
        <f t="shared" si="0"/>
        <v>0</v>
      </c>
      <c r="J26" s="511"/>
      <c r="K26" s="518">
        <f t="shared" si="10"/>
        <v>1719754.6523090333</v>
      </c>
      <c r="L26" s="519">
        <f t="shared" si="7"/>
        <v>0</v>
      </c>
      <c r="M26" s="518">
        <f t="shared" si="11"/>
        <v>1719754.6523090333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10726414.248440159</v>
      </c>
      <c r="E27" s="520">
        <v>335190.34146341466</v>
      </c>
      <c r="F27" s="515">
        <v>10391223.906976745</v>
      </c>
      <c r="G27" s="516">
        <v>1677153.9378912852</v>
      </c>
      <c r="H27" s="510">
        <v>1677153.9378912852</v>
      </c>
      <c r="I27" s="511">
        <f t="shared" si="0"/>
        <v>0</v>
      </c>
      <c r="J27" s="511"/>
      <c r="K27" s="518">
        <f t="shared" si="10"/>
        <v>1677153.9378912852</v>
      </c>
      <c r="L27" s="519">
        <f t="shared" ref="L27" si="12">IF(K27&lt;&gt;0,+G27-K27,0)</f>
        <v>0</v>
      </c>
      <c r="M27" s="518">
        <f t="shared" si="11"/>
        <v>1677153.9378912852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10391223.906976745</v>
      </c>
      <c r="E28" s="520">
        <v>335190.34146341466</v>
      </c>
      <c r="F28" s="515">
        <v>10056033.56551333</v>
      </c>
      <c r="G28" s="516">
        <v>1381430.0428702787</v>
      </c>
      <c r="H28" s="510">
        <v>1381430.0428702787</v>
      </c>
      <c r="I28" s="511">
        <f t="shared" si="0"/>
        <v>0</v>
      </c>
      <c r="J28" s="511"/>
      <c r="K28" s="518">
        <f t="shared" si="10"/>
        <v>1381430.0428702787</v>
      </c>
      <c r="L28" s="519">
        <f t="shared" ref="L28" si="13">IF(K28&lt;&gt;0,+G28-K28,0)</f>
        <v>0</v>
      </c>
      <c r="M28" s="518">
        <f t="shared" si="11"/>
        <v>1381430.0428702787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15">
        <v>10071623.813953489</v>
      </c>
      <c r="E29" s="520">
        <v>327209.61904761905</v>
      </c>
      <c r="F29" s="515">
        <v>9744414.1949058697</v>
      </c>
      <c r="G29" s="516">
        <v>1377504.6658858405</v>
      </c>
      <c r="H29" s="510">
        <v>1377504.6658858405</v>
      </c>
      <c r="I29" s="511">
        <f t="shared" si="0"/>
        <v>0</v>
      </c>
      <c r="J29" s="511"/>
      <c r="K29" s="518">
        <f t="shared" si="10"/>
        <v>1377504.6658858405</v>
      </c>
      <c r="L29" s="519">
        <f t="shared" ref="L29" si="14">IF(K29&lt;&gt;0,+G29-K29,0)</f>
        <v>0</v>
      </c>
      <c r="M29" s="518">
        <f t="shared" si="11"/>
        <v>1377504.6658858405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515">
        <v>9728823.946465712</v>
      </c>
      <c r="E30" s="520">
        <v>327209.61904761905</v>
      </c>
      <c r="F30" s="515">
        <v>9401614.3274180926</v>
      </c>
      <c r="G30" s="516">
        <v>1402762.0463897134</v>
      </c>
      <c r="H30" s="510">
        <v>1402762.0463897134</v>
      </c>
      <c r="I30" s="511">
        <f t="shared" si="0"/>
        <v>0</v>
      </c>
      <c r="J30" s="511"/>
      <c r="K30" s="518">
        <f t="shared" ref="K30" si="15">G30</f>
        <v>1402762.0463897134</v>
      </c>
      <c r="L30" s="519">
        <f t="shared" ref="L30" si="16">IF(K30&lt;&gt;0,+G30-K30,0)</f>
        <v>0</v>
      </c>
      <c r="M30" s="518">
        <f t="shared" ref="M30" si="17">H30</f>
        <v>1402762.0463897134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9401614.3274180926</v>
      </c>
      <c r="E31" s="522">
        <f>IF(+I14&lt;F30,I14,D31)</f>
        <v>327209.61904761905</v>
      </c>
      <c r="F31" s="523">
        <f t="shared" ref="F31:F48" si="18">+D31-E31</f>
        <v>9074404.7083704732</v>
      </c>
      <c r="G31" s="524">
        <f t="shared" ref="G31:G72" si="19">+I$12*((D31+F31)/2)+E31</f>
        <v>1494217.6887684264</v>
      </c>
      <c r="H31" s="491">
        <f t="shared" ref="H31:H72" si="20">+I$13*((D31+F31)/2)+E31</f>
        <v>1494217.6887684264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9074404.7083704732</v>
      </c>
      <c r="E32" s="522">
        <f>IF(+I14&lt;F31,I14,D32)</f>
        <v>327209.61904761905</v>
      </c>
      <c r="F32" s="523">
        <f t="shared" si="18"/>
        <v>8747195.0893228538</v>
      </c>
      <c r="G32" s="524">
        <f t="shared" si="19"/>
        <v>1452882.3485981035</v>
      </c>
      <c r="H32" s="491">
        <f t="shared" si="20"/>
        <v>1452882.3485981035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8747195.0893228538</v>
      </c>
      <c r="E33" s="522">
        <f>IF(+I14&lt;F32,I14,D33)</f>
        <v>327209.61904761905</v>
      </c>
      <c r="F33" s="523">
        <f t="shared" si="18"/>
        <v>8419985.4702752344</v>
      </c>
      <c r="G33" s="524">
        <f t="shared" si="19"/>
        <v>1411547.0084277801</v>
      </c>
      <c r="H33" s="491">
        <f t="shared" si="20"/>
        <v>1411547.0084277801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8419985.4702752344</v>
      </c>
      <c r="E34" s="522">
        <f>IF(+I14&lt;F33,I14,D34)</f>
        <v>327209.61904761905</v>
      </c>
      <c r="F34" s="523">
        <f t="shared" si="18"/>
        <v>8092775.851227615</v>
      </c>
      <c r="G34" s="524">
        <f t="shared" si="19"/>
        <v>1370211.6682574572</v>
      </c>
      <c r="H34" s="491">
        <f t="shared" si="20"/>
        <v>1370211.6682574572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8092775.851227615</v>
      </c>
      <c r="E35" s="522">
        <f>IF(+I14&lt;F34,I14,D35)</f>
        <v>327209.61904761905</v>
      </c>
      <c r="F35" s="523">
        <f t="shared" si="18"/>
        <v>7765566.2321799956</v>
      </c>
      <c r="G35" s="524">
        <f t="shared" si="19"/>
        <v>1328876.3280871338</v>
      </c>
      <c r="H35" s="491">
        <f t="shared" si="20"/>
        <v>1328876.3280871338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7765566.2321799956</v>
      </c>
      <c r="E36" s="522">
        <f>IF(+I14&lt;F35,I14,D36)</f>
        <v>327209.61904761905</v>
      </c>
      <c r="F36" s="523">
        <f t="shared" si="18"/>
        <v>7438356.6131323762</v>
      </c>
      <c r="G36" s="524">
        <f t="shared" si="19"/>
        <v>1287540.9879168109</v>
      </c>
      <c r="H36" s="491">
        <f t="shared" si="20"/>
        <v>1287540.9879168109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7438356.6131323762</v>
      </c>
      <c r="E37" s="522">
        <f>IF(+I14&lt;F36,I14,D37)</f>
        <v>327209.61904761905</v>
      </c>
      <c r="F37" s="523">
        <f t="shared" si="18"/>
        <v>7111146.9940847568</v>
      </c>
      <c r="G37" s="524">
        <f t="shared" si="19"/>
        <v>1246205.6477464875</v>
      </c>
      <c r="H37" s="491">
        <f t="shared" si="20"/>
        <v>1246205.6477464875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7111146.9940847568</v>
      </c>
      <c r="E38" s="522">
        <f>IF(+I14&lt;F37,I14,D38)</f>
        <v>327209.61904761905</v>
      </c>
      <c r="F38" s="523">
        <f t="shared" si="18"/>
        <v>6783937.3750371374</v>
      </c>
      <c r="G38" s="524">
        <f t="shared" si="19"/>
        <v>1204870.3075761646</v>
      </c>
      <c r="H38" s="491">
        <f t="shared" si="20"/>
        <v>1204870.3075761646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6783937.3750371374</v>
      </c>
      <c r="E39" s="522">
        <f>IF(+I14&lt;F38,I14,D39)</f>
        <v>327209.61904761905</v>
      </c>
      <c r="F39" s="523">
        <f t="shared" si="18"/>
        <v>6456727.755989518</v>
      </c>
      <c r="G39" s="524">
        <f t="shared" si="19"/>
        <v>1163534.9674058412</v>
      </c>
      <c r="H39" s="491">
        <f t="shared" si="20"/>
        <v>1163534.9674058412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6456727.755989518</v>
      </c>
      <c r="E40" s="522">
        <f>IF(+I14&lt;F39,I14,D40)</f>
        <v>327209.61904761905</v>
      </c>
      <c r="F40" s="523">
        <f t="shared" si="18"/>
        <v>6129518.1369418986</v>
      </c>
      <c r="G40" s="524">
        <f t="shared" si="19"/>
        <v>1122199.6272355183</v>
      </c>
      <c r="H40" s="491">
        <f t="shared" si="20"/>
        <v>1122199.6272355183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6129518.1369418986</v>
      </c>
      <c r="E41" s="522">
        <f>IF(+I14&lt;F40,I14,D41)</f>
        <v>327209.61904761905</v>
      </c>
      <c r="F41" s="523">
        <f t="shared" si="18"/>
        <v>5802308.5178942792</v>
      </c>
      <c r="G41" s="524">
        <f t="shared" si="19"/>
        <v>1080864.2870651949</v>
      </c>
      <c r="H41" s="491">
        <f t="shared" si="20"/>
        <v>1080864.2870651949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5802308.5178942792</v>
      </c>
      <c r="E42" s="522">
        <f>IF(+I14&lt;F41,I14,D42)</f>
        <v>327209.61904761905</v>
      </c>
      <c r="F42" s="523">
        <f t="shared" si="18"/>
        <v>5475098.8988466598</v>
      </c>
      <c r="G42" s="524">
        <f t="shared" si="19"/>
        <v>1039528.946894872</v>
      </c>
      <c r="H42" s="491">
        <f t="shared" si="20"/>
        <v>1039528.946894872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5475098.8988466598</v>
      </c>
      <c r="E43" s="522">
        <f>IF(+I14&lt;F42,I14,D43)</f>
        <v>327209.61904761905</v>
      </c>
      <c r="F43" s="523">
        <f t="shared" si="18"/>
        <v>5147889.2797990404</v>
      </c>
      <c r="G43" s="524">
        <f t="shared" si="19"/>
        <v>998193.60672454885</v>
      </c>
      <c r="H43" s="491">
        <f t="shared" si="20"/>
        <v>998193.60672454885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5147889.2797990404</v>
      </c>
      <c r="E44" s="522">
        <f>IF(+I14&lt;F43,I14,D44)</f>
        <v>327209.61904761905</v>
      </c>
      <c r="F44" s="523">
        <f t="shared" si="18"/>
        <v>4820679.660751421</v>
      </c>
      <c r="G44" s="524">
        <f t="shared" si="19"/>
        <v>956858.2665542257</v>
      </c>
      <c r="H44" s="491">
        <f t="shared" si="20"/>
        <v>956858.2665542257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4820679.660751421</v>
      </c>
      <c r="E45" s="522">
        <f>IF(+I14&lt;F44,I14,D45)</f>
        <v>327209.61904761905</v>
      </c>
      <c r="F45" s="523">
        <f t="shared" si="18"/>
        <v>4493470.0417038016</v>
      </c>
      <c r="G45" s="524">
        <f t="shared" si="19"/>
        <v>915522.92638390255</v>
      </c>
      <c r="H45" s="491">
        <f t="shared" si="20"/>
        <v>915522.92638390255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4493470.0417038016</v>
      </c>
      <c r="E46" s="522">
        <f>IF(+I14&lt;F45,I14,D46)</f>
        <v>327209.61904761905</v>
      </c>
      <c r="F46" s="523">
        <f t="shared" si="18"/>
        <v>4166260.4226561827</v>
      </c>
      <c r="G46" s="524">
        <f t="shared" si="19"/>
        <v>874187.5862135794</v>
      </c>
      <c r="H46" s="491">
        <f t="shared" si="20"/>
        <v>874187.5862135794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4166260.4226561827</v>
      </c>
      <c r="E47" s="522">
        <f>IF(+I14&lt;F46,I14,D47)</f>
        <v>327209.61904761905</v>
      </c>
      <c r="F47" s="523">
        <f t="shared" si="18"/>
        <v>3839050.8036085637</v>
      </c>
      <c r="G47" s="524">
        <f t="shared" si="19"/>
        <v>832852.24604325637</v>
      </c>
      <c r="H47" s="491">
        <f t="shared" si="20"/>
        <v>832852.24604325637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3839050.8036085637</v>
      </c>
      <c r="E48" s="522">
        <f>IF(+I14&lt;F47,I14,D48)</f>
        <v>327209.61904761905</v>
      </c>
      <c r="F48" s="523">
        <f t="shared" si="18"/>
        <v>3511841.1845609448</v>
      </c>
      <c r="G48" s="524">
        <f t="shared" si="19"/>
        <v>791516.90587293322</v>
      </c>
      <c r="H48" s="491">
        <f t="shared" si="20"/>
        <v>791516.90587293322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3511841.1845609448</v>
      </c>
      <c r="E49" s="522">
        <f>IF(+I14&lt;F48,I14,D49)</f>
        <v>327209.61904761905</v>
      </c>
      <c r="F49" s="523">
        <f t="shared" ref="F49:F72" si="21">+D49-E49</f>
        <v>3184631.5655133259</v>
      </c>
      <c r="G49" s="524">
        <f t="shared" si="19"/>
        <v>750181.56570261018</v>
      </c>
      <c r="H49" s="491">
        <f t="shared" si="20"/>
        <v>750181.56570261018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3184631.5655133259</v>
      </c>
      <c r="E50" s="522">
        <f>IF(+I14&lt;F49,I14,D50)</f>
        <v>327209.61904761905</v>
      </c>
      <c r="F50" s="523">
        <f t="shared" si="21"/>
        <v>2857421.9464657069</v>
      </c>
      <c r="G50" s="524">
        <f t="shared" si="19"/>
        <v>708846.22553228703</v>
      </c>
      <c r="H50" s="491">
        <f t="shared" si="20"/>
        <v>708846.22553228703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2857421.9464657069</v>
      </c>
      <c r="E51" s="522">
        <f>IF(+I14&lt;F50,I14,D51)</f>
        <v>327209.61904761905</v>
      </c>
      <c r="F51" s="523">
        <f t="shared" si="21"/>
        <v>2530212.327418088</v>
      </c>
      <c r="G51" s="524">
        <f t="shared" si="19"/>
        <v>667510.88536196412</v>
      </c>
      <c r="H51" s="491">
        <f t="shared" si="20"/>
        <v>667510.88536196412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2530212.327418088</v>
      </c>
      <c r="E52" s="522">
        <f>IF(+I14&lt;F51,I14,D52)</f>
        <v>327209.61904761905</v>
      </c>
      <c r="F52" s="523">
        <f t="shared" si="21"/>
        <v>2203002.708370469</v>
      </c>
      <c r="G52" s="524">
        <f t="shared" si="19"/>
        <v>626175.54519164097</v>
      </c>
      <c r="H52" s="491">
        <f t="shared" si="20"/>
        <v>626175.54519164097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2203002.708370469</v>
      </c>
      <c r="E53" s="522">
        <f>IF(+I14&lt;F52,I14,D53)</f>
        <v>327209.61904761905</v>
      </c>
      <c r="F53" s="523">
        <f t="shared" si="21"/>
        <v>1875793.0893228501</v>
      </c>
      <c r="G53" s="524">
        <f t="shared" si="19"/>
        <v>584840.20502131782</v>
      </c>
      <c r="H53" s="491">
        <f t="shared" si="20"/>
        <v>584840.20502131782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1875793.0893228501</v>
      </c>
      <c r="E54" s="522">
        <f>IF(+I14&lt;F53,I14,D54)</f>
        <v>327209.61904761905</v>
      </c>
      <c r="F54" s="523">
        <f t="shared" si="21"/>
        <v>1548583.4702752312</v>
      </c>
      <c r="G54" s="524">
        <f t="shared" si="19"/>
        <v>543504.86485099478</v>
      </c>
      <c r="H54" s="491">
        <f t="shared" si="20"/>
        <v>543504.86485099478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1548583.4702752312</v>
      </c>
      <c r="E55" s="522">
        <f>IF(+I14&lt;F54,I14,D55)</f>
        <v>327209.61904761905</v>
      </c>
      <c r="F55" s="523">
        <f t="shared" si="21"/>
        <v>1221373.8512276122</v>
      </c>
      <c r="G55" s="524">
        <f t="shared" si="19"/>
        <v>502169.52468067163</v>
      </c>
      <c r="H55" s="491">
        <f t="shared" si="20"/>
        <v>502169.52468067163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1221373.8512276122</v>
      </c>
      <c r="E56" s="522">
        <f>IF(+I14&lt;F55,I14,D56)</f>
        <v>327209.61904761905</v>
      </c>
      <c r="F56" s="523">
        <f t="shared" si="21"/>
        <v>894164.23217999318</v>
      </c>
      <c r="G56" s="524">
        <f t="shared" si="19"/>
        <v>460834.1845103486</v>
      </c>
      <c r="H56" s="491">
        <f t="shared" si="20"/>
        <v>460834.1845103486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894164.23217999318</v>
      </c>
      <c r="E57" s="522">
        <f>IF(+I14&lt;F56,I14,D57)</f>
        <v>327209.61904761905</v>
      </c>
      <c r="F57" s="523">
        <f t="shared" si="21"/>
        <v>566954.61313237413</v>
      </c>
      <c r="G57" s="524">
        <f t="shared" si="19"/>
        <v>419498.84434002545</v>
      </c>
      <c r="H57" s="491">
        <f t="shared" si="20"/>
        <v>419498.84434002545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566954.61313237413</v>
      </c>
      <c r="E58" s="522">
        <f>IF(+I14&lt;F57,I14,D58)</f>
        <v>327209.61904761905</v>
      </c>
      <c r="F58" s="523">
        <f t="shared" si="21"/>
        <v>239744.99408475508</v>
      </c>
      <c r="G58" s="524">
        <f t="shared" si="19"/>
        <v>378163.50416970241</v>
      </c>
      <c r="H58" s="491">
        <f t="shared" si="20"/>
        <v>378163.50416970241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239744.99408475508</v>
      </c>
      <c r="E59" s="522">
        <f>IF(+I14&lt;F58,I14,D59)</f>
        <v>239744.99408475508</v>
      </c>
      <c r="F59" s="523">
        <f t="shared" si="21"/>
        <v>0</v>
      </c>
      <c r="G59" s="524">
        <f t="shared" si="19"/>
        <v>254888.10160321597</v>
      </c>
      <c r="H59" s="491">
        <f t="shared" si="20"/>
        <v>254888.10160321597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19"/>
        <v>0</v>
      </c>
      <c r="H60" s="491">
        <f t="shared" si="20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6">
        <f t="shared" si="19"/>
        <v>0</v>
      </c>
      <c r="H61" s="491">
        <f t="shared" si="20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6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6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6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6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6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6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6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6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6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6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30">
        <f t="shared" si="19"/>
        <v>0</v>
      </c>
      <c r="H72" s="47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 ht="12.5">
      <c r="C73" s="374" t="s">
        <v>78</v>
      </c>
      <c r="D73" s="375"/>
      <c r="E73" s="375">
        <f>SUM(E17:E72)</f>
        <v>13742804.000000006</v>
      </c>
      <c r="F73" s="375"/>
      <c r="G73" s="375">
        <f>SUM(G17:G72)</f>
        <v>50645246.534698948</v>
      </c>
      <c r="H73" s="375">
        <f>SUM(H17:H72)</f>
        <v>50645246.534698948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3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1377504.6658858405</v>
      </c>
      <c r="N87" s="546">
        <f>IF(J92&lt;D11,0,VLOOKUP(J92,C17:O72,11))</f>
        <v>1377504.6658858405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1449921.3248336383</v>
      </c>
      <c r="N88" s="550">
        <f>IF(J92&lt;D11,0,VLOOKUP(J92,C99:P154,7))</f>
        <v>1449921.3248336383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[NW Ark Area Improve - 2009]  E. Centerton-Flint Crk, E Rogers-N Rogers, Centerton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72416.658947797725</v>
      </c>
      <c r="N89" s="555">
        <f>+N88-N87</f>
        <v>72416.658947797725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TP2007103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13742804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335190.34146341466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162954</v>
      </c>
      <c r="F99" s="515">
        <v>12221607</v>
      </c>
      <c r="G99" s="574">
        <v>6110803</v>
      </c>
      <c r="H99" s="575">
        <v>1047418</v>
      </c>
      <c r="I99" s="576">
        <v>1047418</v>
      </c>
      <c r="J99" s="514">
        <f t="shared" ref="J99:J130" si="26">+I99-H99</f>
        <v>0</v>
      </c>
      <c r="K99" s="514"/>
      <c r="L99" s="512">
        <f t="shared" ref="L99:L104" si="27">H99</f>
        <v>1047418</v>
      </c>
      <c r="M99" s="513">
        <f t="shared" ref="M99:M130" si="28">IF(L99&lt;&gt;0,+H99-L99,0)</f>
        <v>0</v>
      </c>
      <c r="N99" s="512">
        <f t="shared" ref="N99:N104" si="29">I99</f>
        <v>1047418</v>
      </c>
      <c r="O99" s="513">
        <f t="shared" ref="O99:O130" si="30">IF(N99&lt;&gt;0,+I99-N99,0)</f>
        <v>0</v>
      </c>
      <c r="P99" s="513">
        <f t="shared" ref="P99:P130" si="31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13579849</v>
      </c>
      <c r="E100" s="516">
        <v>335190.31707317074</v>
      </c>
      <c r="F100" s="515">
        <v>13244658.68292683</v>
      </c>
      <c r="G100" s="515">
        <v>13412253.841463415</v>
      </c>
      <c r="H100" s="516">
        <v>2549366.7560608997</v>
      </c>
      <c r="I100" s="510">
        <v>2549366.7560608997</v>
      </c>
      <c r="J100" s="514">
        <f t="shared" si="26"/>
        <v>0</v>
      </c>
      <c r="K100" s="514"/>
      <c r="L100" s="518">
        <f t="shared" si="27"/>
        <v>2549366.7560608997</v>
      </c>
      <c r="M100" s="519">
        <f t="shared" si="28"/>
        <v>0</v>
      </c>
      <c r="N100" s="518">
        <f t="shared" si="29"/>
        <v>2549366.7560608997</v>
      </c>
      <c r="O100" s="514">
        <f t="shared" si="30"/>
        <v>0</v>
      </c>
      <c r="P100" s="514">
        <f t="shared" si="31"/>
        <v>0</v>
      </c>
      <c r="Q100" s="269"/>
    </row>
    <row r="101" spans="1:17" ht="12.5">
      <c r="B101" s="195" t="str">
        <f t="shared" ref="B101:B154" si="32">IF(D101=F100,"","IU")</f>
        <v/>
      </c>
      <c r="C101" s="507">
        <f>IF(D93="","-",+C100+1)</f>
        <v>2011</v>
      </c>
      <c r="D101" s="508">
        <v>13244658.68292683</v>
      </c>
      <c r="E101" s="520">
        <v>327209.59523809527</v>
      </c>
      <c r="F101" s="515">
        <v>12917449.087688735</v>
      </c>
      <c r="G101" s="515">
        <v>13081053.885307781</v>
      </c>
      <c r="H101" s="516">
        <v>2294337.1869887193</v>
      </c>
      <c r="I101" s="510">
        <v>2294337.1869887193</v>
      </c>
      <c r="J101" s="514">
        <f t="shared" si="26"/>
        <v>0</v>
      </c>
      <c r="K101" s="514"/>
      <c r="L101" s="518">
        <f t="shared" si="27"/>
        <v>2294337.1869887193</v>
      </c>
      <c r="M101" s="519">
        <f t="shared" si="28"/>
        <v>0</v>
      </c>
      <c r="N101" s="518">
        <f t="shared" si="29"/>
        <v>2294337.1869887193</v>
      </c>
      <c r="O101" s="514">
        <f t="shared" si="30"/>
        <v>0</v>
      </c>
      <c r="P101" s="514">
        <f t="shared" si="31"/>
        <v>0</v>
      </c>
      <c r="Q101" s="269"/>
    </row>
    <row r="102" spans="1:17" ht="12.5">
      <c r="B102" s="195" t="str">
        <f t="shared" si="32"/>
        <v/>
      </c>
      <c r="C102" s="507">
        <f>IF(D93="","-",+C101+1)</f>
        <v>2012</v>
      </c>
      <c r="D102" s="508">
        <v>12917449.087688735</v>
      </c>
      <c r="E102" s="516">
        <v>327209.59523809527</v>
      </c>
      <c r="F102" s="515">
        <v>12590239.49245064</v>
      </c>
      <c r="G102" s="515">
        <v>12753844.290069688</v>
      </c>
      <c r="H102" s="516">
        <v>2203987.9280377463</v>
      </c>
      <c r="I102" s="510">
        <v>2203987.9280377463</v>
      </c>
      <c r="J102" s="514">
        <f t="shared" si="26"/>
        <v>0</v>
      </c>
      <c r="K102" s="514"/>
      <c r="L102" s="518">
        <f t="shared" si="27"/>
        <v>2203987.9280377463</v>
      </c>
      <c r="M102" s="519">
        <f t="shared" si="28"/>
        <v>0</v>
      </c>
      <c r="N102" s="518">
        <f t="shared" si="29"/>
        <v>2203987.9280377463</v>
      </c>
      <c r="O102" s="514">
        <f t="shared" si="30"/>
        <v>0</v>
      </c>
      <c r="P102" s="514">
        <f t="shared" si="31"/>
        <v>0</v>
      </c>
      <c r="Q102" s="269"/>
    </row>
    <row r="103" spans="1:17" ht="12.5">
      <c r="B103" s="195" t="str">
        <f t="shared" si="32"/>
        <v/>
      </c>
      <c r="C103" s="507">
        <f>IF(D93="","-",+C102+1)</f>
        <v>2013</v>
      </c>
      <c r="D103" s="508">
        <v>12590239.49245064</v>
      </c>
      <c r="E103" s="516">
        <v>327209.59523809527</v>
      </c>
      <c r="F103" s="515">
        <v>12263029.897212544</v>
      </c>
      <c r="G103" s="515">
        <v>12426634.694831591</v>
      </c>
      <c r="H103" s="516">
        <v>2008430.1570795039</v>
      </c>
      <c r="I103" s="510">
        <v>2008430.1570795039</v>
      </c>
      <c r="J103" s="514">
        <v>0</v>
      </c>
      <c r="K103" s="514"/>
      <c r="L103" s="518">
        <f t="shared" si="27"/>
        <v>2008430.1570795039</v>
      </c>
      <c r="M103" s="519">
        <f t="shared" ref="M103:M108" si="33">IF(L103&lt;&gt;0,+H103-L103,0)</f>
        <v>0</v>
      </c>
      <c r="N103" s="518">
        <f t="shared" si="29"/>
        <v>2008430.1570795039</v>
      </c>
      <c r="O103" s="514">
        <f t="shared" ref="O103:O108" si="34">IF(N103&lt;&gt;0,+I103-N103,0)</f>
        <v>0</v>
      </c>
      <c r="P103" s="514">
        <f t="shared" ref="P103:P108" si="35">+O103-M103</f>
        <v>0</v>
      </c>
      <c r="Q103" s="269"/>
    </row>
    <row r="104" spans="1:17" ht="12.5">
      <c r="B104" s="195" t="str">
        <f t="shared" si="32"/>
        <v/>
      </c>
      <c r="C104" s="507">
        <f>IF(D93="","-",+C103+1)</f>
        <v>2014</v>
      </c>
      <c r="D104" s="508">
        <v>12263029.897212544</v>
      </c>
      <c r="E104" s="516">
        <v>327209.59523809527</v>
      </c>
      <c r="F104" s="515">
        <v>11935820.301974449</v>
      </c>
      <c r="G104" s="515">
        <v>12099425.099593498</v>
      </c>
      <c r="H104" s="516">
        <v>1971805.3159359931</v>
      </c>
      <c r="I104" s="510">
        <v>1971805.3159359931</v>
      </c>
      <c r="J104" s="514">
        <v>0</v>
      </c>
      <c r="K104" s="514"/>
      <c r="L104" s="518">
        <f t="shared" si="27"/>
        <v>1971805.3159359931</v>
      </c>
      <c r="M104" s="519">
        <f t="shared" si="33"/>
        <v>0</v>
      </c>
      <c r="N104" s="518">
        <f t="shared" si="29"/>
        <v>1971805.3159359931</v>
      </c>
      <c r="O104" s="514">
        <f t="shared" si="34"/>
        <v>0</v>
      </c>
      <c r="P104" s="514">
        <f t="shared" si="35"/>
        <v>0</v>
      </c>
      <c r="Q104" s="269"/>
    </row>
    <row r="105" spans="1:17" ht="12.5">
      <c r="B105" s="195" t="str">
        <f t="shared" si="32"/>
        <v>IU</v>
      </c>
      <c r="C105" s="507">
        <f>IF(D93="","-",+C104+1)</f>
        <v>2015</v>
      </c>
      <c r="D105" s="508">
        <v>11935821.301974449</v>
      </c>
      <c r="E105" s="516">
        <v>327209.61904761905</v>
      </c>
      <c r="F105" s="515">
        <v>11608611.68292683</v>
      </c>
      <c r="G105" s="515">
        <v>11772216.49245064</v>
      </c>
      <c r="H105" s="516">
        <v>1878421.3763593063</v>
      </c>
      <c r="I105" s="510">
        <v>1878421.3763593063</v>
      </c>
      <c r="J105" s="514">
        <f t="shared" si="26"/>
        <v>0</v>
      </c>
      <c r="K105" s="514"/>
      <c r="L105" s="518">
        <f t="shared" ref="L105:L110" si="36">H105</f>
        <v>1878421.3763593063</v>
      </c>
      <c r="M105" s="519">
        <f t="shared" si="33"/>
        <v>0</v>
      </c>
      <c r="N105" s="518">
        <f t="shared" ref="N105:N110" si="37">I105</f>
        <v>1878421.3763593063</v>
      </c>
      <c r="O105" s="514">
        <f t="shared" si="34"/>
        <v>0</v>
      </c>
      <c r="P105" s="514">
        <f t="shared" si="35"/>
        <v>0</v>
      </c>
      <c r="Q105" s="269"/>
    </row>
    <row r="106" spans="1:17" ht="12.5">
      <c r="B106" s="195" t="str">
        <f t="shared" si="32"/>
        <v/>
      </c>
      <c r="C106" s="507">
        <f>IF(D93="","-",+C105+1)</f>
        <v>2016</v>
      </c>
      <c r="D106" s="508">
        <v>11608611.68292683</v>
      </c>
      <c r="E106" s="516">
        <v>319600.09302325582</v>
      </c>
      <c r="F106" s="515">
        <v>11289011.589903574</v>
      </c>
      <c r="G106" s="515">
        <v>11448811.636415202</v>
      </c>
      <c r="H106" s="516">
        <v>1773026.5961818276</v>
      </c>
      <c r="I106" s="510">
        <v>1773026.5961818276</v>
      </c>
      <c r="J106" s="514">
        <f t="shared" si="26"/>
        <v>0</v>
      </c>
      <c r="K106" s="514"/>
      <c r="L106" s="518">
        <f t="shared" si="36"/>
        <v>1773026.5961818276</v>
      </c>
      <c r="M106" s="519">
        <f t="shared" si="33"/>
        <v>0</v>
      </c>
      <c r="N106" s="518">
        <f t="shared" si="37"/>
        <v>1773026.5961818276</v>
      </c>
      <c r="O106" s="514">
        <f t="shared" si="34"/>
        <v>0</v>
      </c>
      <c r="P106" s="514">
        <f t="shared" si="35"/>
        <v>0</v>
      </c>
      <c r="Q106" s="269"/>
    </row>
    <row r="107" spans="1:17" ht="12.5">
      <c r="B107" s="195" t="str">
        <f t="shared" si="32"/>
        <v/>
      </c>
      <c r="C107" s="507">
        <f>IF(D93="","-",+C106+1)</f>
        <v>2017</v>
      </c>
      <c r="D107" s="508">
        <v>11289011.589903574</v>
      </c>
      <c r="E107" s="516">
        <v>327209.61904761905</v>
      </c>
      <c r="F107" s="515">
        <v>10961801.970855955</v>
      </c>
      <c r="G107" s="515">
        <v>11125406.780379765</v>
      </c>
      <c r="H107" s="516">
        <v>1678628.9979876066</v>
      </c>
      <c r="I107" s="510">
        <v>1678628.9979876066</v>
      </c>
      <c r="J107" s="514">
        <f t="shared" si="26"/>
        <v>0</v>
      </c>
      <c r="K107" s="514"/>
      <c r="L107" s="518">
        <f t="shared" si="36"/>
        <v>1678628.9979876066</v>
      </c>
      <c r="M107" s="519">
        <f t="shared" si="33"/>
        <v>0</v>
      </c>
      <c r="N107" s="518">
        <f t="shared" si="37"/>
        <v>1678628.9979876066</v>
      </c>
      <c r="O107" s="514">
        <f t="shared" si="34"/>
        <v>0</v>
      </c>
      <c r="P107" s="514">
        <f t="shared" si="35"/>
        <v>0</v>
      </c>
      <c r="Q107" s="269"/>
    </row>
    <row r="108" spans="1:17" ht="12.5">
      <c r="B108" s="195" t="str">
        <f t="shared" si="32"/>
        <v/>
      </c>
      <c r="C108" s="507">
        <f>IF(D93="","-",+C107+1)</f>
        <v>2018</v>
      </c>
      <c r="D108" s="508">
        <v>10961801.970855955</v>
      </c>
      <c r="E108" s="516">
        <v>327209.61904761905</v>
      </c>
      <c r="F108" s="515">
        <v>10634592.351808336</v>
      </c>
      <c r="G108" s="515">
        <v>10798197.161332145</v>
      </c>
      <c r="H108" s="516">
        <v>1467548.7578705251</v>
      </c>
      <c r="I108" s="510">
        <v>1467548.7578705251</v>
      </c>
      <c r="J108" s="514">
        <f t="shared" si="26"/>
        <v>0</v>
      </c>
      <c r="K108" s="514"/>
      <c r="L108" s="518">
        <f t="shared" si="36"/>
        <v>1467548.7578705251</v>
      </c>
      <c r="M108" s="519">
        <f t="shared" si="33"/>
        <v>0</v>
      </c>
      <c r="N108" s="518">
        <f t="shared" si="37"/>
        <v>1467548.7578705251</v>
      </c>
      <c r="O108" s="514">
        <f t="shared" si="34"/>
        <v>0</v>
      </c>
      <c r="P108" s="514">
        <f t="shared" si="35"/>
        <v>0</v>
      </c>
      <c r="Q108" s="269"/>
    </row>
    <row r="109" spans="1:17" ht="12.5">
      <c r="B109" s="195" t="str">
        <f t="shared" si="32"/>
        <v/>
      </c>
      <c r="C109" s="507">
        <f>IF(D93="","-",+C108+1)</f>
        <v>2019</v>
      </c>
      <c r="D109" s="508">
        <v>10634592.351808336</v>
      </c>
      <c r="E109" s="516">
        <v>319600.09302325582</v>
      </c>
      <c r="F109" s="515">
        <v>10314992.25878508</v>
      </c>
      <c r="G109" s="515">
        <v>10474792.305296708</v>
      </c>
      <c r="H109" s="516">
        <v>1440827.5862967977</v>
      </c>
      <c r="I109" s="510">
        <v>1440827.5862967977</v>
      </c>
      <c r="J109" s="514">
        <f t="shared" si="26"/>
        <v>0</v>
      </c>
      <c r="K109" s="514"/>
      <c r="L109" s="518">
        <f t="shared" si="36"/>
        <v>1440827.5862967977</v>
      </c>
      <c r="M109" s="519">
        <f t="shared" ref="M109:M110" si="38">IF(L109&lt;&gt;0,+H109-L109,0)</f>
        <v>0</v>
      </c>
      <c r="N109" s="518">
        <f t="shared" si="37"/>
        <v>1440827.5862967977</v>
      </c>
      <c r="O109" s="514">
        <f t="shared" si="30"/>
        <v>0</v>
      </c>
      <c r="P109" s="514">
        <f t="shared" si="31"/>
        <v>0</v>
      </c>
      <c r="Q109" s="269"/>
    </row>
    <row r="110" spans="1:17" ht="12.5">
      <c r="B110" s="195" t="str">
        <f t="shared" si="32"/>
        <v/>
      </c>
      <c r="C110" s="507">
        <f>IF(D93="","-",+C109+1)</f>
        <v>2020</v>
      </c>
      <c r="D110" s="508">
        <v>10314992.25878508</v>
      </c>
      <c r="E110" s="516">
        <v>327209.61904761905</v>
      </c>
      <c r="F110" s="515">
        <v>9987782.6397374608</v>
      </c>
      <c r="G110" s="515">
        <v>10151387.44926127</v>
      </c>
      <c r="H110" s="516">
        <v>1419233.2721645404</v>
      </c>
      <c r="I110" s="510">
        <v>1419233.2721645404</v>
      </c>
      <c r="J110" s="514">
        <f t="shared" si="26"/>
        <v>0</v>
      </c>
      <c r="K110" s="514"/>
      <c r="L110" s="518">
        <f t="shared" si="36"/>
        <v>1419233.2721645404</v>
      </c>
      <c r="M110" s="519">
        <f t="shared" si="38"/>
        <v>0</v>
      </c>
      <c r="N110" s="518">
        <f t="shared" si="37"/>
        <v>1419233.2721645404</v>
      </c>
      <c r="O110" s="514">
        <f t="shared" si="30"/>
        <v>0</v>
      </c>
      <c r="P110" s="514">
        <f t="shared" si="31"/>
        <v>0</v>
      </c>
      <c r="Q110" s="269"/>
    </row>
    <row r="111" spans="1:17" ht="12.5">
      <c r="B111" s="195" t="str">
        <f t="shared" si="32"/>
        <v/>
      </c>
      <c r="C111" s="507">
        <f>IF(D93="","-",+C110+1)</f>
        <v>2021</v>
      </c>
      <c r="D111" s="374">
        <f>IF(F110+SUM(E$99:E110)=D$92,F110,D$92-SUM(E$99:E110))</f>
        <v>9987782.6397374608</v>
      </c>
      <c r="E111" s="522">
        <f>IF(+J96&lt;F110,J96,D111)</f>
        <v>335190.34146341466</v>
      </c>
      <c r="F111" s="523">
        <f t="shared" ref="F111:F130" si="39">+D111-E111</f>
        <v>9652592.2982740458</v>
      </c>
      <c r="G111" s="523">
        <f t="shared" ref="G111:G130" si="40">+(F111+D111)/2</f>
        <v>9820187.4690057524</v>
      </c>
      <c r="H111" s="526">
        <f>+J$94*G111+E111</f>
        <v>1449921.3248336383</v>
      </c>
      <c r="I111" s="577">
        <f>+J$95*G111+E111</f>
        <v>1449921.3248336383</v>
      </c>
      <c r="J111" s="514">
        <f t="shared" si="26"/>
        <v>0</v>
      </c>
      <c r="K111" s="514"/>
      <c r="L111" s="525"/>
      <c r="M111" s="514">
        <f t="shared" si="28"/>
        <v>0</v>
      </c>
      <c r="N111" s="525"/>
      <c r="O111" s="514">
        <f t="shared" si="30"/>
        <v>0</v>
      </c>
      <c r="P111" s="514">
        <f t="shared" si="31"/>
        <v>0</v>
      </c>
      <c r="Q111" s="269"/>
    </row>
    <row r="112" spans="1:17" ht="12.5">
      <c r="B112" s="195" t="str">
        <f t="shared" si="32"/>
        <v/>
      </c>
      <c r="C112" s="507">
        <f>IF(D93="","-",+C111+1)</f>
        <v>2022</v>
      </c>
      <c r="D112" s="374">
        <f>IF(F111+SUM(E$99:E111)=D$92,F111,D$92-SUM(E$99:E111))</f>
        <v>9652592.2982740458</v>
      </c>
      <c r="E112" s="522">
        <f>IF(+J96&lt;F111,J96,D112)</f>
        <v>335190.34146341466</v>
      </c>
      <c r="F112" s="523">
        <f t="shared" si="39"/>
        <v>9317401.9568106309</v>
      </c>
      <c r="G112" s="523">
        <f t="shared" si="40"/>
        <v>9484997.1275423393</v>
      </c>
      <c r="H112" s="526">
        <f>+J$94*G112+E112</f>
        <v>1411872.4525351196</v>
      </c>
      <c r="I112" s="577">
        <f>+J$95*G112+E112</f>
        <v>1411872.4525351196</v>
      </c>
      <c r="J112" s="514">
        <f t="shared" si="26"/>
        <v>0</v>
      </c>
      <c r="K112" s="514"/>
      <c r="L112" s="525"/>
      <c r="M112" s="514">
        <f t="shared" si="28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 ht="12.5">
      <c r="B113" s="195" t="str">
        <f t="shared" si="32"/>
        <v/>
      </c>
      <c r="C113" s="507">
        <f>IF(D93="","-",+C112+1)</f>
        <v>2023</v>
      </c>
      <c r="D113" s="374">
        <f>IF(F112+SUM(E$99:E112)=D$92,F112,D$92-SUM(E$99:E112))</f>
        <v>9317401.9568106309</v>
      </c>
      <c r="E113" s="522">
        <f>IF(+J96&lt;F112,J96,D113)</f>
        <v>335190.34146341466</v>
      </c>
      <c r="F113" s="523">
        <f t="shared" si="39"/>
        <v>8982211.6153472159</v>
      </c>
      <c r="G113" s="523">
        <f t="shared" si="40"/>
        <v>9149806.7860789225</v>
      </c>
      <c r="H113" s="526">
        <f t="shared" ref="H113:H154" si="41">+J$94*G113+E113</f>
        <v>1373823.5802366007</v>
      </c>
      <c r="I113" s="577">
        <f t="shared" ref="I113:I154" si="42">+J$95*G113+E113</f>
        <v>1373823.5802366007</v>
      </c>
      <c r="J113" s="514">
        <f t="shared" si="26"/>
        <v>0</v>
      </c>
      <c r="K113" s="514"/>
      <c r="L113" s="525"/>
      <c r="M113" s="514">
        <f t="shared" si="28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 ht="12.5">
      <c r="B114" s="195" t="str">
        <f t="shared" si="32"/>
        <v/>
      </c>
      <c r="C114" s="507">
        <f>IF(D93="","-",+C113+1)</f>
        <v>2024</v>
      </c>
      <c r="D114" s="374">
        <f>IF(F113+SUM(E$99:E113)=D$92,F113,D$92-SUM(E$99:E113))</f>
        <v>8982211.6153472159</v>
      </c>
      <c r="E114" s="522">
        <f>IF(+J96&lt;F113,J96,D114)</f>
        <v>335190.34146341466</v>
      </c>
      <c r="F114" s="523">
        <f t="shared" si="39"/>
        <v>8647021.273883801</v>
      </c>
      <c r="G114" s="523">
        <f t="shared" si="40"/>
        <v>8814616.4446155094</v>
      </c>
      <c r="H114" s="526">
        <f t="shared" si="41"/>
        <v>1335774.7079380823</v>
      </c>
      <c r="I114" s="577">
        <f t="shared" si="42"/>
        <v>1335774.7079380823</v>
      </c>
      <c r="J114" s="514">
        <f t="shared" si="26"/>
        <v>0</v>
      </c>
      <c r="K114" s="514"/>
      <c r="L114" s="525"/>
      <c r="M114" s="514">
        <f t="shared" si="28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 ht="12.5">
      <c r="B115" s="195" t="str">
        <f t="shared" si="32"/>
        <v/>
      </c>
      <c r="C115" s="507">
        <f>IF(D93="","-",+C114+1)</f>
        <v>2025</v>
      </c>
      <c r="D115" s="374">
        <f>IF(F114+SUM(E$99:E114)=D$92,F114,D$92-SUM(E$99:E114))</f>
        <v>8647021.273883801</v>
      </c>
      <c r="E115" s="522">
        <f>IF(+J96&lt;F114,J96,D115)</f>
        <v>335190.34146341466</v>
      </c>
      <c r="F115" s="523">
        <f t="shared" si="39"/>
        <v>8311830.932420386</v>
      </c>
      <c r="G115" s="523">
        <f t="shared" si="40"/>
        <v>8479426.1031520925</v>
      </c>
      <c r="H115" s="526">
        <f t="shared" si="41"/>
        <v>1297725.8356395632</v>
      </c>
      <c r="I115" s="577">
        <f t="shared" si="42"/>
        <v>1297725.8356395632</v>
      </c>
      <c r="J115" s="514">
        <f t="shared" si="26"/>
        <v>0</v>
      </c>
      <c r="K115" s="514"/>
      <c r="L115" s="525"/>
      <c r="M115" s="514">
        <f t="shared" si="28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 ht="12.5">
      <c r="B116" s="195" t="str">
        <f t="shared" si="32"/>
        <v/>
      </c>
      <c r="C116" s="507">
        <f>IF(D93="","-",+C115+1)</f>
        <v>2026</v>
      </c>
      <c r="D116" s="374">
        <f>IF(F115+SUM(E$99:E115)=D$92,F115,D$92-SUM(E$99:E115))</f>
        <v>8311830.932420386</v>
      </c>
      <c r="E116" s="522">
        <f>IF(+J96&lt;F115,J96,D116)</f>
        <v>335190.34146341466</v>
      </c>
      <c r="F116" s="523">
        <f t="shared" si="39"/>
        <v>7976640.590956971</v>
      </c>
      <c r="G116" s="523">
        <f t="shared" si="40"/>
        <v>8144235.7616886785</v>
      </c>
      <c r="H116" s="526">
        <f t="shared" si="41"/>
        <v>1259676.9633410447</v>
      </c>
      <c r="I116" s="577">
        <f t="shared" si="42"/>
        <v>1259676.9633410447</v>
      </c>
      <c r="J116" s="514">
        <f t="shared" si="26"/>
        <v>0</v>
      </c>
      <c r="K116" s="514"/>
      <c r="L116" s="525"/>
      <c r="M116" s="514">
        <f t="shared" si="28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 ht="12.5">
      <c r="B117" s="195" t="str">
        <f t="shared" si="32"/>
        <v/>
      </c>
      <c r="C117" s="507">
        <f>IF(D93="","-",+C116+1)</f>
        <v>2027</v>
      </c>
      <c r="D117" s="374">
        <f>IF(F116+SUM(E$99:E116)=D$92,F116,D$92-SUM(E$99:E116))</f>
        <v>7976640.590956971</v>
      </c>
      <c r="E117" s="522">
        <f>IF(+J96&lt;F116,J96,D117)</f>
        <v>335190.34146341466</v>
      </c>
      <c r="F117" s="523">
        <f t="shared" si="39"/>
        <v>7641450.2494935561</v>
      </c>
      <c r="G117" s="523">
        <f t="shared" si="40"/>
        <v>7809045.4202252636</v>
      </c>
      <c r="H117" s="526">
        <f t="shared" si="41"/>
        <v>1221628.0910425258</v>
      </c>
      <c r="I117" s="577">
        <f t="shared" si="42"/>
        <v>1221628.0910425258</v>
      </c>
      <c r="J117" s="514">
        <f t="shared" si="26"/>
        <v>0</v>
      </c>
      <c r="K117" s="514"/>
      <c r="L117" s="525"/>
      <c r="M117" s="514">
        <f t="shared" si="28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 ht="12.5">
      <c r="B118" s="195" t="str">
        <f t="shared" si="32"/>
        <v/>
      </c>
      <c r="C118" s="507">
        <f>IF(D93="","-",+C117+1)</f>
        <v>2028</v>
      </c>
      <c r="D118" s="374">
        <f>IF(F117+SUM(E$99:E117)=D$92,F117,D$92-SUM(E$99:E117))</f>
        <v>7641450.2494935561</v>
      </c>
      <c r="E118" s="522">
        <f>IF(+J96&lt;F117,J96,D118)</f>
        <v>335190.34146341466</v>
      </c>
      <c r="F118" s="523">
        <f t="shared" si="39"/>
        <v>7306259.9080301411</v>
      </c>
      <c r="G118" s="523">
        <f t="shared" si="40"/>
        <v>7473855.0787618486</v>
      </c>
      <c r="H118" s="526">
        <f t="shared" si="41"/>
        <v>1183579.2187440072</v>
      </c>
      <c r="I118" s="577">
        <f t="shared" si="42"/>
        <v>1183579.2187440072</v>
      </c>
      <c r="J118" s="514">
        <f t="shared" si="26"/>
        <v>0</v>
      </c>
      <c r="K118" s="514"/>
      <c r="L118" s="525"/>
      <c r="M118" s="514">
        <f t="shared" si="28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 ht="12.5">
      <c r="B119" s="195" t="str">
        <f t="shared" si="32"/>
        <v/>
      </c>
      <c r="C119" s="507">
        <f>IF(D93="","-",+C118+1)</f>
        <v>2029</v>
      </c>
      <c r="D119" s="374">
        <f>IF(F118+SUM(E$99:E118)=D$92,F118,D$92-SUM(E$99:E118))</f>
        <v>7306259.9080301411</v>
      </c>
      <c r="E119" s="522">
        <f>IF(+J96&lt;F118,J96,D119)</f>
        <v>335190.34146341466</v>
      </c>
      <c r="F119" s="523">
        <f t="shared" si="39"/>
        <v>6971069.5665667262</v>
      </c>
      <c r="G119" s="523">
        <f t="shared" si="40"/>
        <v>7138664.7372984337</v>
      </c>
      <c r="H119" s="526">
        <f t="shared" si="41"/>
        <v>1145530.3464454885</v>
      </c>
      <c r="I119" s="577">
        <f t="shared" si="42"/>
        <v>1145530.3464454885</v>
      </c>
      <c r="J119" s="514">
        <f t="shared" si="26"/>
        <v>0</v>
      </c>
      <c r="K119" s="514"/>
      <c r="L119" s="525"/>
      <c r="M119" s="514">
        <f t="shared" si="28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 ht="12.5">
      <c r="B120" s="195" t="str">
        <f t="shared" si="32"/>
        <v/>
      </c>
      <c r="C120" s="507">
        <f>IF(D93="","-",+C119+1)</f>
        <v>2030</v>
      </c>
      <c r="D120" s="374">
        <f>IF(F119+SUM(E$99:E119)=D$92,F119,D$92-SUM(E$99:E119))</f>
        <v>6971069.5665667262</v>
      </c>
      <c r="E120" s="522">
        <f>IF(+J96&lt;F119,J96,D120)</f>
        <v>335190.34146341466</v>
      </c>
      <c r="F120" s="523">
        <f t="shared" si="39"/>
        <v>6635879.2251033112</v>
      </c>
      <c r="G120" s="523">
        <f t="shared" si="40"/>
        <v>6803474.3958350187</v>
      </c>
      <c r="H120" s="526">
        <f t="shared" si="41"/>
        <v>1107481.4741469698</v>
      </c>
      <c r="I120" s="577">
        <f t="shared" si="42"/>
        <v>1107481.4741469698</v>
      </c>
      <c r="J120" s="514">
        <f t="shared" si="26"/>
        <v>0</v>
      </c>
      <c r="K120" s="514"/>
      <c r="L120" s="525"/>
      <c r="M120" s="514">
        <f t="shared" si="28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 ht="12.5">
      <c r="B121" s="195" t="str">
        <f t="shared" si="32"/>
        <v/>
      </c>
      <c r="C121" s="507">
        <f>IF(D93="","-",+C120+1)</f>
        <v>2031</v>
      </c>
      <c r="D121" s="374">
        <f>IF(F120+SUM(E$99:E120)=D$92,F120,D$92-SUM(E$99:E120))</f>
        <v>6635879.2251033112</v>
      </c>
      <c r="E121" s="522">
        <f>IF(+J96&lt;F120,J96,D121)</f>
        <v>335190.34146341466</v>
      </c>
      <c r="F121" s="523">
        <f t="shared" si="39"/>
        <v>6300688.8836398963</v>
      </c>
      <c r="G121" s="523">
        <f t="shared" si="40"/>
        <v>6468284.0543716038</v>
      </c>
      <c r="H121" s="526">
        <f t="shared" si="41"/>
        <v>1069432.6018484512</v>
      </c>
      <c r="I121" s="577">
        <f t="shared" si="42"/>
        <v>1069432.6018484512</v>
      </c>
      <c r="J121" s="514">
        <f t="shared" si="26"/>
        <v>0</v>
      </c>
      <c r="K121" s="514"/>
      <c r="L121" s="525"/>
      <c r="M121" s="514">
        <f t="shared" si="28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 ht="12.5">
      <c r="B122" s="195" t="str">
        <f t="shared" si="32"/>
        <v/>
      </c>
      <c r="C122" s="507">
        <f>IF(D93="","-",+C121+1)</f>
        <v>2032</v>
      </c>
      <c r="D122" s="374">
        <f>IF(F121+SUM(E$99:E121)=D$92,F121,D$92-SUM(E$99:E121))</f>
        <v>6300688.8836398963</v>
      </c>
      <c r="E122" s="522">
        <f>IF(+J96&lt;F121,J96,D122)</f>
        <v>335190.34146341466</v>
      </c>
      <c r="F122" s="523">
        <f t="shared" si="39"/>
        <v>5965498.5421764813</v>
      </c>
      <c r="G122" s="523">
        <f t="shared" si="40"/>
        <v>6133093.7129081888</v>
      </c>
      <c r="H122" s="526">
        <f t="shared" si="41"/>
        <v>1031383.7295499323</v>
      </c>
      <c r="I122" s="577">
        <f t="shared" si="42"/>
        <v>1031383.7295499323</v>
      </c>
      <c r="J122" s="514">
        <f t="shared" si="26"/>
        <v>0</v>
      </c>
      <c r="K122" s="514"/>
      <c r="L122" s="525"/>
      <c r="M122" s="514">
        <f t="shared" si="28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 ht="12.5">
      <c r="B123" s="195" t="str">
        <f t="shared" si="32"/>
        <v/>
      </c>
      <c r="C123" s="507">
        <f>IF(D93="","-",+C122+1)</f>
        <v>2033</v>
      </c>
      <c r="D123" s="374">
        <f>IF(F122+SUM(E$99:E122)=D$92,F122,D$92-SUM(E$99:E122))</f>
        <v>5965498.5421764813</v>
      </c>
      <c r="E123" s="522">
        <f>IF(+J96&lt;F122,J96,D123)</f>
        <v>335190.34146341466</v>
      </c>
      <c r="F123" s="523">
        <f t="shared" si="39"/>
        <v>5630308.2007130664</v>
      </c>
      <c r="G123" s="523">
        <f t="shared" si="40"/>
        <v>5797903.3714447739</v>
      </c>
      <c r="H123" s="526">
        <f t="shared" si="41"/>
        <v>993334.85725141363</v>
      </c>
      <c r="I123" s="577">
        <f t="shared" si="42"/>
        <v>993334.85725141363</v>
      </c>
      <c r="J123" s="514">
        <f t="shared" si="26"/>
        <v>0</v>
      </c>
      <c r="K123" s="514"/>
      <c r="L123" s="525"/>
      <c r="M123" s="514">
        <f t="shared" si="28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 ht="12.5">
      <c r="B124" s="195" t="str">
        <f t="shared" si="32"/>
        <v/>
      </c>
      <c r="C124" s="507">
        <f>IF(D93="","-",+C123+1)</f>
        <v>2034</v>
      </c>
      <c r="D124" s="374">
        <f>IF(F123+SUM(E$99:E123)=D$92,F123,D$92-SUM(E$99:E123))</f>
        <v>5630308.2007130664</v>
      </c>
      <c r="E124" s="522">
        <f>IF(+J96&lt;F123,J96,D124)</f>
        <v>335190.34146341466</v>
      </c>
      <c r="F124" s="523">
        <f t="shared" si="39"/>
        <v>5295117.8592496514</v>
      </c>
      <c r="G124" s="523">
        <f t="shared" si="40"/>
        <v>5462713.0299813589</v>
      </c>
      <c r="H124" s="526">
        <f t="shared" si="41"/>
        <v>955285.98495289497</v>
      </c>
      <c r="I124" s="577">
        <f t="shared" si="42"/>
        <v>955285.98495289497</v>
      </c>
      <c r="J124" s="514">
        <f t="shared" si="26"/>
        <v>0</v>
      </c>
      <c r="K124" s="514"/>
      <c r="L124" s="525"/>
      <c r="M124" s="514">
        <f t="shared" si="28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 ht="12.5">
      <c r="B125" s="195" t="str">
        <f t="shared" si="32"/>
        <v/>
      </c>
      <c r="C125" s="507">
        <f>IF(D93="","-",+C124+1)</f>
        <v>2035</v>
      </c>
      <c r="D125" s="374">
        <f>IF(F124+SUM(E$99:E124)=D$92,F124,D$92-SUM(E$99:E124))</f>
        <v>5295117.8592496514</v>
      </c>
      <c r="E125" s="522">
        <f>IF(+J96&lt;F124,J96,D125)</f>
        <v>335190.34146341466</v>
      </c>
      <c r="F125" s="523">
        <f t="shared" si="39"/>
        <v>4959927.5177862365</v>
      </c>
      <c r="G125" s="523">
        <f t="shared" si="40"/>
        <v>5127522.688517944</v>
      </c>
      <c r="H125" s="526">
        <f t="shared" si="41"/>
        <v>917237.11265437631</v>
      </c>
      <c r="I125" s="577">
        <f t="shared" si="42"/>
        <v>917237.11265437631</v>
      </c>
      <c r="J125" s="514">
        <f t="shared" si="26"/>
        <v>0</v>
      </c>
      <c r="K125" s="514"/>
      <c r="L125" s="525"/>
      <c r="M125" s="514">
        <f t="shared" si="28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 ht="12.5">
      <c r="B126" s="195" t="str">
        <f t="shared" si="32"/>
        <v/>
      </c>
      <c r="C126" s="507">
        <f>IF(D93="","-",+C125+1)</f>
        <v>2036</v>
      </c>
      <c r="D126" s="374">
        <f>IF(F125+SUM(E$99:E125)=D$92,F125,D$92-SUM(E$99:E125))</f>
        <v>4959927.5177862365</v>
      </c>
      <c r="E126" s="522">
        <f>IF(+J96&lt;F125,J96,D126)</f>
        <v>335190.34146341466</v>
      </c>
      <c r="F126" s="523">
        <f t="shared" si="39"/>
        <v>4624737.1763228215</v>
      </c>
      <c r="G126" s="523">
        <f t="shared" si="40"/>
        <v>4792332.347054529</v>
      </c>
      <c r="H126" s="526">
        <f t="shared" si="41"/>
        <v>879188.24035585765</v>
      </c>
      <c r="I126" s="577">
        <f t="shared" si="42"/>
        <v>879188.24035585765</v>
      </c>
      <c r="J126" s="514">
        <f t="shared" si="26"/>
        <v>0</v>
      </c>
      <c r="K126" s="514"/>
      <c r="L126" s="525"/>
      <c r="M126" s="514">
        <f t="shared" si="28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 ht="12.5">
      <c r="B127" s="195" t="str">
        <f t="shared" si="32"/>
        <v/>
      </c>
      <c r="C127" s="507">
        <f>IF(D93="","-",+C126+1)</f>
        <v>2037</v>
      </c>
      <c r="D127" s="374">
        <f>IF(F126+SUM(E$99:E126)=D$92,F126,D$92-SUM(E$99:E126))</f>
        <v>4624737.1763228215</v>
      </c>
      <c r="E127" s="522">
        <f>IF(+J96&lt;F126,J96,D127)</f>
        <v>335190.34146341466</v>
      </c>
      <c r="F127" s="523">
        <f t="shared" si="39"/>
        <v>4289546.8348594066</v>
      </c>
      <c r="G127" s="523">
        <f t="shared" si="40"/>
        <v>4457142.0055911141</v>
      </c>
      <c r="H127" s="526">
        <f t="shared" si="41"/>
        <v>841139.36805733887</v>
      </c>
      <c r="I127" s="577">
        <f t="shared" si="42"/>
        <v>841139.36805733887</v>
      </c>
      <c r="J127" s="514">
        <f t="shared" si="26"/>
        <v>0</v>
      </c>
      <c r="K127" s="514"/>
      <c r="L127" s="525"/>
      <c r="M127" s="514">
        <f t="shared" si="28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 ht="12.5">
      <c r="B128" s="195" t="str">
        <f t="shared" si="32"/>
        <v/>
      </c>
      <c r="C128" s="507">
        <f>IF(D93="","-",+C127+1)</f>
        <v>2038</v>
      </c>
      <c r="D128" s="374">
        <f>IF(F127+SUM(E$99:E127)=D$92,F127,D$92-SUM(E$99:E127))</f>
        <v>4289546.8348594066</v>
      </c>
      <c r="E128" s="522">
        <f>IF(+J96&lt;F127,J96,D128)</f>
        <v>335190.34146341466</v>
      </c>
      <c r="F128" s="523">
        <f t="shared" si="39"/>
        <v>3954356.4933959921</v>
      </c>
      <c r="G128" s="523">
        <f t="shared" si="40"/>
        <v>4121951.6641276991</v>
      </c>
      <c r="H128" s="526">
        <f t="shared" si="41"/>
        <v>803090.49575882009</v>
      </c>
      <c r="I128" s="577">
        <f t="shared" si="42"/>
        <v>803090.49575882009</v>
      </c>
      <c r="J128" s="514">
        <f t="shared" si="26"/>
        <v>0</v>
      </c>
      <c r="K128" s="514"/>
      <c r="L128" s="525"/>
      <c r="M128" s="514">
        <f t="shared" si="28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 ht="12.5">
      <c r="B129" s="195" t="str">
        <f t="shared" si="32"/>
        <v/>
      </c>
      <c r="C129" s="507">
        <f>IF(D93="","-",+C128+1)</f>
        <v>2039</v>
      </c>
      <c r="D129" s="374">
        <f>IF(F128+SUM(E$99:E128)=D$92,F128,D$92-SUM(E$99:E128))</f>
        <v>3954356.4933959921</v>
      </c>
      <c r="E129" s="522">
        <f>IF(+J96&lt;F128,J96,D129)</f>
        <v>335190.34146341466</v>
      </c>
      <c r="F129" s="523">
        <f t="shared" si="39"/>
        <v>3619166.1519325776</v>
      </c>
      <c r="G129" s="523">
        <f t="shared" si="40"/>
        <v>3786761.3226642851</v>
      </c>
      <c r="H129" s="526">
        <f t="shared" si="41"/>
        <v>765041.62346030155</v>
      </c>
      <c r="I129" s="577">
        <f t="shared" si="42"/>
        <v>765041.62346030155</v>
      </c>
      <c r="J129" s="514">
        <f t="shared" si="26"/>
        <v>0</v>
      </c>
      <c r="K129" s="514"/>
      <c r="L129" s="525"/>
      <c r="M129" s="514">
        <f t="shared" si="28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 ht="12.5">
      <c r="B130" s="195" t="str">
        <f t="shared" si="32"/>
        <v/>
      </c>
      <c r="C130" s="507">
        <f>IF(D93="","-",+C129+1)</f>
        <v>2040</v>
      </c>
      <c r="D130" s="374">
        <f>IF(F129+SUM(E$99:E129)=D$92,F129,D$92-SUM(E$99:E129))</f>
        <v>3619166.1519325776</v>
      </c>
      <c r="E130" s="522">
        <f>IF(+J96&lt;F129,J96,D130)</f>
        <v>335190.34146341466</v>
      </c>
      <c r="F130" s="523">
        <f t="shared" si="39"/>
        <v>3283975.8104691631</v>
      </c>
      <c r="G130" s="523">
        <f t="shared" si="40"/>
        <v>3451570.9812008701</v>
      </c>
      <c r="H130" s="526">
        <f t="shared" si="41"/>
        <v>726992.75116178277</v>
      </c>
      <c r="I130" s="577">
        <f t="shared" si="42"/>
        <v>726992.75116178277</v>
      </c>
      <c r="J130" s="514">
        <f t="shared" si="26"/>
        <v>0</v>
      </c>
      <c r="K130" s="514"/>
      <c r="L130" s="525"/>
      <c r="M130" s="514">
        <f t="shared" si="28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 ht="12.5">
      <c r="B131" s="195" t="str">
        <f t="shared" si="32"/>
        <v/>
      </c>
      <c r="C131" s="507">
        <f>IF(D93="","-",+C130+1)</f>
        <v>2041</v>
      </c>
      <c r="D131" s="374">
        <f>IF(F130+SUM(E$99:E130)=D$92,F130,D$92-SUM(E$99:E130))</f>
        <v>3283975.8104691631</v>
      </c>
      <c r="E131" s="522">
        <f>IF(+J96&lt;F130,J96,D131)</f>
        <v>335190.34146341466</v>
      </c>
      <c r="F131" s="523">
        <f t="shared" ref="F131:F154" si="43">+D131-E131</f>
        <v>2948785.4690057486</v>
      </c>
      <c r="G131" s="523">
        <f t="shared" ref="G131:G154" si="44">+(F131+D131)/2</f>
        <v>3116380.6397374561</v>
      </c>
      <c r="H131" s="526">
        <f t="shared" si="41"/>
        <v>688943.87886326422</v>
      </c>
      <c r="I131" s="577">
        <f t="shared" si="42"/>
        <v>688943.87886326422</v>
      </c>
      <c r="J131" s="514">
        <f t="shared" ref="J131:J154" si="45">+I131-H131</f>
        <v>0</v>
      </c>
      <c r="K131" s="514"/>
      <c r="L131" s="525"/>
      <c r="M131" s="514">
        <f t="shared" ref="M131:M154" si="46">IF(L131&lt;&gt;0,+H131-L131,0)</f>
        <v>0</v>
      </c>
      <c r="N131" s="525"/>
      <c r="O131" s="514">
        <f t="shared" ref="O131:O154" si="47">IF(N131&lt;&gt;0,+I131-N131,0)</f>
        <v>0</v>
      </c>
      <c r="P131" s="514">
        <f t="shared" ref="P131:P154" si="48">+O131-M131</f>
        <v>0</v>
      </c>
      <c r="Q131" s="269"/>
    </row>
    <row r="132" spans="2:17" ht="12.5">
      <c r="B132" s="195" t="str">
        <f t="shared" si="32"/>
        <v/>
      </c>
      <c r="C132" s="507">
        <f>IF(D93="","-",+C131+1)</f>
        <v>2042</v>
      </c>
      <c r="D132" s="374">
        <f>IF(F131+SUM(E$99:E131)=D$92,F131,D$92-SUM(E$99:E131))</f>
        <v>2948785.4690057486</v>
      </c>
      <c r="E132" s="522">
        <f>IF(+J96&lt;F131,J96,D132)</f>
        <v>335190.34146341466</v>
      </c>
      <c r="F132" s="523">
        <f t="shared" si="43"/>
        <v>2613595.1275423341</v>
      </c>
      <c r="G132" s="523">
        <f t="shared" si="44"/>
        <v>2781190.2982740412</v>
      </c>
      <c r="H132" s="526">
        <f t="shared" si="41"/>
        <v>650895.00656474545</v>
      </c>
      <c r="I132" s="577">
        <f t="shared" si="42"/>
        <v>650895.00656474545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  <c r="Q132" s="269"/>
    </row>
    <row r="133" spans="2:17" ht="12.5">
      <c r="B133" s="195" t="str">
        <f t="shared" si="32"/>
        <v/>
      </c>
      <c r="C133" s="507">
        <f>IF(D93="","-",+C132+1)</f>
        <v>2043</v>
      </c>
      <c r="D133" s="374">
        <f>IF(F132+SUM(E$99:E132)=D$92,F132,D$92-SUM(E$99:E132))</f>
        <v>2613595.1275423341</v>
      </c>
      <c r="E133" s="522">
        <f>IF(+J96&lt;F132,J96,D133)</f>
        <v>335190.34146341466</v>
      </c>
      <c r="F133" s="523">
        <f t="shared" si="43"/>
        <v>2278404.7860789197</v>
      </c>
      <c r="G133" s="523">
        <f t="shared" si="44"/>
        <v>2445999.9568106271</v>
      </c>
      <c r="H133" s="526">
        <f t="shared" si="41"/>
        <v>612846.1342662269</v>
      </c>
      <c r="I133" s="577">
        <f t="shared" si="42"/>
        <v>612846.1342662269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  <c r="Q133" s="269"/>
    </row>
    <row r="134" spans="2:17" ht="12.5">
      <c r="B134" s="195" t="str">
        <f t="shared" si="32"/>
        <v/>
      </c>
      <c r="C134" s="507">
        <f>IF(D93="","-",+C133+1)</f>
        <v>2044</v>
      </c>
      <c r="D134" s="374">
        <f>IF(F133+SUM(E$99:E133)=D$92,F133,D$92-SUM(E$99:E133))</f>
        <v>2278404.7860789197</v>
      </c>
      <c r="E134" s="522">
        <f>IF(+J96&lt;F133,J96,D134)</f>
        <v>335190.34146341466</v>
      </c>
      <c r="F134" s="523">
        <f t="shared" si="43"/>
        <v>1943214.4446155049</v>
      </c>
      <c r="G134" s="523">
        <f t="shared" si="44"/>
        <v>2110809.6153472122</v>
      </c>
      <c r="H134" s="526">
        <f t="shared" si="41"/>
        <v>574797.26196770824</v>
      </c>
      <c r="I134" s="577">
        <f t="shared" si="42"/>
        <v>574797.26196770824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  <c r="Q134" s="269"/>
    </row>
    <row r="135" spans="2:17" ht="12.5">
      <c r="B135" s="195" t="str">
        <f t="shared" si="32"/>
        <v/>
      </c>
      <c r="C135" s="507">
        <f>IF(D93="","-",+C134+1)</f>
        <v>2045</v>
      </c>
      <c r="D135" s="374">
        <f>IF(F134+SUM(E$99:E134)=D$92,F134,D$92-SUM(E$99:E134))</f>
        <v>1943214.4446155049</v>
      </c>
      <c r="E135" s="522">
        <f>IF(+J96&lt;F134,J96,D135)</f>
        <v>335190.34146341466</v>
      </c>
      <c r="F135" s="523">
        <f t="shared" si="43"/>
        <v>1608024.1031520902</v>
      </c>
      <c r="G135" s="523">
        <f t="shared" si="44"/>
        <v>1775619.2738837977</v>
      </c>
      <c r="H135" s="526">
        <f t="shared" si="41"/>
        <v>536748.38966918958</v>
      </c>
      <c r="I135" s="577">
        <f t="shared" si="42"/>
        <v>536748.38966918958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  <c r="Q135" s="269"/>
    </row>
    <row r="136" spans="2:17" ht="12.5">
      <c r="B136" s="195" t="str">
        <f t="shared" si="32"/>
        <v/>
      </c>
      <c r="C136" s="507">
        <f>IF(D93="","-",+C135+1)</f>
        <v>2046</v>
      </c>
      <c r="D136" s="374">
        <f>IF(F135+SUM(E$99:E135)=D$92,F135,D$92-SUM(E$99:E135))</f>
        <v>1608024.1031520902</v>
      </c>
      <c r="E136" s="522">
        <f>IF(+J96&lt;F135,J96,D136)</f>
        <v>335190.34146341466</v>
      </c>
      <c r="F136" s="523">
        <f t="shared" si="43"/>
        <v>1272833.7616886755</v>
      </c>
      <c r="G136" s="523">
        <f t="shared" si="44"/>
        <v>1440428.9324203827</v>
      </c>
      <c r="H136" s="526">
        <f t="shared" si="41"/>
        <v>498699.5173706708</v>
      </c>
      <c r="I136" s="577">
        <f t="shared" si="42"/>
        <v>498699.5173706708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  <c r="Q136" s="269"/>
    </row>
    <row r="137" spans="2:17" ht="12.5">
      <c r="B137" s="195" t="str">
        <f t="shared" si="32"/>
        <v/>
      </c>
      <c r="C137" s="507">
        <f>IF(D93="","-",+C136+1)</f>
        <v>2047</v>
      </c>
      <c r="D137" s="374">
        <f>IF(F136+SUM(E$99:E136)=D$92,F136,D$92-SUM(E$99:E136))</f>
        <v>1272833.7616886755</v>
      </c>
      <c r="E137" s="522">
        <f>IF(+J96&lt;F136,J96,D137)</f>
        <v>335190.34146341466</v>
      </c>
      <c r="F137" s="523">
        <f t="shared" si="43"/>
        <v>937643.42022526078</v>
      </c>
      <c r="G137" s="523">
        <f t="shared" si="44"/>
        <v>1105238.5909569683</v>
      </c>
      <c r="H137" s="526">
        <f t="shared" si="41"/>
        <v>460650.6450721522</v>
      </c>
      <c r="I137" s="577">
        <f t="shared" si="42"/>
        <v>460650.6450721522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  <c r="Q137" s="269"/>
    </row>
    <row r="138" spans="2:17" ht="12.5">
      <c r="B138" s="195" t="str">
        <f t="shared" si="32"/>
        <v/>
      </c>
      <c r="C138" s="507">
        <f>IF(D93="","-",+C137+1)</f>
        <v>2048</v>
      </c>
      <c r="D138" s="374">
        <f>IF(F137+SUM(E$99:E137)=D$92,F137,D$92-SUM(E$99:E137))</f>
        <v>937643.42022526078</v>
      </c>
      <c r="E138" s="522">
        <f>IF(+J96&lt;F137,J96,D138)</f>
        <v>335190.34146341466</v>
      </c>
      <c r="F138" s="523">
        <f t="shared" si="43"/>
        <v>602453.07876184606</v>
      </c>
      <c r="G138" s="523">
        <f t="shared" si="44"/>
        <v>770048.24949355342</v>
      </c>
      <c r="H138" s="526">
        <f t="shared" si="41"/>
        <v>422601.77277363348</v>
      </c>
      <c r="I138" s="577">
        <f t="shared" si="42"/>
        <v>422601.77277363348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  <c r="Q138" s="269"/>
    </row>
    <row r="139" spans="2:17" ht="12.5">
      <c r="B139" s="195" t="str">
        <f t="shared" si="32"/>
        <v/>
      </c>
      <c r="C139" s="507">
        <f>IF(D93="","-",+C138+1)</f>
        <v>2049</v>
      </c>
      <c r="D139" s="374">
        <f>IF(F138+SUM(E$99:E138)=D$92,F138,D$92-SUM(E$99:E138))</f>
        <v>602453.07876184606</v>
      </c>
      <c r="E139" s="522">
        <f>IF(+J96&lt;F138,J96,D139)</f>
        <v>335190.34146341466</v>
      </c>
      <c r="F139" s="523">
        <f t="shared" si="43"/>
        <v>267262.7372984314</v>
      </c>
      <c r="G139" s="523">
        <f t="shared" si="44"/>
        <v>434857.9080301387</v>
      </c>
      <c r="H139" s="526">
        <f t="shared" si="41"/>
        <v>384552.90047511482</v>
      </c>
      <c r="I139" s="577">
        <f t="shared" si="42"/>
        <v>384552.90047511482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  <c r="Q139" s="269"/>
    </row>
    <row r="140" spans="2:17" ht="12.5">
      <c r="B140" s="195" t="str">
        <f t="shared" si="32"/>
        <v/>
      </c>
      <c r="C140" s="507">
        <f>IF(D93="","-",+C139+1)</f>
        <v>2050</v>
      </c>
      <c r="D140" s="374">
        <f>IF(F139+SUM(E$99:E139)=D$92,F139,D$92-SUM(E$99:E139))</f>
        <v>267262.7372984314</v>
      </c>
      <c r="E140" s="522">
        <f>IF(+J96&lt;F139,J96,D140)</f>
        <v>267262.7372984314</v>
      </c>
      <c r="F140" s="523">
        <f t="shared" si="43"/>
        <v>0</v>
      </c>
      <c r="G140" s="523">
        <f t="shared" si="44"/>
        <v>133631.3686492157</v>
      </c>
      <c r="H140" s="526">
        <f t="shared" si="41"/>
        <v>282431.79872965178</v>
      </c>
      <c r="I140" s="577">
        <f t="shared" si="42"/>
        <v>282431.79872965178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  <c r="Q140" s="269"/>
    </row>
    <row r="141" spans="2:17" ht="12.5">
      <c r="B141" s="195" t="str">
        <f t="shared" si="32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3"/>
        <v>0</v>
      </c>
      <c r="G141" s="523">
        <f t="shared" si="44"/>
        <v>0</v>
      </c>
      <c r="H141" s="526">
        <f t="shared" si="41"/>
        <v>0</v>
      </c>
      <c r="I141" s="577">
        <f t="shared" si="42"/>
        <v>0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  <c r="Q141" s="269"/>
    </row>
    <row r="142" spans="2:17" ht="12.5">
      <c r="B142" s="195" t="str">
        <f t="shared" si="32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3"/>
        <v>0</v>
      </c>
      <c r="G142" s="523">
        <f t="shared" si="44"/>
        <v>0</v>
      </c>
      <c r="H142" s="526">
        <f t="shared" si="41"/>
        <v>0</v>
      </c>
      <c r="I142" s="577">
        <f t="shared" si="42"/>
        <v>0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  <c r="Q142" s="269"/>
    </row>
    <row r="143" spans="2:17" ht="12.5">
      <c r="B143" s="195" t="str">
        <f t="shared" si="32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3"/>
        <v>0</v>
      </c>
      <c r="G143" s="523">
        <f t="shared" si="44"/>
        <v>0</v>
      </c>
      <c r="H143" s="526">
        <f t="shared" si="41"/>
        <v>0</v>
      </c>
      <c r="I143" s="577">
        <f t="shared" si="42"/>
        <v>0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  <c r="Q143" s="269"/>
    </row>
    <row r="144" spans="2:17" ht="12.5">
      <c r="B144" s="195" t="str">
        <f t="shared" si="32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3"/>
        <v>0</v>
      </c>
      <c r="G144" s="523">
        <f t="shared" si="44"/>
        <v>0</v>
      </c>
      <c r="H144" s="526">
        <f t="shared" si="41"/>
        <v>0</v>
      </c>
      <c r="I144" s="577">
        <f t="shared" si="42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  <c r="Q144" s="269"/>
    </row>
    <row r="145" spans="2:17" ht="12.5">
      <c r="B145" s="195" t="str">
        <f t="shared" si="32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3"/>
        <v>0</v>
      </c>
      <c r="G145" s="523">
        <f t="shared" si="44"/>
        <v>0</v>
      </c>
      <c r="H145" s="526">
        <f t="shared" si="41"/>
        <v>0</v>
      </c>
      <c r="I145" s="577">
        <f t="shared" si="42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  <c r="Q145" s="269"/>
    </row>
    <row r="146" spans="2:17" ht="12.5">
      <c r="B146" s="195" t="str">
        <f t="shared" si="32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3"/>
        <v>0</v>
      </c>
      <c r="G146" s="523">
        <f t="shared" si="44"/>
        <v>0</v>
      </c>
      <c r="H146" s="526">
        <f t="shared" si="41"/>
        <v>0</v>
      </c>
      <c r="I146" s="577">
        <f t="shared" si="42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  <c r="Q146" s="269"/>
    </row>
    <row r="147" spans="2:17" ht="12.5">
      <c r="B147" s="195" t="str">
        <f t="shared" si="32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3"/>
        <v>0</v>
      </c>
      <c r="G147" s="523">
        <f t="shared" si="44"/>
        <v>0</v>
      </c>
      <c r="H147" s="526">
        <f t="shared" si="41"/>
        <v>0</v>
      </c>
      <c r="I147" s="577">
        <f t="shared" si="42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  <c r="Q147" s="269"/>
    </row>
    <row r="148" spans="2:17" ht="12.5">
      <c r="B148" s="195" t="str">
        <f t="shared" si="32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3"/>
        <v>0</v>
      </c>
      <c r="G148" s="523">
        <f t="shared" si="44"/>
        <v>0</v>
      </c>
      <c r="H148" s="526">
        <f t="shared" si="41"/>
        <v>0</v>
      </c>
      <c r="I148" s="577">
        <f t="shared" si="42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  <c r="Q148" s="269"/>
    </row>
    <row r="149" spans="2:17" ht="12.5">
      <c r="B149" s="195" t="str">
        <f t="shared" si="32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3"/>
        <v>0</v>
      </c>
      <c r="G149" s="523">
        <f t="shared" si="44"/>
        <v>0</v>
      </c>
      <c r="H149" s="526">
        <f t="shared" si="41"/>
        <v>0</v>
      </c>
      <c r="I149" s="577">
        <f t="shared" si="42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  <c r="Q149" s="269"/>
    </row>
    <row r="150" spans="2:17" ht="12.5">
      <c r="B150" s="195" t="str">
        <f t="shared" si="32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3"/>
        <v>0</v>
      </c>
      <c r="G150" s="523">
        <f t="shared" si="44"/>
        <v>0</v>
      </c>
      <c r="H150" s="526">
        <f t="shared" si="41"/>
        <v>0</v>
      </c>
      <c r="I150" s="577">
        <f t="shared" si="42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  <c r="Q150" s="269"/>
    </row>
    <row r="151" spans="2:17" ht="12.5">
      <c r="B151" s="195" t="str">
        <f t="shared" si="32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3"/>
        <v>0</v>
      </c>
      <c r="G151" s="523">
        <f t="shared" si="44"/>
        <v>0</v>
      </c>
      <c r="H151" s="526">
        <f t="shared" si="41"/>
        <v>0</v>
      </c>
      <c r="I151" s="577">
        <f t="shared" si="42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  <c r="Q151" s="269"/>
    </row>
    <row r="152" spans="2:17" ht="12.5">
      <c r="B152" s="195" t="str">
        <f t="shared" si="32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3"/>
        <v>0</v>
      </c>
      <c r="G152" s="523">
        <f t="shared" si="44"/>
        <v>0</v>
      </c>
      <c r="H152" s="526">
        <f t="shared" si="41"/>
        <v>0</v>
      </c>
      <c r="I152" s="577">
        <f t="shared" si="42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  <c r="Q152" s="269"/>
    </row>
    <row r="153" spans="2:17" ht="12.5">
      <c r="B153" s="195" t="str">
        <f t="shared" si="32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3"/>
        <v>0</v>
      </c>
      <c r="G153" s="523">
        <f t="shared" si="44"/>
        <v>0</v>
      </c>
      <c r="H153" s="526">
        <f t="shared" si="41"/>
        <v>0</v>
      </c>
      <c r="I153" s="577">
        <f t="shared" si="42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  <c r="Q153" s="269"/>
    </row>
    <row r="154" spans="2:17" ht="13" thickBot="1">
      <c r="B154" s="195" t="str">
        <f t="shared" si="32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3"/>
        <v>0</v>
      </c>
      <c r="G154" s="528">
        <f t="shared" si="44"/>
        <v>0</v>
      </c>
      <c r="H154" s="530">
        <f t="shared" si="41"/>
        <v>0</v>
      </c>
      <c r="I154" s="579">
        <f t="shared" si="42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  <c r="Q154" s="269"/>
    </row>
    <row r="155" spans="2:17" ht="12.5">
      <c r="C155" s="374" t="s">
        <v>78</v>
      </c>
      <c r="D155" s="375"/>
      <c r="E155" s="375">
        <f>SUM(E99:E154)</f>
        <v>13742804.000000002</v>
      </c>
      <c r="F155" s="375"/>
      <c r="G155" s="375"/>
      <c r="H155" s="375">
        <f>SUM(H99:H154)</f>
        <v>48615339.99667003</v>
      </c>
      <c r="I155" s="375">
        <f>SUM(I99:I154)</f>
        <v>48615339.99667003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5" priority="1" stopIfTrue="1" operator="equal">
      <formula>$I$10</formula>
    </cfRule>
  </conditionalFormatting>
  <conditionalFormatting sqref="C99:C154">
    <cfRule type="cellIs" dxfId="15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106"/>
  <dimension ref="A1:P162"/>
  <sheetViews>
    <sheetView view="pageBreakPreview" zoomScale="80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57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158904.22571462151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158904.22571462151</v>
      </c>
      <c r="O6" s="269"/>
      <c r="P6" s="269"/>
    </row>
    <row r="7" spans="1:16" ht="13.5" thickBot="1">
      <c r="C7" s="467" t="s">
        <v>48</v>
      </c>
      <c r="D7" s="624" t="s">
        <v>359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360</v>
      </c>
      <c r="E9" s="637" t="s">
        <v>402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1231360.51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29318.10738095238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1140472</v>
      </c>
      <c r="E17" s="630">
        <v>13577.047619047618</v>
      </c>
      <c r="F17" s="631">
        <v>1126894.9523809524</v>
      </c>
      <c r="G17" s="630">
        <v>160163.51487370714</v>
      </c>
      <c r="H17" s="639">
        <v>160163.51487370714</v>
      </c>
      <c r="I17" s="511">
        <f t="shared" ref="I17:I72" si="0">H17-G17</f>
        <v>0</v>
      </c>
      <c r="J17" s="511"/>
      <c r="K17" s="512">
        <f t="shared" ref="K17:K22" si="1">+G17</f>
        <v>160163.51487370714</v>
      </c>
      <c r="L17" s="513">
        <f t="shared" ref="L17:L72" si="2">IF(K17&lt;&gt;0,+G17-K17,0)</f>
        <v>0</v>
      </c>
      <c r="M17" s="512">
        <f t="shared" ref="M17:M22" si="3">+H17</f>
        <v>160163.51487370714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51">
        <v>1217280.9523809524</v>
      </c>
      <c r="E18" s="656">
        <v>28624.60465116279</v>
      </c>
      <c r="F18" s="651">
        <v>1188656.3477297896</v>
      </c>
      <c r="G18" s="650">
        <v>177663.43856764107</v>
      </c>
      <c r="H18" s="657">
        <v>177663.43856764107</v>
      </c>
      <c r="I18" s="511">
        <f t="shared" si="0"/>
        <v>0</v>
      </c>
      <c r="J18" s="511"/>
      <c r="K18" s="518">
        <f t="shared" si="1"/>
        <v>177663.43856764107</v>
      </c>
      <c r="L18" s="519">
        <f t="shared" ref="L18:L23" si="6">IF(K18&lt;&gt;0,+G18-K18,0)</f>
        <v>0</v>
      </c>
      <c r="M18" s="518">
        <f t="shared" si="3"/>
        <v>177663.43856764107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51">
        <v>1188656.3477297896</v>
      </c>
      <c r="E19" s="656">
        <v>30020.926829268294</v>
      </c>
      <c r="F19" s="651">
        <v>1158635.4209005213</v>
      </c>
      <c r="G19" s="650">
        <v>179184.3929571631</v>
      </c>
      <c r="H19" s="657">
        <v>179184.3929571631</v>
      </c>
      <c r="I19" s="511">
        <f t="shared" si="0"/>
        <v>0</v>
      </c>
      <c r="J19" s="511"/>
      <c r="K19" s="518">
        <f t="shared" si="1"/>
        <v>179184.3929571631</v>
      </c>
      <c r="L19" s="519">
        <f t="shared" si="6"/>
        <v>0</v>
      </c>
      <c r="M19" s="518">
        <f t="shared" si="3"/>
        <v>179184.3929571631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51">
        <v>1158635.4209005213</v>
      </c>
      <c r="E20" s="656">
        <v>30020.926829268294</v>
      </c>
      <c r="F20" s="651">
        <v>1128614.4940712531</v>
      </c>
      <c r="G20" s="650">
        <v>175368.91031280605</v>
      </c>
      <c r="H20" s="657">
        <v>175368.91031280605</v>
      </c>
      <c r="I20" s="511">
        <f t="shared" si="0"/>
        <v>0</v>
      </c>
      <c r="J20" s="511"/>
      <c r="K20" s="518">
        <f t="shared" si="1"/>
        <v>175368.91031280605</v>
      </c>
      <c r="L20" s="519">
        <f t="shared" si="6"/>
        <v>0</v>
      </c>
      <c r="M20" s="518">
        <f t="shared" si="3"/>
        <v>175368.91031280605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/>
      </c>
      <c r="C21" s="507">
        <f>IF(D11="","-",+C20+1)</f>
        <v>2020</v>
      </c>
      <c r="D21" s="651">
        <v>1128614.4940712531</v>
      </c>
      <c r="E21" s="656">
        <v>30020.926829268294</v>
      </c>
      <c r="F21" s="651">
        <v>1098593.5672419849</v>
      </c>
      <c r="G21" s="650">
        <v>143982.10231573079</v>
      </c>
      <c r="H21" s="657">
        <v>143982.10231573079</v>
      </c>
      <c r="I21" s="511">
        <f t="shared" si="0"/>
        <v>0</v>
      </c>
      <c r="J21" s="511"/>
      <c r="K21" s="518">
        <f t="shared" si="1"/>
        <v>143982.10231573079</v>
      </c>
      <c r="L21" s="519">
        <f t="shared" si="6"/>
        <v>0</v>
      </c>
      <c r="M21" s="518">
        <f t="shared" si="3"/>
        <v>143982.10231573079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51">
        <v>1100492.8894200902</v>
      </c>
      <c r="E22" s="656">
        <v>29318.119047619046</v>
      </c>
      <c r="F22" s="651">
        <v>1071174.7703724713</v>
      </c>
      <c r="G22" s="650">
        <v>144421.44017766218</v>
      </c>
      <c r="H22" s="657">
        <v>144421.44017766218</v>
      </c>
      <c r="I22" s="511">
        <f t="shared" si="0"/>
        <v>0</v>
      </c>
      <c r="J22" s="511"/>
      <c r="K22" s="518">
        <f t="shared" si="1"/>
        <v>144421.44017766218</v>
      </c>
      <c r="L22" s="519">
        <f t="shared" si="6"/>
        <v>0</v>
      </c>
      <c r="M22" s="518">
        <f t="shared" si="3"/>
        <v>144421.44017766218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51">
        <v>1069778.4481943657</v>
      </c>
      <c r="E23" s="656">
        <v>29318.119047619046</v>
      </c>
      <c r="F23" s="651">
        <v>1040460.3291467467</v>
      </c>
      <c r="G23" s="650">
        <v>147960.06581049709</v>
      </c>
      <c r="H23" s="657">
        <v>147960.06581049709</v>
      </c>
      <c r="I23" s="511">
        <f t="shared" si="0"/>
        <v>0</v>
      </c>
      <c r="J23" s="511"/>
      <c r="K23" s="518">
        <f t="shared" ref="K23" si="8">+G23</f>
        <v>147960.06581049709</v>
      </c>
      <c r="L23" s="519">
        <f t="shared" si="6"/>
        <v>0</v>
      </c>
      <c r="M23" s="518">
        <f t="shared" ref="M23" si="9">+H23</f>
        <v>147960.06581049709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>IU</v>
      </c>
      <c r="C24" s="507">
        <f>IF(D11="","-",+C23+1)</f>
        <v>2023</v>
      </c>
      <c r="D24" s="523">
        <f>IF(F23+SUM(E$17:E23)=D$10,F23,D$10-SUM(E$17:E23))</f>
        <v>1040459.8391467466</v>
      </c>
      <c r="E24" s="522">
        <f>IF(+I14&lt;F23,I14,D24)</f>
        <v>29318.10738095238</v>
      </c>
      <c r="F24" s="523">
        <f t="shared" ref="F24:F72" si="10">+D24-E24</f>
        <v>1011141.7317657942</v>
      </c>
      <c r="G24" s="524">
        <f t="shared" ref="G24:G49" si="11">+I$12*((D24+F24)/2)+E24</f>
        <v>158904.22571462151</v>
      </c>
      <c r="H24" s="491">
        <f t="shared" ref="H24:H49" si="12">+I$13*((D24+F24)/2)+E24</f>
        <v>158904.22571462151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2024</v>
      </c>
      <c r="D25" s="523">
        <f>IF(F24+SUM(E$17:E24)=D$10,F24,D$10-SUM(E$17:E24))</f>
        <v>1011141.7317657942</v>
      </c>
      <c r="E25" s="522">
        <f>IF(+I14&lt;F24,I14,D25)</f>
        <v>29318.10738095238</v>
      </c>
      <c r="F25" s="523">
        <f t="shared" si="10"/>
        <v>981823.62438484188</v>
      </c>
      <c r="G25" s="524">
        <f t="shared" si="11"/>
        <v>155200.56337954401</v>
      </c>
      <c r="H25" s="491">
        <f t="shared" si="12"/>
        <v>155200.56337954401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981823.62438484188</v>
      </c>
      <c r="E26" s="522">
        <f>IF(+I14&lt;F25,I14,D26)</f>
        <v>29318.10738095238</v>
      </c>
      <c r="F26" s="523">
        <f t="shared" si="10"/>
        <v>952505.51700388954</v>
      </c>
      <c r="G26" s="524">
        <f t="shared" si="11"/>
        <v>151496.9010444665</v>
      </c>
      <c r="H26" s="491">
        <f t="shared" si="12"/>
        <v>151496.9010444665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952505.51700388954</v>
      </c>
      <c r="E27" s="522">
        <f>IF(+I14&lt;F26,I14,D27)</f>
        <v>29318.10738095238</v>
      </c>
      <c r="F27" s="523">
        <f t="shared" si="10"/>
        <v>923187.40962293721</v>
      </c>
      <c r="G27" s="524">
        <f t="shared" si="11"/>
        <v>147793.238709389</v>
      </c>
      <c r="H27" s="491">
        <f t="shared" si="12"/>
        <v>147793.238709389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923187.40962293721</v>
      </c>
      <c r="E28" s="522">
        <f>IF(+I14&lt;F27,I14,D28)</f>
        <v>29318.10738095238</v>
      </c>
      <c r="F28" s="523">
        <f t="shared" si="10"/>
        <v>893869.30224198487</v>
      </c>
      <c r="G28" s="524">
        <f t="shared" si="11"/>
        <v>144089.57637431149</v>
      </c>
      <c r="H28" s="491">
        <f t="shared" si="12"/>
        <v>144089.57637431149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893869.30224198487</v>
      </c>
      <c r="E29" s="522">
        <f>IF(+I14&lt;F28,I14,D29)</f>
        <v>29318.10738095238</v>
      </c>
      <c r="F29" s="523">
        <f t="shared" si="10"/>
        <v>864551.19486103253</v>
      </c>
      <c r="G29" s="524">
        <f t="shared" si="11"/>
        <v>140385.91403923399</v>
      </c>
      <c r="H29" s="491">
        <f t="shared" si="12"/>
        <v>140385.91403923399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864551.19486103253</v>
      </c>
      <c r="E30" s="522">
        <f>IF(+I14&lt;F29,I14,D30)</f>
        <v>29318.10738095238</v>
      </c>
      <c r="F30" s="523">
        <f t="shared" si="10"/>
        <v>835233.0874800802</v>
      </c>
      <c r="G30" s="524">
        <f t="shared" si="11"/>
        <v>136682.25170415649</v>
      </c>
      <c r="H30" s="491">
        <f t="shared" si="12"/>
        <v>136682.25170415649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835233.0874800802</v>
      </c>
      <c r="E31" s="522">
        <f>IF(+I14&lt;F30,I14,D31)</f>
        <v>29318.10738095238</v>
      </c>
      <c r="F31" s="523">
        <f t="shared" si="10"/>
        <v>805914.98009912786</v>
      </c>
      <c r="G31" s="524">
        <f t="shared" si="11"/>
        <v>132978.58936907898</v>
      </c>
      <c r="H31" s="491">
        <f t="shared" si="12"/>
        <v>132978.58936907898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805914.98009912786</v>
      </c>
      <c r="E32" s="522">
        <f>IF(+I14&lt;F31,I14,D32)</f>
        <v>29318.10738095238</v>
      </c>
      <c r="F32" s="523">
        <f t="shared" si="10"/>
        <v>776596.87271817552</v>
      </c>
      <c r="G32" s="524">
        <f t="shared" si="11"/>
        <v>129274.92703400149</v>
      </c>
      <c r="H32" s="491">
        <f t="shared" si="12"/>
        <v>129274.92703400149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776596.87271817552</v>
      </c>
      <c r="E33" s="522">
        <f>IF(+I14&lt;F32,I14,D33)</f>
        <v>29318.10738095238</v>
      </c>
      <c r="F33" s="523">
        <f t="shared" si="10"/>
        <v>747278.76533722319</v>
      </c>
      <c r="G33" s="524">
        <f t="shared" si="11"/>
        <v>125571.26469892397</v>
      </c>
      <c r="H33" s="491">
        <f t="shared" si="12"/>
        <v>125571.26469892397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747278.76533722319</v>
      </c>
      <c r="E34" s="522">
        <f>IF(+I14&lt;F33,I14,D34)</f>
        <v>29318.10738095238</v>
      </c>
      <c r="F34" s="523">
        <f t="shared" si="10"/>
        <v>717960.65795627085</v>
      </c>
      <c r="G34" s="524">
        <f t="shared" si="11"/>
        <v>121867.60236384648</v>
      </c>
      <c r="H34" s="491">
        <f t="shared" si="12"/>
        <v>121867.60236384648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717960.65795627085</v>
      </c>
      <c r="E35" s="522">
        <f>IF(+I14&lt;F34,I14,D35)</f>
        <v>29318.10738095238</v>
      </c>
      <c r="F35" s="523">
        <f t="shared" si="10"/>
        <v>688642.55057531851</v>
      </c>
      <c r="G35" s="524">
        <f t="shared" si="11"/>
        <v>118163.94002876896</v>
      </c>
      <c r="H35" s="491">
        <f t="shared" si="12"/>
        <v>118163.94002876896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688642.55057531851</v>
      </c>
      <c r="E36" s="522">
        <f>IF(+I14&lt;F35,I14,D36)</f>
        <v>29318.10738095238</v>
      </c>
      <c r="F36" s="523">
        <f t="shared" si="10"/>
        <v>659324.44319436618</v>
      </c>
      <c r="G36" s="524">
        <f t="shared" si="11"/>
        <v>114460.27769369147</v>
      </c>
      <c r="H36" s="491">
        <f t="shared" si="12"/>
        <v>114460.27769369147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659324.44319436618</v>
      </c>
      <c r="E37" s="522">
        <f>IF(+I14&lt;F36,I14,D37)</f>
        <v>29318.10738095238</v>
      </c>
      <c r="F37" s="523">
        <f t="shared" si="10"/>
        <v>630006.33581341384</v>
      </c>
      <c r="G37" s="524">
        <f t="shared" si="11"/>
        <v>110756.61535861396</v>
      </c>
      <c r="H37" s="491">
        <f t="shared" si="12"/>
        <v>110756.61535861396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630006.33581341384</v>
      </c>
      <c r="E38" s="522">
        <f>IF(+I14&lt;F37,I14,D38)</f>
        <v>29318.10738095238</v>
      </c>
      <c r="F38" s="523">
        <f t="shared" si="10"/>
        <v>600688.2284324615</v>
      </c>
      <c r="G38" s="524">
        <f t="shared" si="11"/>
        <v>107052.95302353647</v>
      </c>
      <c r="H38" s="491">
        <f t="shared" si="12"/>
        <v>107052.95302353647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600688.2284324615</v>
      </c>
      <c r="E39" s="522">
        <f>IF(+I14&lt;F38,I14,D39)</f>
        <v>29318.10738095238</v>
      </c>
      <c r="F39" s="523">
        <f t="shared" si="10"/>
        <v>571370.12105150917</v>
      </c>
      <c r="G39" s="524">
        <f t="shared" si="11"/>
        <v>103349.29068845895</v>
      </c>
      <c r="H39" s="491">
        <f t="shared" si="12"/>
        <v>103349.29068845895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571370.12105150917</v>
      </c>
      <c r="E40" s="522">
        <f>IF(+I14&lt;F39,I14,D40)</f>
        <v>29318.10738095238</v>
      </c>
      <c r="F40" s="523">
        <f t="shared" si="10"/>
        <v>542052.01367055683</v>
      </c>
      <c r="G40" s="524">
        <f t="shared" si="11"/>
        <v>99645.628353381457</v>
      </c>
      <c r="H40" s="491">
        <f t="shared" si="12"/>
        <v>99645.628353381457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542052.01367055683</v>
      </c>
      <c r="E41" s="522">
        <f>IF(+I14&lt;F40,I14,D41)</f>
        <v>29318.10738095238</v>
      </c>
      <c r="F41" s="523">
        <f t="shared" si="10"/>
        <v>512733.90628960443</v>
      </c>
      <c r="G41" s="524">
        <f t="shared" si="11"/>
        <v>95941.966018303938</v>
      </c>
      <c r="H41" s="491">
        <f t="shared" si="12"/>
        <v>95941.966018303938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512733.90628960443</v>
      </c>
      <c r="E42" s="522">
        <f>IF(+I14&lt;F41,I14,D42)</f>
        <v>29318.10738095238</v>
      </c>
      <c r="F42" s="523">
        <f t="shared" si="10"/>
        <v>483415.79890865204</v>
      </c>
      <c r="G42" s="524">
        <f t="shared" si="11"/>
        <v>92238.303683226433</v>
      </c>
      <c r="H42" s="491">
        <f t="shared" si="12"/>
        <v>92238.303683226433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483415.79890865204</v>
      </c>
      <c r="E43" s="522">
        <f>IF(+I14&lt;F42,I14,D43)</f>
        <v>29318.10738095238</v>
      </c>
      <c r="F43" s="523">
        <f t="shared" si="10"/>
        <v>454097.69152769964</v>
      </c>
      <c r="G43" s="524">
        <f t="shared" si="11"/>
        <v>88534.641348148914</v>
      </c>
      <c r="H43" s="491">
        <f t="shared" si="12"/>
        <v>88534.641348148914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454097.69152769964</v>
      </c>
      <c r="E44" s="522">
        <f>IF(+I14&lt;F43,I14,D44)</f>
        <v>29318.10738095238</v>
      </c>
      <c r="F44" s="523">
        <f t="shared" si="10"/>
        <v>424779.58414674725</v>
      </c>
      <c r="G44" s="524">
        <f t="shared" si="11"/>
        <v>84830.97901307141</v>
      </c>
      <c r="H44" s="491">
        <f t="shared" si="12"/>
        <v>84830.97901307141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424779.58414674725</v>
      </c>
      <c r="E45" s="522">
        <f>IF(+I14&lt;F44,I14,D45)</f>
        <v>29318.10738095238</v>
      </c>
      <c r="F45" s="523">
        <f t="shared" si="10"/>
        <v>395461.47676579485</v>
      </c>
      <c r="G45" s="524">
        <f t="shared" si="11"/>
        <v>81127.316677993891</v>
      </c>
      <c r="H45" s="491">
        <f t="shared" si="12"/>
        <v>81127.316677993891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395461.47676579485</v>
      </c>
      <c r="E46" s="522">
        <f>IF(+I14&lt;F45,I14,D46)</f>
        <v>29318.10738095238</v>
      </c>
      <c r="F46" s="523">
        <f t="shared" si="10"/>
        <v>366143.36938484246</v>
      </c>
      <c r="G46" s="524">
        <f t="shared" si="11"/>
        <v>77423.654342916387</v>
      </c>
      <c r="H46" s="491">
        <f t="shared" si="12"/>
        <v>77423.654342916387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366143.36938484246</v>
      </c>
      <c r="E47" s="522">
        <f>IF(+I14&lt;F46,I14,D47)</f>
        <v>29318.10738095238</v>
      </c>
      <c r="F47" s="523">
        <f t="shared" si="10"/>
        <v>336825.26200389006</v>
      </c>
      <c r="G47" s="524">
        <f t="shared" si="11"/>
        <v>73719.992007838882</v>
      </c>
      <c r="H47" s="491">
        <f t="shared" si="12"/>
        <v>73719.992007838882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336825.26200389006</v>
      </c>
      <c r="E48" s="522">
        <f>IF(+I14&lt;F47,I14,D48)</f>
        <v>29318.10738095238</v>
      </c>
      <c r="F48" s="523">
        <f t="shared" si="10"/>
        <v>307507.15462293767</v>
      </c>
      <c r="G48" s="524">
        <f t="shared" si="11"/>
        <v>70016.329672761378</v>
      </c>
      <c r="H48" s="491">
        <f t="shared" si="12"/>
        <v>70016.329672761378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307507.15462293767</v>
      </c>
      <c r="E49" s="522">
        <f>IF(+I14&lt;F48,I14,D49)</f>
        <v>29318.10738095238</v>
      </c>
      <c r="F49" s="523">
        <f t="shared" si="10"/>
        <v>278189.04724198527</v>
      </c>
      <c r="G49" s="524">
        <f t="shared" si="11"/>
        <v>66312.667337683844</v>
      </c>
      <c r="H49" s="491">
        <f t="shared" si="12"/>
        <v>66312.667337683844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278189.04724198527</v>
      </c>
      <c r="E50" s="522">
        <f>IF(+I14&lt;F49,I14,D50)</f>
        <v>29318.10738095238</v>
      </c>
      <c r="F50" s="523">
        <f t="shared" si="10"/>
        <v>248870.93986103288</v>
      </c>
      <c r="G50" s="524">
        <f t="shared" ref="G50:G72" si="13">+I$12*((D50+F50)/2)+E50</f>
        <v>62609.005002606347</v>
      </c>
      <c r="H50" s="491">
        <f t="shared" ref="H50:H72" si="14">+I$13*((D50+F50)/2)+E50</f>
        <v>62609.005002606347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248870.93986103288</v>
      </c>
      <c r="E51" s="522">
        <f>IF(+I14&lt;F50,I14,D51)</f>
        <v>29318.10738095238</v>
      </c>
      <c r="F51" s="523">
        <f t="shared" si="10"/>
        <v>219552.83248008048</v>
      </c>
      <c r="G51" s="524">
        <f t="shared" si="13"/>
        <v>58905.342667528836</v>
      </c>
      <c r="H51" s="491">
        <f t="shared" si="14"/>
        <v>58905.342667528836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219552.83248008048</v>
      </c>
      <c r="E52" s="522">
        <f>IF(+I14&lt;F51,I14,D52)</f>
        <v>29318.10738095238</v>
      </c>
      <c r="F52" s="523">
        <f t="shared" si="10"/>
        <v>190234.72509912809</v>
      </c>
      <c r="G52" s="524">
        <f t="shared" si="13"/>
        <v>55201.680332451317</v>
      </c>
      <c r="H52" s="491">
        <f t="shared" si="14"/>
        <v>55201.680332451317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190234.72509912809</v>
      </c>
      <c r="E53" s="522">
        <f>IF(+I14&lt;F52,I14,D53)</f>
        <v>29318.10738095238</v>
      </c>
      <c r="F53" s="523">
        <f t="shared" si="10"/>
        <v>160916.61771817569</v>
      </c>
      <c r="G53" s="524">
        <f t="shared" si="13"/>
        <v>51498.017997373812</v>
      </c>
      <c r="H53" s="491">
        <f t="shared" si="14"/>
        <v>51498.017997373812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160916.61771817569</v>
      </c>
      <c r="E54" s="522">
        <f>IF(+I14&lt;F53,I14,D54)</f>
        <v>29318.10738095238</v>
      </c>
      <c r="F54" s="523">
        <f t="shared" si="10"/>
        <v>131598.5103372233</v>
      </c>
      <c r="G54" s="524">
        <f t="shared" si="13"/>
        <v>47794.355662296293</v>
      </c>
      <c r="H54" s="491">
        <f t="shared" si="14"/>
        <v>47794.355662296293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131598.5103372233</v>
      </c>
      <c r="E55" s="522">
        <f>IF(+I14&lt;F54,I14,D55)</f>
        <v>29318.10738095238</v>
      </c>
      <c r="F55" s="523">
        <f t="shared" si="10"/>
        <v>102280.40295627092</v>
      </c>
      <c r="G55" s="524">
        <f t="shared" si="13"/>
        <v>44090.693327218789</v>
      </c>
      <c r="H55" s="491">
        <f t="shared" si="14"/>
        <v>44090.693327218789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102280.40295627092</v>
      </c>
      <c r="E56" s="522">
        <f>IF(+I14&lt;F55,I14,D56)</f>
        <v>29318.10738095238</v>
      </c>
      <c r="F56" s="523">
        <f t="shared" si="10"/>
        <v>72962.295575318538</v>
      </c>
      <c r="G56" s="524">
        <f t="shared" si="13"/>
        <v>40387.030992141277</v>
      </c>
      <c r="H56" s="491">
        <f t="shared" si="14"/>
        <v>40387.030992141277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72962.295575318538</v>
      </c>
      <c r="E57" s="522">
        <f>IF(+I14&lt;F56,I14,D57)</f>
        <v>29318.10738095238</v>
      </c>
      <c r="F57" s="523">
        <f t="shared" si="10"/>
        <v>43644.188194366157</v>
      </c>
      <c r="G57" s="524">
        <f t="shared" si="13"/>
        <v>36683.368657063766</v>
      </c>
      <c r="H57" s="491">
        <f t="shared" si="14"/>
        <v>36683.368657063766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43644.188194366157</v>
      </c>
      <c r="E58" s="522">
        <f>IF(+I14&lt;F57,I14,D58)</f>
        <v>29318.10738095238</v>
      </c>
      <c r="F58" s="523">
        <f t="shared" si="10"/>
        <v>14326.080813413777</v>
      </c>
      <c r="G58" s="524">
        <f t="shared" si="13"/>
        <v>32979.706321986261</v>
      </c>
      <c r="H58" s="491">
        <f t="shared" si="14"/>
        <v>32979.706321986261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14326.080813413777</v>
      </c>
      <c r="E59" s="522">
        <f>IF(+I14&lt;F58,I14,D59)</f>
        <v>14326.080813413777</v>
      </c>
      <c r="F59" s="523">
        <f t="shared" si="10"/>
        <v>0</v>
      </c>
      <c r="G59" s="524">
        <f t="shared" si="13"/>
        <v>15230.964700161339</v>
      </c>
      <c r="H59" s="491">
        <f t="shared" si="14"/>
        <v>15230.964700161339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0"/>
        <v>0</v>
      </c>
      <c r="G60" s="524">
        <f t="shared" si="13"/>
        <v>0</v>
      </c>
      <c r="H60" s="491">
        <f t="shared" si="14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0"/>
        <v>0</v>
      </c>
      <c r="G61" s="526">
        <f t="shared" si="13"/>
        <v>0</v>
      </c>
      <c r="H61" s="491">
        <f t="shared" si="14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0"/>
        <v>0</v>
      </c>
      <c r="G62" s="526">
        <f t="shared" si="13"/>
        <v>0</v>
      </c>
      <c r="H62" s="491">
        <f t="shared" si="14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0"/>
        <v>0</v>
      </c>
      <c r="G63" s="526">
        <f t="shared" si="13"/>
        <v>0</v>
      </c>
      <c r="H63" s="491">
        <f t="shared" si="14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0"/>
        <v>0</v>
      </c>
      <c r="G64" s="526">
        <f t="shared" si="13"/>
        <v>0</v>
      </c>
      <c r="H64" s="491">
        <f t="shared" si="14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0"/>
        <v>0</v>
      </c>
      <c r="G65" s="526">
        <f t="shared" si="13"/>
        <v>0</v>
      </c>
      <c r="H65" s="491">
        <f t="shared" si="14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0"/>
        <v>0</v>
      </c>
      <c r="G66" s="526">
        <f t="shared" si="13"/>
        <v>0</v>
      </c>
      <c r="H66" s="491">
        <f t="shared" si="14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0"/>
        <v>0</v>
      </c>
      <c r="G67" s="526">
        <f t="shared" si="13"/>
        <v>0</v>
      </c>
      <c r="H67" s="491">
        <f t="shared" si="14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0"/>
        <v>0</v>
      </c>
      <c r="G68" s="526">
        <f t="shared" si="13"/>
        <v>0</v>
      </c>
      <c r="H68" s="491">
        <f t="shared" si="14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0"/>
        <v>0</v>
      </c>
      <c r="G69" s="526">
        <f t="shared" si="13"/>
        <v>0</v>
      </c>
      <c r="H69" s="491">
        <f t="shared" si="14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0"/>
        <v>0</v>
      </c>
      <c r="G70" s="526">
        <f t="shared" si="13"/>
        <v>0</v>
      </c>
      <c r="H70" s="491">
        <f t="shared" si="14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0"/>
        <v>0</v>
      </c>
      <c r="G71" s="526">
        <f t="shared" si="13"/>
        <v>0</v>
      </c>
      <c r="H71" s="491">
        <f t="shared" si="14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0"/>
        <v>0</v>
      </c>
      <c r="G72" s="530">
        <f t="shared" si="13"/>
        <v>0</v>
      </c>
      <c r="H72" s="471">
        <f t="shared" si="14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1231360.5100000002</v>
      </c>
      <c r="F73" s="375"/>
      <c r="G73" s="375">
        <f>SUM(G17:G72)</f>
        <v>4501943.6403560061</v>
      </c>
      <c r="H73" s="375">
        <f>SUM(H17:H72)</f>
        <v>4501943.6403560061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57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144421.44017766218</v>
      </c>
      <c r="N87" s="546">
        <f>IF(J92&lt;D11,0,VLOOKUP(J92,C17:O72,11))</f>
        <v>144421.44017766218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152704.69055329741</v>
      </c>
      <c r="N88" s="550">
        <f>IF(J92&lt;D11,0,VLOOKUP(J92,C99:P154,7))</f>
        <v>152704.69055329741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Winnsboro 138 kw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8283.2503756352235</v>
      </c>
      <c r="N89" s="555">
        <f>+N88-N87</f>
        <v>8283.2503756352235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TP2013122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483">
        <v>1231361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30033.195121951219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19083.069767441859</v>
      </c>
      <c r="F99" s="651">
        <v>1211774.9302325582</v>
      </c>
      <c r="G99" s="652">
        <v>605887.46511627908</v>
      </c>
      <c r="H99" s="653">
        <v>96000.47636801879</v>
      </c>
      <c r="I99" s="654">
        <v>96000.47636801879</v>
      </c>
      <c r="J99" s="514">
        <f t="shared" ref="J99:J130" si="15">+I99-H99</f>
        <v>0</v>
      </c>
      <c r="K99" s="514"/>
      <c r="L99" s="512">
        <f>+H99</f>
        <v>96000.47636801879</v>
      </c>
      <c r="M99" s="513">
        <f t="shared" ref="M99:M130" si="16">IF(L99&lt;&gt;0,+H99-L99,0)</f>
        <v>0</v>
      </c>
      <c r="N99" s="512">
        <f>+I99</f>
        <v>96000.47636801879</v>
      </c>
      <c r="O99" s="513">
        <f t="shared" ref="O99:O130" si="17">IF(N99&lt;&gt;0,+I99-N99,0)</f>
        <v>0</v>
      </c>
      <c r="P99" s="513">
        <f t="shared" ref="P99:P130" si="18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1212277.9302325582</v>
      </c>
      <c r="E100" s="630">
        <v>29318.119047619046</v>
      </c>
      <c r="F100" s="631">
        <v>1182959.8111849392</v>
      </c>
      <c r="G100" s="631">
        <v>1197618.8707087487</v>
      </c>
      <c r="H100" s="633">
        <v>174794.62902245519</v>
      </c>
      <c r="I100" s="634">
        <v>174794.62902245519</v>
      </c>
      <c r="J100" s="514">
        <f t="shared" si="15"/>
        <v>0</v>
      </c>
      <c r="K100" s="514"/>
      <c r="L100" s="655">
        <f>+H100</f>
        <v>174794.62902245519</v>
      </c>
      <c r="M100" s="514">
        <f t="shared" si="16"/>
        <v>0</v>
      </c>
      <c r="N100" s="655">
        <f>+I100</f>
        <v>174794.62902245519</v>
      </c>
      <c r="O100" s="514">
        <f t="shared" si="17"/>
        <v>0</v>
      </c>
      <c r="P100" s="514">
        <f t="shared" si="18"/>
        <v>0</v>
      </c>
    </row>
    <row r="101" spans="1:16" ht="12.5">
      <c r="B101" s="195" t="str">
        <f t="shared" ref="B101:B154" si="19">IF(D101=F100,"","IU")</f>
        <v/>
      </c>
      <c r="C101" s="507">
        <f>IF(D93="","-",+C100+1)</f>
        <v>2018</v>
      </c>
      <c r="D101" s="629">
        <v>1182959.8111849392</v>
      </c>
      <c r="E101" s="630">
        <v>29318.119047619046</v>
      </c>
      <c r="F101" s="631">
        <v>1153641.6921373203</v>
      </c>
      <c r="G101" s="631">
        <v>1168300.7516611298</v>
      </c>
      <c r="H101" s="633">
        <v>152696.03603974119</v>
      </c>
      <c r="I101" s="634">
        <v>152696.03603974119</v>
      </c>
      <c r="J101" s="514">
        <f t="shared" si="15"/>
        <v>0</v>
      </c>
      <c r="K101" s="514"/>
      <c r="L101" s="655">
        <f>+H101</f>
        <v>152696.03603974119</v>
      </c>
      <c r="M101" s="514">
        <f t="shared" ref="M101" si="20">IF(L101&lt;&gt;0,+H101-L101,0)</f>
        <v>0</v>
      </c>
      <c r="N101" s="655">
        <f>+I101</f>
        <v>152696.03603974119</v>
      </c>
      <c r="O101" s="514">
        <f t="shared" ref="O101" si="21">IF(N101&lt;&gt;0,+I101-N101,0)</f>
        <v>0</v>
      </c>
      <c r="P101" s="514">
        <f t="shared" ref="P101" si="22">+O101-M101</f>
        <v>0</v>
      </c>
    </row>
    <row r="102" spans="1:16" ht="12.5">
      <c r="B102" s="195" t="str">
        <f t="shared" si="19"/>
        <v/>
      </c>
      <c r="C102" s="507">
        <f>IF(D93="","-",+C101+1)</f>
        <v>2019</v>
      </c>
      <c r="D102" s="629">
        <v>1153641.6921373203</v>
      </c>
      <c r="E102" s="630">
        <v>28636.302325581397</v>
      </c>
      <c r="F102" s="631">
        <v>1125005.3898117389</v>
      </c>
      <c r="G102" s="631">
        <v>1139323.5409745295</v>
      </c>
      <c r="H102" s="633">
        <v>150590.11683973201</v>
      </c>
      <c r="I102" s="634">
        <v>150590.11683973201</v>
      </c>
      <c r="J102" s="514">
        <f t="shared" si="15"/>
        <v>0</v>
      </c>
      <c r="K102" s="514"/>
      <c r="L102" s="655">
        <f>+H102</f>
        <v>150590.11683973201</v>
      </c>
      <c r="M102" s="514">
        <f t="shared" ref="M102:M103" si="23">IF(L102&lt;&gt;0,+H102-L102,0)</f>
        <v>0</v>
      </c>
      <c r="N102" s="655">
        <f>+I102</f>
        <v>150590.11683973201</v>
      </c>
      <c r="O102" s="514">
        <f t="shared" si="17"/>
        <v>0</v>
      </c>
      <c r="P102" s="514">
        <f t="shared" si="18"/>
        <v>0</v>
      </c>
    </row>
    <row r="103" spans="1:16" ht="12.5">
      <c r="B103" s="195" t="str">
        <f t="shared" si="19"/>
        <v/>
      </c>
      <c r="C103" s="507">
        <f>IF(D93="","-",+C102+1)</f>
        <v>2020</v>
      </c>
      <c r="D103" s="629">
        <v>1125005.3898117389</v>
      </c>
      <c r="E103" s="630">
        <v>29318.119047619046</v>
      </c>
      <c r="F103" s="631">
        <v>1095687.2707641199</v>
      </c>
      <c r="G103" s="631">
        <v>1110346.3302879294</v>
      </c>
      <c r="H103" s="633">
        <v>148762.32919982137</v>
      </c>
      <c r="I103" s="634">
        <v>148762.32919982137</v>
      </c>
      <c r="J103" s="514">
        <f t="shared" si="15"/>
        <v>0</v>
      </c>
      <c r="K103" s="514"/>
      <c r="L103" s="655">
        <f>+H103</f>
        <v>148762.32919982137</v>
      </c>
      <c r="M103" s="514">
        <f t="shared" si="23"/>
        <v>0</v>
      </c>
      <c r="N103" s="655">
        <f>+I103</f>
        <v>148762.32919982137</v>
      </c>
      <c r="O103" s="514">
        <f t="shared" si="17"/>
        <v>0</v>
      </c>
      <c r="P103" s="514">
        <f t="shared" si="18"/>
        <v>0</v>
      </c>
    </row>
    <row r="104" spans="1:16" ht="12.5">
      <c r="B104" s="195" t="str">
        <f t="shared" si="19"/>
        <v/>
      </c>
      <c r="C104" s="507">
        <f>IF(D93="","-",+C103+1)</f>
        <v>2021</v>
      </c>
      <c r="D104" s="374">
        <f>IF(F103+SUM(E$99:E103)=D$92,F103,D$92-SUM(E$99:E103))</f>
        <v>1095687.2707641199</v>
      </c>
      <c r="E104" s="522">
        <f>IF(+J96&lt;F103,J96,D104)</f>
        <v>30033.195121951219</v>
      </c>
      <c r="F104" s="523">
        <f t="shared" ref="F104:F130" si="24">+D104-E104</f>
        <v>1065654.0756421688</v>
      </c>
      <c r="G104" s="523">
        <f t="shared" ref="G104:G130" si="25">+(F104+D104)/2</f>
        <v>1080670.6732031442</v>
      </c>
      <c r="H104" s="526">
        <f t="shared" ref="H104:H154" si="26">+J$94*G104+E104</f>
        <v>152704.69055329741</v>
      </c>
      <c r="I104" s="577">
        <f t="shared" ref="I104:I154" si="27">+J$95*G104+E104</f>
        <v>152704.69055329741</v>
      </c>
      <c r="J104" s="514">
        <f t="shared" si="15"/>
        <v>0</v>
      </c>
      <c r="K104" s="514"/>
      <c r="L104" s="525"/>
      <c r="M104" s="514">
        <f t="shared" si="16"/>
        <v>0</v>
      </c>
      <c r="N104" s="525"/>
      <c r="O104" s="514">
        <f t="shared" si="17"/>
        <v>0</v>
      </c>
      <c r="P104" s="514">
        <f t="shared" si="18"/>
        <v>0</v>
      </c>
    </row>
    <row r="105" spans="1:16" ht="12.5">
      <c r="B105" s="195" t="str">
        <f t="shared" si="19"/>
        <v/>
      </c>
      <c r="C105" s="507">
        <f>IF(D93="","-",+C104+1)</f>
        <v>2022</v>
      </c>
      <c r="D105" s="374">
        <f>IF(F104+SUM(E$99:E104)=D$92,F104,D$92-SUM(E$99:E104))</f>
        <v>1065654.0756421688</v>
      </c>
      <c r="E105" s="522">
        <f>IF(+J96&lt;F104,J96,D105)</f>
        <v>30033.195121951219</v>
      </c>
      <c r="F105" s="523">
        <f t="shared" si="24"/>
        <v>1035620.8805202176</v>
      </c>
      <c r="G105" s="523">
        <f t="shared" si="25"/>
        <v>1050637.4780811933</v>
      </c>
      <c r="H105" s="526">
        <f t="shared" si="26"/>
        <v>149295.49564355586</v>
      </c>
      <c r="I105" s="577">
        <f t="shared" si="27"/>
        <v>149295.49564355586</v>
      </c>
      <c r="J105" s="514">
        <f t="shared" si="15"/>
        <v>0</v>
      </c>
      <c r="K105" s="514"/>
      <c r="L105" s="525"/>
      <c r="M105" s="514">
        <f t="shared" si="16"/>
        <v>0</v>
      </c>
      <c r="N105" s="525"/>
      <c r="O105" s="514">
        <f t="shared" si="17"/>
        <v>0</v>
      </c>
      <c r="P105" s="514">
        <f t="shared" si="18"/>
        <v>0</v>
      </c>
    </row>
    <row r="106" spans="1:16" ht="12.5">
      <c r="B106" s="195" t="str">
        <f t="shared" si="19"/>
        <v/>
      </c>
      <c r="C106" s="507">
        <f>IF(D93="","-",+C105+1)</f>
        <v>2023</v>
      </c>
      <c r="D106" s="374">
        <f>IF(F105+SUM(E$99:E105)=D$92,F105,D$92-SUM(E$99:E105))</f>
        <v>1035620.8805202176</v>
      </c>
      <c r="E106" s="522">
        <f>IF(+J96&lt;F105,J96,D106)</f>
        <v>30033.195121951219</v>
      </c>
      <c r="F106" s="523">
        <f t="shared" si="24"/>
        <v>1005587.6853982664</v>
      </c>
      <c r="G106" s="523">
        <f t="shared" si="25"/>
        <v>1020604.282959242</v>
      </c>
      <c r="H106" s="526">
        <f t="shared" si="26"/>
        <v>145886.30073381428</v>
      </c>
      <c r="I106" s="577">
        <f t="shared" si="27"/>
        <v>145886.30073381428</v>
      </c>
      <c r="J106" s="514">
        <f t="shared" si="15"/>
        <v>0</v>
      </c>
      <c r="K106" s="514"/>
      <c r="L106" s="525"/>
      <c r="M106" s="514">
        <f t="shared" si="16"/>
        <v>0</v>
      </c>
      <c r="N106" s="525"/>
      <c r="O106" s="514">
        <f t="shared" si="17"/>
        <v>0</v>
      </c>
      <c r="P106" s="514">
        <f t="shared" si="18"/>
        <v>0</v>
      </c>
    </row>
    <row r="107" spans="1:16" ht="12.5">
      <c r="B107" s="195" t="str">
        <f t="shared" si="19"/>
        <v/>
      </c>
      <c r="C107" s="507">
        <f>IF(D93="","-",+C106+1)</f>
        <v>2024</v>
      </c>
      <c r="D107" s="374">
        <f>IF(F106+SUM(E$99:E106)=D$92,F106,D$92-SUM(E$99:E106))</f>
        <v>1005587.6853982664</v>
      </c>
      <c r="E107" s="522">
        <f>IF(+J96&lt;F106,J96,D107)</f>
        <v>30033.195121951219</v>
      </c>
      <c r="F107" s="523">
        <f t="shared" si="24"/>
        <v>975554.49027631525</v>
      </c>
      <c r="G107" s="523">
        <f t="shared" si="25"/>
        <v>990571.08783729083</v>
      </c>
      <c r="H107" s="526">
        <f t="shared" si="26"/>
        <v>142477.1058240727</v>
      </c>
      <c r="I107" s="577">
        <f t="shared" si="27"/>
        <v>142477.1058240727</v>
      </c>
      <c r="J107" s="514">
        <f t="shared" si="15"/>
        <v>0</v>
      </c>
      <c r="K107" s="514"/>
      <c r="L107" s="525"/>
      <c r="M107" s="514">
        <f t="shared" si="16"/>
        <v>0</v>
      </c>
      <c r="N107" s="525"/>
      <c r="O107" s="514">
        <f t="shared" si="17"/>
        <v>0</v>
      </c>
      <c r="P107" s="514">
        <f t="shared" si="18"/>
        <v>0</v>
      </c>
    </row>
    <row r="108" spans="1:16" ht="12.5">
      <c r="B108" s="195" t="str">
        <f t="shared" si="19"/>
        <v/>
      </c>
      <c r="C108" s="507">
        <f>IF(D93="","-",+C107+1)</f>
        <v>2025</v>
      </c>
      <c r="D108" s="374">
        <f>IF(F107+SUM(E$99:E107)=D$92,F107,D$92-SUM(E$99:E107))</f>
        <v>975554.49027631525</v>
      </c>
      <c r="E108" s="522">
        <f>IF(+J96&lt;F107,J96,D108)</f>
        <v>30033.195121951219</v>
      </c>
      <c r="F108" s="523">
        <f t="shared" si="24"/>
        <v>945521.29515436408</v>
      </c>
      <c r="G108" s="523">
        <f t="shared" si="25"/>
        <v>960537.89271533967</v>
      </c>
      <c r="H108" s="526">
        <f t="shared" si="26"/>
        <v>139067.91091433112</v>
      </c>
      <c r="I108" s="577">
        <f t="shared" si="27"/>
        <v>139067.91091433112</v>
      </c>
      <c r="J108" s="514">
        <f t="shared" si="15"/>
        <v>0</v>
      </c>
      <c r="K108" s="514"/>
      <c r="L108" s="525"/>
      <c r="M108" s="514">
        <f t="shared" si="16"/>
        <v>0</v>
      </c>
      <c r="N108" s="525"/>
      <c r="O108" s="514">
        <f t="shared" si="17"/>
        <v>0</v>
      </c>
      <c r="P108" s="514">
        <f t="shared" si="18"/>
        <v>0</v>
      </c>
    </row>
    <row r="109" spans="1:16" ht="12.5">
      <c r="B109" s="195" t="str">
        <f t="shared" si="19"/>
        <v/>
      </c>
      <c r="C109" s="507">
        <f>IF(D93="","-",+C108+1)</f>
        <v>2026</v>
      </c>
      <c r="D109" s="374">
        <f>IF(F108+SUM(E$99:E108)=D$92,F108,D$92-SUM(E$99:E108))</f>
        <v>945521.29515436408</v>
      </c>
      <c r="E109" s="522">
        <f>IF(+J96&lt;F108,J96,D109)</f>
        <v>30033.195121951219</v>
      </c>
      <c r="F109" s="523">
        <f t="shared" si="24"/>
        <v>915488.10003241291</v>
      </c>
      <c r="G109" s="523">
        <f t="shared" si="25"/>
        <v>930504.6975933885</v>
      </c>
      <c r="H109" s="526">
        <f t="shared" si="26"/>
        <v>135658.71600458954</v>
      </c>
      <c r="I109" s="577">
        <f t="shared" si="27"/>
        <v>135658.71600458954</v>
      </c>
      <c r="J109" s="514">
        <f t="shared" si="15"/>
        <v>0</v>
      </c>
      <c r="K109" s="514"/>
      <c r="L109" s="525"/>
      <c r="M109" s="514">
        <f t="shared" si="16"/>
        <v>0</v>
      </c>
      <c r="N109" s="525"/>
      <c r="O109" s="514">
        <f t="shared" si="17"/>
        <v>0</v>
      </c>
      <c r="P109" s="514">
        <f t="shared" si="18"/>
        <v>0</v>
      </c>
    </row>
    <row r="110" spans="1:16" ht="12.5">
      <c r="B110" s="195" t="str">
        <f t="shared" si="19"/>
        <v/>
      </c>
      <c r="C110" s="507">
        <f>IF(D93="","-",+C109+1)</f>
        <v>2027</v>
      </c>
      <c r="D110" s="374">
        <f>IF(F109+SUM(E$99:E109)=D$92,F109,D$92-SUM(E$99:E109))</f>
        <v>915488.10003241291</v>
      </c>
      <c r="E110" s="522">
        <f>IF(+J96&lt;F109,J96,D110)</f>
        <v>30033.195121951219</v>
      </c>
      <c r="F110" s="523">
        <f t="shared" si="24"/>
        <v>885454.90491046174</v>
      </c>
      <c r="G110" s="523">
        <f t="shared" si="25"/>
        <v>900471.50247143733</v>
      </c>
      <c r="H110" s="526">
        <f t="shared" si="26"/>
        <v>132249.52109484797</v>
      </c>
      <c r="I110" s="577">
        <f t="shared" si="27"/>
        <v>132249.52109484797</v>
      </c>
      <c r="J110" s="514">
        <f t="shared" si="15"/>
        <v>0</v>
      </c>
      <c r="K110" s="514"/>
      <c r="L110" s="525"/>
      <c r="M110" s="514">
        <f t="shared" si="16"/>
        <v>0</v>
      </c>
      <c r="N110" s="525"/>
      <c r="O110" s="514">
        <f t="shared" si="17"/>
        <v>0</v>
      </c>
      <c r="P110" s="514">
        <f t="shared" si="18"/>
        <v>0</v>
      </c>
    </row>
    <row r="111" spans="1:16" ht="12.5">
      <c r="B111" s="195" t="str">
        <f t="shared" si="19"/>
        <v/>
      </c>
      <c r="C111" s="507">
        <f>IF(D93="","-",+C110+1)</f>
        <v>2028</v>
      </c>
      <c r="D111" s="374">
        <f>IF(F110+SUM(E$99:E110)=D$92,F110,D$92-SUM(E$99:E110))</f>
        <v>885454.90491046174</v>
      </c>
      <c r="E111" s="522">
        <f>IF(+J96&lt;F110,J96,D111)</f>
        <v>30033.195121951219</v>
      </c>
      <c r="F111" s="523">
        <f t="shared" si="24"/>
        <v>855421.70978851058</v>
      </c>
      <c r="G111" s="523">
        <f t="shared" si="25"/>
        <v>870438.30734948616</v>
      </c>
      <c r="H111" s="526">
        <f t="shared" si="26"/>
        <v>128840.32618510639</v>
      </c>
      <c r="I111" s="577">
        <f t="shared" si="27"/>
        <v>128840.32618510639</v>
      </c>
      <c r="J111" s="514">
        <f t="shared" si="15"/>
        <v>0</v>
      </c>
      <c r="K111" s="514"/>
      <c r="L111" s="525"/>
      <c r="M111" s="514">
        <f t="shared" si="16"/>
        <v>0</v>
      </c>
      <c r="N111" s="525"/>
      <c r="O111" s="514">
        <f t="shared" si="17"/>
        <v>0</v>
      </c>
      <c r="P111" s="514">
        <f t="shared" si="18"/>
        <v>0</v>
      </c>
    </row>
    <row r="112" spans="1:16" ht="12.5">
      <c r="B112" s="195" t="str">
        <f t="shared" si="19"/>
        <v/>
      </c>
      <c r="C112" s="507">
        <f>IF(D93="","-",+C111+1)</f>
        <v>2029</v>
      </c>
      <c r="D112" s="374">
        <f>IF(F111+SUM(E$99:E111)=D$92,F111,D$92-SUM(E$99:E111))</f>
        <v>855421.70978851058</v>
      </c>
      <c r="E112" s="522">
        <f>IF(+J96&lt;F111,J96,D112)</f>
        <v>30033.195121951219</v>
      </c>
      <c r="F112" s="523">
        <f t="shared" si="24"/>
        <v>825388.51466655941</v>
      </c>
      <c r="G112" s="523">
        <f t="shared" si="25"/>
        <v>840405.11222753499</v>
      </c>
      <c r="H112" s="526">
        <f t="shared" si="26"/>
        <v>125431.13127536481</v>
      </c>
      <c r="I112" s="577">
        <f t="shared" si="27"/>
        <v>125431.13127536481</v>
      </c>
      <c r="J112" s="514">
        <f t="shared" si="15"/>
        <v>0</v>
      </c>
      <c r="K112" s="514"/>
      <c r="L112" s="525"/>
      <c r="M112" s="514">
        <f t="shared" si="16"/>
        <v>0</v>
      </c>
      <c r="N112" s="525"/>
      <c r="O112" s="514">
        <f t="shared" si="17"/>
        <v>0</v>
      </c>
      <c r="P112" s="514">
        <f t="shared" si="18"/>
        <v>0</v>
      </c>
    </row>
    <row r="113" spans="2:16" ht="12.5">
      <c r="B113" s="195" t="str">
        <f t="shared" si="19"/>
        <v/>
      </c>
      <c r="C113" s="507">
        <f>IF(D93="","-",+C112+1)</f>
        <v>2030</v>
      </c>
      <c r="D113" s="374">
        <f>IF(F112+SUM(E$99:E112)=D$92,F112,D$92-SUM(E$99:E112))</f>
        <v>825388.51466655941</v>
      </c>
      <c r="E113" s="522">
        <f>IF(+J96&lt;F112,J96,D113)</f>
        <v>30033.195121951219</v>
      </c>
      <c r="F113" s="523">
        <f t="shared" si="24"/>
        <v>795355.31954460824</v>
      </c>
      <c r="G113" s="523">
        <f t="shared" si="25"/>
        <v>810371.91710558382</v>
      </c>
      <c r="H113" s="526">
        <f t="shared" si="26"/>
        <v>122021.93636562323</v>
      </c>
      <c r="I113" s="577">
        <f t="shared" si="27"/>
        <v>122021.93636562323</v>
      </c>
      <c r="J113" s="514">
        <f t="shared" si="15"/>
        <v>0</v>
      </c>
      <c r="K113" s="514"/>
      <c r="L113" s="525"/>
      <c r="M113" s="514">
        <f t="shared" si="16"/>
        <v>0</v>
      </c>
      <c r="N113" s="525"/>
      <c r="O113" s="514">
        <f t="shared" si="17"/>
        <v>0</v>
      </c>
      <c r="P113" s="514">
        <f t="shared" si="18"/>
        <v>0</v>
      </c>
    </row>
    <row r="114" spans="2:16" ht="12.5">
      <c r="B114" s="195" t="str">
        <f t="shared" si="19"/>
        <v/>
      </c>
      <c r="C114" s="507">
        <f>IF(D93="","-",+C113+1)</f>
        <v>2031</v>
      </c>
      <c r="D114" s="374">
        <f>IF(F113+SUM(E$99:E113)=D$92,F113,D$92-SUM(E$99:E113))</f>
        <v>795355.31954460824</v>
      </c>
      <c r="E114" s="522">
        <f>IF(+J96&lt;F113,J96,D114)</f>
        <v>30033.195121951219</v>
      </c>
      <c r="F114" s="523">
        <f t="shared" si="24"/>
        <v>765322.12442265707</v>
      </c>
      <c r="G114" s="523">
        <f t="shared" si="25"/>
        <v>780338.72198363265</v>
      </c>
      <c r="H114" s="526">
        <f t="shared" si="26"/>
        <v>118612.74145588168</v>
      </c>
      <c r="I114" s="577">
        <f t="shared" si="27"/>
        <v>118612.74145588168</v>
      </c>
      <c r="J114" s="514">
        <f t="shared" si="15"/>
        <v>0</v>
      </c>
      <c r="K114" s="514"/>
      <c r="L114" s="525"/>
      <c r="M114" s="514">
        <f t="shared" si="16"/>
        <v>0</v>
      </c>
      <c r="N114" s="525"/>
      <c r="O114" s="514">
        <f t="shared" si="17"/>
        <v>0</v>
      </c>
      <c r="P114" s="514">
        <f t="shared" si="18"/>
        <v>0</v>
      </c>
    </row>
    <row r="115" spans="2:16" ht="12.5">
      <c r="B115" s="195" t="str">
        <f t="shared" si="19"/>
        <v/>
      </c>
      <c r="C115" s="507">
        <f>IF(D93="","-",+C114+1)</f>
        <v>2032</v>
      </c>
      <c r="D115" s="374">
        <f>IF(F114+SUM(E$99:E114)=D$92,F114,D$92-SUM(E$99:E114))</f>
        <v>765322.12442265707</v>
      </c>
      <c r="E115" s="522">
        <f>IF(+J96&lt;F114,J96,D115)</f>
        <v>30033.195121951219</v>
      </c>
      <c r="F115" s="523">
        <f t="shared" si="24"/>
        <v>735288.9293007059</v>
      </c>
      <c r="G115" s="523">
        <f t="shared" si="25"/>
        <v>750305.52686168149</v>
      </c>
      <c r="H115" s="526">
        <f t="shared" si="26"/>
        <v>115203.5465461401</v>
      </c>
      <c r="I115" s="577">
        <f t="shared" si="27"/>
        <v>115203.5465461401</v>
      </c>
      <c r="J115" s="514">
        <f t="shared" si="15"/>
        <v>0</v>
      </c>
      <c r="K115" s="514"/>
      <c r="L115" s="525"/>
      <c r="M115" s="514">
        <f t="shared" si="16"/>
        <v>0</v>
      </c>
      <c r="N115" s="525"/>
      <c r="O115" s="514">
        <f t="shared" si="17"/>
        <v>0</v>
      </c>
      <c r="P115" s="514">
        <f t="shared" si="18"/>
        <v>0</v>
      </c>
    </row>
    <row r="116" spans="2:16" ht="12.5">
      <c r="B116" s="195" t="str">
        <f t="shared" si="19"/>
        <v/>
      </c>
      <c r="C116" s="507">
        <f>IF(D93="","-",+C115+1)</f>
        <v>2033</v>
      </c>
      <c r="D116" s="374">
        <f>IF(F115+SUM(E$99:E115)=D$92,F115,D$92-SUM(E$99:E115))</f>
        <v>735288.9293007059</v>
      </c>
      <c r="E116" s="522">
        <f>IF(+J96&lt;F115,J96,D116)</f>
        <v>30033.195121951219</v>
      </c>
      <c r="F116" s="523">
        <f t="shared" si="24"/>
        <v>705255.73417875473</v>
      </c>
      <c r="G116" s="523">
        <f t="shared" si="25"/>
        <v>720272.33173973032</v>
      </c>
      <c r="H116" s="526">
        <f t="shared" si="26"/>
        <v>111794.35163639853</v>
      </c>
      <c r="I116" s="577">
        <f t="shared" si="27"/>
        <v>111794.35163639853</v>
      </c>
      <c r="J116" s="514">
        <f t="shared" si="15"/>
        <v>0</v>
      </c>
      <c r="K116" s="514"/>
      <c r="L116" s="525"/>
      <c r="M116" s="514">
        <f t="shared" si="16"/>
        <v>0</v>
      </c>
      <c r="N116" s="525"/>
      <c r="O116" s="514">
        <f t="shared" si="17"/>
        <v>0</v>
      </c>
      <c r="P116" s="514">
        <f t="shared" si="18"/>
        <v>0</v>
      </c>
    </row>
    <row r="117" spans="2:16" ht="12.5">
      <c r="B117" s="195" t="str">
        <f t="shared" si="19"/>
        <v/>
      </c>
      <c r="C117" s="507">
        <f>IF(D93="","-",+C116+1)</f>
        <v>2034</v>
      </c>
      <c r="D117" s="374">
        <f>IF(F116+SUM(E$99:E116)=D$92,F116,D$92-SUM(E$99:E116))</f>
        <v>705255.73417875473</v>
      </c>
      <c r="E117" s="522">
        <f>IF(+J96&lt;F116,J96,D117)</f>
        <v>30033.195121951219</v>
      </c>
      <c r="F117" s="523">
        <f t="shared" si="24"/>
        <v>675222.53905680357</v>
      </c>
      <c r="G117" s="523">
        <f t="shared" si="25"/>
        <v>690239.13661777915</v>
      </c>
      <c r="H117" s="526">
        <f t="shared" si="26"/>
        <v>108385.15672665695</v>
      </c>
      <c r="I117" s="577">
        <f t="shared" si="27"/>
        <v>108385.15672665695</v>
      </c>
      <c r="J117" s="514">
        <f t="shared" si="15"/>
        <v>0</v>
      </c>
      <c r="K117" s="514"/>
      <c r="L117" s="525"/>
      <c r="M117" s="514">
        <f t="shared" si="16"/>
        <v>0</v>
      </c>
      <c r="N117" s="525"/>
      <c r="O117" s="514">
        <f t="shared" si="17"/>
        <v>0</v>
      </c>
      <c r="P117" s="514">
        <f t="shared" si="18"/>
        <v>0</v>
      </c>
    </row>
    <row r="118" spans="2:16" ht="12.5">
      <c r="B118" s="195" t="str">
        <f t="shared" si="19"/>
        <v/>
      </c>
      <c r="C118" s="507">
        <f>IF(D93="","-",+C117+1)</f>
        <v>2035</v>
      </c>
      <c r="D118" s="374">
        <f>IF(F117+SUM(E$99:E117)=D$92,F117,D$92-SUM(E$99:E117))</f>
        <v>675222.53905680357</v>
      </c>
      <c r="E118" s="522">
        <f>IF(+J96&lt;F117,J96,D118)</f>
        <v>30033.195121951219</v>
      </c>
      <c r="F118" s="523">
        <f t="shared" si="24"/>
        <v>645189.3439348524</v>
      </c>
      <c r="G118" s="523">
        <f t="shared" si="25"/>
        <v>660205.94149582798</v>
      </c>
      <c r="H118" s="526">
        <f t="shared" si="26"/>
        <v>104975.96181691537</v>
      </c>
      <c r="I118" s="577">
        <f t="shared" si="27"/>
        <v>104975.96181691537</v>
      </c>
      <c r="J118" s="514">
        <f t="shared" si="15"/>
        <v>0</v>
      </c>
      <c r="K118" s="514"/>
      <c r="L118" s="525"/>
      <c r="M118" s="514">
        <f t="shared" si="16"/>
        <v>0</v>
      </c>
      <c r="N118" s="525"/>
      <c r="O118" s="514">
        <f t="shared" si="17"/>
        <v>0</v>
      </c>
      <c r="P118" s="514">
        <f t="shared" si="18"/>
        <v>0</v>
      </c>
    </row>
    <row r="119" spans="2:16" ht="12.5">
      <c r="B119" s="195" t="str">
        <f t="shared" si="19"/>
        <v/>
      </c>
      <c r="C119" s="507">
        <f>IF(D93="","-",+C118+1)</f>
        <v>2036</v>
      </c>
      <c r="D119" s="374">
        <f>IF(F118+SUM(E$99:E118)=D$92,F118,D$92-SUM(E$99:E118))</f>
        <v>645189.3439348524</v>
      </c>
      <c r="E119" s="522">
        <f>IF(+J96&lt;F118,J96,D119)</f>
        <v>30033.195121951219</v>
      </c>
      <c r="F119" s="523">
        <f t="shared" si="24"/>
        <v>615156.14881290123</v>
      </c>
      <c r="G119" s="523">
        <f t="shared" si="25"/>
        <v>630172.74637387681</v>
      </c>
      <c r="H119" s="526">
        <f t="shared" si="26"/>
        <v>101566.76690717379</v>
      </c>
      <c r="I119" s="577">
        <f t="shared" si="27"/>
        <v>101566.76690717379</v>
      </c>
      <c r="J119" s="514">
        <f t="shared" si="15"/>
        <v>0</v>
      </c>
      <c r="K119" s="514"/>
      <c r="L119" s="525"/>
      <c r="M119" s="514">
        <f t="shared" si="16"/>
        <v>0</v>
      </c>
      <c r="N119" s="525"/>
      <c r="O119" s="514">
        <f t="shared" si="17"/>
        <v>0</v>
      </c>
      <c r="P119" s="514">
        <f t="shared" si="18"/>
        <v>0</v>
      </c>
    </row>
    <row r="120" spans="2:16" ht="12.5">
      <c r="B120" s="195" t="str">
        <f t="shared" si="19"/>
        <v/>
      </c>
      <c r="C120" s="507">
        <f>IF(D93="","-",+C119+1)</f>
        <v>2037</v>
      </c>
      <c r="D120" s="374">
        <f>IF(F119+SUM(E$99:E119)=D$92,F119,D$92-SUM(E$99:E119))</f>
        <v>615156.14881290123</v>
      </c>
      <c r="E120" s="522">
        <f>IF(+J96&lt;F119,J96,D120)</f>
        <v>30033.195121951219</v>
      </c>
      <c r="F120" s="523">
        <f t="shared" si="24"/>
        <v>585122.95369095006</v>
      </c>
      <c r="G120" s="523">
        <f t="shared" si="25"/>
        <v>600139.55125192564</v>
      </c>
      <c r="H120" s="526">
        <f t="shared" si="26"/>
        <v>98157.571997432213</v>
      </c>
      <c r="I120" s="577">
        <f t="shared" si="27"/>
        <v>98157.571997432213</v>
      </c>
      <c r="J120" s="514">
        <f t="shared" si="15"/>
        <v>0</v>
      </c>
      <c r="K120" s="514"/>
      <c r="L120" s="525"/>
      <c r="M120" s="514">
        <f t="shared" si="16"/>
        <v>0</v>
      </c>
      <c r="N120" s="525"/>
      <c r="O120" s="514">
        <f t="shared" si="17"/>
        <v>0</v>
      </c>
      <c r="P120" s="514">
        <f t="shared" si="18"/>
        <v>0</v>
      </c>
    </row>
    <row r="121" spans="2:16" ht="12.5">
      <c r="B121" s="195" t="str">
        <f t="shared" si="19"/>
        <v/>
      </c>
      <c r="C121" s="507">
        <f>IF(D93="","-",+C120+1)</f>
        <v>2038</v>
      </c>
      <c r="D121" s="374">
        <f>IF(F120+SUM(E$99:E120)=D$92,F120,D$92-SUM(E$99:E120))</f>
        <v>585122.95369095006</v>
      </c>
      <c r="E121" s="522">
        <f>IF(+J96&lt;F120,J96,D121)</f>
        <v>30033.195121951219</v>
      </c>
      <c r="F121" s="523">
        <f t="shared" si="24"/>
        <v>555089.75856899889</v>
      </c>
      <c r="G121" s="523">
        <f t="shared" si="25"/>
        <v>570106.35612997448</v>
      </c>
      <c r="H121" s="526">
        <f t="shared" si="26"/>
        <v>94748.377087690635</v>
      </c>
      <c r="I121" s="577">
        <f t="shared" si="27"/>
        <v>94748.377087690635</v>
      </c>
      <c r="J121" s="514">
        <f t="shared" si="15"/>
        <v>0</v>
      </c>
      <c r="K121" s="514"/>
      <c r="L121" s="525"/>
      <c r="M121" s="514">
        <f t="shared" si="16"/>
        <v>0</v>
      </c>
      <c r="N121" s="525"/>
      <c r="O121" s="514">
        <f t="shared" si="17"/>
        <v>0</v>
      </c>
      <c r="P121" s="514">
        <f t="shared" si="18"/>
        <v>0</v>
      </c>
    </row>
    <row r="122" spans="2:16" ht="12.5">
      <c r="B122" s="195" t="str">
        <f t="shared" si="19"/>
        <v/>
      </c>
      <c r="C122" s="507">
        <f>IF(D93="","-",+C121+1)</f>
        <v>2039</v>
      </c>
      <c r="D122" s="374">
        <f>IF(F121+SUM(E$99:E121)=D$92,F121,D$92-SUM(E$99:E121))</f>
        <v>555089.75856899889</v>
      </c>
      <c r="E122" s="522">
        <f>IF(+J96&lt;F121,J96,D122)</f>
        <v>30033.195121951219</v>
      </c>
      <c r="F122" s="523">
        <f t="shared" si="24"/>
        <v>525056.56344704772</v>
      </c>
      <c r="G122" s="523">
        <f t="shared" si="25"/>
        <v>540073.16100802331</v>
      </c>
      <c r="H122" s="526">
        <f t="shared" si="26"/>
        <v>91339.182177949056</v>
      </c>
      <c r="I122" s="577">
        <f t="shared" si="27"/>
        <v>91339.182177949056</v>
      </c>
      <c r="J122" s="514">
        <f t="shared" si="15"/>
        <v>0</v>
      </c>
      <c r="K122" s="514"/>
      <c r="L122" s="525"/>
      <c r="M122" s="514">
        <f t="shared" si="16"/>
        <v>0</v>
      </c>
      <c r="N122" s="525"/>
      <c r="O122" s="514">
        <f t="shared" si="17"/>
        <v>0</v>
      </c>
      <c r="P122" s="514">
        <f t="shared" si="18"/>
        <v>0</v>
      </c>
    </row>
    <row r="123" spans="2:16" ht="12.5">
      <c r="B123" s="195" t="str">
        <f t="shared" si="19"/>
        <v/>
      </c>
      <c r="C123" s="507">
        <f>IF(D93="","-",+C122+1)</f>
        <v>2040</v>
      </c>
      <c r="D123" s="374">
        <f>IF(F122+SUM(E$99:E122)=D$92,F122,D$92-SUM(E$99:E122))</f>
        <v>525056.56344704772</v>
      </c>
      <c r="E123" s="522">
        <f>IF(+J96&lt;F122,J96,D123)</f>
        <v>30033.195121951219</v>
      </c>
      <c r="F123" s="523">
        <f t="shared" si="24"/>
        <v>495023.3683250965</v>
      </c>
      <c r="G123" s="523">
        <f t="shared" si="25"/>
        <v>510039.96588607214</v>
      </c>
      <c r="H123" s="526">
        <f t="shared" si="26"/>
        <v>87929.987268207478</v>
      </c>
      <c r="I123" s="577">
        <f t="shared" si="27"/>
        <v>87929.987268207478</v>
      </c>
      <c r="J123" s="514">
        <f t="shared" si="15"/>
        <v>0</v>
      </c>
      <c r="K123" s="514"/>
      <c r="L123" s="525"/>
      <c r="M123" s="514">
        <f t="shared" si="16"/>
        <v>0</v>
      </c>
      <c r="N123" s="525"/>
      <c r="O123" s="514">
        <f t="shared" si="17"/>
        <v>0</v>
      </c>
      <c r="P123" s="514">
        <f t="shared" si="18"/>
        <v>0</v>
      </c>
    </row>
    <row r="124" spans="2:16" ht="12.5">
      <c r="B124" s="195" t="str">
        <f t="shared" si="19"/>
        <v/>
      </c>
      <c r="C124" s="507">
        <f>IF(D93="","-",+C123+1)</f>
        <v>2041</v>
      </c>
      <c r="D124" s="374">
        <f>IF(F123+SUM(E$99:E123)=D$92,F123,D$92-SUM(E$99:E123))</f>
        <v>495023.3683250965</v>
      </c>
      <c r="E124" s="522">
        <f>IF(+J96&lt;F123,J96,D124)</f>
        <v>30033.195121951219</v>
      </c>
      <c r="F124" s="523">
        <f t="shared" si="24"/>
        <v>464990.17320314527</v>
      </c>
      <c r="G124" s="523">
        <f t="shared" si="25"/>
        <v>480006.77076412085</v>
      </c>
      <c r="H124" s="526">
        <f t="shared" si="26"/>
        <v>84520.7923584659</v>
      </c>
      <c r="I124" s="577">
        <f t="shared" si="27"/>
        <v>84520.7923584659</v>
      </c>
      <c r="J124" s="514">
        <f t="shared" si="15"/>
        <v>0</v>
      </c>
      <c r="K124" s="514"/>
      <c r="L124" s="525"/>
      <c r="M124" s="514">
        <f t="shared" si="16"/>
        <v>0</v>
      </c>
      <c r="N124" s="525"/>
      <c r="O124" s="514">
        <f t="shared" si="17"/>
        <v>0</v>
      </c>
      <c r="P124" s="514">
        <f t="shared" si="18"/>
        <v>0</v>
      </c>
    </row>
    <row r="125" spans="2:16" ht="12.5">
      <c r="B125" s="195" t="str">
        <f t="shared" si="19"/>
        <v/>
      </c>
      <c r="C125" s="507">
        <f>IF(D93="","-",+C124+1)</f>
        <v>2042</v>
      </c>
      <c r="D125" s="374">
        <f>IF(F124+SUM(E$99:E124)=D$92,F124,D$92-SUM(E$99:E124))</f>
        <v>464990.17320314527</v>
      </c>
      <c r="E125" s="522">
        <f>IF(+J96&lt;F124,J96,D125)</f>
        <v>30033.195121951219</v>
      </c>
      <c r="F125" s="523">
        <f t="shared" si="24"/>
        <v>434956.97808119404</v>
      </c>
      <c r="G125" s="523">
        <f t="shared" si="25"/>
        <v>449973.57564216969</v>
      </c>
      <c r="H125" s="526">
        <f t="shared" si="26"/>
        <v>81111.597448724322</v>
      </c>
      <c r="I125" s="577">
        <f t="shared" si="27"/>
        <v>81111.597448724322</v>
      </c>
      <c r="J125" s="514">
        <f t="shared" si="15"/>
        <v>0</v>
      </c>
      <c r="K125" s="514"/>
      <c r="L125" s="525"/>
      <c r="M125" s="514">
        <f t="shared" si="16"/>
        <v>0</v>
      </c>
      <c r="N125" s="525"/>
      <c r="O125" s="514">
        <f t="shared" si="17"/>
        <v>0</v>
      </c>
      <c r="P125" s="514">
        <f t="shared" si="18"/>
        <v>0</v>
      </c>
    </row>
    <row r="126" spans="2:16" ht="12.5">
      <c r="B126" s="195" t="str">
        <f t="shared" si="19"/>
        <v/>
      </c>
      <c r="C126" s="507">
        <f>IF(D93="","-",+C125+1)</f>
        <v>2043</v>
      </c>
      <c r="D126" s="374">
        <f>IF(F125+SUM(E$99:E125)=D$92,F125,D$92-SUM(E$99:E125))</f>
        <v>434956.97808119404</v>
      </c>
      <c r="E126" s="522">
        <f>IF(+J96&lt;F125,J96,D126)</f>
        <v>30033.195121951219</v>
      </c>
      <c r="F126" s="523">
        <f t="shared" si="24"/>
        <v>404923.78295924282</v>
      </c>
      <c r="G126" s="523">
        <f t="shared" si="25"/>
        <v>419940.3805202184</v>
      </c>
      <c r="H126" s="526">
        <f t="shared" si="26"/>
        <v>77702.402538982729</v>
      </c>
      <c r="I126" s="577">
        <f t="shared" si="27"/>
        <v>77702.402538982729</v>
      </c>
      <c r="J126" s="514">
        <f t="shared" si="15"/>
        <v>0</v>
      </c>
      <c r="K126" s="514"/>
      <c r="L126" s="525"/>
      <c r="M126" s="514">
        <f t="shared" si="16"/>
        <v>0</v>
      </c>
      <c r="N126" s="525"/>
      <c r="O126" s="514">
        <f t="shared" si="17"/>
        <v>0</v>
      </c>
      <c r="P126" s="514">
        <f t="shared" si="18"/>
        <v>0</v>
      </c>
    </row>
    <row r="127" spans="2:16" ht="12.5">
      <c r="B127" s="195" t="str">
        <f t="shared" si="19"/>
        <v/>
      </c>
      <c r="C127" s="507">
        <f>IF(D93="","-",+C126+1)</f>
        <v>2044</v>
      </c>
      <c r="D127" s="374">
        <f>IF(F126+SUM(E$99:E126)=D$92,F126,D$92-SUM(E$99:E126))</f>
        <v>404923.78295924282</v>
      </c>
      <c r="E127" s="522">
        <f>IF(+J96&lt;F126,J96,D127)</f>
        <v>30033.195121951219</v>
      </c>
      <c r="F127" s="523">
        <f t="shared" si="24"/>
        <v>374890.58783729159</v>
      </c>
      <c r="G127" s="523">
        <f t="shared" si="25"/>
        <v>389907.18539826723</v>
      </c>
      <c r="H127" s="526">
        <f t="shared" si="26"/>
        <v>74293.207629241151</v>
      </c>
      <c r="I127" s="577">
        <f t="shared" si="27"/>
        <v>74293.207629241151</v>
      </c>
      <c r="J127" s="514">
        <f t="shared" si="15"/>
        <v>0</v>
      </c>
      <c r="K127" s="514"/>
      <c r="L127" s="525"/>
      <c r="M127" s="514">
        <f t="shared" si="16"/>
        <v>0</v>
      </c>
      <c r="N127" s="525"/>
      <c r="O127" s="514">
        <f t="shared" si="17"/>
        <v>0</v>
      </c>
      <c r="P127" s="514">
        <f t="shared" si="18"/>
        <v>0</v>
      </c>
    </row>
    <row r="128" spans="2:16" ht="12.5">
      <c r="B128" s="195" t="str">
        <f t="shared" si="19"/>
        <v/>
      </c>
      <c r="C128" s="507">
        <f>IF(D93="","-",+C127+1)</f>
        <v>2045</v>
      </c>
      <c r="D128" s="374">
        <f>IF(F127+SUM(E$99:E127)=D$92,F127,D$92-SUM(E$99:E127))</f>
        <v>374890.58783729159</v>
      </c>
      <c r="E128" s="522">
        <f>IF(+J96&lt;F127,J96,D128)</f>
        <v>30033.195121951219</v>
      </c>
      <c r="F128" s="523">
        <f t="shared" si="24"/>
        <v>344857.39271534036</v>
      </c>
      <c r="G128" s="523">
        <f t="shared" si="25"/>
        <v>359873.99027631595</v>
      </c>
      <c r="H128" s="526">
        <f t="shared" si="26"/>
        <v>70884.012719499558</v>
      </c>
      <c r="I128" s="577">
        <f t="shared" si="27"/>
        <v>70884.012719499558</v>
      </c>
      <c r="J128" s="514">
        <f t="shared" si="15"/>
        <v>0</v>
      </c>
      <c r="K128" s="514"/>
      <c r="L128" s="525"/>
      <c r="M128" s="514">
        <f t="shared" si="16"/>
        <v>0</v>
      </c>
      <c r="N128" s="525"/>
      <c r="O128" s="514">
        <f t="shared" si="17"/>
        <v>0</v>
      </c>
      <c r="P128" s="514">
        <f t="shared" si="18"/>
        <v>0</v>
      </c>
    </row>
    <row r="129" spans="2:16" ht="12.5">
      <c r="B129" s="195" t="str">
        <f t="shared" si="19"/>
        <v/>
      </c>
      <c r="C129" s="507">
        <f>IF(D93="","-",+C128+1)</f>
        <v>2046</v>
      </c>
      <c r="D129" s="374">
        <f>IF(F128+SUM(E$99:E128)=D$92,F128,D$92-SUM(E$99:E128))</f>
        <v>344857.39271534036</v>
      </c>
      <c r="E129" s="522">
        <f>IF(+J96&lt;F128,J96,D129)</f>
        <v>30033.195121951219</v>
      </c>
      <c r="F129" s="523">
        <f t="shared" si="24"/>
        <v>314824.19759338914</v>
      </c>
      <c r="G129" s="523">
        <f t="shared" si="25"/>
        <v>329840.79515436478</v>
      </c>
      <c r="H129" s="526">
        <f t="shared" si="26"/>
        <v>67474.81780975798</v>
      </c>
      <c r="I129" s="577">
        <f t="shared" si="27"/>
        <v>67474.81780975798</v>
      </c>
      <c r="J129" s="514">
        <f t="shared" si="15"/>
        <v>0</v>
      </c>
      <c r="K129" s="514"/>
      <c r="L129" s="525"/>
      <c r="M129" s="514">
        <f t="shared" si="16"/>
        <v>0</v>
      </c>
      <c r="N129" s="525"/>
      <c r="O129" s="514">
        <f t="shared" si="17"/>
        <v>0</v>
      </c>
      <c r="P129" s="514">
        <f t="shared" si="18"/>
        <v>0</v>
      </c>
    </row>
    <row r="130" spans="2:16" ht="12.5">
      <c r="B130" s="195" t="str">
        <f t="shared" si="19"/>
        <v/>
      </c>
      <c r="C130" s="507">
        <f>IF(D93="","-",+C129+1)</f>
        <v>2047</v>
      </c>
      <c r="D130" s="374">
        <f>IF(F129+SUM(E$99:E129)=D$92,F129,D$92-SUM(E$99:E129))</f>
        <v>314824.19759338914</v>
      </c>
      <c r="E130" s="522">
        <f>IF(+J96&lt;F129,J96,D130)</f>
        <v>30033.195121951219</v>
      </c>
      <c r="F130" s="523">
        <f t="shared" si="24"/>
        <v>284791.00247143791</v>
      </c>
      <c r="G130" s="523">
        <f t="shared" si="25"/>
        <v>299807.60003241349</v>
      </c>
      <c r="H130" s="526">
        <f t="shared" si="26"/>
        <v>64065.622900016395</v>
      </c>
      <c r="I130" s="577">
        <f t="shared" si="27"/>
        <v>64065.622900016395</v>
      </c>
      <c r="J130" s="514">
        <f t="shared" si="15"/>
        <v>0</v>
      </c>
      <c r="K130" s="514"/>
      <c r="L130" s="525"/>
      <c r="M130" s="514">
        <f t="shared" si="16"/>
        <v>0</v>
      </c>
      <c r="N130" s="525"/>
      <c r="O130" s="514">
        <f t="shared" si="17"/>
        <v>0</v>
      </c>
      <c r="P130" s="514">
        <f t="shared" si="18"/>
        <v>0</v>
      </c>
    </row>
    <row r="131" spans="2:16" ht="12.5">
      <c r="B131" s="195" t="str">
        <f t="shared" si="19"/>
        <v/>
      </c>
      <c r="C131" s="507">
        <f>IF(D93="","-",+C130+1)</f>
        <v>2048</v>
      </c>
      <c r="D131" s="374">
        <f>IF(F130+SUM(E$99:E130)=D$92,F130,D$92-SUM(E$99:E130))</f>
        <v>284791.00247143791</v>
      </c>
      <c r="E131" s="522">
        <f>IF(+J96&lt;F130,J96,D131)</f>
        <v>30033.195121951219</v>
      </c>
      <c r="F131" s="523">
        <f t="shared" ref="F131:F154" si="28">+D131-E131</f>
        <v>254757.80734948668</v>
      </c>
      <c r="G131" s="523">
        <f t="shared" ref="G131:G154" si="29">+(F131+D131)/2</f>
        <v>269774.40491046233</v>
      </c>
      <c r="H131" s="526">
        <f t="shared" si="26"/>
        <v>60656.427990274824</v>
      </c>
      <c r="I131" s="577">
        <f t="shared" si="27"/>
        <v>60656.427990274824</v>
      </c>
      <c r="J131" s="514">
        <f t="shared" ref="J131:J154" si="30">+I541-H541</f>
        <v>0</v>
      </c>
      <c r="K131" s="514"/>
      <c r="L131" s="525"/>
      <c r="M131" s="514">
        <f t="shared" ref="M131:M154" si="31">IF(L541&lt;&gt;0,+H541-L541,0)</f>
        <v>0</v>
      </c>
      <c r="N131" s="525"/>
      <c r="O131" s="514">
        <f t="shared" ref="O131:O154" si="32">IF(N541&lt;&gt;0,+I541-N541,0)</f>
        <v>0</v>
      </c>
      <c r="P131" s="514">
        <f t="shared" ref="P131:P154" si="33">+O541-M541</f>
        <v>0</v>
      </c>
    </row>
    <row r="132" spans="2:16" ht="12.5">
      <c r="B132" s="195" t="str">
        <f t="shared" si="19"/>
        <v/>
      </c>
      <c r="C132" s="507">
        <f>IF(D93="","-",+C131+1)</f>
        <v>2049</v>
      </c>
      <c r="D132" s="374">
        <f>IF(F131+SUM(E$99:E131)=D$92,F131,D$92-SUM(E$99:E131))</f>
        <v>254757.80734948668</v>
      </c>
      <c r="E132" s="522">
        <f>IF(+J96&lt;F131,J96,D132)</f>
        <v>30033.195121951219</v>
      </c>
      <c r="F132" s="523">
        <f t="shared" si="28"/>
        <v>224724.61222753546</v>
      </c>
      <c r="G132" s="523">
        <f t="shared" si="29"/>
        <v>239741.20978851107</v>
      </c>
      <c r="H132" s="526">
        <f t="shared" si="26"/>
        <v>57247.233080533231</v>
      </c>
      <c r="I132" s="577">
        <f t="shared" si="27"/>
        <v>57247.233080533231</v>
      </c>
      <c r="J132" s="514">
        <f t="shared" si="30"/>
        <v>0</v>
      </c>
      <c r="K132" s="514"/>
      <c r="L132" s="525"/>
      <c r="M132" s="514">
        <f t="shared" si="31"/>
        <v>0</v>
      </c>
      <c r="N132" s="525"/>
      <c r="O132" s="514">
        <f t="shared" si="32"/>
        <v>0</v>
      </c>
      <c r="P132" s="514">
        <f t="shared" si="33"/>
        <v>0</v>
      </c>
    </row>
    <row r="133" spans="2:16" ht="12.5">
      <c r="B133" s="195" t="str">
        <f t="shared" si="19"/>
        <v/>
      </c>
      <c r="C133" s="507">
        <f>IF(D93="","-",+C132+1)</f>
        <v>2050</v>
      </c>
      <c r="D133" s="374">
        <f>IF(F132+SUM(E$99:E132)=D$92,F132,D$92-SUM(E$99:E132))</f>
        <v>224724.61222753546</v>
      </c>
      <c r="E133" s="522">
        <f>IF(+J96&lt;F132,J96,D133)</f>
        <v>30033.195121951219</v>
      </c>
      <c r="F133" s="523">
        <f t="shared" si="28"/>
        <v>194691.41710558423</v>
      </c>
      <c r="G133" s="523">
        <f t="shared" si="29"/>
        <v>209708.01466655984</v>
      </c>
      <c r="H133" s="526">
        <f t="shared" si="26"/>
        <v>53838.038170791653</v>
      </c>
      <c r="I133" s="577">
        <f t="shared" si="27"/>
        <v>53838.038170791653</v>
      </c>
      <c r="J133" s="514">
        <f t="shared" si="30"/>
        <v>0</v>
      </c>
      <c r="K133" s="514"/>
      <c r="L133" s="525"/>
      <c r="M133" s="514">
        <f t="shared" si="31"/>
        <v>0</v>
      </c>
      <c r="N133" s="525"/>
      <c r="O133" s="514">
        <f t="shared" si="32"/>
        <v>0</v>
      </c>
      <c r="P133" s="514">
        <f t="shared" si="33"/>
        <v>0</v>
      </c>
    </row>
    <row r="134" spans="2:16" ht="12.5">
      <c r="B134" s="195" t="str">
        <f t="shared" si="19"/>
        <v/>
      </c>
      <c r="C134" s="507">
        <f>IF(D93="","-",+C133+1)</f>
        <v>2051</v>
      </c>
      <c r="D134" s="374">
        <f>IF(F133+SUM(E$99:E133)=D$92,F133,D$92-SUM(E$99:E133))</f>
        <v>194691.41710558423</v>
      </c>
      <c r="E134" s="522">
        <f>IF(+J96&lt;F133,J96,D134)</f>
        <v>30033.195121951219</v>
      </c>
      <c r="F134" s="523">
        <f t="shared" si="28"/>
        <v>164658.221983633</v>
      </c>
      <c r="G134" s="523">
        <f t="shared" si="29"/>
        <v>179674.81954460862</v>
      </c>
      <c r="H134" s="526">
        <f t="shared" si="26"/>
        <v>50428.843261050068</v>
      </c>
      <c r="I134" s="577">
        <f t="shared" si="27"/>
        <v>50428.843261050068</v>
      </c>
      <c r="J134" s="514">
        <f t="shared" si="30"/>
        <v>0</v>
      </c>
      <c r="K134" s="514"/>
      <c r="L134" s="525"/>
      <c r="M134" s="514">
        <f t="shared" si="31"/>
        <v>0</v>
      </c>
      <c r="N134" s="525"/>
      <c r="O134" s="514">
        <f t="shared" si="32"/>
        <v>0</v>
      </c>
      <c r="P134" s="514">
        <f t="shared" si="33"/>
        <v>0</v>
      </c>
    </row>
    <row r="135" spans="2:16" ht="12.5">
      <c r="B135" s="195" t="str">
        <f t="shared" si="19"/>
        <v/>
      </c>
      <c r="C135" s="507">
        <f>IF(D93="","-",+C134+1)</f>
        <v>2052</v>
      </c>
      <c r="D135" s="374">
        <f>IF(F134+SUM(E$99:E134)=D$92,F134,D$92-SUM(E$99:E134))</f>
        <v>164658.221983633</v>
      </c>
      <c r="E135" s="522">
        <f>IF(+J96&lt;F134,J96,D135)</f>
        <v>30033.195121951219</v>
      </c>
      <c r="F135" s="523">
        <f t="shared" si="28"/>
        <v>134625.02686168178</v>
      </c>
      <c r="G135" s="523">
        <f t="shared" si="29"/>
        <v>149641.62442265739</v>
      </c>
      <c r="H135" s="526">
        <f t="shared" si="26"/>
        <v>47019.648351308482</v>
      </c>
      <c r="I135" s="577">
        <f t="shared" si="27"/>
        <v>47019.648351308482</v>
      </c>
      <c r="J135" s="514">
        <f t="shared" si="30"/>
        <v>0</v>
      </c>
      <c r="K135" s="514"/>
      <c r="L135" s="525"/>
      <c r="M135" s="514">
        <f t="shared" si="31"/>
        <v>0</v>
      </c>
      <c r="N135" s="525"/>
      <c r="O135" s="514">
        <f t="shared" si="32"/>
        <v>0</v>
      </c>
      <c r="P135" s="514">
        <f t="shared" si="33"/>
        <v>0</v>
      </c>
    </row>
    <row r="136" spans="2:16" ht="12.5">
      <c r="B136" s="195" t="str">
        <f t="shared" si="19"/>
        <v/>
      </c>
      <c r="C136" s="507">
        <f>IF(D93="","-",+C135+1)</f>
        <v>2053</v>
      </c>
      <c r="D136" s="374">
        <f>IF(F135+SUM(E$99:E135)=D$92,F135,D$92-SUM(E$99:E135))</f>
        <v>134625.02686168178</v>
      </c>
      <c r="E136" s="522">
        <f>IF(+J96&lt;F135,J96,D136)</f>
        <v>30033.195121951219</v>
      </c>
      <c r="F136" s="523">
        <f t="shared" si="28"/>
        <v>104591.83173973055</v>
      </c>
      <c r="G136" s="523">
        <f t="shared" si="29"/>
        <v>119608.42930070616</v>
      </c>
      <c r="H136" s="526">
        <f t="shared" si="26"/>
        <v>43610.453441566904</v>
      </c>
      <c r="I136" s="577">
        <f t="shared" si="27"/>
        <v>43610.453441566904</v>
      </c>
      <c r="J136" s="514">
        <f t="shared" si="30"/>
        <v>0</v>
      </c>
      <c r="K136" s="514"/>
      <c r="L136" s="525"/>
      <c r="M136" s="514">
        <f t="shared" si="31"/>
        <v>0</v>
      </c>
      <c r="N136" s="525"/>
      <c r="O136" s="514">
        <f t="shared" si="32"/>
        <v>0</v>
      </c>
      <c r="P136" s="514">
        <f t="shared" si="33"/>
        <v>0</v>
      </c>
    </row>
    <row r="137" spans="2:16" ht="12.5">
      <c r="B137" s="195" t="str">
        <f t="shared" si="19"/>
        <v/>
      </c>
      <c r="C137" s="507">
        <f>IF(D93="","-",+C136+1)</f>
        <v>2054</v>
      </c>
      <c r="D137" s="374">
        <f>IF(F136+SUM(E$99:E136)=D$92,F136,D$92-SUM(E$99:E136))</f>
        <v>104591.83173973055</v>
      </c>
      <c r="E137" s="522">
        <f>IF(+J96&lt;F136,J96,D137)</f>
        <v>30033.195121951219</v>
      </c>
      <c r="F137" s="523">
        <f t="shared" si="28"/>
        <v>74558.636617779324</v>
      </c>
      <c r="G137" s="523">
        <f t="shared" si="29"/>
        <v>89575.234178754938</v>
      </c>
      <c r="H137" s="526">
        <f t="shared" si="26"/>
        <v>40201.258531825319</v>
      </c>
      <c r="I137" s="577">
        <f t="shared" si="27"/>
        <v>40201.258531825319</v>
      </c>
      <c r="J137" s="514">
        <f t="shared" si="30"/>
        <v>0</v>
      </c>
      <c r="K137" s="514"/>
      <c r="L137" s="525"/>
      <c r="M137" s="514">
        <f t="shared" si="31"/>
        <v>0</v>
      </c>
      <c r="N137" s="525"/>
      <c r="O137" s="514">
        <f t="shared" si="32"/>
        <v>0</v>
      </c>
      <c r="P137" s="514">
        <f t="shared" si="33"/>
        <v>0</v>
      </c>
    </row>
    <row r="138" spans="2:16" ht="12.5">
      <c r="B138" s="195" t="str">
        <f t="shared" si="19"/>
        <v/>
      </c>
      <c r="C138" s="507">
        <f>IF(D93="","-",+C137+1)</f>
        <v>2055</v>
      </c>
      <c r="D138" s="374">
        <f>IF(F137+SUM(E$99:E137)=D$92,F137,D$92-SUM(E$99:E137))</f>
        <v>74558.636617779324</v>
      </c>
      <c r="E138" s="522">
        <f>IF(+J96&lt;F137,J96,D138)</f>
        <v>30033.195121951219</v>
      </c>
      <c r="F138" s="523">
        <f t="shared" si="28"/>
        <v>44525.441495828105</v>
      </c>
      <c r="G138" s="523">
        <f t="shared" si="29"/>
        <v>59542.039056803711</v>
      </c>
      <c r="H138" s="526">
        <f t="shared" si="26"/>
        <v>36792.063622083733</v>
      </c>
      <c r="I138" s="577">
        <f t="shared" si="27"/>
        <v>36792.063622083733</v>
      </c>
      <c r="J138" s="514">
        <f t="shared" si="30"/>
        <v>0</v>
      </c>
      <c r="K138" s="514"/>
      <c r="L138" s="525"/>
      <c r="M138" s="514">
        <f t="shared" si="31"/>
        <v>0</v>
      </c>
      <c r="N138" s="525"/>
      <c r="O138" s="514">
        <f t="shared" si="32"/>
        <v>0</v>
      </c>
      <c r="P138" s="514">
        <f t="shared" si="33"/>
        <v>0</v>
      </c>
    </row>
    <row r="139" spans="2:16" ht="12.5">
      <c r="B139" s="195" t="str">
        <f t="shared" si="19"/>
        <v/>
      </c>
      <c r="C139" s="507">
        <f>IF(D93="","-",+C138+1)</f>
        <v>2056</v>
      </c>
      <c r="D139" s="374">
        <f>IF(F138+SUM(E$99:E138)=D$92,F138,D$92-SUM(E$99:E138))</f>
        <v>44525.441495828105</v>
      </c>
      <c r="E139" s="522">
        <f>IF(+J96&lt;F138,J96,D139)</f>
        <v>30033.195121951219</v>
      </c>
      <c r="F139" s="523">
        <f t="shared" si="28"/>
        <v>14492.246373876886</v>
      </c>
      <c r="G139" s="523">
        <f t="shared" si="29"/>
        <v>29508.843934852495</v>
      </c>
      <c r="H139" s="526">
        <f t="shared" si="26"/>
        <v>33382.868712342155</v>
      </c>
      <c r="I139" s="577">
        <f t="shared" si="27"/>
        <v>33382.868712342155</v>
      </c>
      <c r="J139" s="514">
        <f t="shared" si="30"/>
        <v>0</v>
      </c>
      <c r="K139" s="514"/>
      <c r="L139" s="525"/>
      <c r="M139" s="514">
        <f t="shared" si="31"/>
        <v>0</v>
      </c>
      <c r="N139" s="525"/>
      <c r="O139" s="514">
        <f t="shared" si="32"/>
        <v>0</v>
      </c>
      <c r="P139" s="514">
        <f t="shared" si="33"/>
        <v>0</v>
      </c>
    </row>
    <row r="140" spans="2:16" ht="12.5">
      <c r="B140" s="195" t="str">
        <f t="shared" si="19"/>
        <v/>
      </c>
      <c r="C140" s="507">
        <f>IF(D93="","-",+C139+1)</f>
        <v>2057</v>
      </c>
      <c r="D140" s="374">
        <f>IF(F139+SUM(E$99:E139)=D$92,F139,D$92-SUM(E$99:E139))</f>
        <v>14492.246373876886</v>
      </c>
      <c r="E140" s="522">
        <f>IF(+J96&lt;F139,J96,D140)</f>
        <v>14492.246373876886</v>
      </c>
      <c r="F140" s="523">
        <f t="shared" si="28"/>
        <v>0</v>
      </c>
      <c r="G140" s="523">
        <f t="shared" si="29"/>
        <v>7246.1231869384428</v>
      </c>
      <c r="H140" s="526">
        <f t="shared" si="26"/>
        <v>15314.784441636959</v>
      </c>
      <c r="I140" s="577">
        <f t="shared" si="27"/>
        <v>15314.784441636959</v>
      </c>
      <c r="J140" s="514">
        <f t="shared" si="30"/>
        <v>0</v>
      </c>
      <c r="K140" s="514"/>
      <c r="L140" s="525"/>
      <c r="M140" s="514">
        <f t="shared" si="31"/>
        <v>0</v>
      </c>
      <c r="N140" s="525"/>
      <c r="O140" s="514">
        <f t="shared" si="32"/>
        <v>0</v>
      </c>
      <c r="P140" s="514">
        <f t="shared" si="33"/>
        <v>0</v>
      </c>
    </row>
    <row r="141" spans="2:16" ht="12.5">
      <c r="B141" s="195" t="str">
        <f t="shared" si="19"/>
        <v/>
      </c>
      <c r="C141" s="507">
        <f>IF(D93="","-",+C140+1)</f>
        <v>2058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8"/>
        <v>0</v>
      </c>
      <c r="G141" s="523">
        <f t="shared" si="29"/>
        <v>0</v>
      </c>
      <c r="H141" s="526">
        <f t="shared" si="26"/>
        <v>0</v>
      </c>
      <c r="I141" s="577">
        <f t="shared" si="27"/>
        <v>0</v>
      </c>
      <c r="J141" s="514">
        <f t="shared" si="30"/>
        <v>0</v>
      </c>
      <c r="K141" s="514"/>
      <c r="L141" s="525"/>
      <c r="M141" s="514">
        <f t="shared" si="31"/>
        <v>0</v>
      </c>
      <c r="N141" s="525"/>
      <c r="O141" s="514">
        <f t="shared" si="32"/>
        <v>0</v>
      </c>
      <c r="P141" s="514">
        <f t="shared" si="33"/>
        <v>0</v>
      </c>
    </row>
    <row r="142" spans="2:16" ht="12.5">
      <c r="B142" s="195" t="str">
        <f t="shared" si="19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8"/>
        <v>0</v>
      </c>
      <c r="G142" s="523">
        <f t="shared" si="29"/>
        <v>0</v>
      </c>
      <c r="H142" s="526">
        <f t="shared" si="26"/>
        <v>0</v>
      </c>
      <c r="I142" s="577">
        <f t="shared" si="27"/>
        <v>0</v>
      </c>
      <c r="J142" s="514">
        <f t="shared" si="30"/>
        <v>0</v>
      </c>
      <c r="K142" s="514"/>
      <c r="L142" s="525"/>
      <c r="M142" s="514">
        <f t="shared" si="31"/>
        <v>0</v>
      </c>
      <c r="N142" s="525"/>
      <c r="O142" s="514">
        <f t="shared" si="32"/>
        <v>0</v>
      </c>
      <c r="P142" s="514">
        <f t="shared" si="33"/>
        <v>0</v>
      </c>
    </row>
    <row r="143" spans="2:16" ht="12.5">
      <c r="B143" s="195" t="str">
        <f t="shared" si="19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8"/>
        <v>0</v>
      </c>
      <c r="G143" s="523">
        <f t="shared" si="29"/>
        <v>0</v>
      </c>
      <c r="H143" s="526">
        <f t="shared" si="26"/>
        <v>0</v>
      </c>
      <c r="I143" s="577">
        <f t="shared" si="27"/>
        <v>0</v>
      </c>
      <c r="J143" s="514">
        <f t="shared" si="30"/>
        <v>0</v>
      </c>
      <c r="K143" s="514"/>
      <c r="L143" s="525"/>
      <c r="M143" s="514">
        <f t="shared" si="31"/>
        <v>0</v>
      </c>
      <c r="N143" s="525"/>
      <c r="O143" s="514">
        <f t="shared" si="32"/>
        <v>0</v>
      </c>
      <c r="P143" s="514">
        <f t="shared" si="33"/>
        <v>0</v>
      </c>
    </row>
    <row r="144" spans="2:16" ht="12.5">
      <c r="B144" s="195" t="str">
        <f t="shared" si="19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8"/>
        <v>0</v>
      </c>
      <c r="G144" s="523">
        <f t="shared" si="29"/>
        <v>0</v>
      </c>
      <c r="H144" s="526">
        <f t="shared" si="26"/>
        <v>0</v>
      </c>
      <c r="I144" s="577">
        <f t="shared" si="27"/>
        <v>0</v>
      </c>
      <c r="J144" s="514">
        <f t="shared" si="30"/>
        <v>0</v>
      </c>
      <c r="K144" s="514"/>
      <c r="L144" s="525"/>
      <c r="M144" s="514">
        <f t="shared" si="31"/>
        <v>0</v>
      </c>
      <c r="N144" s="525"/>
      <c r="O144" s="514">
        <f t="shared" si="32"/>
        <v>0</v>
      </c>
      <c r="P144" s="514">
        <f t="shared" si="33"/>
        <v>0</v>
      </c>
    </row>
    <row r="145" spans="2:16" ht="12.5">
      <c r="B145" s="195" t="str">
        <f t="shared" si="19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8"/>
        <v>0</v>
      </c>
      <c r="G145" s="523">
        <f t="shared" si="29"/>
        <v>0</v>
      </c>
      <c r="H145" s="526">
        <f t="shared" si="26"/>
        <v>0</v>
      </c>
      <c r="I145" s="577">
        <f t="shared" si="27"/>
        <v>0</v>
      </c>
      <c r="J145" s="514">
        <f t="shared" si="30"/>
        <v>0</v>
      </c>
      <c r="K145" s="514"/>
      <c r="L145" s="525"/>
      <c r="M145" s="514">
        <f t="shared" si="31"/>
        <v>0</v>
      </c>
      <c r="N145" s="525"/>
      <c r="O145" s="514">
        <f t="shared" si="32"/>
        <v>0</v>
      </c>
      <c r="P145" s="514">
        <f t="shared" si="33"/>
        <v>0</v>
      </c>
    </row>
    <row r="146" spans="2:16" ht="12.5">
      <c r="B146" s="195" t="str">
        <f t="shared" si="19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8"/>
        <v>0</v>
      </c>
      <c r="G146" s="523">
        <f t="shared" si="29"/>
        <v>0</v>
      </c>
      <c r="H146" s="526">
        <f t="shared" si="26"/>
        <v>0</v>
      </c>
      <c r="I146" s="577">
        <f t="shared" si="27"/>
        <v>0</v>
      </c>
      <c r="J146" s="514">
        <f t="shared" si="30"/>
        <v>0</v>
      </c>
      <c r="K146" s="514"/>
      <c r="L146" s="525"/>
      <c r="M146" s="514">
        <f t="shared" si="31"/>
        <v>0</v>
      </c>
      <c r="N146" s="525"/>
      <c r="O146" s="514">
        <f t="shared" si="32"/>
        <v>0</v>
      </c>
      <c r="P146" s="514">
        <f t="shared" si="33"/>
        <v>0</v>
      </c>
    </row>
    <row r="147" spans="2:16" ht="12.5">
      <c r="B147" s="195" t="str">
        <f t="shared" si="19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8"/>
        <v>0</v>
      </c>
      <c r="G147" s="523">
        <f t="shared" si="29"/>
        <v>0</v>
      </c>
      <c r="H147" s="526">
        <f t="shared" si="26"/>
        <v>0</v>
      </c>
      <c r="I147" s="577">
        <f t="shared" si="27"/>
        <v>0</v>
      </c>
      <c r="J147" s="514">
        <f t="shared" si="30"/>
        <v>0</v>
      </c>
      <c r="K147" s="514"/>
      <c r="L147" s="525"/>
      <c r="M147" s="514">
        <f t="shared" si="31"/>
        <v>0</v>
      </c>
      <c r="N147" s="525"/>
      <c r="O147" s="514">
        <f t="shared" si="32"/>
        <v>0</v>
      </c>
      <c r="P147" s="514">
        <f t="shared" si="33"/>
        <v>0</v>
      </c>
    </row>
    <row r="148" spans="2:16" ht="12.5">
      <c r="B148" s="195" t="str">
        <f t="shared" si="19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8"/>
        <v>0</v>
      </c>
      <c r="G148" s="523">
        <f t="shared" si="29"/>
        <v>0</v>
      </c>
      <c r="H148" s="526">
        <f t="shared" si="26"/>
        <v>0</v>
      </c>
      <c r="I148" s="577">
        <f t="shared" si="27"/>
        <v>0</v>
      </c>
      <c r="J148" s="514">
        <f t="shared" si="30"/>
        <v>0</v>
      </c>
      <c r="K148" s="514"/>
      <c r="L148" s="525"/>
      <c r="M148" s="514">
        <f t="shared" si="31"/>
        <v>0</v>
      </c>
      <c r="N148" s="525"/>
      <c r="O148" s="514">
        <f t="shared" si="32"/>
        <v>0</v>
      </c>
      <c r="P148" s="514">
        <f t="shared" si="33"/>
        <v>0</v>
      </c>
    </row>
    <row r="149" spans="2:16" ht="12.5">
      <c r="B149" s="195" t="str">
        <f t="shared" si="19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8"/>
        <v>0</v>
      </c>
      <c r="G149" s="523">
        <f t="shared" si="29"/>
        <v>0</v>
      </c>
      <c r="H149" s="526">
        <f t="shared" si="26"/>
        <v>0</v>
      </c>
      <c r="I149" s="577">
        <f t="shared" si="27"/>
        <v>0</v>
      </c>
      <c r="J149" s="514">
        <f t="shared" si="30"/>
        <v>0</v>
      </c>
      <c r="K149" s="514"/>
      <c r="L149" s="525"/>
      <c r="M149" s="514">
        <f t="shared" si="31"/>
        <v>0</v>
      </c>
      <c r="N149" s="525"/>
      <c r="O149" s="514">
        <f t="shared" si="32"/>
        <v>0</v>
      </c>
      <c r="P149" s="514">
        <f t="shared" si="33"/>
        <v>0</v>
      </c>
    </row>
    <row r="150" spans="2:16" ht="12.5">
      <c r="B150" s="195" t="str">
        <f t="shared" si="19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8"/>
        <v>0</v>
      </c>
      <c r="G150" s="523">
        <f t="shared" si="29"/>
        <v>0</v>
      </c>
      <c r="H150" s="526">
        <f t="shared" si="26"/>
        <v>0</v>
      </c>
      <c r="I150" s="577">
        <f t="shared" si="27"/>
        <v>0</v>
      </c>
      <c r="J150" s="514">
        <f t="shared" si="30"/>
        <v>0</v>
      </c>
      <c r="K150" s="514"/>
      <c r="L150" s="525"/>
      <c r="M150" s="514">
        <f t="shared" si="31"/>
        <v>0</v>
      </c>
      <c r="N150" s="525"/>
      <c r="O150" s="514">
        <f t="shared" si="32"/>
        <v>0</v>
      </c>
      <c r="P150" s="514">
        <f t="shared" si="33"/>
        <v>0</v>
      </c>
    </row>
    <row r="151" spans="2:16" ht="12.5">
      <c r="B151" s="195" t="str">
        <f t="shared" si="19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8"/>
        <v>0</v>
      </c>
      <c r="G151" s="523">
        <f t="shared" si="29"/>
        <v>0</v>
      </c>
      <c r="H151" s="526">
        <f t="shared" si="26"/>
        <v>0</v>
      </c>
      <c r="I151" s="577">
        <f t="shared" si="27"/>
        <v>0</v>
      </c>
      <c r="J151" s="514">
        <f t="shared" si="30"/>
        <v>0</v>
      </c>
      <c r="K151" s="514"/>
      <c r="L151" s="525"/>
      <c r="M151" s="514">
        <f t="shared" si="31"/>
        <v>0</v>
      </c>
      <c r="N151" s="525"/>
      <c r="O151" s="514">
        <f t="shared" si="32"/>
        <v>0</v>
      </c>
      <c r="P151" s="514">
        <f t="shared" si="33"/>
        <v>0</v>
      </c>
    </row>
    <row r="152" spans="2:16" ht="12.5">
      <c r="B152" s="195" t="str">
        <f t="shared" si="19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8"/>
        <v>0</v>
      </c>
      <c r="G152" s="523">
        <f t="shared" si="29"/>
        <v>0</v>
      </c>
      <c r="H152" s="526">
        <f t="shared" si="26"/>
        <v>0</v>
      </c>
      <c r="I152" s="577">
        <f t="shared" si="27"/>
        <v>0</v>
      </c>
      <c r="J152" s="514">
        <f t="shared" si="30"/>
        <v>0</v>
      </c>
      <c r="K152" s="514"/>
      <c r="L152" s="525"/>
      <c r="M152" s="514">
        <f t="shared" si="31"/>
        <v>0</v>
      </c>
      <c r="N152" s="525"/>
      <c r="O152" s="514">
        <f t="shared" si="32"/>
        <v>0</v>
      </c>
      <c r="P152" s="514">
        <f t="shared" si="33"/>
        <v>0</v>
      </c>
    </row>
    <row r="153" spans="2:16" ht="12.5">
      <c r="B153" s="195" t="str">
        <f t="shared" si="19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8"/>
        <v>0</v>
      </c>
      <c r="G153" s="523">
        <f t="shared" si="29"/>
        <v>0</v>
      </c>
      <c r="H153" s="526">
        <f t="shared" si="26"/>
        <v>0</v>
      </c>
      <c r="I153" s="577">
        <f t="shared" si="27"/>
        <v>0</v>
      </c>
      <c r="J153" s="514">
        <f t="shared" si="30"/>
        <v>0</v>
      </c>
      <c r="K153" s="514"/>
      <c r="L153" s="525"/>
      <c r="M153" s="514">
        <f t="shared" si="31"/>
        <v>0</v>
      </c>
      <c r="N153" s="525"/>
      <c r="O153" s="514">
        <f t="shared" si="32"/>
        <v>0</v>
      </c>
      <c r="P153" s="514">
        <f t="shared" si="33"/>
        <v>0</v>
      </c>
    </row>
    <row r="154" spans="2:16" ht="13" thickBot="1">
      <c r="B154" s="195" t="str">
        <f t="shared" si="19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8"/>
        <v>0</v>
      </c>
      <c r="G154" s="528">
        <f t="shared" si="29"/>
        <v>0</v>
      </c>
      <c r="H154" s="530">
        <f t="shared" si="26"/>
        <v>0</v>
      </c>
      <c r="I154" s="579">
        <f t="shared" si="27"/>
        <v>0</v>
      </c>
      <c r="J154" s="533">
        <f t="shared" si="30"/>
        <v>0</v>
      </c>
      <c r="K154" s="514"/>
      <c r="L154" s="532"/>
      <c r="M154" s="533">
        <f t="shared" si="31"/>
        <v>0</v>
      </c>
      <c r="N154" s="532"/>
      <c r="O154" s="533">
        <f t="shared" si="32"/>
        <v>0</v>
      </c>
      <c r="P154" s="533">
        <f t="shared" si="33"/>
        <v>0</v>
      </c>
    </row>
    <row r="155" spans="2:16" ht="12.5">
      <c r="C155" s="374" t="s">
        <v>78</v>
      </c>
      <c r="D155" s="375"/>
      <c r="E155" s="375">
        <f>SUM(E99:E154)</f>
        <v>1231361.0000000002</v>
      </c>
      <c r="F155" s="375"/>
      <c r="G155" s="375"/>
      <c r="H155" s="375">
        <f>SUM(H99:H154)</f>
        <v>4087734.438692919</v>
      </c>
      <c r="I155" s="375">
        <f>SUM(I99:I154)</f>
        <v>4087734.438692919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5" priority="1" stopIfTrue="1" operator="equal">
      <formula>$I$10</formula>
    </cfRule>
  </conditionalFormatting>
  <conditionalFormatting sqref="C99:C154">
    <cfRule type="cellIs" dxfId="44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107"/>
  <dimension ref="A1:P162"/>
  <sheetViews>
    <sheetView view="pageBreakPreview" zoomScale="80" zoomScaleNormal="100" zoomScaleSheetLayoutView="80" workbookViewId="0">
      <selection activeCell="D10" sqref="D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58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3270508.0204212591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3270508.0204212591</v>
      </c>
      <c r="O6" s="269"/>
      <c r="P6" s="269"/>
    </row>
    <row r="7" spans="1:16" ht="13.5" thickBot="1">
      <c r="C7" s="467" t="s">
        <v>48</v>
      </c>
      <c r="D7" s="624" t="s">
        <v>361</v>
      </c>
      <c r="E7" s="587"/>
      <c r="F7" s="587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403</v>
      </c>
      <c r="E9" s="637" t="s">
        <v>404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25330929.210000001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603117.36214285716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31">
        <v>23229161</v>
      </c>
      <c r="E17" s="630">
        <v>276537.63095238095</v>
      </c>
      <c r="F17" s="631">
        <v>22952623.369047619</v>
      </c>
      <c r="G17" s="630">
        <v>3262214.3054167381</v>
      </c>
      <c r="H17" s="639">
        <v>3262214.3054167381</v>
      </c>
      <c r="I17" s="511">
        <f t="shared" ref="I17:I72" si="0">H17-G17</f>
        <v>0</v>
      </c>
      <c r="J17" s="511"/>
      <c r="K17" s="512">
        <f t="shared" ref="K17:K22" si="1">+G17</f>
        <v>3262214.3054167381</v>
      </c>
      <c r="L17" s="513">
        <f t="shared" ref="L17:L72" si="2">IF(K17&lt;&gt;0,+G17-K17,0)</f>
        <v>0</v>
      </c>
      <c r="M17" s="512">
        <f t="shared" ref="M17:M22" si="3">+H17</f>
        <v>3262214.3054167381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51">
        <v>24940522.369047619</v>
      </c>
      <c r="E18" s="656">
        <v>586443.25581395347</v>
      </c>
      <c r="F18" s="651">
        <v>24354079.113233667</v>
      </c>
      <c r="G18" s="650">
        <v>3640059.7914396082</v>
      </c>
      <c r="H18" s="657">
        <v>3640059.7914396082</v>
      </c>
      <c r="I18" s="511">
        <f t="shared" si="0"/>
        <v>0</v>
      </c>
      <c r="J18" s="511"/>
      <c r="K18" s="518">
        <f t="shared" si="1"/>
        <v>3640059.7914396082</v>
      </c>
      <c r="L18" s="519">
        <f t="shared" ref="L18:L23" si="6">IF(K18&lt;&gt;0,+G18-K18,0)</f>
        <v>0</v>
      </c>
      <c r="M18" s="518">
        <f t="shared" si="3"/>
        <v>3640059.7914396082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51">
        <v>24354079.113233667</v>
      </c>
      <c r="E19" s="656">
        <v>615050.24390243902</v>
      </c>
      <c r="F19" s="651">
        <v>23739028.869331229</v>
      </c>
      <c r="G19" s="650">
        <v>3671225.3557542209</v>
      </c>
      <c r="H19" s="657">
        <v>3671225.3557542209</v>
      </c>
      <c r="I19" s="511">
        <f t="shared" si="0"/>
        <v>0</v>
      </c>
      <c r="J19" s="511"/>
      <c r="K19" s="518">
        <f t="shared" si="1"/>
        <v>3671225.3557542209</v>
      </c>
      <c r="L19" s="519">
        <f t="shared" si="6"/>
        <v>0</v>
      </c>
      <c r="M19" s="518">
        <f t="shared" si="3"/>
        <v>3671225.3557542209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51">
        <v>23739028.869331229</v>
      </c>
      <c r="E20" s="656">
        <v>615050.24390243902</v>
      </c>
      <c r="F20" s="651">
        <v>23123978.625428792</v>
      </c>
      <c r="G20" s="650">
        <v>3593056.0992098348</v>
      </c>
      <c r="H20" s="657">
        <v>3593056.0992098348</v>
      </c>
      <c r="I20" s="511">
        <f t="shared" si="0"/>
        <v>0</v>
      </c>
      <c r="J20" s="511"/>
      <c r="K20" s="518">
        <f t="shared" si="1"/>
        <v>3593056.0992098348</v>
      </c>
      <c r="L20" s="519">
        <f t="shared" si="6"/>
        <v>0</v>
      </c>
      <c r="M20" s="518">
        <f t="shared" si="3"/>
        <v>3593056.0992098348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/>
      </c>
      <c r="C21" s="507">
        <f>IF(D11="","-",+C20+1)</f>
        <v>2020</v>
      </c>
      <c r="D21" s="651">
        <v>23123978.625428792</v>
      </c>
      <c r="E21" s="656">
        <v>615050.24390243902</v>
      </c>
      <c r="F21" s="651">
        <v>22508928.381526355</v>
      </c>
      <c r="G21" s="650">
        <v>2949982.4012109563</v>
      </c>
      <c r="H21" s="657">
        <v>2949982.4012109563</v>
      </c>
      <c r="I21" s="511">
        <f t="shared" si="0"/>
        <v>0</v>
      </c>
      <c r="J21" s="511"/>
      <c r="K21" s="518">
        <f t="shared" si="1"/>
        <v>2949982.4012109563</v>
      </c>
      <c r="L21" s="519">
        <f t="shared" si="6"/>
        <v>0</v>
      </c>
      <c r="M21" s="518">
        <f t="shared" si="3"/>
        <v>2949982.4012109563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51">
        <v>22651404.369614832</v>
      </c>
      <c r="E22" s="656">
        <v>603117.35714285716</v>
      </c>
      <c r="F22" s="651">
        <v>22048287.012471974</v>
      </c>
      <c r="G22" s="650">
        <v>2972302.5813947208</v>
      </c>
      <c r="H22" s="657">
        <v>2972302.5813947208</v>
      </c>
      <c r="I22" s="511">
        <f t="shared" si="0"/>
        <v>0</v>
      </c>
      <c r="J22" s="511"/>
      <c r="K22" s="518">
        <f t="shared" si="1"/>
        <v>2972302.5813947208</v>
      </c>
      <c r="L22" s="519">
        <f t="shared" si="6"/>
        <v>0</v>
      </c>
      <c r="M22" s="518">
        <f t="shared" si="3"/>
        <v>2972302.5813947208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51">
        <v>22019680.024383493</v>
      </c>
      <c r="E23" s="656">
        <v>603117.35714285716</v>
      </c>
      <c r="F23" s="651">
        <v>21416562.667240635</v>
      </c>
      <c r="G23" s="650">
        <v>3045191.8978696284</v>
      </c>
      <c r="H23" s="657">
        <v>3045191.8978696284</v>
      </c>
      <c r="I23" s="511">
        <f t="shared" si="0"/>
        <v>0</v>
      </c>
      <c r="J23" s="511"/>
      <c r="K23" s="518">
        <f t="shared" ref="K23" si="8">+G23</f>
        <v>3045191.8978696284</v>
      </c>
      <c r="L23" s="519">
        <f t="shared" si="6"/>
        <v>0</v>
      </c>
      <c r="M23" s="518">
        <f t="shared" ref="M23" si="9">+H23</f>
        <v>3045191.8978696284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>IU</v>
      </c>
      <c r="C24" s="507">
        <f>IF(D11="","-",+C23+1)</f>
        <v>2023</v>
      </c>
      <c r="D24" s="523">
        <f>IF(F23+SUM(E$17:E23)=D$10,F23,D$10-SUM(E$17:E23))</f>
        <v>21416562.877240635</v>
      </c>
      <c r="E24" s="522">
        <f>IF(+I14&lt;F23,I14,D24)</f>
        <v>603117.36214285716</v>
      </c>
      <c r="F24" s="523">
        <f t="shared" ref="F24:F72" si="10">+D24-E24</f>
        <v>20813445.515097778</v>
      </c>
      <c r="G24" s="524">
        <f t="shared" ref="G24:G49" si="11">+I$12*((D24+F24)/2)+E24</f>
        <v>3270508.0204212591</v>
      </c>
      <c r="H24" s="491">
        <f t="shared" ref="H24:H49" si="12">+I$13*((D24+F24)/2)+E24</f>
        <v>3270508.0204212591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2024</v>
      </c>
      <c r="D25" s="523">
        <f>IF(F24+SUM(E$17:E24)=D$10,F24,D$10-SUM(E$17:E24))</f>
        <v>20813445.515097778</v>
      </c>
      <c r="E25" s="522">
        <f>IF(+I14&lt;F24,I14,D25)</f>
        <v>603117.36214285716</v>
      </c>
      <c r="F25" s="523">
        <f t="shared" si="10"/>
        <v>20210328.152954921</v>
      </c>
      <c r="G25" s="524">
        <f t="shared" si="11"/>
        <v>3194318.1412870069</v>
      </c>
      <c r="H25" s="491">
        <f t="shared" si="12"/>
        <v>3194318.1412870069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20210328.152954921</v>
      </c>
      <c r="E26" s="522">
        <f>IF(+I14&lt;F25,I14,D26)</f>
        <v>603117.36214285716</v>
      </c>
      <c r="F26" s="523">
        <f t="shared" si="10"/>
        <v>19607210.790812064</v>
      </c>
      <c r="G26" s="524">
        <f t="shared" si="11"/>
        <v>3118128.2621527538</v>
      </c>
      <c r="H26" s="491">
        <f t="shared" si="12"/>
        <v>3118128.2621527538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19607210.790812064</v>
      </c>
      <c r="E27" s="522">
        <f>IF(+I14&lt;F26,I14,D27)</f>
        <v>603117.36214285716</v>
      </c>
      <c r="F27" s="523">
        <f t="shared" si="10"/>
        <v>19004093.428669207</v>
      </c>
      <c r="G27" s="524">
        <f t="shared" si="11"/>
        <v>3041938.3830185016</v>
      </c>
      <c r="H27" s="491">
        <f t="shared" si="12"/>
        <v>3041938.3830185016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19004093.428669207</v>
      </c>
      <c r="E28" s="522">
        <f>IF(+I14&lt;F27,I14,D28)</f>
        <v>603117.36214285716</v>
      </c>
      <c r="F28" s="523">
        <f t="shared" si="10"/>
        <v>18400976.06652635</v>
      </c>
      <c r="G28" s="524">
        <f t="shared" si="11"/>
        <v>2965748.5038842484</v>
      </c>
      <c r="H28" s="491">
        <f t="shared" si="12"/>
        <v>2965748.5038842484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18400976.06652635</v>
      </c>
      <c r="E29" s="522">
        <f>IF(+I14&lt;F28,I14,D29)</f>
        <v>603117.36214285716</v>
      </c>
      <c r="F29" s="523">
        <f t="shared" si="10"/>
        <v>17797858.704383492</v>
      </c>
      <c r="G29" s="524">
        <f t="shared" si="11"/>
        <v>2889558.6247499962</v>
      </c>
      <c r="H29" s="491">
        <f t="shared" si="12"/>
        <v>2889558.6247499962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17797858.704383492</v>
      </c>
      <c r="E30" s="522">
        <f>IF(+I14&lt;F29,I14,D30)</f>
        <v>603117.36214285716</v>
      </c>
      <c r="F30" s="523">
        <f t="shared" si="10"/>
        <v>17194741.342240635</v>
      </c>
      <c r="G30" s="524">
        <f t="shared" si="11"/>
        <v>2813368.7456157431</v>
      </c>
      <c r="H30" s="491">
        <f t="shared" si="12"/>
        <v>2813368.7456157431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17194741.342240635</v>
      </c>
      <c r="E31" s="522">
        <f>IF(+I14&lt;F30,I14,D31)</f>
        <v>603117.36214285716</v>
      </c>
      <c r="F31" s="523">
        <f t="shared" si="10"/>
        <v>16591623.980097778</v>
      </c>
      <c r="G31" s="524">
        <f t="shared" si="11"/>
        <v>2737178.8664814909</v>
      </c>
      <c r="H31" s="491">
        <f t="shared" si="12"/>
        <v>2737178.8664814909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16591623.980097778</v>
      </c>
      <c r="E32" s="522">
        <f>IF(+I14&lt;F31,I14,D32)</f>
        <v>603117.36214285716</v>
      </c>
      <c r="F32" s="523">
        <f t="shared" si="10"/>
        <v>15988506.617954921</v>
      </c>
      <c r="G32" s="524">
        <f t="shared" si="11"/>
        <v>2660988.9873472382</v>
      </c>
      <c r="H32" s="491">
        <f t="shared" si="12"/>
        <v>2660988.9873472382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15988506.617954921</v>
      </c>
      <c r="E33" s="522">
        <f>IF(+I14&lt;F32,I14,D33)</f>
        <v>603117.36214285716</v>
      </c>
      <c r="F33" s="523">
        <f t="shared" si="10"/>
        <v>15385389.255812064</v>
      </c>
      <c r="G33" s="524">
        <f t="shared" si="11"/>
        <v>2584799.1082129856</v>
      </c>
      <c r="H33" s="491">
        <f t="shared" si="12"/>
        <v>2584799.1082129856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15385389.255812064</v>
      </c>
      <c r="E34" s="522">
        <f>IF(+I14&lt;F33,I14,D34)</f>
        <v>603117.36214285716</v>
      </c>
      <c r="F34" s="523">
        <f t="shared" si="10"/>
        <v>14782271.893669207</v>
      </c>
      <c r="G34" s="524">
        <f t="shared" si="11"/>
        <v>2508609.2290787329</v>
      </c>
      <c r="H34" s="491">
        <f t="shared" si="12"/>
        <v>2508609.2290787329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14782271.893669207</v>
      </c>
      <c r="E35" s="522">
        <f>IF(+I14&lt;F34,I14,D35)</f>
        <v>603117.36214285716</v>
      </c>
      <c r="F35" s="523">
        <f t="shared" si="10"/>
        <v>14179154.531526349</v>
      </c>
      <c r="G35" s="524">
        <f t="shared" si="11"/>
        <v>2432419.3499444802</v>
      </c>
      <c r="H35" s="491">
        <f t="shared" si="12"/>
        <v>2432419.3499444802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14179154.531526349</v>
      </c>
      <c r="E36" s="522">
        <f>IF(+I14&lt;F35,I14,D36)</f>
        <v>603117.36214285716</v>
      </c>
      <c r="F36" s="523">
        <f t="shared" si="10"/>
        <v>13576037.169383492</v>
      </c>
      <c r="G36" s="524">
        <f t="shared" si="11"/>
        <v>2356229.4708102276</v>
      </c>
      <c r="H36" s="491">
        <f t="shared" si="12"/>
        <v>2356229.4708102276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13576037.169383492</v>
      </c>
      <c r="E37" s="522">
        <f>IF(+I14&lt;F36,I14,D37)</f>
        <v>603117.36214285716</v>
      </c>
      <c r="F37" s="523">
        <f t="shared" si="10"/>
        <v>12972919.807240635</v>
      </c>
      <c r="G37" s="524">
        <f t="shared" si="11"/>
        <v>2280039.5916759749</v>
      </c>
      <c r="H37" s="491">
        <f t="shared" si="12"/>
        <v>2280039.5916759749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12972919.807240635</v>
      </c>
      <c r="E38" s="522">
        <f>IF(+I14&lt;F37,I14,D38)</f>
        <v>603117.36214285716</v>
      </c>
      <c r="F38" s="523">
        <f t="shared" si="10"/>
        <v>12369802.445097778</v>
      </c>
      <c r="G38" s="524">
        <f t="shared" si="11"/>
        <v>2203849.7125417222</v>
      </c>
      <c r="H38" s="491">
        <f t="shared" si="12"/>
        <v>2203849.7125417222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12369802.445097778</v>
      </c>
      <c r="E39" s="522">
        <f>IF(+I14&lt;F38,I14,D39)</f>
        <v>603117.36214285716</v>
      </c>
      <c r="F39" s="523">
        <f t="shared" si="10"/>
        <v>11766685.082954921</v>
      </c>
      <c r="G39" s="524">
        <f t="shared" si="11"/>
        <v>2127659.8334074696</v>
      </c>
      <c r="H39" s="491">
        <f t="shared" si="12"/>
        <v>2127659.8334074696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11766685.082954921</v>
      </c>
      <c r="E40" s="522">
        <f>IF(+I14&lt;F39,I14,D40)</f>
        <v>603117.36214285716</v>
      </c>
      <c r="F40" s="523">
        <f t="shared" si="10"/>
        <v>11163567.720812064</v>
      </c>
      <c r="G40" s="524">
        <f t="shared" si="11"/>
        <v>2051469.9542732171</v>
      </c>
      <c r="H40" s="491">
        <f t="shared" si="12"/>
        <v>2051469.9542732171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11163567.720812064</v>
      </c>
      <c r="E41" s="522">
        <f>IF(+I14&lt;F40,I14,D41)</f>
        <v>603117.36214285716</v>
      </c>
      <c r="F41" s="523">
        <f t="shared" si="10"/>
        <v>10560450.358669207</v>
      </c>
      <c r="G41" s="524">
        <f t="shared" si="11"/>
        <v>1975280.0751389645</v>
      </c>
      <c r="H41" s="491">
        <f t="shared" si="12"/>
        <v>1975280.0751389645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10560450.358669207</v>
      </c>
      <c r="E42" s="522">
        <f>IF(+I14&lt;F41,I14,D42)</f>
        <v>603117.36214285716</v>
      </c>
      <c r="F42" s="523">
        <f t="shared" si="10"/>
        <v>9957332.9965263493</v>
      </c>
      <c r="G42" s="524">
        <f t="shared" si="11"/>
        <v>1899090.1960047118</v>
      </c>
      <c r="H42" s="491">
        <f t="shared" si="12"/>
        <v>1899090.1960047118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9957332.9965263493</v>
      </c>
      <c r="E43" s="522">
        <f>IF(+I14&lt;F42,I14,D43)</f>
        <v>603117.36214285716</v>
      </c>
      <c r="F43" s="523">
        <f t="shared" si="10"/>
        <v>9354215.6343834922</v>
      </c>
      <c r="G43" s="524">
        <f t="shared" si="11"/>
        <v>1822900.3168704591</v>
      </c>
      <c r="H43" s="491">
        <f t="shared" si="12"/>
        <v>1822900.3168704591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9354215.6343834922</v>
      </c>
      <c r="E44" s="522">
        <f>IF(+I14&lt;F43,I14,D44)</f>
        <v>603117.36214285716</v>
      </c>
      <c r="F44" s="523">
        <f t="shared" si="10"/>
        <v>8751098.272240635</v>
      </c>
      <c r="G44" s="524">
        <f t="shared" si="11"/>
        <v>1746710.4377362065</v>
      </c>
      <c r="H44" s="491">
        <f t="shared" si="12"/>
        <v>1746710.4377362065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8751098.272240635</v>
      </c>
      <c r="E45" s="522">
        <f>IF(+I14&lt;F44,I14,D45)</f>
        <v>603117.36214285716</v>
      </c>
      <c r="F45" s="523">
        <f t="shared" si="10"/>
        <v>8147980.9100977778</v>
      </c>
      <c r="G45" s="524">
        <f t="shared" si="11"/>
        <v>1670520.5586019538</v>
      </c>
      <c r="H45" s="491">
        <f t="shared" si="12"/>
        <v>1670520.5586019538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8147980.9100977778</v>
      </c>
      <c r="E46" s="522">
        <f>IF(+I14&lt;F45,I14,D46)</f>
        <v>603117.36214285716</v>
      </c>
      <c r="F46" s="523">
        <f t="shared" si="10"/>
        <v>7544863.5479549207</v>
      </c>
      <c r="G46" s="524">
        <f t="shared" si="11"/>
        <v>1594330.6794677014</v>
      </c>
      <c r="H46" s="491">
        <f t="shared" si="12"/>
        <v>1594330.6794677014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7544863.5479549207</v>
      </c>
      <c r="E47" s="522">
        <f>IF(+I14&lt;F46,I14,D47)</f>
        <v>603117.36214285716</v>
      </c>
      <c r="F47" s="523">
        <f t="shared" si="10"/>
        <v>6941746.1858120635</v>
      </c>
      <c r="G47" s="524">
        <f t="shared" si="11"/>
        <v>1518140.8003334487</v>
      </c>
      <c r="H47" s="491">
        <f t="shared" si="12"/>
        <v>1518140.8003334487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6941746.1858120635</v>
      </c>
      <c r="E48" s="522">
        <f>IF(+I14&lt;F47,I14,D48)</f>
        <v>603117.36214285716</v>
      </c>
      <c r="F48" s="523">
        <f t="shared" si="10"/>
        <v>6338628.8236692064</v>
      </c>
      <c r="G48" s="524">
        <f t="shared" si="11"/>
        <v>1441950.921199196</v>
      </c>
      <c r="H48" s="491">
        <f t="shared" si="12"/>
        <v>1441950.921199196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6338628.8236692064</v>
      </c>
      <c r="E49" s="522">
        <f>IF(+I14&lt;F48,I14,D49)</f>
        <v>603117.36214285716</v>
      </c>
      <c r="F49" s="523">
        <f t="shared" si="10"/>
        <v>5735511.4615263492</v>
      </c>
      <c r="G49" s="524">
        <f t="shared" si="11"/>
        <v>1365761.0420649434</v>
      </c>
      <c r="H49" s="491">
        <f t="shared" si="12"/>
        <v>1365761.0420649434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5735511.4615263492</v>
      </c>
      <c r="E50" s="522">
        <f>IF(+I14&lt;F49,I14,D50)</f>
        <v>603117.36214285716</v>
      </c>
      <c r="F50" s="523">
        <f t="shared" si="10"/>
        <v>5132394.099383492</v>
      </c>
      <c r="G50" s="524">
        <f t="shared" ref="G50:G72" si="13">+I$12*((D50+F50)/2)+E50</f>
        <v>1289571.1629306907</v>
      </c>
      <c r="H50" s="491">
        <f t="shared" ref="H50:H72" si="14">+I$13*((D50+F50)/2)+E50</f>
        <v>1289571.1629306907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5132394.099383492</v>
      </c>
      <c r="E51" s="522">
        <f>IF(+I14&lt;F50,I14,D51)</f>
        <v>603117.36214285716</v>
      </c>
      <c r="F51" s="523">
        <f t="shared" si="10"/>
        <v>4529276.7372406349</v>
      </c>
      <c r="G51" s="524">
        <f t="shared" si="13"/>
        <v>1213381.283796438</v>
      </c>
      <c r="H51" s="491">
        <f t="shared" si="14"/>
        <v>1213381.283796438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4529276.7372406349</v>
      </c>
      <c r="E52" s="522">
        <f>IF(+I14&lt;F51,I14,D52)</f>
        <v>603117.36214285716</v>
      </c>
      <c r="F52" s="523">
        <f t="shared" si="10"/>
        <v>3926159.3750977777</v>
      </c>
      <c r="G52" s="524">
        <f t="shared" si="13"/>
        <v>1137191.4046621853</v>
      </c>
      <c r="H52" s="491">
        <f t="shared" si="14"/>
        <v>1137191.4046621853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3926159.3750977777</v>
      </c>
      <c r="E53" s="522">
        <f>IF(+I14&lt;F52,I14,D53)</f>
        <v>603117.36214285716</v>
      </c>
      <c r="F53" s="523">
        <f t="shared" si="10"/>
        <v>3323042.0129549205</v>
      </c>
      <c r="G53" s="524">
        <f t="shared" si="13"/>
        <v>1061001.5255279327</v>
      </c>
      <c r="H53" s="491">
        <f t="shared" si="14"/>
        <v>1061001.5255279327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3323042.0129549205</v>
      </c>
      <c r="E54" s="522">
        <f>IF(+I14&lt;F53,I14,D54)</f>
        <v>603117.36214285716</v>
      </c>
      <c r="F54" s="523">
        <f t="shared" si="10"/>
        <v>2719924.6508120634</v>
      </c>
      <c r="G54" s="524">
        <f t="shared" si="13"/>
        <v>984811.64639368001</v>
      </c>
      <c r="H54" s="491">
        <f t="shared" si="14"/>
        <v>984811.64639368001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2719924.6508120634</v>
      </c>
      <c r="E55" s="522">
        <f>IF(+I14&lt;F54,I14,D55)</f>
        <v>603117.36214285716</v>
      </c>
      <c r="F55" s="523">
        <f t="shared" si="10"/>
        <v>2116807.2886692062</v>
      </c>
      <c r="G55" s="524">
        <f t="shared" si="13"/>
        <v>908621.76725942735</v>
      </c>
      <c r="H55" s="491">
        <f t="shared" si="14"/>
        <v>908621.76725942735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2116807.2886692062</v>
      </c>
      <c r="E56" s="522">
        <f>IF(+I14&lt;F55,I14,D56)</f>
        <v>603117.36214285716</v>
      </c>
      <c r="F56" s="523">
        <f t="shared" si="10"/>
        <v>1513689.926526349</v>
      </c>
      <c r="G56" s="524">
        <f t="shared" si="13"/>
        <v>832431.8881251748</v>
      </c>
      <c r="H56" s="491">
        <f t="shared" si="14"/>
        <v>832431.8881251748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1513689.926526349</v>
      </c>
      <c r="E57" s="522">
        <f>IF(+I14&lt;F56,I14,D57)</f>
        <v>603117.36214285716</v>
      </c>
      <c r="F57" s="523">
        <f t="shared" si="10"/>
        <v>910572.56438349187</v>
      </c>
      <c r="G57" s="524">
        <f t="shared" si="13"/>
        <v>756242.00899092213</v>
      </c>
      <c r="H57" s="491">
        <f t="shared" si="14"/>
        <v>756242.00899092213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910572.56438349187</v>
      </c>
      <c r="E58" s="522">
        <f>IF(+I14&lt;F57,I14,D58)</f>
        <v>603117.36214285716</v>
      </c>
      <c r="F58" s="523">
        <f t="shared" si="10"/>
        <v>307455.20224063471</v>
      </c>
      <c r="G58" s="524">
        <f t="shared" si="13"/>
        <v>680052.12985666946</v>
      </c>
      <c r="H58" s="491">
        <f t="shared" si="14"/>
        <v>680052.12985666946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307455.20224063471</v>
      </c>
      <c r="E59" s="522">
        <f>IF(+I14&lt;F58,I14,D59)</f>
        <v>307455.20224063471</v>
      </c>
      <c r="F59" s="523">
        <f t="shared" si="10"/>
        <v>0</v>
      </c>
      <c r="G59" s="524">
        <f t="shared" si="13"/>
        <v>326875.11631397769</v>
      </c>
      <c r="H59" s="491">
        <f t="shared" si="14"/>
        <v>326875.11631397769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0"/>
        <v>0</v>
      </c>
      <c r="G60" s="524">
        <f t="shared" si="13"/>
        <v>0</v>
      </c>
      <c r="H60" s="491">
        <f t="shared" si="14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0"/>
        <v>0</v>
      </c>
      <c r="G61" s="526">
        <f t="shared" si="13"/>
        <v>0</v>
      </c>
      <c r="H61" s="491">
        <f t="shared" si="14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0"/>
        <v>0</v>
      </c>
      <c r="G62" s="526">
        <f t="shared" si="13"/>
        <v>0</v>
      </c>
      <c r="H62" s="491">
        <f t="shared" si="14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0"/>
        <v>0</v>
      </c>
      <c r="G63" s="526">
        <f t="shared" si="13"/>
        <v>0</v>
      </c>
      <c r="H63" s="491">
        <f t="shared" si="14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0"/>
        <v>0</v>
      </c>
      <c r="G64" s="526">
        <f t="shared" si="13"/>
        <v>0</v>
      </c>
      <c r="H64" s="491">
        <f t="shared" si="14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0"/>
        <v>0</v>
      </c>
      <c r="G65" s="526">
        <f t="shared" si="13"/>
        <v>0</v>
      </c>
      <c r="H65" s="491">
        <f t="shared" si="14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0"/>
        <v>0</v>
      </c>
      <c r="G66" s="526">
        <f t="shared" si="13"/>
        <v>0</v>
      </c>
      <c r="H66" s="491">
        <f t="shared" si="14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0"/>
        <v>0</v>
      </c>
      <c r="G67" s="526">
        <f t="shared" si="13"/>
        <v>0</v>
      </c>
      <c r="H67" s="491">
        <f t="shared" si="14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0"/>
        <v>0</v>
      </c>
      <c r="G68" s="526">
        <f t="shared" si="13"/>
        <v>0</v>
      </c>
      <c r="H68" s="491">
        <f t="shared" si="14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0"/>
        <v>0</v>
      </c>
      <c r="G69" s="526">
        <f t="shared" si="13"/>
        <v>0</v>
      </c>
      <c r="H69" s="491">
        <f t="shared" si="14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0"/>
        <v>0</v>
      </c>
      <c r="G70" s="526">
        <f t="shared" si="13"/>
        <v>0</v>
      </c>
      <c r="H70" s="491">
        <f t="shared" si="14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0"/>
        <v>0</v>
      </c>
      <c r="G71" s="526">
        <f t="shared" si="13"/>
        <v>0</v>
      </c>
      <c r="H71" s="491">
        <f t="shared" si="14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0"/>
        <v>0</v>
      </c>
      <c r="G72" s="530">
        <f t="shared" si="13"/>
        <v>0</v>
      </c>
      <c r="H72" s="471">
        <f t="shared" si="14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25330929.210000001</v>
      </c>
      <c r="F73" s="375"/>
      <c r="G73" s="375">
        <f>SUM(G17:G72)</f>
        <v>92595710.178473562</v>
      </c>
      <c r="H73" s="375">
        <f>SUM(H17:H72)</f>
        <v>92595710.178473562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58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2972302.5813947208</v>
      </c>
      <c r="N87" s="546">
        <f>IF(J92&lt;D11,0,VLOOKUP(J92,C17:O72,11))</f>
        <v>2972302.5813947208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3169605.7563163298</v>
      </c>
      <c r="N88" s="550">
        <f>IF(J92&lt;D11,0,VLOOKUP(J92,C99:P154,7))</f>
        <v>3169605.7563163298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Rock Hill-Springridge Pan-Harr REC 138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197303.174921609</v>
      </c>
      <c r="N89" s="555">
        <f>+N88-N87</f>
        <v>197303.174921609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TP2010067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25330929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617827.53658536589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143761.97674418605</v>
      </c>
      <c r="F99" s="651">
        <v>24583298.023255814</v>
      </c>
      <c r="G99" s="652">
        <v>12291649.011627907</v>
      </c>
      <c r="H99" s="653">
        <v>1704186.6748150045</v>
      </c>
      <c r="I99" s="654">
        <v>1704186.6748150045</v>
      </c>
      <c r="J99" s="514">
        <f t="shared" ref="J99:J130" si="15">+I99-H99</f>
        <v>0</v>
      </c>
      <c r="K99" s="514"/>
      <c r="L99" s="512">
        <f>+H99</f>
        <v>1704186.6748150045</v>
      </c>
      <c r="M99" s="513">
        <f t="shared" ref="M99:M130" si="16">IF(L99&lt;&gt;0,+H99-L99,0)</f>
        <v>0</v>
      </c>
      <c r="N99" s="512">
        <f>+I99</f>
        <v>1704186.6748150045</v>
      </c>
      <c r="O99" s="513">
        <f t="shared" ref="O99:O130" si="17">IF(N99&lt;&gt;0,+I99-N99,0)</f>
        <v>0</v>
      </c>
      <c r="P99" s="513">
        <f t="shared" ref="P99:P130" si="18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25187167.023255814</v>
      </c>
      <c r="E100" s="630">
        <v>603117.35714285716</v>
      </c>
      <c r="F100" s="631">
        <v>24584049.666112956</v>
      </c>
      <c r="G100" s="631">
        <v>24885608.344684385</v>
      </c>
      <c r="H100" s="633">
        <v>3626008.4781243373</v>
      </c>
      <c r="I100" s="634">
        <v>3626008.4781243373</v>
      </c>
      <c r="J100" s="514">
        <f t="shared" si="15"/>
        <v>0</v>
      </c>
      <c r="K100" s="514"/>
      <c r="L100" s="655">
        <f>+H100</f>
        <v>3626008.4781243373</v>
      </c>
      <c r="M100" s="514">
        <f t="shared" si="16"/>
        <v>0</v>
      </c>
      <c r="N100" s="655">
        <f>+I100</f>
        <v>3626008.4781243373</v>
      </c>
      <c r="O100" s="514">
        <f t="shared" si="17"/>
        <v>0</v>
      </c>
      <c r="P100" s="514">
        <f t="shared" si="18"/>
        <v>0</v>
      </c>
    </row>
    <row r="101" spans="1:16" ht="12.5">
      <c r="B101" s="195" t="str">
        <f t="shared" ref="B101:B154" si="19">IF(D101=F100,"","IU")</f>
        <v/>
      </c>
      <c r="C101" s="507">
        <f>IF(D93="","-",+C100+1)</f>
        <v>2018</v>
      </c>
      <c r="D101" s="629">
        <v>24584049.666112956</v>
      </c>
      <c r="E101" s="630">
        <v>603117.35714285716</v>
      </c>
      <c r="F101" s="631">
        <v>23980932.308970097</v>
      </c>
      <c r="G101" s="631">
        <v>24282490.987541527</v>
      </c>
      <c r="H101" s="633">
        <v>3167459.760554947</v>
      </c>
      <c r="I101" s="634">
        <v>3167459.760554947</v>
      </c>
      <c r="J101" s="514">
        <f t="shared" si="15"/>
        <v>0</v>
      </c>
      <c r="K101" s="514"/>
      <c r="L101" s="655">
        <f>+H101</f>
        <v>3167459.760554947</v>
      </c>
      <c r="M101" s="514">
        <f t="shared" ref="M101" si="20">IF(L101&lt;&gt;0,+H101-L101,0)</f>
        <v>0</v>
      </c>
      <c r="N101" s="655">
        <f>+I101</f>
        <v>3167459.760554947</v>
      </c>
      <c r="O101" s="514">
        <f t="shared" si="17"/>
        <v>0</v>
      </c>
      <c r="P101" s="514">
        <f t="shared" si="18"/>
        <v>0</v>
      </c>
    </row>
    <row r="102" spans="1:16" ht="12.5">
      <c r="B102" s="195" t="str">
        <f t="shared" si="19"/>
        <v/>
      </c>
      <c r="C102" s="507">
        <f>IF(D93="","-",+C101+1)</f>
        <v>2019</v>
      </c>
      <c r="D102" s="629">
        <v>23980932.308970097</v>
      </c>
      <c r="E102" s="630">
        <v>589091.37209302327</v>
      </c>
      <c r="F102" s="631">
        <v>23391840.936877076</v>
      </c>
      <c r="G102" s="631">
        <v>23686386.622923587</v>
      </c>
      <c r="H102" s="633">
        <v>3124495.1418173425</v>
      </c>
      <c r="I102" s="634">
        <v>3124495.1418173425</v>
      </c>
      <c r="J102" s="514">
        <f t="shared" si="15"/>
        <v>0</v>
      </c>
      <c r="K102" s="514"/>
      <c r="L102" s="655">
        <f>+H102</f>
        <v>3124495.1418173425</v>
      </c>
      <c r="M102" s="514">
        <f t="shared" ref="M102:M103" si="21">IF(L102&lt;&gt;0,+H102-L102,0)</f>
        <v>0</v>
      </c>
      <c r="N102" s="655">
        <f>+I102</f>
        <v>3124495.1418173425</v>
      </c>
      <c r="O102" s="514">
        <f t="shared" si="17"/>
        <v>0</v>
      </c>
      <c r="P102" s="514">
        <f t="shared" si="18"/>
        <v>0</v>
      </c>
    </row>
    <row r="103" spans="1:16" ht="12.5">
      <c r="B103" s="195" t="str">
        <f t="shared" si="19"/>
        <v/>
      </c>
      <c r="C103" s="507">
        <f>IF(D93="","-",+C102+1)</f>
        <v>2020</v>
      </c>
      <c r="D103" s="629">
        <v>23391840.936877076</v>
      </c>
      <c r="E103" s="630">
        <v>603117.35714285716</v>
      </c>
      <c r="F103" s="631">
        <v>22788723.579734217</v>
      </c>
      <c r="G103" s="631">
        <v>23090282.258305646</v>
      </c>
      <c r="H103" s="633">
        <v>3087027.5131925805</v>
      </c>
      <c r="I103" s="634">
        <v>3087027.5131925805</v>
      </c>
      <c r="J103" s="514">
        <f t="shared" si="15"/>
        <v>0</v>
      </c>
      <c r="K103" s="514"/>
      <c r="L103" s="655">
        <f>+H103</f>
        <v>3087027.5131925805</v>
      </c>
      <c r="M103" s="514">
        <f t="shared" si="21"/>
        <v>0</v>
      </c>
      <c r="N103" s="655">
        <f>+I103</f>
        <v>3087027.5131925805</v>
      </c>
      <c r="O103" s="514">
        <f t="shared" si="17"/>
        <v>0</v>
      </c>
      <c r="P103" s="514">
        <f t="shared" si="18"/>
        <v>0</v>
      </c>
    </row>
    <row r="104" spans="1:16" ht="12.5">
      <c r="B104" s="195" t="str">
        <f t="shared" si="19"/>
        <v/>
      </c>
      <c r="C104" s="507">
        <f>IF(D93="","-",+C103+1)</f>
        <v>2021</v>
      </c>
      <c r="D104" s="374">
        <f>IF(F103+SUM(E$99:E103)=D$92,F103,D$92-SUM(E$99:E103))</f>
        <v>22788723.579734217</v>
      </c>
      <c r="E104" s="522">
        <f>IF(+J96&lt;F103,J96,D104)</f>
        <v>617827.53658536589</v>
      </c>
      <c r="F104" s="523">
        <f t="shared" ref="F104:F130" si="22">+D104-E104</f>
        <v>22170896.043148853</v>
      </c>
      <c r="G104" s="523">
        <f t="shared" ref="G104:G130" si="23">+(F104+D104)/2</f>
        <v>22479809.811441533</v>
      </c>
      <c r="H104" s="526">
        <f t="shared" ref="H104:H154" si="24">+J$94*G104+E104</f>
        <v>3169605.7563163298</v>
      </c>
      <c r="I104" s="577">
        <f t="shared" ref="I104:I154" si="25">+J$95*G104+E104</f>
        <v>3169605.7563163298</v>
      </c>
      <c r="J104" s="514">
        <f t="shared" si="15"/>
        <v>0</v>
      </c>
      <c r="K104" s="514"/>
      <c r="L104" s="525"/>
      <c r="M104" s="514">
        <f t="shared" si="16"/>
        <v>0</v>
      </c>
      <c r="N104" s="525"/>
      <c r="O104" s="514">
        <f t="shared" si="17"/>
        <v>0</v>
      </c>
      <c r="P104" s="514">
        <f t="shared" si="18"/>
        <v>0</v>
      </c>
    </row>
    <row r="105" spans="1:16" ht="12.5">
      <c r="B105" s="195" t="str">
        <f t="shared" si="19"/>
        <v/>
      </c>
      <c r="C105" s="507">
        <f>IF(D93="","-",+C104+1)</f>
        <v>2022</v>
      </c>
      <c r="D105" s="374">
        <f>IF(F104+SUM(E$99:E104)=D$92,F104,D$92-SUM(E$99:E104))</f>
        <v>22170896.043148853</v>
      </c>
      <c r="E105" s="522">
        <f>IF(+J96&lt;F104,J96,D105)</f>
        <v>617827.53658536589</v>
      </c>
      <c r="F105" s="523">
        <f t="shared" si="22"/>
        <v>21553068.506563488</v>
      </c>
      <c r="G105" s="523">
        <f t="shared" si="23"/>
        <v>21861982.274856173</v>
      </c>
      <c r="H105" s="526">
        <f t="shared" si="24"/>
        <v>3099473.541469648</v>
      </c>
      <c r="I105" s="577">
        <f t="shared" si="25"/>
        <v>3099473.541469648</v>
      </c>
      <c r="J105" s="514">
        <f t="shared" si="15"/>
        <v>0</v>
      </c>
      <c r="K105" s="514"/>
      <c r="L105" s="525"/>
      <c r="M105" s="514">
        <f t="shared" si="16"/>
        <v>0</v>
      </c>
      <c r="N105" s="525"/>
      <c r="O105" s="514">
        <f t="shared" si="17"/>
        <v>0</v>
      </c>
      <c r="P105" s="514">
        <f t="shared" si="18"/>
        <v>0</v>
      </c>
    </row>
    <row r="106" spans="1:16" ht="12.5">
      <c r="B106" s="195" t="str">
        <f t="shared" si="19"/>
        <v/>
      </c>
      <c r="C106" s="507">
        <f>IF(D93="","-",+C105+1)</f>
        <v>2023</v>
      </c>
      <c r="D106" s="374">
        <f>IF(F105+SUM(E$99:E105)=D$92,F105,D$92-SUM(E$99:E105))</f>
        <v>21553068.506563488</v>
      </c>
      <c r="E106" s="522">
        <f>IF(+J96&lt;F105,J96,D106)</f>
        <v>617827.53658536589</v>
      </c>
      <c r="F106" s="523">
        <f t="shared" si="22"/>
        <v>20935240.969978124</v>
      </c>
      <c r="G106" s="523">
        <f t="shared" si="23"/>
        <v>21244154.738270804</v>
      </c>
      <c r="H106" s="526">
        <f t="shared" si="24"/>
        <v>3029341.3266229657</v>
      </c>
      <c r="I106" s="577">
        <f t="shared" si="25"/>
        <v>3029341.3266229657</v>
      </c>
      <c r="J106" s="514">
        <f t="shared" si="15"/>
        <v>0</v>
      </c>
      <c r="K106" s="514"/>
      <c r="L106" s="525"/>
      <c r="M106" s="514">
        <f t="shared" si="16"/>
        <v>0</v>
      </c>
      <c r="N106" s="525"/>
      <c r="O106" s="514">
        <f t="shared" si="17"/>
        <v>0</v>
      </c>
      <c r="P106" s="514">
        <f t="shared" si="18"/>
        <v>0</v>
      </c>
    </row>
    <row r="107" spans="1:16" ht="12.5">
      <c r="B107" s="195" t="str">
        <f t="shared" si="19"/>
        <v/>
      </c>
      <c r="C107" s="507">
        <f>IF(D93="","-",+C106+1)</f>
        <v>2024</v>
      </c>
      <c r="D107" s="374">
        <f>IF(F106+SUM(E$99:E106)=D$92,F106,D$92-SUM(E$99:E106))</f>
        <v>20935240.969978124</v>
      </c>
      <c r="E107" s="522">
        <f>IF(+J96&lt;F106,J96,D107)</f>
        <v>617827.53658536589</v>
      </c>
      <c r="F107" s="523">
        <f t="shared" si="22"/>
        <v>20317413.433392759</v>
      </c>
      <c r="G107" s="523">
        <f t="shared" si="23"/>
        <v>20626327.201685444</v>
      </c>
      <c r="H107" s="526">
        <f t="shared" si="24"/>
        <v>2959209.1117762839</v>
      </c>
      <c r="I107" s="577">
        <f t="shared" si="25"/>
        <v>2959209.1117762839</v>
      </c>
      <c r="J107" s="514">
        <f t="shared" si="15"/>
        <v>0</v>
      </c>
      <c r="K107" s="514"/>
      <c r="L107" s="525"/>
      <c r="M107" s="514">
        <f t="shared" si="16"/>
        <v>0</v>
      </c>
      <c r="N107" s="525"/>
      <c r="O107" s="514">
        <f t="shared" si="17"/>
        <v>0</v>
      </c>
      <c r="P107" s="514">
        <f t="shared" si="18"/>
        <v>0</v>
      </c>
    </row>
    <row r="108" spans="1:16" ht="12.5">
      <c r="B108" s="195" t="str">
        <f t="shared" si="19"/>
        <v/>
      </c>
      <c r="C108" s="507">
        <f>IF(D93="","-",+C107+1)</f>
        <v>2025</v>
      </c>
      <c r="D108" s="374">
        <f>IF(F107+SUM(E$99:E107)=D$92,F107,D$92-SUM(E$99:E107))</f>
        <v>20317413.433392759</v>
      </c>
      <c r="E108" s="522">
        <f>IF(+J96&lt;F107,J96,D108)</f>
        <v>617827.53658536589</v>
      </c>
      <c r="F108" s="523">
        <f t="shared" si="22"/>
        <v>19699585.896807395</v>
      </c>
      <c r="G108" s="523">
        <f t="shared" si="23"/>
        <v>20008499.665100075</v>
      </c>
      <c r="H108" s="526">
        <f t="shared" si="24"/>
        <v>2889076.8969296017</v>
      </c>
      <c r="I108" s="577">
        <f t="shared" si="25"/>
        <v>2889076.8969296017</v>
      </c>
      <c r="J108" s="514">
        <f t="shared" si="15"/>
        <v>0</v>
      </c>
      <c r="K108" s="514"/>
      <c r="L108" s="525"/>
      <c r="M108" s="514">
        <f t="shared" si="16"/>
        <v>0</v>
      </c>
      <c r="N108" s="525"/>
      <c r="O108" s="514">
        <f t="shared" si="17"/>
        <v>0</v>
      </c>
      <c r="P108" s="514">
        <f t="shared" si="18"/>
        <v>0</v>
      </c>
    </row>
    <row r="109" spans="1:16" ht="12.5">
      <c r="B109" s="195" t="str">
        <f t="shared" si="19"/>
        <v/>
      </c>
      <c r="C109" s="507">
        <f>IF(D93="","-",+C108+1)</f>
        <v>2026</v>
      </c>
      <c r="D109" s="374">
        <f>IF(F108+SUM(E$99:E108)=D$92,F108,D$92-SUM(E$99:E108))</f>
        <v>19699585.896807395</v>
      </c>
      <c r="E109" s="522">
        <f>IF(+J96&lt;F108,J96,D109)</f>
        <v>617827.53658536589</v>
      </c>
      <c r="F109" s="523">
        <f t="shared" si="22"/>
        <v>19081758.36022203</v>
      </c>
      <c r="G109" s="523">
        <f t="shared" si="23"/>
        <v>19390672.128514715</v>
      </c>
      <c r="H109" s="526">
        <f t="shared" si="24"/>
        <v>2818944.6820829199</v>
      </c>
      <c r="I109" s="577">
        <f t="shared" si="25"/>
        <v>2818944.6820829199</v>
      </c>
      <c r="J109" s="514">
        <f t="shared" si="15"/>
        <v>0</v>
      </c>
      <c r="K109" s="514"/>
      <c r="L109" s="525"/>
      <c r="M109" s="514">
        <f t="shared" si="16"/>
        <v>0</v>
      </c>
      <c r="N109" s="525"/>
      <c r="O109" s="514">
        <f t="shared" si="17"/>
        <v>0</v>
      </c>
      <c r="P109" s="514">
        <f t="shared" si="18"/>
        <v>0</v>
      </c>
    </row>
    <row r="110" spans="1:16" ht="12.5">
      <c r="B110" s="195" t="str">
        <f t="shared" si="19"/>
        <v/>
      </c>
      <c r="C110" s="507">
        <f>IF(D93="","-",+C109+1)</f>
        <v>2027</v>
      </c>
      <c r="D110" s="374">
        <f>IF(F109+SUM(E$99:E109)=D$92,F109,D$92-SUM(E$99:E109))</f>
        <v>19081758.36022203</v>
      </c>
      <c r="E110" s="522">
        <f>IF(+J96&lt;F109,J96,D110)</f>
        <v>617827.53658536589</v>
      </c>
      <c r="F110" s="523">
        <f t="shared" si="22"/>
        <v>18463930.823636666</v>
      </c>
      <c r="G110" s="523">
        <f t="shared" si="23"/>
        <v>18772844.591929346</v>
      </c>
      <c r="H110" s="526">
        <f t="shared" si="24"/>
        <v>2748812.4672362376</v>
      </c>
      <c r="I110" s="577">
        <f t="shared" si="25"/>
        <v>2748812.4672362376</v>
      </c>
      <c r="J110" s="514">
        <f t="shared" si="15"/>
        <v>0</v>
      </c>
      <c r="K110" s="514"/>
      <c r="L110" s="525"/>
      <c r="M110" s="514">
        <f t="shared" si="16"/>
        <v>0</v>
      </c>
      <c r="N110" s="525"/>
      <c r="O110" s="514">
        <f t="shared" si="17"/>
        <v>0</v>
      </c>
      <c r="P110" s="514">
        <f t="shared" si="18"/>
        <v>0</v>
      </c>
    </row>
    <row r="111" spans="1:16" ht="12.5">
      <c r="B111" s="195" t="str">
        <f t="shared" si="19"/>
        <v/>
      </c>
      <c r="C111" s="507">
        <f>IF(D93="","-",+C110+1)</f>
        <v>2028</v>
      </c>
      <c r="D111" s="374">
        <f>IF(F110+SUM(E$99:E110)=D$92,F110,D$92-SUM(E$99:E110))</f>
        <v>18463930.823636666</v>
      </c>
      <c r="E111" s="522">
        <f>IF(+J96&lt;F110,J96,D111)</f>
        <v>617827.53658536589</v>
      </c>
      <c r="F111" s="523">
        <f t="shared" si="22"/>
        <v>17846103.287051301</v>
      </c>
      <c r="G111" s="523">
        <f t="shared" si="23"/>
        <v>18155017.055343986</v>
      </c>
      <c r="H111" s="526">
        <f t="shared" si="24"/>
        <v>2678680.2523895558</v>
      </c>
      <c r="I111" s="577">
        <f t="shared" si="25"/>
        <v>2678680.2523895558</v>
      </c>
      <c r="J111" s="514">
        <f t="shared" si="15"/>
        <v>0</v>
      </c>
      <c r="K111" s="514"/>
      <c r="L111" s="525"/>
      <c r="M111" s="514">
        <f t="shared" si="16"/>
        <v>0</v>
      </c>
      <c r="N111" s="525"/>
      <c r="O111" s="514">
        <f t="shared" si="17"/>
        <v>0</v>
      </c>
      <c r="P111" s="514">
        <f t="shared" si="18"/>
        <v>0</v>
      </c>
    </row>
    <row r="112" spans="1:16" ht="12.5">
      <c r="B112" s="195" t="str">
        <f t="shared" si="19"/>
        <v/>
      </c>
      <c r="C112" s="507">
        <f>IF(D93="","-",+C111+1)</f>
        <v>2029</v>
      </c>
      <c r="D112" s="374">
        <f>IF(F111+SUM(E$99:E111)=D$92,F111,D$92-SUM(E$99:E111))</f>
        <v>17846103.287051301</v>
      </c>
      <c r="E112" s="522">
        <f>IF(+J96&lt;F111,J96,D112)</f>
        <v>617827.53658536589</v>
      </c>
      <c r="F112" s="523">
        <f t="shared" si="22"/>
        <v>17228275.750465937</v>
      </c>
      <c r="G112" s="523">
        <f t="shared" si="23"/>
        <v>17537189.518758617</v>
      </c>
      <c r="H112" s="526">
        <f t="shared" si="24"/>
        <v>2608548.0375428731</v>
      </c>
      <c r="I112" s="577">
        <f t="shared" si="25"/>
        <v>2608548.0375428731</v>
      </c>
      <c r="J112" s="514">
        <f t="shared" si="15"/>
        <v>0</v>
      </c>
      <c r="K112" s="514"/>
      <c r="L112" s="525"/>
      <c r="M112" s="514">
        <f t="shared" si="16"/>
        <v>0</v>
      </c>
      <c r="N112" s="525"/>
      <c r="O112" s="514">
        <f t="shared" si="17"/>
        <v>0</v>
      </c>
      <c r="P112" s="514">
        <f t="shared" si="18"/>
        <v>0</v>
      </c>
    </row>
    <row r="113" spans="2:16" ht="12.5">
      <c r="B113" s="195" t="str">
        <f t="shared" si="19"/>
        <v/>
      </c>
      <c r="C113" s="507">
        <f>IF(D93="","-",+C112+1)</f>
        <v>2030</v>
      </c>
      <c r="D113" s="374">
        <f>IF(F112+SUM(E$99:E112)=D$92,F112,D$92-SUM(E$99:E112))</f>
        <v>17228275.750465937</v>
      </c>
      <c r="E113" s="522">
        <f>IF(+J96&lt;F112,J96,D113)</f>
        <v>617827.53658536589</v>
      </c>
      <c r="F113" s="523">
        <f t="shared" si="22"/>
        <v>16610448.213880571</v>
      </c>
      <c r="G113" s="523">
        <f t="shared" si="23"/>
        <v>16919361.982173253</v>
      </c>
      <c r="H113" s="526">
        <f t="shared" si="24"/>
        <v>2538415.8226961913</v>
      </c>
      <c r="I113" s="577">
        <f t="shared" si="25"/>
        <v>2538415.8226961913</v>
      </c>
      <c r="J113" s="514">
        <f t="shared" si="15"/>
        <v>0</v>
      </c>
      <c r="K113" s="514"/>
      <c r="L113" s="525"/>
      <c r="M113" s="514">
        <f t="shared" si="16"/>
        <v>0</v>
      </c>
      <c r="N113" s="525"/>
      <c r="O113" s="514">
        <f t="shared" si="17"/>
        <v>0</v>
      </c>
      <c r="P113" s="514">
        <f t="shared" si="18"/>
        <v>0</v>
      </c>
    </row>
    <row r="114" spans="2:16" ht="12.5">
      <c r="B114" s="195" t="str">
        <f t="shared" si="19"/>
        <v/>
      </c>
      <c r="C114" s="507">
        <f>IF(D93="","-",+C113+1)</f>
        <v>2031</v>
      </c>
      <c r="D114" s="374">
        <f>IF(F113+SUM(E$99:E113)=D$92,F113,D$92-SUM(E$99:E113))</f>
        <v>16610448.213880571</v>
      </c>
      <c r="E114" s="522">
        <f>IF(+J96&lt;F113,J96,D114)</f>
        <v>617827.53658536589</v>
      </c>
      <c r="F114" s="523">
        <f t="shared" si="22"/>
        <v>15992620.677295204</v>
      </c>
      <c r="G114" s="523">
        <f t="shared" si="23"/>
        <v>16301534.445587888</v>
      </c>
      <c r="H114" s="526">
        <f t="shared" si="24"/>
        <v>2468283.6078495095</v>
      </c>
      <c r="I114" s="577">
        <f t="shared" si="25"/>
        <v>2468283.6078495095</v>
      </c>
      <c r="J114" s="514">
        <f t="shared" si="15"/>
        <v>0</v>
      </c>
      <c r="K114" s="514"/>
      <c r="L114" s="525"/>
      <c r="M114" s="514">
        <f t="shared" si="16"/>
        <v>0</v>
      </c>
      <c r="N114" s="525"/>
      <c r="O114" s="514">
        <f t="shared" si="17"/>
        <v>0</v>
      </c>
      <c r="P114" s="514">
        <f t="shared" si="18"/>
        <v>0</v>
      </c>
    </row>
    <row r="115" spans="2:16" ht="12.5">
      <c r="B115" s="195" t="str">
        <f t="shared" si="19"/>
        <v/>
      </c>
      <c r="C115" s="507">
        <f>IF(D93="","-",+C114+1)</f>
        <v>2032</v>
      </c>
      <c r="D115" s="374">
        <f>IF(F114+SUM(E$99:E114)=D$92,F114,D$92-SUM(E$99:E114))</f>
        <v>15992620.677295204</v>
      </c>
      <c r="E115" s="522">
        <f>IF(+J96&lt;F114,J96,D115)</f>
        <v>617827.53658536589</v>
      </c>
      <c r="F115" s="523">
        <f t="shared" si="22"/>
        <v>15374793.140709838</v>
      </c>
      <c r="G115" s="523">
        <f t="shared" si="23"/>
        <v>15683706.90900252</v>
      </c>
      <c r="H115" s="526">
        <f t="shared" si="24"/>
        <v>2398151.3930028267</v>
      </c>
      <c r="I115" s="577">
        <f t="shared" si="25"/>
        <v>2398151.3930028267</v>
      </c>
      <c r="J115" s="514">
        <f t="shared" si="15"/>
        <v>0</v>
      </c>
      <c r="K115" s="514"/>
      <c r="L115" s="525"/>
      <c r="M115" s="514">
        <f t="shared" si="16"/>
        <v>0</v>
      </c>
      <c r="N115" s="525"/>
      <c r="O115" s="514">
        <f t="shared" si="17"/>
        <v>0</v>
      </c>
      <c r="P115" s="514">
        <f t="shared" si="18"/>
        <v>0</v>
      </c>
    </row>
    <row r="116" spans="2:16" ht="12.5">
      <c r="B116" s="195" t="str">
        <f t="shared" si="19"/>
        <v/>
      </c>
      <c r="C116" s="507">
        <f>IF(D93="","-",+C115+1)</f>
        <v>2033</v>
      </c>
      <c r="D116" s="374">
        <f>IF(F115+SUM(E$99:E115)=D$92,F115,D$92-SUM(E$99:E115))</f>
        <v>15374793.140709838</v>
      </c>
      <c r="E116" s="522">
        <f>IF(+J96&lt;F115,J96,D116)</f>
        <v>617827.53658536589</v>
      </c>
      <c r="F116" s="523">
        <f t="shared" si="22"/>
        <v>14756965.604124472</v>
      </c>
      <c r="G116" s="523">
        <f t="shared" si="23"/>
        <v>15065879.372417156</v>
      </c>
      <c r="H116" s="526">
        <f t="shared" si="24"/>
        <v>2328019.1781561449</v>
      </c>
      <c r="I116" s="577">
        <f t="shared" si="25"/>
        <v>2328019.1781561449</v>
      </c>
      <c r="J116" s="514">
        <f t="shared" si="15"/>
        <v>0</v>
      </c>
      <c r="K116" s="514"/>
      <c r="L116" s="525"/>
      <c r="M116" s="514">
        <f t="shared" si="16"/>
        <v>0</v>
      </c>
      <c r="N116" s="525"/>
      <c r="O116" s="514">
        <f t="shared" si="17"/>
        <v>0</v>
      </c>
      <c r="P116" s="514">
        <f t="shared" si="18"/>
        <v>0</v>
      </c>
    </row>
    <row r="117" spans="2:16" ht="12.5">
      <c r="B117" s="195" t="str">
        <f t="shared" si="19"/>
        <v/>
      </c>
      <c r="C117" s="507">
        <f>IF(D93="","-",+C116+1)</f>
        <v>2034</v>
      </c>
      <c r="D117" s="374">
        <f>IF(F116+SUM(E$99:E116)=D$92,F116,D$92-SUM(E$99:E116))</f>
        <v>14756965.604124472</v>
      </c>
      <c r="E117" s="522">
        <f>IF(+J96&lt;F116,J96,D117)</f>
        <v>617827.53658536589</v>
      </c>
      <c r="F117" s="523">
        <f t="shared" si="22"/>
        <v>14139138.067539105</v>
      </c>
      <c r="G117" s="523">
        <f t="shared" si="23"/>
        <v>14448051.835831787</v>
      </c>
      <c r="H117" s="526">
        <f t="shared" si="24"/>
        <v>2257886.9633094622</v>
      </c>
      <c r="I117" s="577">
        <f t="shared" si="25"/>
        <v>2257886.9633094622</v>
      </c>
      <c r="J117" s="514">
        <f t="shared" si="15"/>
        <v>0</v>
      </c>
      <c r="K117" s="514"/>
      <c r="L117" s="525"/>
      <c r="M117" s="514">
        <f t="shared" si="16"/>
        <v>0</v>
      </c>
      <c r="N117" s="525"/>
      <c r="O117" s="514">
        <f t="shared" si="17"/>
        <v>0</v>
      </c>
      <c r="P117" s="514">
        <f t="shared" si="18"/>
        <v>0</v>
      </c>
    </row>
    <row r="118" spans="2:16" ht="12.5">
      <c r="B118" s="195" t="str">
        <f t="shared" si="19"/>
        <v/>
      </c>
      <c r="C118" s="507">
        <f>IF(D93="","-",+C117+1)</f>
        <v>2035</v>
      </c>
      <c r="D118" s="374">
        <f>IF(F117+SUM(E$99:E117)=D$92,F117,D$92-SUM(E$99:E117))</f>
        <v>14139138.067539105</v>
      </c>
      <c r="E118" s="522">
        <f>IF(+J96&lt;F117,J96,D118)</f>
        <v>617827.53658536589</v>
      </c>
      <c r="F118" s="523">
        <f t="shared" si="22"/>
        <v>13521310.530953739</v>
      </c>
      <c r="G118" s="523">
        <f t="shared" si="23"/>
        <v>13830224.299246423</v>
      </c>
      <c r="H118" s="526">
        <f t="shared" si="24"/>
        <v>2187754.7484627804</v>
      </c>
      <c r="I118" s="577">
        <f t="shared" si="25"/>
        <v>2187754.7484627804</v>
      </c>
      <c r="J118" s="514">
        <f t="shared" si="15"/>
        <v>0</v>
      </c>
      <c r="K118" s="514"/>
      <c r="L118" s="525"/>
      <c r="M118" s="514">
        <f t="shared" si="16"/>
        <v>0</v>
      </c>
      <c r="N118" s="525"/>
      <c r="O118" s="514">
        <f t="shared" si="17"/>
        <v>0</v>
      </c>
      <c r="P118" s="514">
        <f t="shared" si="18"/>
        <v>0</v>
      </c>
    </row>
    <row r="119" spans="2:16" ht="12.5">
      <c r="B119" s="195" t="str">
        <f t="shared" si="19"/>
        <v/>
      </c>
      <c r="C119" s="507">
        <f>IF(D93="","-",+C118+1)</f>
        <v>2036</v>
      </c>
      <c r="D119" s="374">
        <f>IF(F118+SUM(E$99:E118)=D$92,F118,D$92-SUM(E$99:E118))</f>
        <v>13521310.530953739</v>
      </c>
      <c r="E119" s="522">
        <f>IF(+J96&lt;F118,J96,D119)</f>
        <v>617827.53658536589</v>
      </c>
      <c r="F119" s="523">
        <f t="shared" si="22"/>
        <v>12903482.994368372</v>
      </c>
      <c r="G119" s="523">
        <f t="shared" si="23"/>
        <v>13212396.762661055</v>
      </c>
      <c r="H119" s="526">
        <f t="shared" si="24"/>
        <v>2117622.5336160976</v>
      </c>
      <c r="I119" s="577">
        <f t="shared" si="25"/>
        <v>2117622.5336160976</v>
      </c>
      <c r="J119" s="514">
        <f t="shared" si="15"/>
        <v>0</v>
      </c>
      <c r="K119" s="514"/>
      <c r="L119" s="525"/>
      <c r="M119" s="514">
        <f t="shared" si="16"/>
        <v>0</v>
      </c>
      <c r="N119" s="525"/>
      <c r="O119" s="514">
        <f t="shared" si="17"/>
        <v>0</v>
      </c>
      <c r="P119" s="514">
        <f t="shared" si="18"/>
        <v>0</v>
      </c>
    </row>
    <row r="120" spans="2:16" ht="12.5">
      <c r="B120" s="195" t="str">
        <f t="shared" si="19"/>
        <v/>
      </c>
      <c r="C120" s="507">
        <f>IF(D93="","-",+C119+1)</f>
        <v>2037</v>
      </c>
      <c r="D120" s="374">
        <f>IF(F119+SUM(E$99:E119)=D$92,F119,D$92-SUM(E$99:E119))</f>
        <v>12903482.994368372</v>
      </c>
      <c r="E120" s="522">
        <f>IF(+J96&lt;F119,J96,D120)</f>
        <v>617827.53658536589</v>
      </c>
      <c r="F120" s="523">
        <f t="shared" si="22"/>
        <v>12285655.457783006</v>
      </c>
      <c r="G120" s="523">
        <f t="shared" si="23"/>
        <v>12594569.22607569</v>
      </c>
      <c r="H120" s="526">
        <f t="shared" si="24"/>
        <v>2047490.3187694158</v>
      </c>
      <c r="I120" s="577">
        <f t="shared" si="25"/>
        <v>2047490.3187694158</v>
      </c>
      <c r="J120" s="514">
        <f t="shared" si="15"/>
        <v>0</v>
      </c>
      <c r="K120" s="514"/>
      <c r="L120" s="525"/>
      <c r="M120" s="514">
        <f t="shared" si="16"/>
        <v>0</v>
      </c>
      <c r="N120" s="525"/>
      <c r="O120" s="514">
        <f t="shared" si="17"/>
        <v>0</v>
      </c>
      <c r="P120" s="514">
        <f t="shared" si="18"/>
        <v>0</v>
      </c>
    </row>
    <row r="121" spans="2:16" ht="12.5">
      <c r="B121" s="195" t="str">
        <f t="shared" si="19"/>
        <v/>
      </c>
      <c r="C121" s="507">
        <f>IF(D93="","-",+C120+1)</f>
        <v>2038</v>
      </c>
      <c r="D121" s="374">
        <f>IF(F120+SUM(E$99:E120)=D$92,F120,D$92-SUM(E$99:E120))</f>
        <v>12285655.457783006</v>
      </c>
      <c r="E121" s="522">
        <f>IF(+J96&lt;F120,J96,D121)</f>
        <v>617827.53658536589</v>
      </c>
      <c r="F121" s="523">
        <f t="shared" si="22"/>
        <v>11667827.92119764</v>
      </c>
      <c r="G121" s="523">
        <f t="shared" si="23"/>
        <v>11976741.689490322</v>
      </c>
      <c r="H121" s="526">
        <f t="shared" si="24"/>
        <v>1977358.1039227333</v>
      </c>
      <c r="I121" s="577">
        <f t="shared" si="25"/>
        <v>1977358.1039227333</v>
      </c>
      <c r="J121" s="514">
        <f t="shared" si="15"/>
        <v>0</v>
      </c>
      <c r="K121" s="514"/>
      <c r="L121" s="525"/>
      <c r="M121" s="514">
        <f t="shared" si="16"/>
        <v>0</v>
      </c>
      <c r="N121" s="525"/>
      <c r="O121" s="514">
        <f t="shared" si="17"/>
        <v>0</v>
      </c>
      <c r="P121" s="514">
        <f t="shared" si="18"/>
        <v>0</v>
      </c>
    </row>
    <row r="122" spans="2:16" ht="12.5">
      <c r="B122" s="195" t="str">
        <f t="shared" si="19"/>
        <v/>
      </c>
      <c r="C122" s="507">
        <f>IF(D93="","-",+C121+1)</f>
        <v>2039</v>
      </c>
      <c r="D122" s="374">
        <f>IF(F121+SUM(E$99:E121)=D$92,F121,D$92-SUM(E$99:E121))</f>
        <v>11667827.92119764</v>
      </c>
      <c r="E122" s="522">
        <f>IF(+J96&lt;F121,J96,D122)</f>
        <v>617827.53658536589</v>
      </c>
      <c r="F122" s="523">
        <f t="shared" si="22"/>
        <v>11050000.384612273</v>
      </c>
      <c r="G122" s="523">
        <f t="shared" si="23"/>
        <v>11358914.152904958</v>
      </c>
      <c r="H122" s="526">
        <f t="shared" si="24"/>
        <v>1907225.8890760513</v>
      </c>
      <c r="I122" s="577">
        <f t="shared" si="25"/>
        <v>1907225.8890760513</v>
      </c>
      <c r="J122" s="514">
        <f t="shared" si="15"/>
        <v>0</v>
      </c>
      <c r="K122" s="514"/>
      <c r="L122" s="525"/>
      <c r="M122" s="514">
        <f t="shared" si="16"/>
        <v>0</v>
      </c>
      <c r="N122" s="525"/>
      <c r="O122" s="514">
        <f t="shared" si="17"/>
        <v>0</v>
      </c>
      <c r="P122" s="514">
        <f t="shared" si="18"/>
        <v>0</v>
      </c>
    </row>
    <row r="123" spans="2:16" ht="12.5">
      <c r="B123" s="195" t="str">
        <f t="shared" si="19"/>
        <v/>
      </c>
      <c r="C123" s="507">
        <f>IF(D93="","-",+C122+1)</f>
        <v>2040</v>
      </c>
      <c r="D123" s="374">
        <f>IF(F122+SUM(E$99:E122)=D$92,F122,D$92-SUM(E$99:E122))</f>
        <v>11050000.384612273</v>
      </c>
      <c r="E123" s="522">
        <f>IF(+J96&lt;F122,J96,D123)</f>
        <v>617827.53658536589</v>
      </c>
      <c r="F123" s="523">
        <f t="shared" si="22"/>
        <v>10432172.848026907</v>
      </c>
      <c r="G123" s="523">
        <f t="shared" si="23"/>
        <v>10741086.616319589</v>
      </c>
      <c r="H123" s="526">
        <f t="shared" si="24"/>
        <v>1837093.674229369</v>
      </c>
      <c r="I123" s="577">
        <f t="shared" si="25"/>
        <v>1837093.674229369</v>
      </c>
      <c r="J123" s="514">
        <f t="shared" si="15"/>
        <v>0</v>
      </c>
      <c r="K123" s="514"/>
      <c r="L123" s="525"/>
      <c r="M123" s="514">
        <f t="shared" si="16"/>
        <v>0</v>
      </c>
      <c r="N123" s="525"/>
      <c r="O123" s="514">
        <f t="shared" si="17"/>
        <v>0</v>
      </c>
      <c r="P123" s="514">
        <f t="shared" si="18"/>
        <v>0</v>
      </c>
    </row>
    <row r="124" spans="2:16" ht="12.5">
      <c r="B124" s="195" t="str">
        <f t="shared" si="19"/>
        <v/>
      </c>
      <c r="C124" s="507">
        <f>IF(D93="","-",+C123+1)</f>
        <v>2041</v>
      </c>
      <c r="D124" s="374">
        <f>IF(F123+SUM(E$99:E123)=D$92,F123,D$92-SUM(E$99:E123))</f>
        <v>10432172.848026907</v>
      </c>
      <c r="E124" s="522">
        <f>IF(+J96&lt;F123,J96,D124)</f>
        <v>617827.53658536589</v>
      </c>
      <c r="F124" s="523">
        <f t="shared" si="22"/>
        <v>9814345.3114415407</v>
      </c>
      <c r="G124" s="523">
        <f t="shared" si="23"/>
        <v>10123259.079734225</v>
      </c>
      <c r="H124" s="526">
        <f t="shared" si="24"/>
        <v>1766961.459382687</v>
      </c>
      <c r="I124" s="577">
        <f t="shared" si="25"/>
        <v>1766961.459382687</v>
      </c>
      <c r="J124" s="514">
        <f t="shared" si="15"/>
        <v>0</v>
      </c>
      <c r="K124" s="514"/>
      <c r="L124" s="525"/>
      <c r="M124" s="514">
        <f t="shared" si="16"/>
        <v>0</v>
      </c>
      <c r="N124" s="525"/>
      <c r="O124" s="514">
        <f t="shared" si="17"/>
        <v>0</v>
      </c>
      <c r="P124" s="514">
        <f t="shared" si="18"/>
        <v>0</v>
      </c>
    </row>
    <row r="125" spans="2:16" ht="12.5">
      <c r="B125" s="195" t="str">
        <f t="shared" si="19"/>
        <v/>
      </c>
      <c r="C125" s="507">
        <f>IF(D93="","-",+C124+1)</f>
        <v>2042</v>
      </c>
      <c r="D125" s="374">
        <f>IF(F124+SUM(E$99:E124)=D$92,F124,D$92-SUM(E$99:E124))</f>
        <v>9814345.3114415407</v>
      </c>
      <c r="E125" s="522">
        <f>IF(+J96&lt;F124,J96,D125)</f>
        <v>617827.53658536589</v>
      </c>
      <c r="F125" s="523">
        <f t="shared" si="22"/>
        <v>9196517.7748561744</v>
      </c>
      <c r="G125" s="523">
        <f t="shared" si="23"/>
        <v>9505431.5431488566</v>
      </c>
      <c r="H125" s="526">
        <f t="shared" si="24"/>
        <v>1696829.2445360045</v>
      </c>
      <c r="I125" s="577">
        <f t="shared" si="25"/>
        <v>1696829.2445360045</v>
      </c>
      <c r="J125" s="514">
        <f t="shared" si="15"/>
        <v>0</v>
      </c>
      <c r="K125" s="514"/>
      <c r="L125" s="525"/>
      <c r="M125" s="514">
        <f t="shared" si="16"/>
        <v>0</v>
      </c>
      <c r="N125" s="525"/>
      <c r="O125" s="514">
        <f t="shared" si="17"/>
        <v>0</v>
      </c>
      <c r="P125" s="514">
        <f t="shared" si="18"/>
        <v>0</v>
      </c>
    </row>
    <row r="126" spans="2:16" ht="12.5">
      <c r="B126" s="195" t="str">
        <f t="shared" si="19"/>
        <v/>
      </c>
      <c r="C126" s="507">
        <f>IF(D93="","-",+C125+1)</f>
        <v>2043</v>
      </c>
      <c r="D126" s="374">
        <f>IF(F125+SUM(E$99:E125)=D$92,F125,D$92-SUM(E$99:E125))</f>
        <v>9196517.7748561744</v>
      </c>
      <c r="E126" s="522">
        <f>IF(+J96&lt;F125,J96,D126)</f>
        <v>617827.53658536589</v>
      </c>
      <c r="F126" s="523">
        <f t="shared" si="22"/>
        <v>8578690.238270808</v>
      </c>
      <c r="G126" s="523">
        <f t="shared" si="23"/>
        <v>8887604.0065634921</v>
      </c>
      <c r="H126" s="526">
        <f t="shared" si="24"/>
        <v>1626697.0296893225</v>
      </c>
      <c r="I126" s="577">
        <f t="shared" si="25"/>
        <v>1626697.0296893225</v>
      </c>
      <c r="J126" s="514">
        <f t="shared" si="15"/>
        <v>0</v>
      </c>
      <c r="K126" s="514"/>
      <c r="L126" s="525"/>
      <c r="M126" s="514">
        <f t="shared" si="16"/>
        <v>0</v>
      </c>
      <c r="N126" s="525"/>
      <c r="O126" s="514">
        <f t="shared" si="17"/>
        <v>0</v>
      </c>
      <c r="P126" s="514">
        <f t="shared" si="18"/>
        <v>0</v>
      </c>
    </row>
    <row r="127" spans="2:16" ht="12.5">
      <c r="B127" s="195" t="str">
        <f t="shared" si="19"/>
        <v/>
      </c>
      <c r="C127" s="507">
        <f>IF(D93="","-",+C126+1)</f>
        <v>2044</v>
      </c>
      <c r="D127" s="374">
        <f>IF(F126+SUM(E$99:E126)=D$92,F126,D$92-SUM(E$99:E126))</f>
        <v>8578690.238270808</v>
      </c>
      <c r="E127" s="522">
        <f>IF(+J96&lt;F126,J96,D127)</f>
        <v>617827.53658536589</v>
      </c>
      <c r="F127" s="523">
        <f t="shared" si="22"/>
        <v>7960862.7016854417</v>
      </c>
      <c r="G127" s="523">
        <f t="shared" si="23"/>
        <v>8269776.4699781248</v>
      </c>
      <c r="H127" s="526">
        <f t="shared" si="24"/>
        <v>1556564.81484264</v>
      </c>
      <c r="I127" s="577">
        <f t="shared" si="25"/>
        <v>1556564.81484264</v>
      </c>
      <c r="J127" s="514">
        <f t="shared" si="15"/>
        <v>0</v>
      </c>
      <c r="K127" s="514"/>
      <c r="L127" s="525"/>
      <c r="M127" s="514">
        <f t="shared" si="16"/>
        <v>0</v>
      </c>
      <c r="N127" s="525"/>
      <c r="O127" s="514">
        <f t="shared" si="17"/>
        <v>0</v>
      </c>
      <c r="P127" s="514">
        <f t="shared" si="18"/>
        <v>0</v>
      </c>
    </row>
    <row r="128" spans="2:16" ht="12.5">
      <c r="B128" s="195" t="str">
        <f t="shared" si="19"/>
        <v/>
      </c>
      <c r="C128" s="507">
        <f>IF(D93="","-",+C127+1)</f>
        <v>2045</v>
      </c>
      <c r="D128" s="374">
        <f>IF(F127+SUM(E$99:E127)=D$92,F127,D$92-SUM(E$99:E127))</f>
        <v>7960862.7016854417</v>
      </c>
      <c r="E128" s="522">
        <f>IF(+J96&lt;F127,J96,D128)</f>
        <v>617827.53658536589</v>
      </c>
      <c r="F128" s="523">
        <f t="shared" si="22"/>
        <v>7343035.1651000753</v>
      </c>
      <c r="G128" s="523">
        <f t="shared" si="23"/>
        <v>7651948.9333927585</v>
      </c>
      <c r="H128" s="526">
        <f t="shared" si="24"/>
        <v>1486432.5999959577</v>
      </c>
      <c r="I128" s="577">
        <f t="shared" si="25"/>
        <v>1486432.5999959577</v>
      </c>
      <c r="J128" s="514">
        <f t="shared" si="15"/>
        <v>0</v>
      </c>
      <c r="K128" s="514"/>
      <c r="L128" s="525"/>
      <c r="M128" s="514">
        <f t="shared" si="16"/>
        <v>0</v>
      </c>
      <c r="N128" s="525"/>
      <c r="O128" s="514">
        <f t="shared" si="17"/>
        <v>0</v>
      </c>
      <c r="P128" s="514">
        <f t="shared" si="18"/>
        <v>0</v>
      </c>
    </row>
    <row r="129" spans="2:16" ht="12.5">
      <c r="B129" s="195" t="str">
        <f t="shared" si="19"/>
        <v/>
      </c>
      <c r="C129" s="507">
        <f>IF(D93="","-",+C128+1)</f>
        <v>2046</v>
      </c>
      <c r="D129" s="374">
        <f>IF(F128+SUM(E$99:E128)=D$92,F128,D$92-SUM(E$99:E128))</f>
        <v>7343035.1651000753</v>
      </c>
      <c r="E129" s="522">
        <f>IF(+J96&lt;F128,J96,D129)</f>
        <v>617827.53658536589</v>
      </c>
      <c r="F129" s="523">
        <f t="shared" si="22"/>
        <v>6725207.628514709</v>
      </c>
      <c r="G129" s="523">
        <f t="shared" si="23"/>
        <v>7034121.3968073921</v>
      </c>
      <c r="H129" s="526">
        <f t="shared" si="24"/>
        <v>1416300.3851492757</v>
      </c>
      <c r="I129" s="577">
        <f t="shared" si="25"/>
        <v>1416300.3851492757</v>
      </c>
      <c r="J129" s="514">
        <f t="shared" si="15"/>
        <v>0</v>
      </c>
      <c r="K129" s="514"/>
      <c r="L129" s="525"/>
      <c r="M129" s="514">
        <f t="shared" si="16"/>
        <v>0</v>
      </c>
      <c r="N129" s="525"/>
      <c r="O129" s="514">
        <f t="shared" si="17"/>
        <v>0</v>
      </c>
      <c r="P129" s="514">
        <f t="shared" si="18"/>
        <v>0</v>
      </c>
    </row>
    <row r="130" spans="2:16" ht="12.5">
      <c r="B130" s="195" t="str">
        <f t="shared" si="19"/>
        <v/>
      </c>
      <c r="C130" s="507">
        <f>IF(D93="","-",+C129+1)</f>
        <v>2047</v>
      </c>
      <c r="D130" s="374">
        <f>IF(F129+SUM(E$99:E129)=D$92,F129,D$92-SUM(E$99:E129))</f>
        <v>6725207.628514709</v>
      </c>
      <c r="E130" s="522">
        <f>IF(+J96&lt;F129,J96,D130)</f>
        <v>617827.53658536589</v>
      </c>
      <c r="F130" s="523">
        <f t="shared" si="22"/>
        <v>6107380.0919293426</v>
      </c>
      <c r="G130" s="523">
        <f t="shared" si="23"/>
        <v>6416293.8602220258</v>
      </c>
      <c r="H130" s="526">
        <f t="shared" si="24"/>
        <v>1346168.1703025934</v>
      </c>
      <c r="I130" s="577">
        <f t="shared" si="25"/>
        <v>1346168.1703025934</v>
      </c>
      <c r="J130" s="514">
        <f t="shared" si="15"/>
        <v>0</v>
      </c>
      <c r="K130" s="514"/>
      <c r="L130" s="525"/>
      <c r="M130" s="514">
        <f t="shared" si="16"/>
        <v>0</v>
      </c>
      <c r="N130" s="525"/>
      <c r="O130" s="514">
        <f t="shared" si="17"/>
        <v>0</v>
      </c>
      <c r="P130" s="514">
        <f t="shared" si="18"/>
        <v>0</v>
      </c>
    </row>
    <row r="131" spans="2:16" ht="12.5">
      <c r="B131" s="195" t="str">
        <f t="shared" si="19"/>
        <v/>
      </c>
      <c r="C131" s="507">
        <f>IF(D93="","-",+C130+1)</f>
        <v>2048</v>
      </c>
      <c r="D131" s="374">
        <f>IF(F130+SUM(E$99:E130)=D$92,F130,D$92-SUM(E$99:E130))</f>
        <v>6107380.0919293426</v>
      </c>
      <c r="E131" s="522">
        <f>IF(+J96&lt;F130,J96,D131)</f>
        <v>617827.53658536589</v>
      </c>
      <c r="F131" s="523">
        <f t="shared" ref="F131:F154" si="26">+D131-E131</f>
        <v>5489552.5553439762</v>
      </c>
      <c r="G131" s="523">
        <f t="shared" ref="G131:G154" si="27">+(F131+D131)/2</f>
        <v>5798466.3236366594</v>
      </c>
      <c r="H131" s="526">
        <f t="shared" si="24"/>
        <v>1276035.9554559111</v>
      </c>
      <c r="I131" s="577">
        <f t="shared" si="25"/>
        <v>1276035.9554559111</v>
      </c>
      <c r="J131" s="514">
        <f t="shared" ref="J131:J154" si="28">+I541-H541</f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 ht="12.5">
      <c r="B132" s="195" t="str">
        <f t="shared" si="19"/>
        <v/>
      </c>
      <c r="C132" s="507">
        <f>IF(D93="","-",+C131+1)</f>
        <v>2049</v>
      </c>
      <c r="D132" s="374">
        <f>IF(F131+SUM(E$99:E131)=D$92,F131,D$92-SUM(E$99:E131))</f>
        <v>5489552.5553439762</v>
      </c>
      <c r="E132" s="522">
        <f>IF(+J96&lt;F131,J96,D132)</f>
        <v>617827.53658536589</v>
      </c>
      <c r="F132" s="523">
        <f t="shared" si="26"/>
        <v>4871725.0187586099</v>
      </c>
      <c r="G132" s="523">
        <f t="shared" si="27"/>
        <v>5180638.7870512931</v>
      </c>
      <c r="H132" s="526">
        <f t="shared" si="24"/>
        <v>1205903.7406092288</v>
      </c>
      <c r="I132" s="577">
        <f t="shared" si="25"/>
        <v>1205903.7406092288</v>
      </c>
      <c r="J132" s="514">
        <f t="shared" si="28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 ht="12.5">
      <c r="B133" s="195" t="str">
        <f t="shared" si="19"/>
        <v/>
      </c>
      <c r="C133" s="507">
        <f>IF(D93="","-",+C132+1)</f>
        <v>2050</v>
      </c>
      <c r="D133" s="374">
        <f>IF(F132+SUM(E$99:E132)=D$92,F132,D$92-SUM(E$99:E132))</f>
        <v>4871725.0187586099</v>
      </c>
      <c r="E133" s="522">
        <f>IF(+J96&lt;F132,J96,D133)</f>
        <v>617827.53658536589</v>
      </c>
      <c r="F133" s="523">
        <f t="shared" si="26"/>
        <v>4253897.4821732435</v>
      </c>
      <c r="G133" s="523">
        <f t="shared" si="27"/>
        <v>4562811.2504659267</v>
      </c>
      <c r="H133" s="526">
        <f t="shared" si="24"/>
        <v>1135771.5257625466</v>
      </c>
      <c r="I133" s="577">
        <f t="shared" si="25"/>
        <v>1135771.5257625466</v>
      </c>
      <c r="J133" s="514">
        <f t="shared" si="28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 ht="12.5">
      <c r="B134" s="195" t="str">
        <f t="shared" si="19"/>
        <v/>
      </c>
      <c r="C134" s="507">
        <f>IF(D93="","-",+C133+1)</f>
        <v>2051</v>
      </c>
      <c r="D134" s="374">
        <f>IF(F133+SUM(E$99:E133)=D$92,F133,D$92-SUM(E$99:E133))</f>
        <v>4253897.4821732435</v>
      </c>
      <c r="E134" s="522">
        <f>IF(+J96&lt;F133,J96,D134)</f>
        <v>617827.53658536589</v>
      </c>
      <c r="F134" s="523">
        <f t="shared" si="26"/>
        <v>3636069.9455878776</v>
      </c>
      <c r="G134" s="523">
        <f t="shared" si="27"/>
        <v>3944983.7138805604</v>
      </c>
      <c r="H134" s="526">
        <f t="shared" si="24"/>
        <v>1065639.3109158643</v>
      </c>
      <c r="I134" s="577">
        <f t="shared" si="25"/>
        <v>1065639.3109158643</v>
      </c>
      <c r="J134" s="514">
        <f t="shared" si="28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 ht="12.5">
      <c r="B135" s="195" t="str">
        <f t="shared" si="19"/>
        <v/>
      </c>
      <c r="C135" s="507">
        <f>IF(D93="","-",+C134+1)</f>
        <v>2052</v>
      </c>
      <c r="D135" s="374">
        <f>IF(F134+SUM(E$99:E134)=D$92,F134,D$92-SUM(E$99:E134))</f>
        <v>3636069.9455878776</v>
      </c>
      <c r="E135" s="522">
        <f>IF(+J96&lt;F134,J96,D135)</f>
        <v>617827.53658536589</v>
      </c>
      <c r="F135" s="523">
        <f t="shared" si="26"/>
        <v>3018242.4090025118</v>
      </c>
      <c r="G135" s="523">
        <f t="shared" si="27"/>
        <v>3327156.1772951949</v>
      </c>
      <c r="H135" s="526">
        <f t="shared" si="24"/>
        <v>995507.09606918227</v>
      </c>
      <c r="I135" s="577">
        <f t="shared" si="25"/>
        <v>995507.09606918227</v>
      </c>
      <c r="J135" s="514">
        <f t="shared" si="28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 ht="12.5">
      <c r="B136" s="195" t="str">
        <f t="shared" si="19"/>
        <v/>
      </c>
      <c r="C136" s="507">
        <f>IF(D93="","-",+C135+1)</f>
        <v>2053</v>
      </c>
      <c r="D136" s="374">
        <f>IF(F135+SUM(E$99:E135)=D$92,F135,D$92-SUM(E$99:E135))</f>
        <v>3018242.4090025118</v>
      </c>
      <c r="E136" s="522">
        <f>IF(+J96&lt;F135,J96,D136)</f>
        <v>617827.53658536589</v>
      </c>
      <c r="F136" s="523">
        <f t="shared" si="26"/>
        <v>2400414.8724171459</v>
      </c>
      <c r="G136" s="523">
        <f t="shared" si="27"/>
        <v>2709328.6407098286</v>
      </c>
      <c r="H136" s="526">
        <f t="shared" si="24"/>
        <v>925374.8812225</v>
      </c>
      <c r="I136" s="577">
        <f t="shared" si="25"/>
        <v>925374.8812225</v>
      </c>
      <c r="J136" s="514">
        <f t="shared" si="28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 ht="12.5">
      <c r="B137" s="195" t="str">
        <f t="shared" si="19"/>
        <v/>
      </c>
      <c r="C137" s="507">
        <f>IF(D93="","-",+C136+1)</f>
        <v>2054</v>
      </c>
      <c r="D137" s="374">
        <f>IF(F136+SUM(E$99:E136)=D$92,F136,D$92-SUM(E$99:E136))</f>
        <v>2400414.8724171459</v>
      </c>
      <c r="E137" s="522">
        <f>IF(+J96&lt;F136,J96,D137)</f>
        <v>617827.53658536589</v>
      </c>
      <c r="F137" s="523">
        <f t="shared" si="26"/>
        <v>1782587.33583178</v>
      </c>
      <c r="G137" s="523">
        <f t="shared" si="27"/>
        <v>2091501.1041244629</v>
      </c>
      <c r="H137" s="526">
        <f t="shared" si="24"/>
        <v>855242.66637581785</v>
      </c>
      <c r="I137" s="577">
        <f t="shared" si="25"/>
        <v>855242.66637581785</v>
      </c>
      <c r="J137" s="514">
        <f t="shared" si="28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 ht="12.5">
      <c r="B138" s="195" t="str">
        <f t="shared" si="19"/>
        <v/>
      </c>
      <c r="C138" s="507">
        <f>IF(D93="","-",+C137+1)</f>
        <v>2055</v>
      </c>
      <c r="D138" s="374">
        <f>IF(F137+SUM(E$99:E137)=D$92,F137,D$92-SUM(E$99:E137))</f>
        <v>1782587.33583178</v>
      </c>
      <c r="E138" s="522">
        <f>IF(+J96&lt;F137,J96,D138)</f>
        <v>617827.53658536589</v>
      </c>
      <c r="F138" s="523">
        <f t="shared" si="26"/>
        <v>1164759.7992464141</v>
      </c>
      <c r="G138" s="523">
        <f t="shared" si="27"/>
        <v>1473673.567539097</v>
      </c>
      <c r="H138" s="526">
        <f t="shared" si="24"/>
        <v>785110.45152913569</v>
      </c>
      <c r="I138" s="577">
        <f t="shared" si="25"/>
        <v>785110.45152913569</v>
      </c>
      <c r="J138" s="514">
        <f t="shared" si="28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 ht="12.5">
      <c r="B139" s="195" t="str">
        <f t="shared" si="19"/>
        <v/>
      </c>
      <c r="C139" s="507">
        <f>IF(D93="","-",+C138+1)</f>
        <v>2056</v>
      </c>
      <c r="D139" s="374">
        <f>IF(F138+SUM(E$99:E138)=D$92,F138,D$92-SUM(E$99:E138))</f>
        <v>1164759.7992464141</v>
      </c>
      <c r="E139" s="522">
        <f>IF(+J96&lt;F138,J96,D139)</f>
        <v>617827.53658536589</v>
      </c>
      <c r="F139" s="523">
        <f t="shared" si="26"/>
        <v>546932.26266104821</v>
      </c>
      <c r="G139" s="523">
        <f t="shared" si="27"/>
        <v>855846.03095373116</v>
      </c>
      <c r="H139" s="526">
        <f t="shared" si="24"/>
        <v>714978.23668245343</v>
      </c>
      <c r="I139" s="577">
        <f t="shared" si="25"/>
        <v>714978.23668245343</v>
      </c>
      <c r="J139" s="514">
        <f t="shared" si="28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 ht="12.5">
      <c r="B140" s="195" t="str">
        <f t="shared" si="19"/>
        <v/>
      </c>
      <c r="C140" s="507">
        <f>IF(D93="","-",+C139+1)</f>
        <v>2057</v>
      </c>
      <c r="D140" s="374">
        <f>IF(F139+SUM(E$99:E139)=D$92,F139,D$92-SUM(E$99:E139))</f>
        <v>546932.26266104821</v>
      </c>
      <c r="E140" s="522">
        <f>IF(+J96&lt;F139,J96,D140)</f>
        <v>546932.26266104821</v>
      </c>
      <c r="F140" s="523">
        <f t="shared" si="26"/>
        <v>0</v>
      </c>
      <c r="G140" s="523">
        <f t="shared" si="27"/>
        <v>273466.13133052411</v>
      </c>
      <c r="H140" s="526">
        <f t="shared" si="24"/>
        <v>577974.55899792141</v>
      </c>
      <c r="I140" s="577">
        <f t="shared" si="25"/>
        <v>577974.55899792141</v>
      </c>
      <c r="J140" s="514">
        <f t="shared" si="28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 ht="12.5">
      <c r="B141" s="195" t="str">
        <f t="shared" si="19"/>
        <v/>
      </c>
      <c r="C141" s="507">
        <f>IF(D93="","-",+C140+1)</f>
        <v>2058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6"/>
        <v>0</v>
      </c>
      <c r="G141" s="523">
        <f t="shared" si="27"/>
        <v>0</v>
      </c>
      <c r="H141" s="526">
        <f t="shared" si="24"/>
        <v>0</v>
      </c>
      <c r="I141" s="577">
        <f t="shared" si="25"/>
        <v>0</v>
      </c>
      <c r="J141" s="514">
        <f t="shared" si="28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 ht="12.5">
      <c r="B142" s="195" t="str">
        <f t="shared" si="19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6"/>
        <v>0</v>
      </c>
      <c r="G142" s="523">
        <f t="shared" si="27"/>
        <v>0</v>
      </c>
      <c r="H142" s="526">
        <f t="shared" si="24"/>
        <v>0</v>
      </c>
      <c r="I142" s="577">
        <f t="shared" si="25"/>
        <v>0</v>
      </c>
      <c r="J142" s="514">
        <f t="shared" si="28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 ht="12.5">
      <c r="B143" s="195" t="str">
        <f t="shared" si="19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6"/>
        <v>0</v>
      </c>
      <c r="G143" s="523">
        <f t="shared" si="27"/>
        <v>0</v>
      </c>
      <c r="H143" s="526">
        <f t="shared" si="24"/>
        <v>0</v>
      </c>
      <c r="I143" s="577">
        <f t="shared" si="25"/>
        <v>0</v>
      </c>
      <c r="J143" s="514">
        <f t="shared" si="28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 ht="12.5">
      <c r="B144" s="195" t="str">
        <f t="shared" si="19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6"/>
        <v>0</v>
      </c>
      <c r="G144" s="523">
        <f t="shared" si="27"/>
        <v>0</v>
      </c>
      <c r="H144" s="526">
        <f t="shared" si="24"/>
        <v>0</v>
      </c>
      <c r="I144" s="577">
        <f t="shared" si="25"/>
        <v>0</v>
      </c>
      <c r="J144" s="514">
        <f t="shared" si="28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 ht="12.5">
      <c r="B145" s="195" t="str">
        <f t="shared" si="19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6"/>
        <v>0</v>
      </c>
      <c r="G145" s="523">
        <f t="shared" si="27"/>
        <v>0</v>
      </c>
      <c r="H145" s="526">
        <f t="shared" si="24"/>
        <v>0</v>
      </c>
      <c r="I145" s="577">
        <f t="shared" si="25"/>
        <v>0</v>
      </c>
      <c r="J145" s="514">
        <f t="shared" si="28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 ht="12.5">
      <c r="B146" s="195" t="str">
        <f t="shared" si="19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6"/>
        <v>0</v>
      </c>
      <c r="G146" s="523">
        <f t="shared" si="27"/>
        <v>0</v>
      </c>
      <c r="H146" s="526">
        <f t="shared" si="24"/>
        <v>0</v>
      </c>
      <c r="I146" s="577">
        <f t="shared" si="25"/>
        <v>0</v>
      </c>
      <c r="J146" s="514">
        <f t="shared" si="28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 ht="12.5">
      <c r="B147" s="195" t="str">
        <f t="shared" si="19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6"/>
        <v>0</v>
      </c>
      <c r="G147" s="523">
        <f t="shared" si="27"/>
        <v>0</v>
      </c>
      <c r="H147" s="526">
        <f t="shared" si="24"/>
        <v>0</v>
      </c>
      <c r="I147" s="577">
        <f t="shared" si="25"/>
        <v>0</v>
      </c>
      <c r="J147" s="514">
        <f t="shared" si="28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 ht="12.5">
      <c r="B148" s="195" t="str">
        <f t="shared" si="19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6"/>
        <v>0</v>
      </c>
      <c r="G148" s="523">
        <f t="shared" si="27"/>
        <v>0</v>
      </c>
      <c r="H148" s="526">
        <f t="shared" si="24"/>
        <v>0</v>
      </c>
      <c r="I148" s="577">
        <f t="shared" si="25"/>
        <v>0</v>
      </c>
      <c r="J148" s="514">
        <f t="shared" si="28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 ht="12.5">
      <c r="B149" s="195" t="str">
        <f t="shared" si="19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6"/>
        <v>0</v>
      </c>
      <c r="G149" s="523">
        <f t="shared" si="27"/>
        <v>0</v>
      </c>
      <c r="H149" s="526">
        <f t="shared" si="24"/>
        <v>0</v>
      </c>
      <c r="I149" s="577">
        <f t="shared" si="25"/>
        <v>0</v>
      </c>
      <c r="J149" s="514">
        <f t="shared" si="28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 ht="12.5">
      <c r="B150" s="195" t="str">
        <f t="shared" si="19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6"/>
        <v>0</v>
      </c>
      <c r="G150" s="523">
        <f t="shared" si="27"/>
        <v>0</v>
      </c>
      <c r="H150" s="526">
        <f t="shared" si="24"/>
        <v>0</v>
      </c>
      <c r="I150" s="577">
        <f t="shared" si="25"/>
        <v>0</v>
      </c>
      <c r="J150" s="514">
        <f t="shared" si="28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 ht="12.5">
      <c r="B151" s="195" t="str">
        <f t="shared" si="19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6"/>
        <v>0</v>
      </c>
      <c r="G151" s="523">
        <f t="shared" si="27"/>
        <v>0</v>
      </c>
      <c r="H151" s="526">
        <f t="shared" si="24"/>
        <v>0</v>
      </c>
      <c r="I151" s="577">
        <f t="shared" si="25"/>
        <v>0</v>
      </c>
      <c r="J151" s="514">
        <f t="shared" si="28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 ht="12.5">
      <c r="B152" s="195" t="str">
        <f t="shared" si="19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6"/>
        <v>0</v>
      </c>
      <c r="G152" s="523">
        <f t="shared" si="27"/>
        <v>0</v>
      </c>
      <c r="H152" s="526">
        <f t="shared" si="24"/>
        <v>0</v>
      </c>
      <c r="I152" s="577">
        <f t="shared" si="25"/>
        <v>0</v>
      </c>
      <c r="J152" s="514">
        <f t="shared" si="28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 ht="12.5">
      <c r="B153" s="195" t="str">
        <f t="shared" si="19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6"/>
        <v>0</v>
      </c>
      <c r="G153" s="523">
        <f t="shared" si="27"/>
        <v>0</v>
      </c>
      <c r="H153" s="526">
        <f t="shared" si="24"/>
        <v>0</v>
      </c>
      <c r="I153" s="577">
        <f t="shared" si="25"/>
        <v>0</v>
      </c>
      <c r="J153" s="514">
        <f t="shared" si="28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" thickBot="1">
      <c r="B154" s="195" t="str">
        <f t="shared" si="19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6"/>
        <v>0</v>
      </c>
      <c r="G154" s="528">
        <f t="shared" si="27"/>
        <v>0</v>
      </c>
      <c r="H154" s="530">
        <f t="shared" si="24"/>
        <v>0</v>
      </c>
      <c r="I154" s="579">
        <f t="shared" si="25"/>
        <v>0</v>
      </c>
      <c r="J154" s="533">
        <f t="shared" si="28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 ht="12.5">
      <c r="C155" s="374" t="s">
        <v>78</v>
      </c>
      <c r="D155" s="375"/>
      <c r="E155" s="375">
        <f>SUM(E99:E154)</f>
        <v>25330928.999999993</v>
      </c>
      <c r="F155" s="375"/>
      <c r="G155" s="375"/>
      <c r="H155" s="375">
        <f>SUM(H99:H154)</f>
        <v>85209664.001480252</v>
      </c>
      <c r="I155" s="375">
        <f>SUM(I99:I154)</f>
        <v>85209664.001480252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3" priority="1" stopIfTrue="1" operator="equal">
      <formula>$I$10</formula>
    </cfRule>
  </conditionalFormatting>
  <conditionalFormatting sqref="C99:C154">
    <cfRule type="cellIs" dxfId="4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108"/>
  <dimension ref="A1:P162"/>
  <sheetViews>
    <sheetView view="pageBreakPreview" zoomScale="80" zoomScaleNormal="100" zoomScaleSheetLayoutView="80" workbookViewId="0">
      <selection activeCell="D10" sqref="D10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59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2244295.3415744328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2244295.3415744328</v>
      </c>
      <c r="O6" s="269"/>
      <c r="P6" s="269"/>
    </row>
    <row r="7" spans="1:16" ht="13.5" thickBot="1">
      <c r="C7" s="467" t="s">
        <v>48</v>
      </c>
      <c r="D7" s="624" t="s">
        <v>362</v>
      </c>
      <c r="E7" s="587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406</v>
      </c>
      <c r="E9" s="637" t="s">
        <v>405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17132604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407919.14285714284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v>2016</v>
      </c>
      <c r="D17" s="631">
        <v>9636181</v>
      </c>
      <c r="E17" s="631">
        <v>0.12709409892825937</v>
      </c>
      <c r="F17" s="631">
        <v>9636181</v>
      </c>
      <c r="G17" s="630">
        <v>1253474.1837577762</v>
      </c>
      <c r="H17" s="639">
        <v>1253474.1837577762</v>
      </c>
      <c r="I17" s="511">
        <f t="shared" ref="I17:I72" si="0">H17-G17</f>
        <v>0</v>
      </c>
      <c r="J17" s="511"/>
      <c r="K17" s="512">
        <f t="shared" ref="K17:K22" si="1">+G17</f>
        <v>1253474.1837577762</v>
      </c>
      <c r="L17" s="513">
        <f t="shared" ref="L17:L72" si="2">IF(K17&lt;&gt;0,+G17-K17,0)</f>
        <v>0</v>
      </c>
      <c r="M17" s="512">
        <f t="shared" ref="M17:M22" si="3">+H17</f>
        <v>1253474.1837577762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2017</v>
      </c>
      <c r="D18" s="651">
        <v>16078411.876107465</v>
      </c>
      <c r="E18" s="656">
        <v>373916.5581395349</v>
      </c>
      <c r="F18" s="651">
        <v>15704495.317967931</v>
      </c>
      <c r="G18" s="650">
        <v>2342749.0071242256</v>
      </c>
      <c r="H18" s="657">
        <v>2342749.0071242256</v>
      </c>
      <c r="I18" s="511">
        <f t="shared" si="0"/>
        <v>0</v>
      </c>
      <c r="J18" s="511"/>
      <c r="K18" s="518">
        <f t="shared" si="1"/>
        <v>2342749.0071242256</v>
      </c>
      <c r="L18" s="519">
        <f t="shared" ref="L18:L23" si="6">IF(K18&lt;&gt;0,+G18-K18,0)</f>
        <v>0</v>
      </c>
      <c r="M18" s="518">
        <f t="shared" si="3"/>
        <v>2342749.0071242256</v>
      </c>
      <c r="N18" s="514">
        <f>IF(M18&lt;&gt;0,+H18-M18,0)</f>
        <v>0</v>
      </c>
      <c r="O18" s="514">
        <f>+N18-L18</f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2018</v>
      </c>
      <c r="D19" s="651">
        <v>15704495.441860465</v>
      </c>
      <c r="E19" s="656">
        <v>392156.39024390245</v>
      </c>
      <c r="F19" s="651">
        <v>15312339.051616563</v>
      </c>
      <c r="G19" s="650">
        <v>2363184.7060216111</v>
      </c>
      <c r="H19" s="657">
        <v>2363184.7060216111</v>
      </c>
      <c r="I19" s="511">
        <f t="shared" si="0"/>
        <v>0</v>
      </c>
      <c r="J19" s="511"/>
      <c r="K19" s="518">
        <f t="shared" si="1"/>
        <v>2363184.7060216111</v>
      </c>
      <c r="L19" s="519">
        <f t="shared" si="6"/>
        <v>0</v>
      </c>
      <c r="M19" s="518">
        <f t="shared" si="3"/>
        <v>2363184.7060216111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2019</v>
      </c>
      <c r="D20" s="651">
        <v>15312338.924522463</v>
      </c>
      <c r="E20" s="656">
        <v>392156.39024390245</v>
      </c>
      <c r="F20" s="651">
        <v>14920182.53427856</v>
      </c>
      <c r="G20" s="650">
        <v>2313343.9268116932</v>
      </c>
      <c r="H20" s="657">
        <v>2313343.9268116932</v>
      </c>
      <c r="I20" s="511">
        <f t="shared" si="0"/>
        <v>0</v>
      </c>
      <c r="J20" s="511"/>
      <c r="K20" s="518">
        <f t="shared" si="1"/>
        <v>2313343.9268116932</v>
      </c>
      <c r="L20" s="519">
        <f t="shared" si="6"/>
        <v>0</v>
      </c>
      <c r="M20" s="518">
        <f t="shared" si="3"/>
        <v>2313343.9268116932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2020</v>
      </c>
      <c r="D21" s="651">
        <v>15974201.53427856</v>
      </c>
      <c r="E21" s="656">
        <v>417864.1707317073</v>
      </c>
      <c r="F21" s="651">
        <v>15556337.363546854</v>
      </c>
      <c r="G21" s="650">
        <v>2031210.1975052932</v>
      </c>
      <c r="H21" s="657">
        <v>2031210.1975052932</v>
      </c>
      <c r="I21" s="511">
        <f t="shared" si="0"/>
        <v>0</v>
      </c>
      <c r="J21" s="511"/>
      <c r="K21" s="518">
        <f t="shared" si="1"/>
        <v>2031210.1975052932</v>
      </c>
      <c r="L21" s="519">
        <f t="shared" si="6"/>
        <v>0</v>
      </c>
      <c r="M21" s="518">
        <f t="shared" si="3"/>
        <v>2031210.1975052932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51">
        <v>15574750.195651222</v>
      </c>
      <c r="E22" s="656">
        <v>407919.14285714284</v>
      </c>
      <c r="F22" s="651">
        <v>15166831.052794078</v>
      </c>
      <c r="G22" s="650">
        <v>2037292.8099232661</v>
      </c>
      <c r="H22" s="657">
        <v>2037292.8099232661</v>
      </c>
      <c r="I22" s="511">
        <f t="shared" si="0"/>
        <v>0</v>
      </c>
      <c r="J22" s="511"/>
      <c r="K22" s="518">
        <f t="shared" si="1"/>
        <v>2037292.8099232661</v>
      </c>
      <c r="L22" s="519">
        <f t="shared" si="6"/>
        <v>0</v>
      </c>
      <c r="M22" s="518">
        <f t="shared" si="3"/>
        <v>2037292.8099232661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51">
        <v>15148591.22068971</v>
      </c>
      <c r="E23" s="656">
        <v>407919.14285714284</v>
      </c>
      <c r="F23" s="651">
        <v>14740672.077832567</v>
      </c>
      <c r="G23" s="650">
        <v>2088354.751908463</v>
      </c>
      <c r="H23" s="657">
        <v>2088354.751908463</v>
      </c>
      <c r="I23" s="511">
        <f t="shared" si="0"/>
        <v>0</v>
      </c>
      <c r="J23" s="511"/>
      <c r="K23" s="518">
        <f t="shared" ref="K23" si="8">+G23</f>
        <v>2088354.751908463</v>
      </c>
      <c r="L23" s="519">
        <f t="shared" si="6"/>
        <v>0</v>
      </c>
      <c r="M23" s="518">
        <f t="shared" ref="M23" si="9">+H23</f>
        <v>2088354.751908463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2023</v>
      </c>
      <c r="D24" s="523">
        <f>IF(F23+SUM(E$17:E23)=D$10,F23,D$10-SUM(E$17:E23))</f>
        <v>14740672.077832567</v>
      </c>
      <c r="E24" s="522">
        <f>IF(+I14&lt;F23,I14,D24)</f>
        <v>407919.14285714284</v>
      </c>
      <c r="F24" s="523">
        <f t="shared" ref="F24:F72" si="10">+D24-E24</f>
        <v>14332752.934975423</v>
      </c>
      <c r="G24" s="524">
        <f t="shared" ref="G24:G49" si="11">+I$12*((D24+F24)/2)+E24</f>
        <v>2244295.3415744328</v>
      </c>
      <c r="H24" s="491">
        <f t="shared" ref="H24:H49" si="12">+I$13*((D24+F24)/2)+E24</f>
        <v>2244295.3415744328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2024</v>
      </c>
      <c r="D25" s="523">
        <f>IF(F24+SUM(E$17:E24)=D$10,F24,D$10-SUM(E$17:E24))</f>
        <v>14332752.934975423</v>
      </c>
      <c r="E25" s="522">
        <f>IF(+I14&lt;F24,I14,D25)</f>
        <v>407919.14285714284</v>
      </c>
      <c r="F25" s="523">
        <f t="shared" si="10"/>
        <v>13924833.792118279</v>
      </c>
      <c r="G25" s="524">
        <f t="shared" si="11"/>
        <v>2192764.2265018872</v>
      </c>
      <c r="H25" s="491">
        <f t="shared" si="12"/>
        <v>2192764.2265018872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13924833.792118279</v>
      </c>
      <c r="E26" s="522">
        <f>IF(+I14&lt;F25,I14,D26)</f>
        <v>407919.14285714284</v>
      </c>
      <c r="F26" s="523">
        <f t="shared" si="10"/>
        <v>13516914.649261136</v>
      </c>
      <c r="G26" s="524">
        <f t="shared" si="11"/>
        <v>2141233.1114293416</v>
      </c>
      <c r="H26" s="491">
        <f t="shared" si="12"/>
        <v>2141233.1114293416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13516914.649261136</v>
      </c>
      <c r="E27" s="522">
        <f>IF(+I14&lt;F26,I14,D27)</f>
        <v>407919.14285714284</v>
      </c>
      <c r="F27" s="523">
        <f t="shared" si="10"/>
        <v>13108995.506403992</v>
      </c>
      <c r="G27" s="524">
        <f t="shared" si="11"/>
        <v>2089701.996356796</v>
      </c>
      <c r="H27" s="491">
        <f t="shared" si="12"/>
        <v>2089701.996356796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13108995.506403992</v>
      </c>
      <c r="E28" s="522">
        <f>IF(+I14&lt;F27,I14,D28)</f>
        <v>407919.14285714284</v>
      </c>
      <c r="F28" s="523">
        <f t="shared" si="10"/>
        <v>12701076.363546848</v>
      </c>
      <c r="G28" s="524">
        <f t="shared" si="11"/>
        <v>2038170.8812842504</v>
      </c>
      <c r="H28" s="491">
        <f t="shared" si="12"/>
        <v>2038170.8812842504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12701076.363546848</v>
      </c>
      <c r="E29" s="522">
        <f>IF(+I14&lt;F28,I14,D29)</f>
        <v>407919.14285714284</v>
      </c>
      <c r="F29" s="523">
        <f t="shared" si="10"/>
        <v>12293157.220689705</v>
      </c>
      <c r="G29" s="524">
        <f t="shared" si="11"/>
        <v>1986639.7662117048</v>
      </c>
      <c r="H29" s="491">
        <f t="shared" si="12"/>
        <v>1986639.7662117048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12293157.220689705</v>
      </c>
      <c r="E30" s="522">
        <f>IF(+I14&lt;F29,I14,D30)</f>
        <v>407919.14285714284</v>
      </c>
      <c r="F30" s="523">
        <f t="shared" si="10"/>
        <v>11885238.077832561</v>
      </c>
      <c r="G30" s="524">
        <f t="shared" si="11"/>
        <v>1935108.6511391592</v>
      </c>
      <c r="H30" s="491">
        <f t="shared" si="12"/>
        <v>1935108.6511391592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11885238.077832561</v>
      </c>
      <c r="E31" s="522">
        <f>IF(+I14&lt;F30,I14,D31)</f>
        <v>407919.14285714284</v>
      </c>
      <c r="F31" s="523">
        <f t="shared" si="10"/>
        <v>11477318.934975417</v>
      </c>
      <c r="G31" s="524">
        <f t="shared" si="11"/>
        <v>1883577.5360666136</v>
      </c>
      <c r="H31" s="491">
        <f t="shared" si="12"/>
        <v>1883577.5360666136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11477318.934975417</v>
      </c>
      <c r="E32" s="522">
        <f>IF(+I14&lt;F31,I14,D32)</f>
        <v>407919.14285714284</v>
      </c>
      <c r="F32" s="523">
        <f t="shared" si="10"/>
        <v>11069399.792118274</v>
      </c>
      <c r="G32" s="524">
        <f t="shared" si="11"/>
        <v>1832046.420994068</v>
      </c>
      <c r="H32" s="491">
        <f t="shared" si="12"/>
        <v>1832046.420994068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11069399.792118274</v>
      </c>
      <c r="E33" s="522">
        <f>IF(+I14&lt;F32,I14,D33)</f>
        <v>407919.14285714284</v>
      </c>
      <c r="F33" s="523">
        <f t="shared" si="10"/>
        <v>10661480.64926113</v>
      </c>
      <c r="G33" s="524">
        <f t="shared" si="11"/>
        <v>1780515.3059215229</v>
      </c>
      <c r="H33" s="491">
        <f t="shared" si="12"/>
        <v>1780515.3059215229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10661480.64926113</v>
      </c>
      <c r="E34" s="522">
        <f>IF(+I14&lt;F33,I14,D34)</f>
        <v>407919.14285714284</v>
      </c>
      <c r="F34" s="523">
        <f t="shared" si="10"/>
        <v>10253561.506403986</v>
      </c>
      <c r="G34" s="524">
        <f t="shared" si="11"/>
        <v>1728984.1908489768</v>
      </c>
      <c r="H34" s="491">
        <f t="shared" si="12"/>
        <v>1728984.1908489768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10253561.506403986</v>
      </c>
      <c r="E35" s="522">
        <f>IF(+I14&lt;F34,I14,D35)</f>
        <v>407919.14285714284</v>
      </c>
      <c r="F35" s="523">
        <f t="shared" si="10"/>
        <v>9845642.3635468427</v>
      </c>
      <c r="G35" s="524">
        <f t="shared" si="11"/>
        <v>1677453.0757764317</v>
      </c>
      <c r="H35" s="491">
        <f t="shared" si="12"/>
        <v>1677453.0757764317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9845642.3635468427</v>
      </c>
      <c r="E36" s="522">
        <f>IF(+I14&lt;F35,I14,D36)</f>
        <v>407919.14285714284</v>
      </c>
      <c r="F36" s="523">
        <f t="shared" si="10"/>
        <v>9437723.2206896991</v>
      </c>
      <c r="G36" s="524">
        <f t="shared" si="11"/>
        <v>1625921.9607038856</v>
      </c>
      <c r="H36" s="491">
        <f t="shared" si="12"/>
        <v>1625921.9607038856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9437723.2206896991</v>
      </c>
      <c r="E37" s="522">
        <f>IF(+I14&lt;F36,I14,D37)</f>
        <v>407919.14285714284</v>
      </c>
      <c r="F37" s="523">
        <f t="shared" si="10"/>
        <v>9029804.0778325554</v>
      </c>
      <c r="G37" s="524">
        <f t="shared" si="11"/>
        <v>1574390.8456313405</v>
      </c>
      <c r="H37" s="491">
        <f t="shared" si="12"/>
        <v>1574390.8456313405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9029804.0778325554</v>
      </c>
      <c r="E38" s="522">
        <f>IF(+I14&lt;F37,I14,D38)</f>
        <v>407919.14285714284</v>
      </c>
      <c r="F38" s="523">
        <f t="shared" si="10"/>
        <v>8621884.9349754117</v>
      </c>
      <c r="G38" s="524">
        <f t="shared" si="11"/>
        <v>1522859.7305587945</v>
      </c>
      <c r="H38" s="491">
        <f t="shared" si="12"/>
        <v>1522859.7305587945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8621884.9349754117</v>
      </c>
      <c r="E39" s="522">
        <f>IF(+I14&lt;F38,I14,D39)</f>
        <v>407919.14285714284</v>
      </c>
      <c r="F39" s="523">
        <f t="shared" si="10"/>
        <v>8213965.792118269</v>
      </c>
      <c r="G39" s="524">
        <f t="shared" si="11"/>
        <v>1471328.6154862493</v>
      </c>
      <c r="H39" s="491">
        <f t="shared" si="12"/>
        <v>1471328.6154862493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8213965.792118269</v>
      </c>
      <c r="E40" s="522">
        <f>IF(+I14&lt;F39,I14,D40)</f>
        <v>407919.14285714284</v>
      </c>
      <c r="F40" s="523">
        <f t="shared" si="10"/>
        <v>7806046.6492611263</v>
      </c>
      <c r="G40" s="524">
        <f t="shared" si="11"/>
        <v>1419797.5004137037</v>
      </c>
      <c r="H40" s="491">
        <f t="shared" si="12"/>
        <v>1419797.5004137037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7806046.6492611263</v>
      </c>
      <c r="E41" s="522">
        <f>IF(+I14&lt;F40,I14,D41)</f>
        <v>407919.14285714284</v>
      </c>
      <c r="F41" s="523">
        <f t="shared" si="10"/>
        <v>7398127.5064039836</v>
      </c>
      <c r="G41" s="524">
        <f t="shared" si="11"/>
        <v>1368266.3853411584</v>
      </c>
      <c r="H41" s="491">
        <f t="shared" si="12"/>
        <v>1368266.3853411584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7398127.5064039836</v>
      </c>
      <c r="E42" s="522">
        <f>IF(+I14&lt;F41,I14,D42)</f>
        <v>407919.14285714284</v>
      </c>
      <c r="F42" s="523">
        <f t="shared" si="10"/>
        <v>6990208.3635468408</v>
      </c>
      <c r="G42" s="524">
        <f t="shared" si="11"/>
        <v>1316735.2702686128</v>
      </c>
      <c r="H42" s="491">
        <f t="shared" si="12"/>
        <v>1316735.2702686128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6990208.3635468408</v>
      </c>
      <c r="E43" s="522">
        <f>IF(+I14&lt;F42,I14,D43)</f>
        <v>407919.14285714284</v>
      </c>
      <c r="F43" s="523">
        <f t="shared" si="10"/>
        <v>6582289.2206896981</v>
      </c>
      <c r="G43" s="524">
        <f t="shared" si="11"/>
        <v>1265204.1551960674</v>
      </c>
      <c r="H43" s="491">
        <f t="shared" si="12"/>
        <v>1265204.1551960674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6582289.2206896981</v>
      </c>
      <c r="E44" s="522">
        <f>IF(+I14&lt;F43,I14,D44)</f>
        <v>407919.14285714284</v>
      </c>
      <c r="F44" s="523">
        <f t="shared" si="10"/>
        <v>6174370.0778325554</v>
      </c>
      <c r="G44" s="524">
        <f t="shared" si="11"/>
        <v>1213673.0401235218</v>
      </c>
      <c r="H44" s="491">
        <f t="shared" si="12"/>
        <v>1213673.0401235218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6174370.0778325554</v>
      </c>
      <c r="E45" s="522">
        <f>IF(+I14&lt;F44,I14,D45)</f>
        <v>407919.14285714284</v>
      </c>
      <c r="F45" s="523">
        <f t="shared" si="10"/>
        <v>5766450.9349754127</v>
      </c>
      <c r="G45" s="524">
        <f t="shared" si="11"/>
        <v>1162141.9250509767</v>
      </c>
      <c r="H45" s="491">
        <f t="shared" si="12"/>
        <v>1162141.9250509767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5766450.9349754127</v>
      </c>
      <c r="E46" s="522">
        <f>IF(+I14&lt;F45,I14,D46)</f>
        <v>407919.14285714284</v>
      </c>
      <c r="F46" s="523">
        <f t="shared" si="10"/>
        <v>5358531.79211827</v>
      </c>
      <c r="G46" s="524">
        <f t="shared" si="11"/>
        <v>1110610.8099784311</v>
      </c>
      <c r="H46" s="491">
        <f t="shared" si="12"/>
        <v>1110610.8099784311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5358531.79211827</v>
      </c>
      <c r="E47" s="522">
        <f>IF(+I14&lt;F46,I14,D47)</f>
        <v>407919.14285714284</v>
      </c>
      <c r="F47" s="523">
        <f t="shared" si="10"/>
        <v>4950612.6492611272</v>
      </c>
      <c r="G47" s="524">
        <f t="shared" si="11"/>
        <v>1059079.6949058855</v>
      </c>
      <c r="H47" s="491">
        <f t="shared" si="12"/>
        <v>1059079.6949058855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4950612.6492611272</v>
      </c>
      <c r="E48" s="522">
        <f>IF(+I14&lt;F47,I14,D48)</f>
        <v>407919.14285714284</v>
      </c>
      <c r="F48" s="523">
        <f t="shared" si="10"/>
        <v>4542693.5064039845</v>
      </c>
      <c r="G48" s="524">
        <f t="shared" si="11"/>
        <v>1007548.57983334</v>
      </c>
      <c r="H48" s="491">
        <f t="shared" si="12"/>
        <v>1007548.57983334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4542693.5064039845</v>
      </c>
      <c r="E49" s="522">
        <f>IF(+I14&lt;F48,I14,D49)</f>
        <v>407919.14285714284</v>
      </c>
      <c r="F49" s="523">
        <f t="shared" si="10"/>
        <v>4134774.3635468418</v>
      </c>
      <c r="G49" s="524">
        <f t="shared" si="11"/>
        <v>956017.46476079477</v>
      </c>
      <c r="H49" s="491">
        <f t="shared" si="12"/>
        <v>956017.46476079477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4134774.3635468418</v>
      </c>
      <c r="E50" s="522">
        <f>IF(+I14&lt;F49,I14,D50)</f>
        <v>407919.14285714284</v>
      </c>
      <c r="F50" s="523">
        <f t="shared" si="10"/>
        <v>3726855.2206896991</v>
      </c>
      <c r="G50" s="524">
        <f t="shared" ref="G50:G72" si="13">+I$12*((D50+F50)/2)+E50</f>
        <v>904486.34968824917</v>
      </c>
      <c r="H50" s="491">
        <f t="shared" ref="H50:H72" si="14">+I$13*((D50+F50)/2)+E50</f>
        <v>904486.34968824917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3726855.2206896991</v>
      </c>
      <c r="E51" s="522">
        <f>IF(+I14&lt;F50,I14,D51)</f>
        <v>407919.14285714284</v>
      </c>
      <c r="F51" s="523">
        <f t="shared" si="10"/>
        <v>3318936.0778325563</v>
      </c>
      <c r="G51" s="524">
        <f t="shared" si="13"/>
        <v>852955.23461570381</v>
      </c>
      <c r="H51" s="491">
        <f t="shared" si="14"/>
        <v>852955.23461570381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3318936.0778325563</v>
      </c>
      <c r="E52" s="522">
        <f>IF(+I14&lt;F51,I14,D52)</f>
        <v>407919.14285714284</v>
      </c>
      <c r="F52" s="523">
        <f t="shared" si="10"/>
        <v>2911016.9349754136</v>
      </c>
      <c r="G52" s="524">
        <f t="shared" si="13"/>
        <v>801424.11954315833</v>
      </c>
      <c r="H52" s="491">
        <f t="shared" si="14"/>
        <v>801424.11954315833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2911016.9349754136</v>
      </c>
      <c r="E53" s="522">
        <f>IF(+I14&lt;F52,I14,D53)</f>
        <v>407919.14285714284</v>
      </c>
      <c r="F53" s="523">
        <f t="shared" si="10"/>
        <v>2503097.7921182709</v>
      </c>
      <c r="G53" s="524">
        <f t="shared" si="13"/>
        <v>749893.00447061285</v>
      </c>
      <c r="H53" s="491">
        <f t="shared" si="14"/>
        <v>749893.00447061285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2503097.7921182709</v>
      </c>
      <c r="E54" s="522">
        <f>IF(+I14&lt;F53,I14,D54)</f>
        <v>407919.14285714284</v>
      </c>
      <c r="F54" s="523">
        <f t="shared" si="10"/>
        <v>2095178.6492611282</v>
      </c>
      <c r="G54" s="524">
        <f t="shared" si="13"/>
        <v>698361.88939806749</v>
      </c>
      <c r="H54" s="491">
        <f t="shared" si="14"/>
        <v>698361.88939806749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2095178.6492611282</v>
      </c>
      <c r="E55" s="522">
        <f>IF(+I14&lt;F54,I14,D55)</f>
        <v>407919.14285714284</v>
      </c>
      <c r="F55" s="523">
        <f t="shared" si="10"/>
        <v>1687259.5064039854</v>
      </c>
      <c r="G55" s="524">
        <f t="shared" si="13"/>
        <v>646830.7743255219</v>
      </c>
      <c r="H55" s="491">
        <f t="shared" si="14"/>
        <v>646830.7743255219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1687259.5064039854</v>
      </c>
      <c r="E56" s="522">
        <f>IF(+I14&lt;F55,I14,D56)</f>
        <v>407919.14285714284</v>
      </c>
      <c r="F56" s="523">
        <f t="shared" si="10"/>
        <v>1279340.3635468427</v>
      </c>
      <c r="G56" s="524">
        <f t="shared" si="13"/>
        <v>595299.65925297653</v>
      </c>
      <c r="H56" s="491">
        <f t="shared" si="14"/>
        <v>595299.65925297653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1279340.3635468427</v>
      </c>
      <c r="E57" s="522">
        <f>IF(+I14&lt;F56,I14,D57)</f>
        <v>407919.14285714284</v>
      </c>
      <c r="F57" s="523">
        <f t="shared" si="10"/>
        <v>871421.22068969987</v>
      </c>
      <c r="G57" s="524">
        <f t="shared" si="13"/>
        <v>543768.54418043105</v>
      </c>
      <c r="H57" s="491">
        <f t="shared" si="14"/>
        <v>543768.54418043105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871421.22068969987</v>
      </c>
      <c r="E58" s="522">
        <f>IF(+I14&lt;F57,I14,D58)</f>
        <v>407919.14285714284</v>
      </c>
      <c r="F58" s="523">
        <f t="shared" si="10"/>
        <v>463502.07783255703</v>
      </c>
      <c r="G58" s="524">
        <f t="shared" si="13"/>
        <v>492237.42910788557</v>
      </c>
      <c r="H58" s="491">
        <f t="shared" si="14"/>
        <v>492237.42910788557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463502.07783255703</v>
      </c>
      <c r="E59" s="522">
        <f>IF(+I14&lt;F58,I14,D59)</f>
        <v>407919.14285714284</v>
      </c>
      <c r="F59" s="523">
        <f t="shared" si="10"/>
        <v>55582.934975414188</v>
      </c>
      <c r="G59" s="524">
        <f t="shared" si="13"/>
        <v>440706.3140353401</v>
      </c>
      <c r="H59" s="491">
        <f t="shared" si="14"/>
        <v>440706.3140353401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55582.934975414188</v>
      </c>
      <c r="E60" s="522">
        <f>IF(+I14&lt;F59,I14,D60)</f>
        <v>55582.934975414188</v>
      </c>
      <c r="F60" s="523">
        <f t="shared" si="10"/>
        <v>0</v>
      </c>
      <c r="G60" s="524">
        <f t="shared" si="13"/>
        <v>59093.74179637646</v>
      </c>
      <c r="H60" s="491">
        <f t="shared" si="14"/>
        <v>59093.74179637646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0"/>
        <v>0</v>
      </c>
      <c r="G61" s="526">
        <f t="shared" si="13"/>
        <v>0</v>
      </c>
      <c r="H61" s="491">
        <f t="shared" si="14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0"/>
        <v>0</v>
      </c>
      <c r="G62" s="526">
        <f t="shared" si="13"/>
        <v>0</v>
      </c>
      <c r="H62" s="491">
        <f t="shared" si="14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0"/>
        <v>0</v>
      </c>
      <c r="G63" s="526">
        <f t="shared" si="13"/>
        <v>0</v>
      </c>
      <c r="H63" s="491">
        <f t="shared" si="14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0"/>
        <v>0</v>
      </c>
      <c r="G64" s="526">
        <f t="shared" si="13"/>
        <v>0</v>
      </c>
      <c r="H64" s="491">
        <f t="shared" si="14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0"/>
        <v>0</v>
      </c>
      <c r="G65" s="526">
        <f t="shared" si="13"/>
        <v>0</v>
      </c>
      <c r="H65" s="491">
        <f t="shared" si="14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0"/>
        <v>0</v>
      </c>
      <c r="G66" s="526">
        <f t="shared" si="13"/>
        <v>0</v>
      </c>
      <c r="H66" s="491">
        <f t="shared" si="14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0"/>
        <v>0</v>
      </c>
      <c r="G67" s="526">
        <f t="shared" si="13"/>
        <v>0</v>
      </c>
      <c r="H67" s="491">
        <f t="shared" si="14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0"/>
        <v>0</v>
      </c>
      <c r="G68" s="526">
        <f t="shared" si="13"/>
        <v>0</v>
      </c>
      <c r="H68" s="491">
        <f t="shared" si="14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0"/>
        <v>0</v>
      </c>
      <c r="G69" s="526">
        <f t="shared" si="13"/>
        <v>0</v>
      </c>
      <c r="H69" s="491">
        <f t="shared" si="14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0"/>
        <v>0</v>
      </c>
      <c r="G70" s="526">
        <f t="shared" si="13"/>
        <v>0</v>
      </c>
      <c r="H70" s="491">
        <f t="shared" si="14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0"/>
        <v>0</v>
      </c>
      <c r="G71" s="526">
        <f t="shared" si="13"/>
        <v>0</v>
      </c>
      <c r="H71" s="491">
        <f t="shared" si="14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0"/>
        <v>0</v>
      </c>
      <c r="G72" s="530">
        <f t="shared" si="13"/>
        <v>0</v>
      </c>
      <c r="H72" s="471">
        <f t="shared" si="14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17132604.000000004</v>
      </c>
      <c r="F73" s="375"/>
      <c r="G73" s="375">
        <f>SUM(G17:G72)</f>
        <v>62818733.125824608</v>
      </c>
      <c r="H73" s="375">
        <f>SUM(H17:H72)</f>
        <v>62818733.125824608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59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2037292.8099232661</v>
      </c>
      <c r="N87" s="546">
        <f>IF(J92&lt;D11,0,VLOOKUP(J92,C17:O72,11))</f>
        <v>2037292.8099232661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2166364.0157775921</v>
      </c>
      <c r="N88" s="550">
        <f>IF(J92&lt;D11,0,VLOOKUP(J92,C99:P154,7))</f>
        <v>2166364.0157775921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Brownlee-North Mrket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129071.20585432602</v>
      </c>
      <c r="N89" s="555">
        <f>+N88-N87</f>
        <v>129071.20585432602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TP2009104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17132604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417868.39024390245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306085.875</v>
      </c>
      <c r="F99" s="651">
        <v>16834723.125</v>
      </c>
      <c r="G99" s="652">
        <v>8417361.5625</v>
      </c>
      <c r="H99" s="653">
        <v>1328555.0538499958</v>
      </c>
      <c r="I99" s="654">
        <v>1328555.0538499958</v>
      </c>
      <c r="J99" s="514">
        <f t="shared" ref="J99:J130" si="15">+I99-H99</f>
        <v>0</v>
      </c>
      <c r="K99" s="514"/>
      <c r="L99" s="512">
        <f>+H99</f>
        <v>1328555.0538499958</v>
      </c>
      <c r="M99" s="513">
        <f t="shared" ref="M99:M130" si="16">IF(L99&lt;&gt;0,+H99-L99,0)</f>
        <v>0</v>
      </c>
      <c r="N99" s="512">
        <f>+I99</f>
        <v>1328555.0538499958</v>
      </c>
      <c r="O99" s="513">
        <f t="shared" ref="O99:O130" si="17">IF(N99&lt;&gt;0,+I99-N99,0)</f>
        <v>0</v>
      </c>
      <c r="P99" s="513">
        <f t="shared" ref="P99:P130" si="18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16826345.125</v>
      </c>
      <c r="E100" s="630">
        <v>407915.02380952379</v>
      </c>
      <c r="F100" s="631">
        <v>16418430.101190476</v>
      </c>
      <c r="G100" s="631">
        <v>16622387.613095239</v>
      </c>
      <c r="H100" s="633">
        <v>2163315.383026443</v>
      </c>
      <c r="I100" s="634">
        <v>2163315.383026443</v>
      </c>
      <c r="J100" s="514">
        <f t="shared" si="15"/>
        <v>0</v>
      </c>
      <c r="K100" s="514"/>
      <c r="L100" s="655">
        <f>+H100</f>
        <v>2163315.383026443</v>
      </c>
      <c r="M100" s="514">
        <f t="shared" si="16"/>
        <v>0</v>
      </c>
      <c r="N100" s="655">
        <f>+I100</f>
        <v>2163315.383026443</v>
      </c>
      <c r="O100" s="514">
        <f t="shared" si="17"/>
        <v>0</v>
      </c>
      <c r="P100" s="514">
        <f t="shared" si="18"/>
        <v>0</v>
      </c>
    </row>
    <row r="101" spans="1:16" ht="12.5">
      <c r="B101" s="195" t="str">
        <f t="shared" ref="B101:B154" si="19">IF(D101=F100,"","IU")</f>
        <v>IU</v>
      </c>
      <c r="C101" s="507">
        <f>IF(D93="","-",+C100+1)</f>
        <v>2019</v>
      </c>
      <c r="D101" s="629">
        <v>16418603.101190476</v>
      </c>
      <c r="E101" s="630">
        <v>398432.65116279072</v>
      </c>
      <c r="F101" s="631">
        <v>16020170.450027686</v>
      </c>
      <c r="G101" s="631">
        <v>16219386.77560908</v>
      </c>
      <c r="H101" s="633">
        <v>2134564.6762010739</v>
      </c>
      <c r="I101" s="634">
        <v>2134564.6762010739</v>
      </c>
      <c r="J101" s="514">
        <f t="shared" si="15"/>
        <v>0</v>
      </c>
      <c r="K101" s="514"/>
      <c r="L101" s="655">
        <f>+H101</f>
        <v>2134564.6762010739</v>
      </c>
      <c r="M101" s="514">
        <f t="shared" ref="M101:M102" si="20">IF(L101&lt;&gt;0,+H101-L101,0)</f>
        <v>0</v>
      </c>
      <c r="N101" s="655">
        <f>+I101</f>
        <v>2134564.6762010739</v>
      </c>
      <c r="O101" s="514">
        <f t="shared" si="17"/>
        <v>0</v>
      </c>
      <c r="P101" s="514">
        <f t="shared" si="18"/>
        <v>0</v>
      </c>
    </row>
    <row r="102" spans="1:16" ht="12.5">
      <c r="B102" s="195" t="str">
        <f t="shared" si="19"/>
        <v/>
      </c>
      <c r="C102" s="507">
        <f>IF(D93="","-",+C101+1)</f>
        <v>2020</v>
      </c>
      <c r="D102" s="629">
        <v>16020170.450027686</v>
      </c>
      <c r="E102" s="630">
        <v>407919.14285714284</v>
      </c>
      <c r="F102" s="631">
        <v>15612251.307170542</v>
      </c>
      <c r="G102" s="631">
        <v>15816210.878599115</v>
      </c>
      <c r="H102" s="633">
        <v>2109329.5627079071</v>
      </c>
      <c r="I102" s="634">
        <v>2109329.5627079071</v>
      </c>
      <c r="J102" s="514">
        <f t="shared" si="15"/>
        <v>0</v>
      </c>
      <c r="K102" s="514"/>
      <c r="L102" s="655">
        <f>+H102</f>
        <v>2109329.5627079071</v>
      </c>
      <c r="M102" s="514">
        <f t="shared" si="20"/>
        <v>0</v>
      </c>
      <c r="N102" s="655">
        <f>+I102</f>
        <v>2109329.5627079071</v>
      </c>
      <c r="O102" s="514">
        <f t="shared" si="17"/>
        <v>0</v>
      </c>
      <c r="P102" s="514">
        <f t="shared" si="18"/>
        <v>0</v>
      </c>
    </row>
    <row r="103" spans="1:16" ht="12.5">
      <c r="B103" s="195" t="str">
        <f t="shared" si="19"/>
        <v/>
      </c>
      <c r="C103" s="507">
        <f>IF(D93="","-",+C102+1)</f>
        <v>2021</v>
      </c>
      <c r="D103" s="374">
        <f>IF(F102+SUM(E$99:E102)=D$92,F102,D$92-SUM(E$99:E102))</f>
        <v>15612251.307170542</v>
      </c>
      <c r="E103" s="522">
        <f>IF(+J96&lt;F102,J96,D103)</f>
        <v>417868.39024390245</v>
      </c>
      <c r="F103" s="523">
        <f t="shared" ref="F103:F154" si="21">+D103-E103</f>
        <v>15194382.916926639</v>
      </c>
      <c r="G103" s="523">
        <f t="shared" ref="G103:G154" si="22">+(F103+D103)/2</f>
        <v>15403317.112048591</v>
      </c>
      <c r="H103" s="526">
        <f t="shared" ref="H103:H154" si="23">+J$94*G103+E103</f>
        <v>2166364.0157775921</v>
      </c>
      <c r="I103" s="577">
        <f t="shared" ref="I103:I154" si="24">+J$95*G103+E103</f>
        <v>2166364.0157775921</v>
      </c>
      <c r="J103" s="514">
        <f t="shared" si="15"/>
        <v>0</v>
      </c>
      <c r="K103" s="514"/>
      <c r="L103" s="525"/>
      <c r="M103" s="514">
        <f t="shared" si="16"/>
        <v>0</v>
      </c>
      <c r="N103" s="525"/>
      <c r="O103" s="514">
        <f t="shared" si="17"/>
        <v>0</v>
      </c>
      <c r="P103" s="514">
        <f t="shared" si="18"/>
        <v>0</v>
      </c>
    </row>
    <row r="104" spans="1:16" ht="12.5">
      <c r="B104" s="195" t="str">
        <f t="shared" si="19"/>
        <v/>
      </c>
      <c r="C104" s="507">
        <f>IF(D93="","-",+C103+1)</f>
        <v>2022</v>
      </c>
      <c r="D104" s="374">
        <f>IF(F103+SUM(E$99:E103)=D$92,F103,D$92-SUM(E$99:E103))</f>
        <v>15194382.916926639</v>
      </c>
      <c r="E104" s="522">
        <f>IF(+J96&lt;F103,J96,D104)</f>
        <v>417868.39024390245</v>
      </c>
      <c r="F104" s="523">
        <f t="shared" si="21"/>
        <v>14776514.526682736</v>
      </c>
      <c r="G104" s="523">
        <f t="shared" si="22"/>
        <v>14985448.721804688</v>
      </c>
      <c r="H104" s="526">
        <f t="shared" si="23"/>
        <v>2118930.0087338267</v>
      </c>
      <c r="I104" s="577">
        <f t="shared" si="24"/>
        <v>2118930.0087338267</v>
      </c>
      <c r="J104" s="514">
        <f t="shared" si="15"/>
        <v>0</v>
      </c>
      <c r="K104" s="514"/>
      <c r="L104" s="525"/>
      <c r="M104" s="514">
        <f t="shared" si="16"/>
        <v>0</v>
      </c>
      <c r="N104" s="525"/>
      <c r="O104" s="514">
        <f t="shared" si="17"/>
        <v>0</v>
      </c>
      <c r="P104" s="514">
        <f t="shared" si="18"/>
        <v>0</v>
      </c>
    </row>
    <row r="105" spans="1:16" ht="12.5">
      <c r="B105" s="195" t="str">
        <f t="shared" si="19"/>
        <v/>
      </c>
      <c r="C105" s="507">
        <f>IF(D93="","-",+C104+1)</f>
        <v>2023</v>
      </c>
      <c r="D105" s="374">
        <f>IF(F104+SUM(E$99:E104)=D$92,F104,D$92-SUM(E$99:E104))</f>
        <v>14776514.526682736</v>
      </c>
      <c r="E105" s="522">
        <f>IF(+J96&lt;F104,J96,D105)</f>
        <v>417868.39024390245</v>
      </c>
      <c r="F105" s="523">
        <f t="shared" si="21"/>
        <v>14358646.136438834</v>
      </c>
      <c r="G105" s="523">
        <f t="shared" si="22"/>
        <v>14567580.331560785</v>
      </c>
      <c r="H105" s="526">
        <f t="shared" si="23"/>
        <v>2071496.0016900608</v>
      </c>
      <c r="I105" s="577">
        <f t="shared" si="24"/>
        <v>2071496.0016900608</v>
      </c>
      <c r="J105" s="514">
        <f t="shared" si="15"/>
        <v>0</v>
      </c>
      <c r="K105" s="514"/>
      <c r="L105" s="525"/>
      <c r="M105" s="514">
        <f t="shared" si="16"/>
        <v>0</v>
      </c>
      <c r="N105" s="525"/>
      <c r="O105" s="514">
        <f t="shared" si="17"/>
        <v>0</v>
      </c>
      <c r="P105" s="514">
        <f t="shared" si="18"/>
        <v>0</v>
      </c>
    </row>
    <row r="106" spans="1:16" ht="12.5">
      <c r="B106" s="195" t="str">
        <f t="shared" si="19"/>
        <v/>
      </c>
      <c r="C106" s="507">
        <f>IF(D93="","-",+C105+1)</f>
        <v>2024</v>
      </c>
      <c r="D106" s="374">
        <f>IF(F105+SUM(E$99:E105)=D$92,F105,D$92-SUM(E$99:E105))</f>
        <v>14358646.136438834</v>
      </c>
      <c r="E106" s="522">
        <f>IF(+J96&lt;F105,J96,D106)</f>
        <v>417868.39024390245</v>
      </c>
      <c r="F106" s="523">
        <f t="shared" si="21"/>
        <v>13940777.746194931</v>
      </c>
      <c r="G106" s="523">
        <f t="shared" si="22"/>
        <v>14149711.941316882</v>
      </c>
      <c r="H106" s="526">
        <f t="shared" si="23"/>
        <v>2024061.9946462954</v>
      </c>
      <c r="I106" s="577">
        <f t="shared" si="24"/>
        <v>2024061.9946462954</v>
      </c>
      <c r="J106" s="514">
        <f t="shared" si="15"/>
        <v>0</v>
      </c>
      <c r="K106" s="514"/>
      <c r="L106" s="525"/>
      <c r="M106" s="514">
        <f t="shared" si="16"/>
        <v>0</v>
      </c>
      <c r="N106" s="525"/>
      <c r="O106" s="514">
        <f t="shared" si="17"/>
        <v>0</v>
      </c>
      <c r="P106" s="514">
        <f t="shared" si="18"/>
        <v>0</v>
      </c>
    </row>
    <row r="107" spans="1:16" ht="12.5">
      <c r="B107" s="195" t="str">
        <f t="shared" si="19"/>
        <v/>
      </c>
      <c r="C107" s="507">
        <f>IF(D93="","-",+C106+1)</f>
        <v>2025</v>
      </c>
      <c r="D107" s="374">
        <f>IF(F106+SUM(E$99:E106)=D$92,F106,D$92-SUM(E$99:E106))</f>
        <v>13940777.746194931</v>
      </c>
      <c r="E107" s="522">
        <f>IF(+J96&lt;F106,J96,D107)</f>
        <v>417868.39024390245</v>
      </c>
      <c r="F107" s="523">
        <f t="shared" si="21"/>
        <v>13522909.355951028</v>
      </c>
      <c r="G107" s="523">
        <f t="shared" si="22"/>
        <v>13731843.551072979</v>
      </c>
      <c r="H107" s="526">
        <f t="shared" si="23"/>
        <v>1976627.9876025296</v>
      </c>
      <c r="I107" s="577">
        <f t="shared" si="24"/>
        <v>1976627.9876025296</v>
      </c>
      <c r="J107" s="514">
        <f t="shared" si="15"/>
        <v>0</v>
      </c>
      <c r="K107" s="514"/>
      <c r="L107" s="525"/>
      <c r="M107" s="514">
        <f t="shared" si="16"/>
        <v>0</v>
      </c>
      <c r="N107" s="525"/>
      <c r="O107" s="514">
        <f t="shared" si="17"/>
        <v>0</v>
      </c>
      <c r="P107" s="514">
        <f t="shared" si="18"/>
        <v>0</v>
      </c>
    </row>
    <row r="108" spans="1:16" ht="12.5">
      <c r="B108" s="195" t="str">
        <f t="shared" si="19"/>
        <v/>
      </c>
      <c r="C108" s="507">
        <f>IF(D93="","-",+C107+1)</f>
        <v>2026</v>
      </c>
      <c r="D108" s="374">
        <f>IF(F107+SUM(E$99:E107)=D$92,F107,D$92-SUM(E$99:E107))</f>
        <v>13522909.355951028</v>
      </c>
      <c r="E108" s="522">
        <f>IF(+J96&lt;F107,J96,D108)</f>
        <v>417868.39024390245</v>
      </c>
      <c r="F108" s="523">
        <f t="shared" si="21"/>
        <v>13105040.965707125</v>
      </c>
      <c r="G108" s="523">
        <f t="shared" si="22"/>
        <v>13313975.160829077</v>
      </c>
      <c r="H108" s="526">
        <f t="shared" si="23"/>
        <v>1929193.9805587642</v>
      </c>
      <c r="I108" s="577">
        <f t="shared" si="24"/>
        <v>1929193.9805587642</v>
      </c>
      <c r="J108" s="514">
        <f t="shared" si="15"/>
        <v>0</v>
      </c>
      <c r="K108" s="514"/>
      <c r="L108" s="525"/>
      <c r="M108" s="514">
        <f t="shared" si="16"/>
        <v>0</v>
      </c>
      <c r="N108" s="525"/>
      <c r="O108" s="514">
        <f t="shared" si="17"/>
        <v>0</v>
      </c>
      <c r="P108" s="514">
        <f t="shared" si="18"/>
        <v>0</v>
      </c>
    </row>
    <row r="109" spans="1:16" ht="12.5">
      <c r="B109" s="195" t="str">
        <f t="shared" si="19"/>
        <v/>
      </c>
      <c r="C109" s="507">
        <f>IF(D93="","-",+C108+1)</f>
        <v>2027</v>
      </c>
      <c r="D109" s="374">
        <f>IF(F108+SUM(E$99:E108)=D$92,F108,D$92-SUM(E$99:E108))</f>
        <v>13105040.965707125</v>
      </c>
      <c r="E109" s="522">
        <f>IF(+J96&lt;F108,J96,D109)</f>
        <v>417868.39024390245</v>
      </c>
      <c r="F109" s="523">
        <f t="shared" si="21"/>
        <v>12687172.575463222</v>
      </c>
      <c r="G109" s="523">
        <f t="shared" si="22"/>
        <v>12896106.770585174</v>
      </c>
      <c r="H109" s="526">
        <f t="shared" si="23"/>
        <v>1881759.9735149983</v>
      </c>
      <c r="I109" s="577">
        <f t="shared" si="24"/>
        <v>1881759.9735149983</v>
      </c>
      <c r="J109" s="514">
        <f t="shared" si="15"/>
        <v>0</v>
      </c>
      <c r="K109" s="514"/>
      <c r="L109" s="525"/>
      <c r="M109" s="514">
        <f t="shared" si="16"/>
        <v>0</v>
      </c>
      <c r="N109" s="525"/>
      <c r="O109" s="514">
        <f t="shared" si="17"/>
        <v>0</v>
      </c>
      <c r="P109" s="514">
        <f t="shared" si="18"/>
        <v>0</v>
      </c>
    </row>
    <row r="110" spans="1:16" ht="12.5">
      <c r="B110" s="195" t="str">
        <f t="shared" si="19"/>
        <v/>
      </c>
      <c r="C110" s="507">
        <f>IF(D93="","-",+C109+1)</f>
        <v>2028</v>
      </c>
      <c r="D110" s="374">
        <f>IF(F109+SUM(E$99:E109)=D$92,F109,D$92-SUM(E$99:E109))</f>
        <v>12687172.575463222</v>
      </c>
      <c r="E110" s="522">
        <f>IF(+J96&lt;F109,J96,D110)</f>
        <v>417868.39024390245</v>
      </c>
      <c r="F110" s="523">
        <f t="shared" si="21"/>
        <v>12269304.18521932</v>
      </c>
      <c r="G110" s="523">
        <f t="shared" si="22"/>
        <v>12478238.380341271</v>
      </c>
      <c r="H110" s="526">
        <f t="shared" si="23"/>
        <v>1834325.9664712329</v>
      </c>
      <c r="I110" s="577">
        <f t="shared" si="24"/>
        <v>1834325.9664712329</v>
      </c>
      <c r="J110" s="514">
        <f t="shared" si="15"/>
        <v>0</v>
      </c>
      <c r="K110" s="514"/>
      <c r="L110" s="525"/>
      <c r="M110" s="514">
        <f t="shared" si="16"/>
        <v>0</v>
      </c>
      <c r="N110" s="525"/>
      <c r="O110" s="514">
        <f t="shared" si="17"/>
        <v>0</v>
      </c>
      <c r="P110" s="514">
        <f t="shared" si="18"/>
        <v>0</v>
      </c>
    </row>
    <row r="111" spans="1:16" ht="12.5">
      <c r="B111" s="195" t="str">
        <f t="shared" si="19"/>
        <v/>
      </c>
      <c r="C111" s="507">
        <f>IF(D93="","-",+C110+1)</f>
        <v>2029</v>
      </c>
      <c r="D111" s="374">
        <f>IF(F110+SUM(E$99:E110)=D$92,F110,D$92-SUM(E$99:E110))</f>
        <v>12269304.18521932</v>
      </c>
      <c r="E111" s="522">
        <f>IF(+J96&lt;F110,J96,D111)</f>
        <v>417868.39024390245</v>
      </c>
      <c r="F111" s="523">
        <f t="shared" si="21"/>
        <v>11851435.794975417</v>
      </c>
      <c r="G111" s="523">
        <f t="shared" si="22"/>
        <v>12060369.990097368</v>
      </c>
      <c r="H111" s="526">
        <f t="shared" si="23"/>
        <v>1786891.9594274671</v>
      </c>
      <c r="I111" s="577">
        <f t="shared" si="24"/>
        <v>1786891.9594274671</v>
      </c>
      <c r="J111" s="514">
        <f t="shared" si="15"/>
        <v>0</v>
      </c>
      <c r="K111" s="514"/>
      <c r="L111" s="525"/>
      <c r="M111" s="514">
        <f t="shared" si="16"/>
        <v>0</v>
      </c>
      <c r="N111" s="525"/>
      <c r="O111" s="514">
        <f t="shared" si="17"/>
        <v>0</v>
      </c>
      <c r="P111" s="514">
        <f t="shared" si="18"/>
        <v>0</v>
      </c>
    </row>
    <row r="112" spans="1:16" ht="12.5">
      <c r="B112" s="195" t="str">
        <f t="shared" si="19"/>
        <v/>
      </c>
      <c r="C112" s="507">
        <f>IF(D93="","-",+C111+1)</f>
        <v>2030</v>
      </c>
      <c r="D112" s="374">
        <f>IF(F111+SUM(E$99:E111)=D$92,F111,D$92-SUM(E$99:E111))</f>
        <v>11851435.794975417</v>
      </c>
      <c r="E112" s="522">
        <f>IF(+J96&lt;F111,J96,D112)</f>
        <v>417868.39024390245</v>
      </c>
      <c r="F112" s="523">
        <f t="shared" si="21"/>
        <v>11433567.404731514</v>
      </c>
      <c r="G112" s="523">
        <f t="shared" si="22"/>
        <v>11642501.599853465</v>
      </c>
      <c r="H112" s="526">
        <f t="shared" si="23"/>
        <v>1739457.9523837012</v>
      </c>
      <c r="I112" s="577">
        <f t="shared" si="24"/>
        <v>1739457.9523837012</v>
      </c>
      <c r="J112" s="514">
        <f t="shared" si="15"/>
        <v>0</v>
      </c>
      <c r="K112" s="514"/>
      <c r="L112" s="525"/>
      <c r="M112" s="514">
        <f t="shared" si="16"/>
        <v>0</v>
      </c>
      <c r="N112" s="525"/>
      <c r="O112" s="514">
        <f t="shared" si="17"/>
        <v>0</v>
      </c>
      <c r="P112" s="514">
        <f t="shared" si="18"/>
        <v>0</v>
      </c>
    </row>
    <row r="113" spans="2:16" ht="12.5">
      <c r="B113" s="195" t="str">
        <f t="shared" si="19"/>
        <v/>
      </c>
      <c r="C113" s="507">
        <f>IF(D93="","-",+C112+1)</f>
        <v>2031</v>
      </c>
      <c r="D113" s="374">
        <f>IF(F112+SUM(E$99:E112)=D$92,F112,D$92-SUM(E$99:E112))</f>
        <v>11433567.404731514</v>
      </c>
      <c r="E113" s="522">
        <f>IF(+J96&lt;F112,J96,D113)</f>
        <v>417868.39024390245</v>
      </c>
      <c r="F113" s="523">
        <f t="shared" si="21"/>
        <v>11015699.014487611</v>
      </c>
      <c r="G113" s="523">
        <f t="shared" si="22"/>
        <v>11224633.209609563</v>
      </c>
      <c r="H113" s="526">
        <f t="shared" si="23"/>
        <v>1692023.9453399358</v>
      </c>
      <c r="I113" s="577">
        <f t="shared" si="24"/>
        <v>1692023.9453399358</v>
      </c>
      <c r="J113" s="514">
        <f t="shared" si="15"/>
        <v>0</v>
      </c>
      <c r="K113" s="514"/>
      <c r="L113" s="525"/>
      <c r="M113" s="514">
        <f t="shared" si="16"/>
        <v>0</v>
      </c>
      <c r="N113" s="525"/>
      <c r="O113" s="514">
        <f t="shared" si="17"/>
        <v>0</v>
      </c>
      <c r="P113" s="514">
        <f t="shared" si="18"/>
        <v>0</v>
      </c>
    </row>
    <row r="114" spans="2:16" ht="12.5">
      <c r="B114" s="195" t="str">
        <f t="shared" si="19"/>
        <v/>
      </c>
      <c r="C114" s="507">
        <f>IF(D93="","-",+C113+1)</f>
        <v>2032</v>
      </c>
      <c r="D114" s="374">
        <f>IF(F113+SUM(E$99:E113)=D$92,F113,D$92-SUM(E$99:E113))</f>
        <v>11015699.014487611</v>
      </c>
      <c r="E114" s="522">
        <f>IF(+J96&lt;F113,J96,D114)</f>
        <v>417868.39024390245</v>
      </c>
      <c r="F114" s="523">
        <f t="shared" si="21"/>
        <v>10597830.624243708</v>
      </c>
      <c r="G114" s="523">
        <f t="shared" si="22"/>
        <v>10806764.81936566</v>
      </c>
      <c r="H114" s="526">
        <f t="shared" si="23"/>
        <v>1644589.93829617</v>
      </c>
      <c r="I114" s="577">
        <f t="shared" si="24"/>
        <v>1644589.93829617</v>
      </c>
      <c r="J114" s="514">
        <f t="shared" si="15"/>
        <v>0</v>
      </c>
      <c r="K114" s="514"/>
      <c r="L114" s="525"/>
      <c r="M114" s="514">
        <f t="shared" si="16"/>
        <v>0</v>
      </c>
      <c r="N114" s="525"/>
      <c r="O114" s="514">
        <f t="shared" si="17"/>
        <v>0</v>
      </c>
      <c r="P114" s="514">
        <f t="shared" si="18"/>
        <v>0</v>
      </c>
    </row>
    <row r="115" spans="2:16" ht="12.5">
      <c r="B115" s="195" t="str">
        <f t="shared" si="19"/>
        <v/>
      </c>
      <c r="C115" s="507">
        <f>IF(D93="","-",+C114+1)</f>
        <v>2033</v>
      </c>
      <c r="D115" s="374">
        <f>IF(F114+SUM(E$99:E114)=D$92,F114,D$92-SUM(E$99:E114))</f>
        <v>10597830.624243708</v>
      </c>
      <c r="E115" s="522">
        <f>IF(+J96&lt;F114,J96,D115)</f>
        <v>417868.39024390245</v>
      </c>
      <c r="F115" s="523">
        <f t="shared" si="21"/>
        <v>10179962.233999806</v>
      </c>
      <c r="G115" s="523">
        <f t="shared" si="22"/>
        <v>10388896.429121757</v>
      </c>
      <c r="H115" s="526">
        <f t="shared" si="23"/>
        <v>1597155.9312524046</v>
      </c>
      <c r="I115" s="577">
        <f t="shared" si="24"/>
        <v>1597155.9312524046</v>
      </c>
      <c r="J115" s="514">
        <f t="shared" si="15"/>
        <v>0</v>
      </c>
      <c r="K115" s="514"/>
      <c r="L115" s="525"/>
      <c r="M115" s="514">
        <f t="shared" si="16"/>
        <v>0</v>
      </c>
      <c r="N115" s="525"/>
      <c r="O115" s="514">
        <f t="shared" si="17"/>
        <v>0</v>
      </c>
      <c r="P115" s="514">
        <f t="shared" si="18"/>
        <v>0</v>
      </c>
    </row>
    <row r="116" spans="2:16" ht="12.5">
      <c r="B116" s="195" t="str">
        <f t="shared" si="19"/>
        <v/>
      </c>
      <c r="C116" s="507">
        <f>IF(D93="","-",+C115+1)</f>
        <v>2034</v>
      </c>
      <c r="D116" s="374">
        <f>IF(F115+SUM(E$99:E115)=D$92,F115,D$92-SUM(E$99:E115))</f>
        <v>10179962.233999806</v>
      </c>
      <c r="E116" s="522">
        <f>IF(+J96&lt;F115,J96,D116)</f>
        <v>417868.39024390245</v>
      </c>
      <c r="F116" s="523">
        <f t="shared" si="21"/>
        <v>9762093.8437559027</v>
      </c>
      <c r="G116" s="523">
        <f t="shared" si="22"/>
        <v>9971028.0388778541</v>
      </c>
      <c r="H116" s="526">
        <f t="shared" si="23"/>
        <v>1549721.9242086387</v>
      </c>
      <c r="I116" s="577">
        <f t="shared" si="24"/>
        <v>1549721.9242086387</v>
      </c>
      <c r="J116" s="514">
        <f t="shared" si="15"/>
        <v>0</v>
      </c>
      <c r="K116" s="514"/>
      <c r="L116" s="525"/>
      <c r="M116" s="514">
        <f t="shared" si="16"/>
        <v>0</v>
      </c>
      <c r="N116" s="525"/>
      <c r="O116" s="514">
        <f t="shared" si="17"/>
        <v>0</v>
      </c>
      <c r="P116" s="514">
        <f t="shared" si="18"/>
        <v>0</v>
      </c>
    </row>
    <row r="117" spans="2:16" ht="12.5">
      <c r="B117" s="195" t="str">
        <f t="shared" si="19"/>
        <v/>
      </c>
      <c r="C117" s="507">
        <f>IF(D93="","-",+C116+1)</f>
        <v>2035</v>
      </c>
      <c r="D117" s="374">
        <f>IF(F116+SUM(E$99:E116)=D$92,F116,D$92-SUM(E$99:E116))</f>
        <v>9762093.8437559027</v>
      </c>
      <c r="E117" s="522">
        <f>IF(+J96&lt;F116,J96,D117)</f>
        <v>417868.39024390245</v>
      </c>
      <c r="F117" s="523">
        <f t="shared" si="21"/>
        <v>9344225.4535119999</v>
      </c>
      <c r="G117" s="523">
        <f t="shared" si="22"/>
        <v>9553159.6486339513</v>
      </c>
      <c r="H117" s="526">
        <f t="shared" si="23"/>
        <v>1502287.9171648733</v>
      </c>
      <c r="I117" s="577">
        <f t="shared" si="24"/>
        <v>1502287.9171648733</v>
      </c>
      <c r="J117" s="514">
        <f t="shared" si="15"/>
        <v>0</v>
      </c>
      <c r="K117" s="514"/>
      <c r="L117" s="525"/>
      <c r="M117" s="514">
        <f t="shared" si="16"/>
        <v>0</v>
      </c>
      <c r="N117" s="525"/>
      <c r="O117" s="514">
        <f t="shared" si="17"/>
        <v>0</v>
      </c>
      <c r="P117" s="514">
        <f t="shared" si="18"/>
        <v>0</v>
      </c>
    </row>
    <row r="118" spans="2:16" ht="12.5">
      <c r="B118" s="195" t="str">
        <f t="shared" si="19"/>
        <v/>
      </c>
      <c r="C118" s="507">
        <f>IF(D93="","-",+C117+1)</f>
        <v>2036</v>
      </c>
      <c r="D118" s="374">
        <f>IF(F117+SUM(E$99:E117)=D$92,F117,D$92-SUM(E$99:E117))</f>
        <v>9344225.4535119999</v>
      </c>
      <c r="E118" s="522">
        <f>IF(+J96&lt;F117,J96,D118)</f>
        <v>417868.39024390245</v>
      </c>
      <c r="F118" s="523">
        <f t="shared" si="21"/>
        <v>8926357.0632680971</v>
      </c>
      <c r="G118" s="523">
        <f t="shared" si="22"/>
        <v>9135291.2583900485</v>
      </c>
      <c r="H118" s="526">
        <f t="shared" si="23"/>
        <v>1454853.9101211075</v>
      </c>
      <c r="I118" s="577">
        <f t="shared" si="24"/>
        <v>1454853.9101211075</v>
      </c>
      <c r="J118" s="514">
        <f t="shared" si="15"/>
        <v>0</v>
      </c>
      <c r="K118" s="514"/>
      <c r="L118" s="525"/>
      <c r="M118" s="514">
        <f t="shared" si="16"/>
        <v>0</v>
      </c>
      <c r="N118" s="525"/>
      <c r="O118" s="514">
        <f t="shared" si="17"/>
        <v>0</v>
      </c>
      <c r="P118" s="514">
        <f t="shared" si="18"/>
        <v>0</v>
      </c>
    </row>
    <row r="119" spans="2:16" ht="12.5">
      <c r="B119" s="195" t="str">
        <f t="shared" si="19"/>
        <v/>
      </c>
      <c r="C119" s="507">
        <f>IF(D93="","-",+C118+1)</f>
        <v>2037</v>
      </c>
      <c r="D119" s="374">
        <f>IF(F118+SUM(E$99:E118)=D$92,F118,D$92-SUM(E$99:E118))</f>
        <v>8926357.0632680971</v>
      </c>
      <c r="E119" s="522">
        <f>IF(+J96&lt;F118,J96,D119)</f>
        <v>417868.39024390245</v>
      </c>
      <c r="F119" s="523">
        <f t="shared" si="21"/>
        <v>8508488.6730241943</v>
      </c>
      <c r="G119" s="523">
        <f t="shared" si="22"/>
        <v>8717422.8681461457</v>
      </c>
      <c r="H119" s="526">
        <f t="shared" si="23"/>
        <v>1407419.9030773418</v>
      </c>
      <c r="I119" s="577">
        <f t="shared" si="24"/>
        <v>1407419.9030773418</v>
      </c>
      <c r="J119" s="514">
        <f t="shared" si="15"/>
        <v>0</v>
      </c>
      <c r="K119" s="514"/>
      <c r="L119" s="525"/>
      <c r="M119" s="514">
        <f t="shared" si="16"/>
        <v>0</v>
      </c>
      <c r="N119" s="525"/>
      <c r="O119" s="514">
        <f t="shared" si="17"/>
        <v>0</v>
      </c>
      <c r="P119" s="514">
        <f t="shared" si="18"/>
        <v>0</v>
      </c>
    </row>
    <row r="120" spans="2:16" ht="12.5">
      <c r="B120" s="195" t="str">
        <f t="shared" si="19"/>
        <v/>
      </c>
      <c r="C120" s="507">
        <f>IF(D93="","-",+C119+1)</f>
        <v>2038</v>
      </c>
      <c r="D120" s="374">
        <f>IF(F119+SUM(E$99:E119)=D$92,F119,D$92-SUM(E$99:E119))</f>
        <v>8508488.6730241943</v>
      </c>
      <c r="E120" s="522">
        <f>IF(+J96&lt;F119,J96,D120)</f>
        <v>417868.39024390245</v>
      </c>
      <c r="F120" s="523">
        <f t="shared" si="21"/>
        <v>8090620.2827802915</v>
      </c>
      <c r="G120" s="523">
        <f t="shared" si="22"/>
        <v>8299554.4779022429</v>
      </c>
      <c r="H120" s="526">
        <f t="shared" si="23"/>
        <v>1359985.8960335762</v>
      </c>
      <c r="I120" s="577">
        <f t="shared" si="24"/>
        <v>1359985.8960335762</v>
      </c>
      <c r="J120" s="514">
        <f t="shared" si="15"/>
        <v>0</v>
      </c>
      <c r="K120" s="514"/>
      <c r="L120" s="525"/>
      <c r="M120" s="514">
        <f t="shared" si="16"/>
        <v>0</v>
      </c>
      <c r="N120" s="525"/>
      <c r="O120" s="514">
        <f t="shared" si="17"/>
        <v>0</v>
      </c>
      <c r="P120" s="514">
        <f t="shared" si="18"/>
        <v>0</v>
      </c>
    </row>
    <row r="121" spans="2:16" ht="12.5">
      <c r="B121" s="195" t="str">
        <f t="shared" si="19"/>
        <v/>
      </c>
      <c r="C121" s="507">
        <f>IF(D93="","-",+C120+1)</f>
        <v>2039</v>
      </c>
      <c r="D121" s="374">
        <f>IF(F120+SUM(E$99:E120)=D$92,F120,D$92-SUM(E$99:E120))</f>
        <v>8090620.2827802915</v>
      </c>
      <c r="E121" s="522">
        <f>IF(+J96&lt;F120,J96,D121)</f>
        <v>417868.39024390245</v>
      </c>
      <c r="F121" s="523">
        <f t="shared" si="21"/>
        <v>7672751.8925363887</v>
      </c>
      <c r="G121" s="523">
        <f t="shared" si="22"/>
        <v>7881686.0876583401</v>
      </c>
      <c r="H121" s="526">
        <f t="shared" si="23"/>
        <v>1312551.8889898106</v>
      </c>
      <c r="I121" s="577">
        <f t="shared" si="24"/>
        <v>1312551.8889898106</v>
      </c>
      <c r="J121" s="514">
        <f t="shared" si="15"/>
        <v>0</v>
      </c>
      <c r="K121" s="514"/>
      <c r="L121" s="525"/>
      <c r="M121" s="514">
        <f t="shared" si="16"/>
        <v>0</v>
      </c>
      <c r="N121" s="525"/>
      <c r="O121" s="514">
        <f t="shared" si="17"/>
        <v>0</v>
      </c>
      <c r="P121" s="514">
        <f t="shared" si="18"/>
        <v>0</v>
      </c>
    </row>
    <row r="122" spans="2:16" ht="12.5">
      <c r="B122" s="195" t="str">
        <f t="shared" si="19"/>
        <v/>
      </c>
      <c r="C122" s="507">
        <f>IF(D93="","-",+C121+1)</f>
        <v>2040</v>
      </c>
      <c r="D122" s="374">
        <f>IF(F121+SUM(E$99:E121)=D$92,F121,D$92-SUM(E$99:E121))</f>
        <v>7672751.8925363887</v>
      </c>
      <c r="E122" s="522">
        <f>IF(+J96&lt;F121,J96,D122)</f>
        <v>417868.39024390245</v>
      </c>
      <c r="F122" s="523">
        <f t="shared" si="21"/>
        <v>7254883.5022924859</v>
      </c>
      <c r="G122" s="523">
        <f t="shared" si="22"/>
        <v>7463817.6974144373</v>
      </c>
      <c r="H122" s="526">
        <f t="shared" si="23"/>
        <v>1265117.881946045</v>
      </c>
      <c r="I122" s="577">
        <f t="shared" si="24"/>
        <v>1265117.881946045</v>
      </c>
      <c r="J122" s="514">
        <f t="shared" si="15"/>
        <v>0</v>
      </c>
      <c r="K122" s="514"/>
      <c r="L122" s="525"/>
      <c r="M122" s="514">
        <f t="shared" si="16"/>
        <v>0</v>
      </c>
      <c r="N122" s="525"/>
      <c r="O122" s="514">
        <f t="shared" si="17"/>
        <v>0</v>
      </c>
      <c r="P122" s="514">
        <f t="shared" si="18"/>
        <v>0</v>
      </c>
    </row>
    <row r="123" spans="2:16" ht="12.5">
      <c r="B123" s="195" t="str">
        <f t="shared" si="19"/>
        <v/>
      </c>
      <c r="C123" s="507">
        <f>IF(D93="","-",+C122+1)</f>
        <v>2041</v>
      </c>
      <c r="D123" s="374">
        <f>IF(F122+SUM(E$99:E122)=D$92,F122,D$92-SUM(E$99:E122))</f>
        <v>7254883.5022924859</v>
      </c>
      <c r="E123" s="522">
        <f>IF(+J96&lt;F122,J96,D123)</f>
        <v>417868.39024390245</v>
      </c>
      <c r="F123" s="523">
        <f t="shared" si="21"/>
        <v>6837015.1120485831</v>
      </c>
      <c r="G123" s="523">
        <f t="shared" si="22"/>
        <v>7045949.3071705345</v>
      </c>
      <c r="H123" s="526">
        <f t="shared" si="23"/>
        <v>1217683.8749022791</v>
      </c>
      <c r="I123" s="577">
        <f t="shared" si="24"/>
        <v>1217683.8749022791</v>
      </c>
      <c r="J123" s="514">
        <f t="shared" si="15"/>
        <v>0</v>
      </c>
      <c r="K123" s="514"/>
      <c r="L123" s="525"/>
      <c r="M123" s="514">
        <f t="shared" si="16"/>
        <v>0</v>
      </c>
      <c r="N123" s="525"/>
      <c r="O123" s="514">
        <f t="shared" si="17"/>
        <v>0</v>
      </c>
      <c r="P123" s="514">
        <f t="shared" si="18"/>
        <v>0</v>
      </c>
    </row>
    <row r="124" spans="2:16" ht="12.5">
      <c r="B124" s="195" t="str">
        <f t="shared" si="19"/>
        <v/>
      </c>
      <c r="C124" s="507">
        <f>IF(D93="","-",+C123+1)</f>
        <v>2042</v>
      </c>
      <c r="D124" s="374">
        <f>IF(F123+SUM(E$99:E123)=D$92,F123,D$92-SUM(E$99:E123))</f>
        <v>6837015.1120485831</v>
      </c>
      <c r="E124" s="522">
        <f>IF(+J96&lt;F123,J96,D124)</f>
        <v>417868.39024390245</v>
      </c>
      <c r="F124" s="523">
        <f t="shared" si="21"/>
        <v>6419146.7218046803</v>
      </c>
      <c r="G124" s="523">
        <f t="shared" si="22"/>
        <v>6628080.9169266317</v>
      </c>
      <c r="H124" s="526">
        <f t="shared" si="23"/>
        <v>1170249.8678585137</v>
      </c>
      <c r="I124" s="577">
        <f t="shared" si="24"/>
        <v>1170249.8678585137</v>
      </c>
      <c r="J124" s="514">
        <f t="shared" si="15"/>
        <v>0</v>
      </c>
      <c r="K124" s="514"/>
      <c r="L124" s="525"/>
      <c r="M124" s="514">
        <f t="shared" si="16"/>
        <v>0</v>
      </c>
      <c r="N124" s="525"/>
      <c r="O124" s="514">
        <f t="shared" si="17"/>
        <v>0</v>
      </c>
      <c r="P124" s="514">
        <f t="shared" si="18"/>
        <v>0</v>
      </c>
    </row>
    <row r="125" spans="2:16" ht="12.5">
      <c r="B125" s="195" t="str">
        <f t="shared" si="19"/>
        <v/>
      </c>
      <c r="C125" s="507">
        <f>IF(D93="","-",+C124+1)</f>
        <v>2043</v>
      </c>
      <c r="D125" s="374">
        <f>IF(F124+SUM(E$99:E124)=D$92,F124,D$92-SUM(E$99:E124))</f>
        <v>6419146.7218046803</v>
      </c>
      <c r="E125" s="522">
        <f>IF(+J96&lt;F124,J96,D125)</f>
        <v>417868.39024390245</v>
      </c>
      <c r="F125" s="523">
        <f t="shared" si="21"/>
        <v>6001278.3315607775</v>
      </c>
      <c r="G125" s="523">
        <f t="shared" si="22"/>
        <v>6210212.5266827289</v>
      </c>
      <c r="H125" s="526">
        <f t="shared" si="23"/>
        <v>1122815.8608147479</v>
      </c>
      <c r="I125" s="577">
        <f t="shared" si="24"/>
        <v>1122815.8608147479</v>
      </c>
      <c r="J125" s="514">
        <f t="shared" si="15"/>
        <v>0</v>
      </c>
      <c r="K125" s="514"/>
      <c r="L125" s="525"/>
      <c r="M125" s="514">
        <f t="shared" si="16"/>
        <v>0</v>
      </c>
      <c r="N125" s="525"/>
      <c r="O125" s="514">
        <f t="shared" si="17"/>
        <v>0</v>
      </c>
      <c r="P125" s="514">
        <f t="shared" si="18"/>
        <v>0</v>
      </c>
    </row>
    <row r="126" spans="2:16" ht="12.5">
      <c r="B126" s="195" t="str">
        <f t="shared" si="19"/>
        <v/>
      </c>
      <c r="C126" s="507">
        <f>IF(D93="","-",+C125+1)</f>
        <v>2044</v>
      </c>
      <c r="D126" s="374">
        <f>IF(F125+SUM(E$99:E125)=D$92,F125,D$92-SUM(E$99:E125))</f>
        <v>6001278.3315607775</v>
      </c>
      <c r="E126" s="522">
        <f>IF(+J96&lt;F125,J96,D126)</f>
        <v>417868.39024390245</v>
      </c>
      <c r="F126" s="523">
        <f t="shared" si="21"/>
        <v>5583409.9413168747</v>
      </c>
      <c r="G126" s="523">
        <f t="shared" si="22"/>
        <v>5792344.1364388261</v>
      </c>
      <c r="H126" s="526">
        <f t="shared" si="23"/>
        <v>1075381.8537709822</v>
      </c>
      <c r="I126" s="577">
        <f t="shared" si="24"/>
        <v>1075381.8537709822</v>
      </c>
      <c r="J126" s="514">
        <f t="shared" si="15"/>
        <v>0</v>
      </c>
      <c r="K126" s="514"/>
      <c r="L126" s="525"/>
      <c r="M126" s="514">
        <f t="shared" si="16"/>
        <v>0</v>
      </c>
      <c r="N126" s="525"/>
      <c r="O126" s="514">
        <f t="shared" si="17"/>
        <v>0</v>
      </c>
      <c r="P126" s="514">
        <f t="shared" si="18"/>
        <v>0</v>
      </c>
    </row>
    <row r="127" spans="2:16" ht="12.5">
      <c r="B127" s="195" t="str">
        <f t="shared" si="19"/>
        <v/>
      </c>
      <c r="C127" s="507">
        <f>IF(D93="","-",+C126+1)</f>
        <v>2045</v>
      </c>
      <c r="D127" s="374">
        <f>IF(F126+SUM(E$99:E126)=D$92,F126,D$92-SUM(E$99:E126))</f>
        <v>5583409.9413168747</v>
      </c>
      <c r="E127" s="522">
        <f>IF(+J96&lt;F126,J96,D127)</f>
        <v>417868.39024390245</v>
      </c>
      <c r="F127" s="523">
        <f t="shared" si="21"/>
        <v>5165541.5510729719</v>
      </c>
      <c r="G127" s="523">
        <f t="shared" si="22"/>
        <v>5374475.7461949233</v>
      </c>
      <c r="H127" s="526">
        <f t="shared" si="23"/>
        <v>1027947.8467272166</v>
      </c>
      <c r="I127" s="577">
        <f t="shared" si="24"/>
        <v>1027947.8467272166</v>
      </c>
      <c r="J127" s="514">
        <f t="shared" si="15"/>
        <v>0</v>
      </c>
      <c r="K127" s="514"/>
      <c r="L127" s="525"/>
      <c r="M127" s="514">
        <f t="shared" si="16"/>
        <v>0</v>
      </c>
      <c r="N127" s="525"/>
      <c r="O127" s="514">
        <f t="shared" si="17"/>
        <v>0</v>
      </c>
      <c r="P127" s="514">
        <f t="shared" si="18"/>
        <v>0</v>
      </c>
    </row>
    <row r="128" spans="2:16" ht="12.5">
      <c r="B128" s="195" t="str">
        <f t="shared" si="19"/>
        <v/>
      </c>
      <c r="C128" s="507">
        <f>IF(D93="","-",+C127+1)</f>
        <v>2046</v>
      </c>
      <c r="D128" s="374">
        <f>IF(F127+SUM(E$99:E127)=D$92,F127,D$92-SUM(E$99:E127))</f>
        <v>5165541.5510729719</v>
      </c>
      <c r="E128" s="522">
        <f>IF(+J96&lt;F127,J96,D128)</f>
        <v>417868.39024390245</v>
      </c>
      <c r="F128" s="523">
        <f t="shared" si="21"/>
        <v>4747673.1608290691</v>
      </c>
      <c r="G128" s="523">
        <f t="shared" si="22"/>
        <v>4956607.3559510205</v>
      </c>
      <c r="H128" s="526">
        <f t="shared" si="23"/>
        <v>980513.83968345099</v>
      </c>
      <c r="I128" s="577">
        <f t="shared" si="24"/>
        <v>980513.83968345099</v>
      </c>
      <c r="J128" s="514">
        <f t="shared" si="15"/>
        <v>0</v>
      </c>
      <c r="K128" s="514"/>
      <c r="L128" s="525"/>
      <c r="M128" s="514">
        <f t="shared" si="16"/>
        <v>0</v>
      </c>
      <c r="N128" s="525"/>
      <c r="O128" s="514">
        <f t="shared" si="17"/>
        <v>0</v>
      </c>
      <c r="P128" s="514">
        <f t="shared" si="18"/>
        <v>0</v>
      </c>
    </row>
    <row r="129" spans="2:16" ht="12.5">
      <c r="B129" s="195" t="str">
        <f t="shared" si="19"/>
        <v/>
      </c>
      <c r="C129" s="507">
        <f>IF(D93="","-",+C128+1)</f>
        <v>2047</v>
      </c>
      <c r="D129" s="374">
        <f>IF(F128+SUM(E$99:E128)=D$92,F128,D$92-SUM(E$99:E128))</f>
        <v>4747673.1608290691</v>
      </c>
      <c r="E129" s="522">
        <f>IF(+J96&lt;F128,J96,D129)</f>
        <v>417868.39024390245</v>
      </c>
      <c r="F129" s="523">
        <f t="shared" si="21"/>
        <v>4329804.7705851663</v>
      </c>
      <c r="G129" s="523">
        <f t="shared" si="22"/>
        <v>4538738.9657071177</v>
      </c>
      <c r="H129" s="526">
        <f t="shared" si="23"/>
        <v>933079.83263968537</v>
      </c>
      <c r="I129" s="577">
        <f t="shared" si="24"/>
        <v>933079.83263968537</v>
      </c>
      <c r="J129" s="514">
        <f t="shared" si="15"/>
        <v>0</v>
      </c>
      <c r="K129" s="514"/>
      <c r="L129" s="525"/>
      <c r="M129" s="514">
        <f t="shared" si="16"/>
        <v>0</v>
      </c>
      <c r="N129" s="525"/>
      <c r="O129" s="514">
        <f t="shared" si="17"/>
        <v>0</v>
      </c>
      <c r="P129" s="514">
        <f t="shared" si="18"/>
        <v>0</v>
      </c>
    </row>
    <row r="130" spans="2:16" ht="12.5">
      <c r="B130" s="195" t="str">
        <f t="shared" si="19"/>
        <v/>
      </c>
      <c r="C130" s="507">
        <f>IF(D93="","-",+C129+1)</f>
        <v>2048</v>
      </c>
      <c r="D130" s="374">
        <f>IF(F129+SUM(E$99:E129)=D$92,F129,D$92-SUM(E$99:E129))</f>
        <v>4329804.7705851663</v>
      </c>
      <c r="E130" s="522">
        <f>IF(+J96&lt;F129,J96,D130)</f>
        <v>417868.39024390245</v>
      </c>
      <c r="F130" s="523">
        <f t="shared" si="21"/>
        <v>3911936.380341264</v>
      </c>
      <c r="G130" s="523">
        <f t="shared" si="22"/>
        <v>4120870.5754632149</v>
      </c>
      <c r="H130" s="526">
        <f t="shared" si="23"/>
        <v>885645.82559591974</v>
      </c>
      <c r="I130" s="577">
        <f t="shared" si="24"/>
        <v>885645.82559591974</v>
      </c>
      <c r="J130" s="514">
        <f t="shared" si="15"/>
        <v>0</v>
      </c>
      <c r="K130" s="514"/>
      <c r="L130" s="525"/>
      <c r="M130" s="514">
        <f t="shared" si="16"/>
        <v>0</v>
      </c>
      <c r="N130" s="525"/>
      <c r="O130" s="514">
        <f t="shared" si="17"/>
        <v>0</v>
      </c>
      <c r="P130" s="514">
        <f t="shared" si="18"/>
        <v>0</v>
      </c>
    </row>
    <row r="131" spans="2:16" ht="12.5">
      <c r="B131" s="195" t="str">
        <f t="shared" si="19"/>
        <v/>
      </c>
      <c r="C131" s="507">
        <f>IF(D93="","-",+C130+1)</f>
        <v>2049</v>
      </c>
      <c r="D131" s="374">
        <f>IF(F130+SUM(E$99:E130)=D$92,F130,D$92-SUM(E$99:E130))</f>
        <v>3911936.380341264</v>
      </c>
      <c r="E131" s="522">
        <f>IF(+J96&lt;F130,J96,D131)</f>
        <v>417868.39024390245</v>
      </c>
      <c r="F131" s="523">
        <f t="shared" si="21"/>
        <v>3494067.9900973616</v>
      </c>
      <c r="G131" s="523">
        <f t="shared" si="22"/>
        <v>3703002.185219313</v>
      </c>
      <c r="H131" s="526">
        <f t="shared" si="23"/>
        <v>838211.81855215412</v>
      </c>
      <c r="I131" s="577">
        <f t="shared" si="24"/>
        <v>838211.81855215412</v>
      </c>
      <c r="J131" s="514">
        <f t="shared" ref="J131:J154" si="25">+I541-H541</f>
        <v>0</v>
      </c>
      <c r="K131" s="514"/>
      <c r="L131" s="525"/>
      <c r="M131" s="514">
        <f t="shared" ref="M131:M154" si="26">IF(L541&lt;&gt;0,+H541-L541,0)</f>
        <v>0</v>
      </c>
      <c r="N131" s="525"/>
      <c r="O131" s="514">
        <f t="shared" ref="O131:O154" si="27">IF(N541&lt;&gt;0,+I541-N541,0)</f>
        <v>0</v>
      </c>
      <c r="P131" s="514">
        <f t="shared" ref="P131:P154" si="28">+O541-M541</f>
        <v>0</v>
      </c>
    </row>
    <row r="132" spans="2:16" ht="12.5">
      <c r="B132" s="195" t="str">
        <f t="shared" si="19"/>
        <v/>
      </c>
      <c r="C132" s="507">
        <f>IF(D93="","-",+C131+1)</f>
        <v>2050</v>
      </c>
      <c r="D132" s="374">
        <f>IF(F131+SUM(E$99:E131)=D$92,F131,D$92-SUM(E$99:E131))</f>
        <v>3494067.9900973616</v>
      </c>
      <c r="E132" s="522">
        <f>IF(+J96&lt;F131,J96,D132)</f>
        <v>417868.39024390245</v>
      </c>
      <c r="F132" s="523">
        <f t="shared" si="21"/>
        <v>3076199.5998534593</v>
      </c>
      <c r="G132" s="523">
        <f t="shared" si="22"/>
        <v>3285133.7949754102</v>
      </c>
      <c r="H132" s="526">
        <f t="shared" si="23"/>
        <v>790777.81150838849</v>
      </c>
      <c r="I132" s="577">
        <f t="shared" si="24"/>
        <v>790777.81150838849</v>
      </c>
      <c r="J132" s="514">
        <f t="shared" si="25"/>
        <v>0</v>
      </c>
      <c r="K132" s="514"/>
      <c r="L132" s="525"/>
      <c r="M132" s="514">
        <f t="shared" si="26"/>
        <v>0</v>
      </c>
      <c r="N132" s="525"/>
      <c r="O132" s="514">
        <f t="shared" si="27"/>
        <v>0</v>
      </c>
      <c r="P132" s="514">
        <f t="shared" si="28"/>
        <v>0</v>
      </c>
    </row>
    <row r="133" spans="2:16" ht="12.5">
      <c r="B133" s="195" t="str">
        <f t="shared" si="19"/>
        <v/>
      </c>
      <c r="C133" s="507">
        <f>IF(D93="","-",+C132+1)</f>
        <v>2051</v>
      </c>
      <c r="D133" s="374">
        <f>IF(F132+SUM(E$99:E132)=D$92,F132,D$92-SUM(E$99:E132))</f>
        <v>3076199.5998534593</v>
      </c>
      <c r="E133" s="522">
        <f>IF(+J96&lt;F132,J96,D133)</f>
        <v>417868.39024390245</v>
      </c>
      <c r="F133" s="523">
        <f t="shared" si="21"/>
        <v>2658331.2096095569</v>
      </c>
      <c r="G133" s="523">
        <f t="shared" si="22"/>
        <v>2867265.4047315083</v>
      </c>
      <c r="H133" s="526">
        <f t="shared" si="23"/>
        <v>743343.80446462287</v>
      </c>
      <c r="I133" s="577">
        <f t="shared" si="24"/>
        <v>743343.80446462287</v>
      </c>
      <c r="J133" s="514">
        <f t="shared" si="25"/>
        <v>0</v>
      </c>
      <c r="K133" s="514"/>
      <c r="L133" s="525"/>
      <c r="M133" s="514">
        <f t="shared" si="26"/>
        <v>0</v>
      </c>
      <c r="N133" s="525"/>
      <c r="O133" s="514">
        <f t="shared" si="27"/>
        <v>0</v>
      </c>
      <c r="P133" s="514">
        <f t="shared" si="28"/>
        <v>0</v>
      </c>
    </row>
    <row r="134" spans="2:16" ht="12.5">
      <c r="B134" s="195" t="str">
        <f t="shared" si="19"/>
        <v/>
      </c>
      <c r="C134" s="507">
        <f>IF(D93="","-",+C133+1)</f>
        <v>2052</v>
      </c>
      <c r="D134" s="374">
        <f>IF(F133+SUM(E$99:E133)=D$92,F133,D$92-SUM(E$99:E133))</f>
        <v>2658331.2096095569</v>
      </c>
      <c r="E134" s="522">
        <f>IF(+J96&lt;F133,J96,D134)</f>
        <v>417868.39024390245</v>
      </c>
      <c r="F134" s="523">
        <f t="shared" si="21"/>
        <v>2240462.8193656546</v>
      </c>
      <c r="G134" s="523">
        <f t="shared" si="22"/>
        <v>2449397.0144876055</v>
      </c>
      <c r="H134" s="526">
        <f t="shared" si="23"/>
        <v>695909.79742085724</v>
      </c>
      <c r="I134" s="577">
        <f t="shared" si="24"/>
        <v>695909.79742085724</v>
      </c>
      <c r="J134" s="514">
        <f t="shared" si="25"/>
        <v>0</v>
      </c>
      <c r="K134" s="514"/>
      <c r="L134" s="525"/>
      <c r="M134" s="514">
        <f t="shared" si="26"/>
        <v>0</v>
      </c>
      <c r="N134" s="525"/>
      <c r="O134" s="514">
        <f t="shared" si="27"/>
        <v>0</v>
      </c>
      <c r="P134" s="514">
        <f t="shared" si="28"/>
        <v>0</v>
      </c>
    </row>
    <row r="135" spans="2:16" ht="12.5">
      <c r="B135" s="195" t="str">
        <f t="shared" si="19"/>
        <v/>
      </c>
      <c r="C135" s="507">
        <f>IF(D93="","-",+C134+1)</f>
        <v>2053</v>
      </c>
      <c r="D135" s="374">
        <f>IF(F134+SUM(E$99:E134)=D$92,F134,D$92-SUM(E$99:E134))</f>
        <v>2240462.8193656546</v>
      </c>
      <c r="E135" s="522">
        <f>IF(+J96&lt;F134,J96,D135)</f>
        <v>417868.39024390245</v>
      </c>
      <c r="F135" s="523">
        <f t="shared" si="21"/>
        <v>1822594.4291217523</v>
      </c>
      <c r="G135" s="523">
        <f t="shared" si="22"/>
        <v>2031528.6242437034</v>
      </c>
      <c r="H135" s="526">
        <f t="shared" si="23"/>
        <v>648475.79037709173</v>
      </c>
      <c r="I135" s="577">
        <f t="shared" si="24"/>
        <v>648475.79037709173</v>
      </c>
      <c r="J135" s="514">
        <f t="shared" si="25"/>
        <v>0</v>
      </c>
      <c r="K135" s="514"/>
      <c r="L135" s="525"/>
      <c r="M135" s="514">
        <f t="shared" si="26"/>
        <v>0</v>
      </c>
      <c r="N135" s="525"/>
      <c r="O135" s="514">
        <f t="shared" si="27"/>
        <v>0</v>
      </c>
      <c r="P135" s="514">
        <f t="shared" si="28"/>
        <v>0</v>
      </c>
    </row>
    <row r="136" spans="2:16" ht="12.5">
      <c r="B136" s="195" t="str">
        <f t="shared" si="19"/>
        <v/>
      </c>
      <c r="C136" s="507">
        <f>IF(D93="","-",+C135+1)</f>
        <v>2054</v>
      </c>
      <c r="D136" s="374">
        <f>IF(F135+SUM(E$99:E135)=D$92,F135,D$92-SUM(E$99:E135))</f>
        <v>1822594.4291217523</v>
      </c>
      <c r="E136" s="522">
        <f>IF(+J96&lt;F135,J96,D136)</f>
        <v>417868.39024390245</v>
      </c>
      <c r="F136" s="523">
        <f t="shared" si="21"/>
        <v>1404726.0388778499</v>
      </c>
      <c r="G136" s="523">
        <f t="shared" si="22"/>
        <v>1613660.2339998011</v>
      </c>
      <c r="H136" s="526">
        <f t="shared" si="23"/>
        <v>601041.78333332611</v>
      </c>
      <c r="I136" s="577">
        <f t="shared" si="24"/>
        <v>601041.78333332611</v>
      </c>
      <c r="J136" s="514">
        <f t="shared" si="25"/>
        <v>0</v>
      </c>
      <c r="K136" s="514"/>
      <c r="L136" s="525"/>
      <c r="M136" s="514">
        <f t="shared" si="26"/>
        <v>0</v>
      </c>
      <c r="N136" s="525"/>
      <c r="O136" s="514">
        <f t="shared" si="27"/>
        <v>0</v>
      </c>
      <c r="P136" s="514">
        <f t="shared" si="28"/>
        <v>0</v>
      </c>
    </row>
    <row r="137" spans="2:16" ht="12.5">
      <c r="B137" s="195" t="str">
        <f t="shared" si="19"/>
        <v/>
      </c>
      <c r="C137" s="507">
        <f>IF(D93="","-",+C136+1)</f>
        <v>2055</v>
      </c>
      <c r="D137" s="374">
        <f>IF(F136+SUM(E$99:E136)=D$92,F136,D$92-SUM(E$99:E136))</f>
        <v>1404726.0388778499</v>
      </c>
      <c r="E137" s="522">
        <f>IF(+J96&lt;F136,J96,D137)</f>
        <v>417868.39024390245</v>
      </c>
      <c r="F137" s="523">
        <f t="shared" si="21"/>
        <v>986857.64863394748</v>
      </c>
      <c r="G137" s="523">
        <f t="shared" si="22"/>
        <v>1195791.8437558988</v>
      </c>
      <c r="H137" s="526">
        <f t="shared" si="23"/>
        <v>553607.77628956048</v>
      </c>
      <c r="I137" s="577">
        <f t="shared" si="24"/>
        <v>553607.77628956048</v>
      </c>
      <c r="J137" s="514">
        <f t="shared" si="25"/>
        <v>0</v>
      </c>
      <c r="K137" s="514"/>
      <c r="L137" s="525"/>
      <c r="M137" s="514">
        <f t="shared" si="26"/>
        <v>0</v>
      </c>
      <c r="N137" s="525"/>
      <c r="O137" s="514">
        <f t="shared" si="27"/>
        <v>0</v>
      </c>
      <c r="P137" s="514">
        <f t="shared" si="28"/>
        <v>0</v>
      </c>
    </row>
    <row r="138" spans="2:16" ht="12.5">
      <c r="B138" s="195" t="str">
        <f t="shared" si="19"/>
        <v/>
      </c>
      <c r="C138" s="507">
        <f>IF(D93="","-",+C137+1)</f>
        <v>2056</v>
      </c>
      <c r="D138" s="374">
        <f>IF(F137+SUM(E$99:E137)=D$92,F137,D$92-SUM(E$99:E137))</f>
        <v>986857.64863394748</v>
      </c>
      <c r="E138" s="522">
        <f>IF(+J96&lt;F137,J96,D138)</f>
        <v>417868.39024390245</v>
      </c>
      <c r="F138" s="523">
        <f t="shared" si="21"/>
        <v>568989.25839004503</v>
      </c>
      <c r="G138" s="523">
        <f t="shared" si="22"/>
        <v>777923.45351199619</v>
      </c>
      <c r="H138" s="526">
        <f t="shared" si="23"/>
        <v>506173.76924579486</v>
      </c>
      <c r="I138" s="577">
        <f t="shared" si="24"/>
        <v>506173.76924579486</v>
      </c>
      <c r="J138" s="514">
        <f t="shared" si="25"/>
        <v>0</v>
      </c>
      <c r="K138" s="514"/>
      <c r="L138" s="525"/>
      <c r="M138" s="514">
        <f t="shared" si="26"/>
        <v>0</v>
      </c>
      <c r="N138" s="525"/>
      <c r="O138" s="514">
        <f t="shared" si="27"/>
        <v>0</v>
      </c>
      <c r="P138" s="514">
        <f t="shared" si="28"/>
        <v>0</v>
      </c>
    </row>
    <row r="139" spans="2:16" ht="12.5">
      <c r="B139" s="195" t="str">
        <f t="shared" si="19"/>
        <v/>
      </c>
      <c r="C139" s="507">
        <f>IF(D93="","-",+C138+1)</f>
        <v>2057</v>
      </c>
      <c r="D139" s="374">
        <f>IF(F138+SUM(E$99:E138)=D$92,F138,D$92-SUM(E$99:E138))</f>
        <v>568989.25839004503</v>
      </c>
      <c r="E139" s="522">
        <f>IF(+J96&lt;F138,J96,D139)</f>
        <v>417868.39024390245</v>
      </c>
      <c r="F139" s="523">
        <f t="shared" si="21"/>
        <v>151120.86814614257</v>
      </c>
      <c r="G139" s="523">
        <f t="shared" si="22"/>
        <v>360055.0632680938</v>
      </c>
      <c r="H139" s="526">
        <f t="shared" si="23"/>
        <v>458739.76220202929</v>
      </c>
      <c r="I139" s="577">
        <f t="shared" si="24"/>
        <v>458739.76220202929</v>
      </c>
      <c r="J139" s="514">
        <f t="shared" si="25"/>
        <v>0</v>
      </c>
      <c r="K139" s="514"/>
      <c r="L139" s="525"/>
      <c r="M139" s="514">
        <f t="shared" si="26"/>
        <v>0</v>
      </c>
      <c r="N139" s="525"/>
      <c r="O139" s="514">
        <f t="shared" si="27"/>
        <v>0</v>
      </c>
      <c r="P139" s="514">
        <f t="shared" si="28"/>
        <v>0</v>
      </c>
    </row>
    <row r="140" spans="2:16" ht="12.5">
      <c r="B140" s="195" t="str">
        <f t="shared" si="19"/>
        <v/>
      </c>
      <c r="C140" s="507">
        <f>IF(D93="","-",+C139+1)</f>
        <v>2058</v>
      </c>
      <c r="D140" s="374">
        <f>IF(F139+SUM(E$99:E139)=D$92,F139,D$92-SUM(E$99:E139))</f>
        <v>151120.86814614257</v>
      </c>
      <c r="E140" s="522">
        <f>IF(+J96&lt;F139,J96,D140)</f>
        <v>151120.86814614257</v>
      </c>
      <c r="F140" s="523">
        <f t="shared" si="21"/>
        <v>0</v>
      </c>
      <c r="G140" s="523">
        <f t="shared" si="22"/>
        <v>75560.434073071287</v>
      </c>
      <c r="H140" s="526">
        <f t="shared" si="23"/>
        <v>159698.05236426459</v>
      </c>
      <c r="I140" s="577">
        <f t="shared" si="24"/>
        <v>159698.05236426459</v>
      </c>
      <c r="J140" s="514">
        <f t="shared" si="25"/>
        <v>0</v>
      </c>
      <c r="K140" s="514"/>
      <c r="L140" s="525"/>
      <c r="M140" s="514">
        <f t="shared" si="26"/>
        <v>0</v>
      </c>
      <c r="N140" s="525"/>
      <c r="O140" s="514">
        <f t="shared" si="27"/>
        <v>0</v>
      </c>
      <c r="P140" s="514">
        <f t="shared" si="28"/>
        <v>0</v>
      </c>
    </row>
    <row r="141" spans="2:16" ht="12.5">
      <c r="B141" s="195" t="str">
        <f t="shared" si="19"/>
        <v/>
      </c>
      <c r="C141" s="507">
        <f>IF(D93="","-",+C140+1)</f>
        <v>2059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1"/>
        <v>0</v>
      </c>
      <c r="G141" s="523">
        <f t="shared" si="22"/>
        <v>0</v>
      </c>
      <c r="H141" s="526">
        <f t="shared" si="23"/>
        <v>0</v>
      </c>
      <c r="I141" s="577">
        <f t="shared" si="24"/>
        <v>0</v>
      </c>
      <c r="J141" s="514">
        <f t="shared" si="25"/>
        <v>0</v>
      </c>
      <c r="K141" s="514"/>
      <c r="L141" s="525"/>
      <c r="M141" s="514">
        <f t="shared" si="26"/>
        <v>0</v>
      </c>
      <c r="N141" s="525"/>
      <c r="O141" s="514">
        <f t="shared" si="27"/>
        <v>0</v>
      </c>
      <c r="P141" s="514">
        <f t="shared" si="28"/>
        <v>0</v>
      </c>
    </row>
    <row r="142" spans="2:16" ht="12.5">
      <c r="B142" s="195" t="str">
        <f t="shared" si="19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1"/>
        <v>0</v>
      </c>
      <c r="G142" s="523">
        <f t="shared" si="22"/>
        <v>0</v>
      </c>
      <c r="H142" s="526">
        <f t="shared" si="23"/>
        <v>0</v>
      </c>
      <c r="I142" s="577">
        <f t="shared" si="24"/>
        <v>0</v>
      </c>
      <c r="J142" s="514">
        <f t="shared" si="25"/>
        <v>0</v>
      </c>
      <c r="K142" s="514"/>
      <c r="L142" s="525"/>
      <c r="M142" s="514">
        <f t="shared" si="26"/>
        <v>0</v>
      </c>
      <c r="N142" s="525"/>
      <c r="O142" s="514">
        <f t="shared" si="27"/>
        <v>0</v>
      </c>
      <c r="P142" s="514">
        <f t="shared" si="28"/>
        <v>0</v>
      </c>
    </row>
    <row r="143" spans="2:16" ht="12.5">
      <c r="B143" s="195" t="str">
        <f t="shared" si="19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1"/>
        <v>0</v>
      </c>
      <c r="G143" s="523">
        <f t="shared" si="22"/>
        <v>0</v>
      </c>
      <c r="H143" s="526">
        <f t="shared" si="23"/>
        <v>0</v>
      </c>
      <c r="I143" s="577">
        <f t="shared" si="24"/>
        <v>0</v>
      </c>
      <c r="J143" s="514">
        <f t="shared" si="25"/>
        <v>0</v>
      </c>
      <c r="K143" s="514"/>
      <c r="L143" s="525"/>
      <c r="M143" s="514">
        <f t="shared" si="26"/>
        <v>0</v>
      </c>
      <c r="N143" s="525"/>
      <c r="O143" s="514">
        <f t="shared" si="27"/>
        <v>0</v>
      </c>
      <c r="P143" s="514">
        <f t="shared" si="28"/>
        <v>0</v>
      </c>
    </row>
    <row r="144" spans="2:16" ht="12.5">
      <c r="B144" s="195" t="str">
        <f t="shared" si="19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1"/>
        <v>0</v>
      </c>
      <c r="G144" s="523">
        <f t="shared" si="22"/>
        <v>0</v>
      </c>
      <c r="H144" s="526">
        <f t="shared" si="23"/>
        <v>0</v>
      </c>
      <c r="I144" s="577">
        <f t="shared" si="24"/>
        <v>0</v>
      </c>
      <c r="J144" s="514">
        <f t="shared" si="25"/>
        <v>0</v>
      </c>
      <c r="K144" s="514"/>
      <c r="L144" s="525"/>
      <c r="M144" s="514">
        <f t="shared" si="26"/>
        <v>0</v>
      </c>
      <c r="N144" s="525"/>
      <c r="O144" s="514">
        <f t="shared" si="27"/>
        <v>0</v>
      </c>
      <c r="P144" s="514">
        <f t="shared" si="28"/>
        <v>0</v>
      </c>
    </row>
    <row r="145" spans="2:16" ht="12.5">
      <c r="B145" s="195" t="str">
        <f t="shared" si="19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1"/>
        <v>0</v>
      </c>
      <c r="G145" s="523">
        <f t="shared" si="22"/>
        <v>0</v>
      </c>
      <c r="H145" s="526">
        <f t="shared" si="23"/>
        <v>0</v>
      </c>
      <c r="I145" s="577">
        <f t="shared" si="24"/>
        <v>0</v>
      </c>
      <c r="J145" s="514">
        <f t="shared" si="25"/>
        <v>0</v>
      </c>
      <c r="K145" s="514"/>
      <c r="L145" s="525"/>
      <c r="M145" s="514">
        <f t="shared" si="26"/>
        <v>0</v>
      </c>
      <c r="N145" s="525"/>
      <c r="O145" s="514">
        <f t="shared" si="27"/>
        <v>0</v>
      </c>
      <c r="P145" s="514">
        <f t="shared" si="28"/>
        <v>0</v>
      </c>
    </row>
    <row r="146" spans="2:16" ht="12.5">
      <c r="B146" s="195" t="str">
        <f t="shared" si="19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1"/>
        <v>0</v>
      </c>
      <c r="G146" s="523">
        <f t="shared" si="22"/>
        <v>0</v>
      </c>
      <c r="H146" s="526">
        <f t="shared" si="23"/>
        <v>0</v>
      </c>
      <c r="I146" s="577">
        <f t="shared" si="24"/>
        <v>0</v>
      </c>
      <c r="J146" s="514">
        <f t="shared" si="25"/>
        <v>0</v>
      </c>
      <c r="K146" s="514"/>
      <c r="L146" s="525"/>
      <c r="M146" s="514">
        <f t="shared" si="26"/>
        <v>0</v>
      </c>
      <c r="N146" s="525"/>
      <c r="O146" s="514">
        <f t="shared" si="27"/>
        <v>0</v>
      </c>
      <c r="P146" s="514">
        <f t="shared" si="28"/>
        <v>0</v>
      </c>
    </row>
    <row r="147" spans="2:16" ht="12.5">
      <c r="B147" s="195" t="str">
        <f t="shared" si="19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1"/>
        <v>0</v>
      </c>
      <c r="G147" s="523">
        <f t="shared" si="22"/>
        <v>0</v>
      </c>
      <c r="H147" s="526">
        <f t="shared" si="23"/>
        <v>0</v>
      </c>
      <c r="I147" s="577">
        <f t="shared" si="24"/>
        <v>0</v>
      </c>
      <c r="J147" s="514">
        <f t="shared" si="25"/>
        <v>0</v>
      </c>
      <c r="K147" s="514"/>
      <c r="L147" s="525"/>
      <c r="M147" s="514">
        <f t="shared" si="26"/>
        <v>0</v>
      </c>
      <c r="N147" s="525"/>
      <c r="O147" s="514">
        <f t="shared" si="27"/>
        <v>0</v>
      </c>
      <c r="P147" s="514">
        <f t="shared" si="28"/>
        <v>0</v>
      </c>
    </row>
    <row r="148" spans="2:16" ht="12.5">
      <c r="B148" s="195" t="str">
        <f t="shared" si="19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1"/>
        <v>0</v>
      </c>
      <c r="G148" s="523">
        <f t="shared" si="22"/>
        <v>0</v>
      </c>
      <c r="H148" s="526">
        <f t="shared" si="23"/>
        <v>0</v>
      </c>
      <c r="I148" s="577">
        <f t="shared" si="24"/>
        <v>0</v>
      </c>
      <c r="J148" s="514">
        <f t="shared" si="25"/>
        <v>0</v>
      </c>
      <c r="K148" s="514"/>
      <c r="L148" s="525"/>
      <c r="M148" s="514">
        <f t="shared" si="26"/>
        <v>0</v>
      </c>
      <c r="N148" s="525"/>
      <c r="O148" s="514">
        <f t="shared" si="27"/>
        <v>0</v>
      </c>
      <c r="P148" s="514">
        <f t="shared" si="28"/>
        <v>0</v>
      </c>
    </row>
    <row r="149" spans="2:16" ht="12.5">
      <c r="B149" s="195" t="str">
        <f t="shared" si="19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1"/>
        <v>0</v>
      </c>
      <c r="G149" s="523">
        <f t="shared" si="22"/>
        <v>0</v>
      </c>
      <c r="H149" s="526">
        <f t="shared" si="23"/>
        <v>0</v>
      </c>
      <c r="I149" s="577">
        <f t="shared" si="24"/>
        <v>0</v>
      </c>
      <c r="J149" s="514">
        <f t="shared" si="25"/>
        <v>0</v>
      </c>
      <c r="K149" s="514"/>
      <c r="L149" s="525"/>
      <c r="M149" s="514">
        <f t="shared" si="26"/>
        <v>0</v>
      </c>
      <c r="N149" s="525"/>
      <c r="O149" s="514">
        <f t="shared" si="27"/>
        <v>0</v>
      </c>
      <c r="P149" s="514">
        <f t="shared" si="28"/>
        <v>0</v>
      </c>
    </row>
    <row r="150" spans="2:16" ht="12.5">
      <c r="B150" s="195" t="str">
        <f t="shared" si="19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1"/>
        <v>0</v>
      </c>
      <c r="G150" s="523">
        <f t="shared" si="22"/>
        <v>0</v>
      </c>
      <c r="H150" s="526">
        <f t="shared" si="23"/>
        <v>0</v>
      </c>
      <c r="I150" s="577">
        <f t="shared" si="24"/>
        <v>0</v>
      </c>
      <c r="J150" s="514">
        <f t="shared" si="25"/>
        <v>0</v>
      </c>
      <c r="K150" s="514"/>
      <c r="L150" s="525"/>
      <c r="M150" s="514">
        <f t="shared" si="26"/>
        <v>0</v>
      </c>
      <c r="N150" s="525"/>
      <c r="O150" s="514">
        <f t="shared" si="27"/>
        <v>0</v>
      </c>
      <c r="P150" s="514">
        <f t="shared" si="28"/>
        <v>0</v>
      </c>
    </row>
    <row r="151" spans="2:16" ht="12.5">
      <c r="B151" s="195" t="str">
        <f t="shared" si="19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1"/>
        <v>0</v>
      </c>
      <c r="G151" s="523">
        <f t="shared" si="22"/>
        <v>0</v>
      </c>
      <c r="H151" s="526">
        <f t="shared" si="23"/>
        <v>0</v>
      </c>
      <c r="I151" s="577">
        <f t="shared" si="24"/>
        <v>0</v>
      </c>
      <c r="J151" s="514">
        <f t="shared" si="25"/>
        <v>0</v>
      </c>
      <c r="K151" s="514"/>
      <c r="L151" s="525"/>
      <c r="M151" s="514">
        <f t="shared" si="26"/>
        <v>0</v>
      </c>
      <c r="N151" s="525"/>
      <c r="O151" s="514">
        <f t="shared" si="27"/>
        <v>0</v>
      </c>
      <c r="P151" s="514">
        <f t="shared" si="28"/>
        <v>0</v>
      </c>
    </row>
    <row r="152" spans="2:16" ht="12.5">
      <c r="B152" s="195" t="str">
        <f t="shared" si="19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1"/>
        <v>0</v>
      </c>
      <c r="G152" s="523">
        <f t="shared" si="22"/>
        <v>0</v>
      </c>
      <c r="H152" s="526">
        <f t="shared" si="23"/>
        <v>0</v>
      </c>
      <c r="I152" s="577">
        <f t="shared" si="24"/>
        <v>0</v>
      </c>
      <c r="J152" s="514">
        <f t="shared" si="25"/>
        <v>0</v>
      </c>
      <c r="K152" s="514"/>
      <c r="L152" s="525"/>
      <c r="M152" s="514">
        <f t="shared" si="26"/>
        <v>0</v>
      </c>
      <c r="N152" s="525"/>
      <c r="O152" s="514">
        <f t="shared" si="27"/>
        <v>0</v>
      </c>
      <c r="P152" s="514">
        <f t="shared" si="28"/>
        <v>0</v>
      </c>
    </row>
    <row r="153" spans="2:16" ht="12.5">
      <c r="B153" s="195" t="str">
        <f t="shared" si="19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1"/>
        <v>0</v>
      </c>
      <c r="G153" s="523">
        <f t="shared" si="22"/>
        <v>0</v>
      </c>
      <c r="H153" s="526">
        <f t="shared" si="23"/>
        <v>0</v>
      </c>
      <c r="I153" s="577">
        <f t="shared" si="24"/>
        <v>0</v>
      </c>
      <c r="J153" s="514">
        <f t="shared" si="25"/>
        <v>0</v>
      </c>
      <c r="K153" s="514"/>
      <c r="L153" s="525"/>
      <c r="M153" s="514">
        <f t="shared" si="26"/>
        <v>0</v>
      </c>
      <c r="N153" s="525"/>
      <c r="O153" s="514">
        <f t="shared" si="27"/>
        <v>0</v>
      </c>
      <c r="P153" s="514">
        <f t="shared" si="28"/>
        <v>0</v>
      </c>
    </row>
    <row r="154" spans="2:16" ht="13" thickBot="1">
      <c r="B154" s="195" t="str">
        <f t="shared" si="19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1"/>
        <v>0</v>
      </c>
      <c r="G154" s="528">
        <f t="shared" si="22"/>
        <v>0</v>
      </c>
      <c r="H154" s="530">
        <f t="shared" si="23"/>
        <v>0</v>
      </c>
      <c r="I154" s="579">
        <f t="shared" si="24"/>
        <v>0</v>
      </c>
      <c r="J154" s="533">
        <f t="shared" si="25"/>
        <v>0</v>
      </c>
      <c r="K154" s="514"/>
      <c r="L154" s="532"/>
      <c r="M154" s="533">
        <f t="shared" si="26"/>
        <v>0</v>
      </c>
      <c r="N154" s="532"/>
      <c r="O154" s="533">
        <f t="shared" si="27"/>
        <v>0</v>
      </c>
      <c r="P154" s="533">
        <f t="shared" si="28"/>
        <v>0</v>
      </c>
    </row>
    <row r="155" spans="2:16" ht="12.5">
      <c r="C155" s="374" t="s">
        <v>78</v>
      </c>
      <c r="D155" s="375"/>
      <c r="E155" s="375">
        <f>SUM(E99:E154)</f>
        <v>17132604</v>
      </c>
      <c r="F155" s="375"/>
      <c r="G155" s="375"/>
      <c r="H155" s="375">
        <f>SUM(H99:H154)</f>
        <v>56459882.62077269</v>
      </c>
      <c r="I155" s="375">
        <f>SUM(I99:I154)</f>
        <v>56459882.62077269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41" priority="1" stopIfTrue="1" operator="equal">
      <formula>$I$10</formula>
    </cfRule>
  </conditionalFormatting>
  <conditionalFormatting sqref="C99:C154">
    <cfRule type="cellIs" dxfId="4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109"/>
  <dimension ref="A1:P162"/>
  <sheetViews>
    <sheetView view="pageBreakPreview" zoomScale="80" zoomScaleNormal="100" zoomScaleSheetLayoutView="80" workbookViewId="0"/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60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12677028.993315388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12677028.993315388</v>
      </c>
      <c r="O6" s="269"/>
      <c r="P6" s="269"/>
    </row>
    <row r="7" spans="1:16" ht="13.5" thickBot="1">
      <c r="C7" s="467" t="s">
        <v>48</v>
      </c>
      <c r="D7" s="624" t="s">
        <v>379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470</v>
      </c>
      <c r="E9" s="637" t="s">
        <v>507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97370354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2318341.7619047621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516">
        <v>0</v>
      </c>
      <c r="E17" s="516">
        <v>0</v>
      </c>
      <c r="F17" s="516">
        <v>99956721</v>
      </c>
      <c r="G17" s="516">
        <v>0</v>
      </c>
      <c r="H17" s="516">
        <v>0</v>
      </c>
      <c r="I17" s="516">
        <v>0</v>
      </c>
      <c r="J17" s="511"/>
      <c r="K17" s="512">
        <f t="shared" ref="K17:K22" si="0">+G17</f>
        <v>0</v>
      </c>
      <c r="L17" s="513">
        <f t="shared" ref="L17:L72" si="1">IF(K17&lt;&gt;0,+G17-K17,0)</f>
        <v>0</v>
      </c>
      <c r="M17" s="512">
        <f t="shared" ref="M17:M22" si="2">+H17</f>
        <v>0</v>
      </c>
      <c r="N17" s="513">
        <f t="shared" ref="N17:N72" si="3">IF(M17&lt;&gt;0,+H17-M17,0)</f>
        <v>0</v>
      </c>
      <c r="O17" s="514">
        <f t="shared" ref="O17:O7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2017</v>
      </c>
      <c r="D18" s="651">
        <v>99956721</v>
      </c>
      <c r="E18" s="656">
        <v>2324574.9069767441</v>
      </c>
      <c r="F18" s="651">
        <v>97632146.093023255</v>
      </c>
      <c r="G18" s="650">
        <v>14564467.586252602</v>
      </c>
      <c r="H18" s="657">
        <v>14564467.586252602</v>
      </c>
      <c r="I18" s="511">
        <f t="shared" ref="I18:I72" si="5">H18-G18</f>
        <v>0</v>
      </c>
      <c r="J18" s="511"/>
      <c r="K18" s="518">
        <f t="shared" si="0"/>
        <v>14564467.586252602</v>
      </c>
      <c r="L18" s="519">
        <f t="shared" si="1"/>
        <v>0</v>
      </c>
      <c r="M18" s="518">
        <f t="shared" si="2"/>
        <v>14564467.586252602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2018</v>
      </c>
      <c r="D19" s="651">
        <v>97632146.093023255</v>
      </c>
      <c r="E19" s="656">
        <v>2437968.8048780486</v>
      </c>
      <c r="F19" s="651">
        <v>95194177.288145214</v>
      </c>
      <c r="G19" s="650">
        <v>14691512.71476743</v>
      </c>
      <c r="H19" s="657">
        <v>14691512.71476743</v>
      </c>
      <c r="I19" s="511">
        <f t="shared" si="5"/>
        <v>0</v>
      </c>
      <c r="J19" s="511"/>
      <c r="K19" s="518">
        <f t="shared" si="0"/>
        <v>14691512.71476743</v>
      </c>
      <c r="L19" s="519">
        <f>IF(K19&lt;&gt;0,+G19-K19,0)</f>
        <v>0</v>
      </c>
      <c r="M19" s="518">
        <f t="shared" si="2"/>
        <v>14691512.71476743</v>
      </c>
      <c r="N19" s="514">
        <f>IF(M19&lt;&gt;0,+H19-M19,0)</f>
        <v>0</v>
      </c>
      <c r="O19" s="514">
        <f>+N19-L19</f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2019</v>
      </c>
      <c r="D20" s="651">
        <v>95194177.288145214</v>
      </c>
      <c r="E20" s="656">
        <v>2437968.8048780486</v>
      </c>
      <c r="F20" s="651">
        <v>92756208.483267158</v>
      </c>
      <c r="G20" s="650">
        <v>14381661.266296247</v>
      </c>
      <c r="H20" s="657">
        <v>14381661.266296247</v>
      </c>
      <c r="I20" s="511">
        <f t="shared" si="5"/>
        <v>0</v>
      </c>
      <c r="J20" s="511"/>
      <c r="K20" s="518">
        <f t="shared" si="0"/>
        <v>14381661.266296247</v>
      </c>
      <c r="L20" s="519">
        <f>IF(K20&lt;&gt;0,+G20-K20,0)</f>
        <v>0</v>
      </c>
      <c r="M20" s="518">
        <f t="shared" si="2"/>
        <v>14381661.266296247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6"/>
        <v>IU</v>
      </c>
      <c r="C21" s="507">
        <f>IF(D11="","-",+C20+1)</f>
        <v>2020</v>
      </c>
      <c r="D21" s="651">
        <v>90168458.483267158</v>
      </c>
      <c r="E21" s="656">
        <v>2374852.9512195121</v>
      </c>
      <c r="F21" s="651">
        <v>87793605.532047644</v>
      </c>
      <c r="G21" s="650">
        <v>11480767.373612601</v>
      </c>
      <c r="H21" s="657">
        <v>11480767.373612601</v>
      </c>
      <c r="I21" s="511">
        <f t="shared" si="5"/>
        <v>0</v>
      </c>
      <c r="J21" s="511"/>
      <c r="K21" s="518">
        <f t="shared" si="0"/>
        <v>11480767.373612601</v>
      </c>
      <c r="L21" s="519">
        <f>IF(K21&lt;&gt;0,+G21-K21,0)</f>
        <v>0</v>
      </c>
      <c r="M21" s="518">
        <f t="shared" si="2"/>
        <v>11480767.373612601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6"/>
        <v>IU</v>
      </c>
      <c r="C22" s="507">
        <f>IF(D11="","-",+C21+1)</f>
        <v>2021</v>
      </c>
      <c r="D22" s="651">
        <v>87908382.429948956</v>
      </c>
      <c r="E22" s="656">
        <v>2318341.7619047621</v>
      </c>
      <c r="F22" s="651">
        <v>85590040.668044195</v>
      </c>
      <c r="G22" s="650">
        <v>11514152.464962322</v>
      </c>
      <c r="H22" s="657">
        <v>11514152.464962322</v>
      </c>
      <c r="I22" s="511">
        <f t="shared" si="5"/>
        <v>0</v>
      </c>
      <c r="J22" s="511"/>
      <c r="K22" s="518">
        <f t="shared" si="0"/>
        <v>11514152.464962322</v>
      </c>
      <c r="L22" s="519">
        <f>IF(K22&lt;&gt;0,+G22-K22,0)</f>
        <v>0</v>
      </c>
      <c r="M22" s="518">
        <f t="shared" si="2"/>
        <v>11514152.464962322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6"/>
        <v>IU</v>
      </c>
      <c r="C23" s="507">
        <f>IF(D11="","-",+C22+1)</f>
        <v>2022</v>
      </c>
      <c r="D23" s="651">
        <v>85476646.770142883</v>
      </c>
      <c r="E23" s="656">
        <v>2318341.7619047621</v>
      </c>
      <c r="F23" s="651">
        <v>83158305.008238122</v>
      </c>
      <c r="G23" s="650">
        <v>11799344.189724851</v>
      </c>
      <c r="H23" s="657">
        <v>11799344.189724851</v>
      </c>
      <c r="I23" s="511">
        <f t="shared" si="5"/>
        <v>0</v>
      </c>
      <c r="J23" s="511"/>
      <c r="K23" s="518">
        <f t="shared" ref="K23" si="7">+G23</f>
        <v>11799344.189724851</v>
      </c>
      <c r="L23" s="519">
        <f>IF(K23&lt;&gt;0,+G23-K23,0)</f>
        <v>0</v>
      </c>
      <c r="M23" s="518">
        <f t="shared" ref="M23" si="8">+H23</f>
        <v>11799344.189724851</v>
      </c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6"/>
        <v/>
      </c>
      <c r="C24" s="507">
        <f>IF(D11="","-",+C23+1)</f>
        <v>2023</v>
      </c>
      <c r="D24" s="523">
        <f>IF(F23+SUM(E$17:E23)=D$10,F23,D$10-SUM(E$17:E23))</f>
        <v>83158305.008238122</v>
      </c>
      <c r="E24" s="522">
        <f>IF(+I14&lt;F23,I14,D24)</f>
        <v>2318341.7619047621</v>
      </c>
      <c r="F24" s="523">
        <f t="shared" ref="F24:F72" si="9">+D24-E24</f>
        <v>80839963.246333361</v>
      </c>
      <c r="G24" s="524">
        <f t="shared" ref="G24:G49" si="10">+I$12*((D24+F24)/2)+E24</f>
        <v>12677028.993315388</v>
      </c>
      <c r="H24" s="491">
        <f t="shared" ref="H24:H49" si="11">+I$13*((D24+F24)/2)+E24</f>
        <v>12677028.993315388</v>
      </c>
      <c r="I24" s="511">
        <f t="shared" si="5"/>
        <v>0</v>
      </c>
      <c r="J24" s="511"/>
      <c r="K24" s="525"/>
      <c r="L24" s="514">
        <f t="shared" si="1"/>
        <v>0</v>
      </c>
      <c r="M24" s="525"/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6"/>
        <v/>
      </c>
      <c r="C25" s="507">
        <f>IF(D11="","-",+C24+1)</f>
        <v>2024</v>
      </c>
      <c r="D25" s="523">
        <f>IF(F24+SUM(E$17:E24)=D$10,F24,D$10-SUM(E$17:E24))</f>
        <v>80839963.246333361</v>
      </c>
      <c r="E25" s="522">
        <f>IF(+I14&lt;F24,I14,D25)</f>
        <v>2318341.7619047621</v>
      </c>
      <c r="F25" s="523">
        <f t="shared" si="9"/>
        <v>78521621.484428599</v>
      </c>
      <c r="G25" s="524">
        <f t="shared" si="10"/>
        <v>12384160.325094927</v>
      </c>
      <c r="H25" s="491">
        <f t="shared" si="11"/>
        <v>12384160.325094927</v>
      </c>
      <c r="I25" s="511">
        <f t="shared" si="5"/>
        <v>0</v>
      </c>
      <c r="J25" s="511"/>
      <c r="K25" s="525"/>
      <c r="L25" s="514">
        <f t="shared" si="1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6"/>
        <v/>
      </c>
      <c r="C26" s="507">
        <f>IF(D11="","-",+C25+1)</f>
        <v>2025</v>
      </c>
      <c r="D26" s="523">
        <f>IF(F25+SUM(E$17:E25)=D$10,F25,D$10-SUM(E$17:E25))</f>
        <v>78521621.484428599</v>
      </c>
      <c r="E26" s="522">
        <f>IF(+I14&lt;F25,I14,D26)</f>
        <v>2318341.7619047621</v>
      </c>
      <c r="F26" s="523">
        <f t="shared" si="9"/>
        <v>76203279.722523838</v>
      </c>
      <c r="G26" s="524">
        <f t="shared" si="10"/>
        <v>12091291.65687447</v>
      </c>
      <c r="H26" s="491">
        <f t="shared" si="11"/>
        <v>12091291.65687447</v>
      </c>
      <c r="I26" s="511">
        <f t="shared" si="5"/>
        <v>0</v>
      </c>
      <c r="J26" s="511"/>
      <c r="K26" s="525"/>
      <c r="L26" s="514">
        <f t="shared" si="1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6"/>
        <v/>
      </c>
      <c r="C27" s="507">
        <f>IF(D11="","-",+C26+1)</f>
        <v>2026</v>
      </c>
      <c r="D27" s="523">
        <f>IF(F26+SUM(E$17:E26)=D$10,F26,D$10-SUM(E$17:E26))</f>
        <v>76203279.722523838</v>
      </c>
      <c r="E27" s="522">
        <f>IF(+I14&lt;F26,I14,D27)</f>
        <v>2318341.7619047621</v>
      </c>
      <c r="F27" s="523">
        <f t="shared" si="9"/>
        <v>73884937.960619077</v>
      </c>
      <c r="G27" s="524">
        <f t="shared" si="10"/>
        <v>11798422.98865401</v>
      </c>
      <c r="H27" s="491">
        <f t="shared" si="11"/>
        <v>11798422.98865401</v>
      </c>
      <c r="I27" s="511">
        <f t="shared" si="5"/>
        <v>0</v>
      </c>
      <c r="J27" s="511"/>
      <c r="K27" s="525"/>
      <c r="L27" s="514">
        <f t="shared" si="1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6"/>
        <v/>
      </c>
      <c r="C28" s="507">
        <f>IF(D11="","-",+C27+1)</f>
        <v>2027</v>
      </c>
      <c r="D28" s="523">
        <f>IF(F27+SUM(E$17:E27)=D$10,F27,D$10-SUM(E$17:E27))</f>
        <v>73884937.960619077</v>
      </c>
      <c r="E28" s="522">
        <f>IF(+I14&lt;F27,I14,D28)</f>
        <v>2318341.7619047621</v>
      </c>
      <c r="F28" s="523">
        <f t="shared" si="9"/>
        <v>71566596.198714316</v>
      </c>
      <c r="G28" s="524">
        <f t="shared" si="10"/>
        <v>11505554.320433557</v>
      </c>
      <c r="H28" s="491">
        <f t="shared" si="11"/>
        <v>11505554.320433557</v>
      </c>
      <c r="I28" s="511">
        <f t="shared" si="5"/>
        <v>0</v>
      </c>
      <c r="J28" s="511"/>
      <c r="K28" s="525"/>
      <c r="L28" s="514">
        <f t="shared" si="1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6"/>
        <v/>
      </c>
      <c r="C29" s="507">
        <f>IF(D11="","-",+C28+1)</f>
        <v>2028</v>
      </c>
      <c r="D29" s="523">
        <f>IF(F28+SUM(E$17:E28)=D$10,F28,D$10-SUM(E$17:E28))</f>
        <v>71566596.198714316</v>
      </c>
      <c r="E29" s="522">
        <f>IF(+I14&lt;F28,I14,D29)</f>
        <v>2318341.7619047621</v>
      </c>
      <c r="F29" s="523">
        <f t="shared" si="9"/>
        <v>69248254.436809555</v>
      </c>
      <c r="G29" s="524">
        <f t="shared" si="10"/>
        <v>11212685.652213097</v>
      </c>
      <c r="H29" s="491">
        <f t="shared" si="11"/>
        <v>11212685.652213097</v>
      </c>
      <c r="I29" s="511">
        <f t="shared" si="5"/>
        <v>0</v>
      </c>
      <c r="J29" s="511"/>
      <c r="K29" s="525"/>
      <c r="L29" s="514">
        <f t="shared" si="1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6"/>
        <v/>
      </c>
      <c r="C30" s="507">
        <f>IF(D11="","-",+C29+1)</f>
        <v>2029</v>
      </c>
      <c r="D30" s="523">
        <f>IF(F29+SUM(E$17:E29)=D$10,F29,D$10-SUM(E$17:E29))</f>
        <v>69248254.436809555</v>
      </c>
      <c r="E30" s="522">
        <f>IF(+I14&lt;F29,I14,D30)</f>
        <v>2318341.7619047621</v>
      </c>
      <c r="F30" s="523">
        <f t="shared" si="9"/>
        <v>66929912.674904794</v>
      </c>
      <c r="G30" s="524">
        <f t="shared" si="10"/>
        <v>10919816.98399264</v>
      </c>
      <c r="H30" s="491">
        <f t="shared" si="11"/>
        <v>10919816.98399264</v>
      </c>
      <c r="I30" s="511">
        <f t="shared" si="5"/>
        <v>0</v>
      </c>
      <c r="J30" s="511"/>
      <c r="K30" s="525"/>
      <c r="L30" s="514">
        <f t="shared" si="1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6"/>
        <v/>
      </c>
      <c r="C31" s="507">
        <f>IF(D11="","-",+C30+1)</f>
        <v>2030</v>
      </c>
      <c r="D31" s="523">
        <f>IF(F30+SUM(E$17:E30)=D$10,F30,D$10-SUM(E$17:E30))</f>
        <v>66929912.674904794</v>
      </c>
      <c r="E31" s="522">
        <f>IF(+I14&lt;F30,I14,D31)</f>
        <v>2318341.7619047621</v>
      </c>
      <c r="F31" s="523">
        <f t="shared" si="9"/>
        <v>64611570.913000032</v>
      </c>
      <c r="G31" s="524">
        <f t="shared" si="10"/>
        <v>10626948.315772183</v>
      </c>
      <c r="H31" s="491">
        <f t="shared" si="11"/>
        <v>10626948.315772183</v>
      </c>
      <c r="I31" s="511">
        <f t="shared" si="5"/>
        <v>0</v>
      </c>
      <c r="J31" s="511"/>
      <c r="K31" s="525"/>
      <c r="L31" s="514">
        <f t="shared" si="1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6"/>
        <v/>
      </c>
      <c r="C32" s="507">
        <f>IF(D11="","-",+C31+1)</f>
        <v>2031</v>
      </c>
      <c r="D32" s="523">
        <f>IF(F31+SUM(E$17:E31)=D$10,F31,D$10-SUM(E$17:E31))</f>
        <v>64611570.913000032</v>
      </c>
      <c r="E32" s="522">
        <f>IF(+I14&lt;F31,I14,D32)</f>
        <v>2318341.7619047621</v>
      </c>
      <c r="F32" s="523">
        <f t="shared" si="9"/>
        <v>62293229.151095271</v>
      </c>
      <c r="G32" s="524">
        <f t="shared" si="10"/>
        <v>10334079.647551723</v>
      </c>
      <c r="H32" s="491">
        <f t="shared" si="11"/>
        <v>10334079.647551723</v>
      </c>
      <c r="I32" s="511">
        <f t="shared" si="5"/>
        <v>0</v>
      </c>
      <c r="J32" s="511"/>
      <c r="K32" s="525"/>
      <c r="L32" s="514">
        <f t="shared" si="1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6"/>
        <v/>
      </c>
      <c r="C33" s="507">
        <f>IF(D11="","-",+C32+1)</f>
        <v>2032</v>
      </c>
      <c r="D33" s="523">
        <f>IF(F32+SUM(E$17:E32)=D$10,F32,D$10-SUM(E$17:E32))</f>
        <v>62293229.151095271</v>
      </c>
      <c r="E33" s="522">
        <f>IF(+I14&lt;F32,I14,D33)</f>
        <v>2318341.7619047621</v>
      </c>
      <c r="F33" s="523">
        <f t="shared" si="9"/>
        <v>59974887.38919051</v>
      </c>
      <c r="G33" s="524">
        <f t="shared" si="10"/>
        <v>10041210.979331266</v>
      </c>
      <c r="H33" s="491">
        <f t="shared" si="11"/>
        <v>10041210.979331266</v>
      </c>
      <c r="I33" s="511">
        <f t="shared" si="5"/>
        <v>0</v>
      </c>
      <c r="J33" s="511"/>
      <c r="K33" s="525"/>
      <c r="L33" s="514">
        <f t="shared" si="1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6"/>
        <v/>
      </c>
      <c r="C34" s="507">
        <f>IF(D11="","-",+C33+1)</f>
        <v>2033</v>
      </c>
      <c r="D34" s="523">
        <f>IF(F33+SUM(E$17:E33)=D$10,F33,D$10-SUM(E$17:E33))</f>
        <v>59974887.38919051</v>
      </c>
      <c r="E34" s="522">
        <f>IF(+I14&lt;F33,I14,D34)</f>
        <v>2318341.7619047621</v>
      </c>
      <c r="F34" s="523">
        <f t="shared" si="9"/>
        <v>57656545.627285749</v>
      </c>
      <c r="G34" s="524">
        <f t="shared" si="10"/>
        <v>9748342.3111108094</v>
      </c>
      <c r="H34" s="491">
        <f t="shared" si="11"/>
        <v>9748342.3111108094</v>
      </c>
      <c r="I34" s="511">
        <f t="shared" si="5"/>
        <v>0</v>
      </c>
      <c r="J34" s="511"/>
      <c r="K34" s="525"/>
      <c r="L34" s="514">
        <f t="shared" si="1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6"/>
        <v/>
      </c>
      <c r="C35" s="507">
        <f>IF(D11="","-",+C34+1)</f>
        <v>2034</v>
      </c>
      <c r="D35" s="523">
        <f>IF(F34+SUM(E$17:E34)=D$10,F34,D$10-SUM(E$17:E34))</f>
        <v>57656545.627285749</v>
      </c>
      <c r="E35" s="522">
        <f>IF(+I14&lt;F34,I14,D35)</f>
        <v>2318341.7619047621</v>
      </c>
      <c r="F35" s="523">
        <f t="shared" si="9"/>
        <v>55338203.865380988</v>
      </c>
      <c r="G35" s="524">
        <f t="shared" si="10"/>
        <v>9455473.6428903509</v>
      </c>
      <c r="H35" s="491">
        <f t="shared" si="11"/>
        <v>9455473.6428903509</v>
      </c>
      <c r="I35" s="511">
        <f t="shared" si="5"/>
        <v>0</v>
      </c>
      <c r="J35" s="511"/>
      <c r="K35" s="525"/>
      <c r="L35" s="514">
        <f t="shared" si="1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6"/>
        <v/>
      </c>
      <c r="C36" s="507">
        <f>IF(D11="","-",+C35+1)</f>
        <v>2035</v>
      </c>
      <c r="D36" s="523">
        <f>IF(F35+SUM(E$17:E35)=D$10,F35,D$10-SUM(E$17:E35))</f>
        <v>55338203.865380988</v>
      </c>
      <c r="E36" s="522">
        <f>IF(+I14&lt;F35,I14,D36)</f>
        <v>2318341.7619047621</v>
      </c>
      <c r="F36" s="523">
        <f t="shared" si="9"/>
        <v>53019862.103476226</v>
      </c>
      <c r="G36" s="524">
        <f t="shared" si="10"/>
        <v>9162604.9746698923</v>
      </c>
      <c r="H36" s="491">
        <f t="shared" si="11"/>
        <v>9162604.9746698923</v>
      </c>
      <c r="I36" s="511">
        <f t="shared" si="5"/>
        <v>0</v>
      </c>
      <c r="J36" s="511"/>
      <c r="K36" s="525"/>
      <c r="L36" s="514">
        <f t="shared" si="1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6"/>
        <v/>
      </c>
      <c r="C37" s="507">
        <f>IF(D11="","-",+C36+1)</f>
        <v>2036</v>
      </c>
      <c r="D37" s="523">
        <f>IF(F36+SUM(E$17:E36)=D$10,F36,D$10-SUM(E$17:E36))</f>
        <v>53019862.103476226</v>
      </c>
      <c r="E37" s="522">
        <f>IF(+I14&lt;F36,I14,D37)</f>
        <v>2318341.7619047621</v>
      </c>
      <c r="F37" s="523">
        <f t="shared" si="9"/>
        <v>50701520.341571465</v>
      </c>
      <c r="G37" s="524">
        <f t="shared" si="10"/>
        <v>8869736.3064494357</v>
      </c>
      <c r="H37" s="491">
        <f t="shared" si="11"/>
        <v>8869736.3064494357</v>
      </c>
      <c r="I37" s="511">
        <f t="shared" si="5"/>
        <v>0</v>
      </c>
      <c r="J37" s="511"/>
      <c r="K37" s="525"/>
      <c r="L37" s="514">
        <f t="shared" si="1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6"/>
        <v/>
      </c>
      <c r="C38" s="507">
        <f>IF(D11="","-",+C37+1)</f>
        <v>2037</v>
      </c>
      <c r="D38" s="523">
        <f>IF(F37+SUM(E$17:E37)=D$10,F37,D$10-SUM(E$17:E37))</f>
        <v>50701520.341571465</v>
      </c>
      <c r="E38" s="522">
        <f>IF(+I14&lt;F37,I14,D38)</f>
        <v>2318341.7619047621</v>
      </c>
      <c r="F38" s="523">
        <f t="shared" si="9"/>
        <v>48383178.579666704</v>
      </c>
      <c r="G38" s="524">
        <f t="shared" si="10"/>
        <v>8576867.638228979</v>
      </c>
      <c r="H38" s="491">
        <f t="shared" si="11"/>
        <v>8576867.638228979</v>
      </c>
      <c r="I38" s="511">
        <f t="shared" si="5"/>
        <v>0</v>
      </c>
      <c r="J38" s="511"/>
      <c r="K38" s="525"/>
      <c r="L38" s="514">
        <f t="shared" si="1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6"/>
        <v/>
      </c>
      <c r="C39" s="507">
        <f>IF(D11="","-",+C38+1)</f>
        <v>2038</v>
      </c>
      <c r="D39" s="523">
        <f>IF(F38+SUM(E$17:E38)=D$10,F38,D$10-SUM(E$17:E38))</f>
        <v>48383178.579666704</v>
      </c>
      <c r="E39" s="522">
        <f>IF(+I14&lt;F38,I14,D39)</f>
        <v>2318341.7619047621</v>
      </c>
      <c r="F39" s="523">
        <f t="shared" si="9"/>
        <v>46064836.817761943</v>
      </c>
      <c r="G39" s="524">
        <f t="shared" si="10"/>
        <v>8283998.9700085204</v>
      </c>
      <c r="H39" s="491">
        <f t="shared" si="11"/>
        <v>8283998.9700085204</v>
      </c>
      <c r="I39" s="511">
        <f t="shared" si="5"/>
        <v>0</v>
      </c>
      <c r="J39" s="511"/>
      <c r="K39" s="525"/>
      <c r="L39" s="514">
        <f t="shared" si="1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6"/>
        <v/>
      </c>
      <c r="C40" s="507">
        <f>IF(D11="","-",+C39+1)</f>
        <v>2039</v>
      </c>
      <c r="D40" s="523">
        <f>IF(F39+SUM(E$17:E39)=D$10,F39,D$10-SUM(E$17:E39))</f>
        <v>46064836.817761943</v>
      </c>
      <c r="E40" s="522">
        <f>IF(+I14&lt;F39,I14,D40)</f>
        <v>2318341.7619047621</v>
      </c>
      <c r="F40" s="523">
        <f t="shared" si="9"/>
        <v>43746495.055857182</v>
      </c>
      <c r="G40" s="524">
        <f t="shared" si="10"/>
        <v>7991130.3017880628</v>
      </c>
      <c r="H40" s="491">
        <f t="shared" si="11"/>
        <v>7991130.3017880628</v>
      </c>
      <c r="I40" s="511">
        <f t="shared" si="5"/>
        <v>0</v>
      </c>
      <c r="J40" s="511"/>
      <c r="K40" s="525"/>
      <c r="L40" s="514">
        <f t="shared" si="1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6"/>
        <v/>
      </c>
      <c r="C41" s="507">
        <f>IF(D11="","-",+C40+1)</f>
        <v>2040</v>
      </c>
      <c r="D41" s="523">
        <f>IF(F40+SUM(E$17:E40)=D$10,F40,D$10-SUM(E$17:E40))</f>
        <v>43746495.055857182</v>
      </c>
      <c r="E41" s="522">
        <f>IF(+I14&lt;F40,I14,D41)</f>
        <v>2318341.7619047621</v>
      </c>
      <c r="F41" s="523">
        <f t="shared" si="9"/>
        <v>41428153.29395242</v>
      </c>
      <c r="G41" s="524">
        <f t="shared" si="10"/>
        <v>7698261.6335676052</v>
      </c>
      <c r="H41" s="491">
        <f t="shared" si="11"/>
        <v>7698261.6335676052</v>
      </c>
      <c r="I41" s="511">
        <f t="shared" si="5"/>
        <v>0</v>
      </c>
      <c r="J41" s="511"/>
      <c r="K41" s="525"/>
      <c r="L41" s="514">
        <f t="shared" si="1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6"/>
        <v/>
      </c>
      <c r="C42" s="507">
        <f>IF(D11="","-",+C41+1)</f>
        <v>2041</v>
      </c>
      <c r="D42" s="523">
        <f>IF(F41+SUM(E$17:E41)=D$10,F41,D$10-SUM(E$17:E41))</f>
        <v>41428153.29395242</v>
      </c>
      <c r="E42" s="522">
        <f>IF(+I14&lt;F41,I14,D42)</f>
        <v>2318341.7619047621</v>
      </c>
      <c r="F42" s="523">
        <f t="shared" si="9"/>
        <v>39109811.532047659</v>
      </c>
      <c r="G42" s="524">
        <f t="shared" si="10"/>
        <v>7405392.9653471475</v>
      </c>
      <c r="H42" s="491">
        <f t="shared" si="11"/>
        <v>7405392.9653471475</v>
      </c>
      <c r="I42" s="511">
        <f t="shared" si="5"/>
        <v>0</v>
      </c>
      <c r="J42" s="511"/>
      <c r="K42" s="525"/>
      <c r="L42" s="514">
        <f t="shared" si="1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6"/>
        <v/>
      </c>
      <c r="C43" s="507">
        <f>IF(D11="","-",+C42+1)</f>
        <v>2042</v>
      </c>
      <c r="D43" s="523">
        <f>IF(F42+SUM(E$17:E42)=D$10,F42,D$10-SUM(E$17:E42))</f>
        <v>39109811.532047659</v>
      </c>
      <c r="E43" s="522">
        <f>IF(+I14&lt;F42,I14,D43)</f>
        <v>2318341.7619047621</v>
      </c>
      <c r="F43" s="523">
        <f t="shared" si="9"/>
        <v>36791469.770142898</v>
      </c>
      <c r="G43" s="524">
        <f t="shared" si="10"/>
        <v>7112524.2971266899</v>
      </c>
      <c r="H43" s="491">
        <f t="shared" si="11"/>
        <v>7112524.2971266899</v>
      </c>
      <c r="I43" s="511">
        <f t="shared" si="5"/>
        <v>0</v>
      </c>
      <c r="J43" s="511"/>
      <c r="K43" s="525"/>
      <c r="L43" s="514">
        <f t="shared" si="1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6"/>
        <v/>
      </c>
      <c r="C44" s="507">
        <f>IF(D11="","-",+C43+1)</f>
        <v>2043</v>
      </c>
      <c r="D44" s="523">
        <f>IF(F43+SUM(E$17:E43)=D$10,F43,D$10-SUM(E$17:E43))</f>
        <v>36791469.770142898</v>
      </c>
      <c r="E44" s="522">
        <f>IF(+I14&lt;F43,I14,D44)</f>
        <v>2318341.7619047621</v>
      </c>
      <c r="F44" s="523">
        <f t="shared" si="9"/>
        <v>34473128.008238137</v>
      </c>
      <c r="G44" s="524">
        <f t="shared" si="10"/>
        <v>6819655.6289062314</v>
      </c>
      <c r="H44" s="491">
        <f t="shared" si="11"/>
        <v>6819655.6289062314</v>
      </c>
      <c r="I44" s="511">
        <f t="shared" si="5"/>
        <v>0</v>
      </c>
      <c r="J44" s="511"/>
      <c r="K44" s="525"/>
      <c r="L44" s="514">
        <f t="shared" si="1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6"/>
        <v/>
      </c>
      <c r="C45" s="507">
        <f>IF(D11="","-",+C44+1)</f>
        <v>2044</v>
      </c>
      <c r="D45" s="523">
        <f>IF(F44+SUM(E$17:E44)=D$10,F44,D$10-SUM(E$17:E44))</f>
        <v>34473128.008238137</v>
      </c>
      <c r="E45" s="522">
        <f>IF(+I14&lt;F44,I14,D45)</f>
        <v>2318341.7619047621</v>
      </c>
      <c r="F45" s="523">
        <f t="shared" si="9"/>
        <v>32154786.246333376</v>
      </c>
      <c r="G45" s="524">
        <f t="shared" si="10"/>
        <v>6526786.9606857738</v>
      </c>
      <c r="H45" s="491">
        <f t="shared" si="11"/>
        <v>6526786.9606857738</v>
      </c>
      <c r="I45" s="511">
        <f t="shared" si="5"/>
        <v>0</v>
      </c>
      <c r="J45" s="511"/>
      <c r="K45" s="525"/>
      <c r="L45" s="514">
        <f t="shared" si="1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6"/>
        <v/>
      </c>
      <c r="C46" s="507">
        <f>IF(D11="","-",+C45+1)</f>
        <v>2045</v>
      </c>
      <c r="D46" s="523">
        <f>IF(F45+SUM(E$17:E45)=D$10,F45,D$10-SUM(E$17:E45))</f>
        <v>32154786.246333376</v>
      </c>
      <c r="E46" s="522">
        <f>IF(+I14&lt;F45,I14,D46)</f>
        <v>2318341.7619047621</v>
      </c>
      <c r="F46" s="523">
        <f t="shared" si="9"/>
        <v>29836444.484428614</v>
      </c>
      <c r="G46" s="524">
        <f t="shared" si="10"/>
        <v>6233918.2924653161</v>
      </c>
      <c r="H46" s="491">
        <f t="shared" si="11"/>
        <v>6233918.2924653161</v>
      </c>
      <c r="I46" s="511">
        <f t="shared" si="5"/>
        <v>0</v>
      </c>
      <c r="J46" s="511"/>
      <c r="K46" s="525"/>
      <c r="L46" s="514">
        <f t="shared" si="1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6"/>
        <v/>
      </c>
      <c r="C47" s="507">
        <f>IF(D11="","-",+C46+1)</f>
        <v>2046</v>
      </c>
      <c r="D47" s="523">
        <f>IF(F46+SUM(E$17:E46)=D$10,F46,D$10-SUM(E$17:E46))</f>
        <v>29836444.484428614</v>
      </c>
      <c r="E47" s="522">
        <f>IF(+I14&lt;F46,I14,D47)</f>
        <v>2318341.7619047621</v>
      </c>
      <c r="F47" s="523">
        <f t="shared" si="9"/>
        <v>27518102.722523853</v>
      </c>
      <c r="G47" s="524">
        <f t="shared" si="10"/>
        <v>5941049.6242448585</v>
      </c>
      <c r="H47" s="491">
        <f t="shared" si="11"/>
        <v>5941049.6242448585</v>
      </c>
      <c r="I47" s="511">
        <f t="shared" si="5"/>
        <v>0</v>
      </c>
      <c r="J47" s="511"/>
      <c r="K47" s="525"/>
      <c r="L47" s="514">
        <f t="shared" si="1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6"/>
        <v/>
      </c>
      <c r="C48" s="507">
        <f>IF(D11="","-",+C47+1)</f>
        <v>2047</v>
      </c>
      <c r="D48" s="523">
        <f>IF(F47+SUM(E$17:E47)=D$10,F47,D$10-SUM(E$17:E47))</f>
        <v>27518102.722523853</v>
      </c>
      <c r="E48" s="522">
        <f>IF(+I14&lt;F47,I14,D48)</f>
        <v>2318341.7619047621</v>
      </c>
      <c r="F48" s="523">
        <f t="shared" si="9"/>
        <v>25199760.960619092</v>
      </c>
      <c r="G48" s="524">
        <f t="shared" si="10"/>
        <v>5648180.9560244009</v>
      </c>
      <c r="H48" s="491">
        <f t="shared" si="11"/>
        <v>5648180.9560244009</v>
      </c>
      <c r="I48" s="511">
        <f t="shared" si="5"/>
        <v>0</v>
      </c>
      <c r="J48" s="511"/>
      <c r="K48" s="525"/>
      <c r="L48" s="514">
        <f t="shared" si="1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6" ht="12.5">
      <c r="B49" s="195" t="str">
        <f t="shared" si="6"/>
        <v/>
      </c>
      <c r="C49" s="507">
        <f>IF(D11="","-",+C48+1)</f>
        <v>2048</v>
      </c>
      <c r="D49" s="523">
        <f>IF(F48+SUM(E$17:E48)=D$10,F48,D$10-SUM(E$17:E48))</f>
        <v>25199760.960619092</v>
      </c>
      <c r="E49" s="522">
        <f>IF(+I14&lt;F48,I14,D49)</f>
        <v>2318341.7619047621</v>
      </c>
      <c r="F49" s="523">
        <f t="shared" si="9"/>
        <v>22881419.198714331</v>
      </c>
      <c r="G49" s="524">
        <f t="shared" si="10"/>
        <v>5355312.2878039433</v>
      </c>
      <c r="H49" s="491">
        <f t="shared" si="11"/>
        <v>5355312.2878039433</v>
      </c>
      <c r="I49" s="511">
        <f t="shared" si="5"/>
        <v>0</v>
      </c>
      <c r="J49" s="511"/>
      <c r="K49" s="525"/>
      <c r="L49" s="514">
        <f t="shared" si="1"/>
        <v>0</v>
      </c>
      <c r="M49" s="525"/>
      <c r="N49" s="514">
        <f t="shared" si="3"/>
        <v>0</v>
      </c>
      <c r="O49" s="514">
        <f t="shared" si="4"/>
        <v>0</v>
      </c>
      <c r="P49" s="272"/>
    </row>
    <row r="50" spans="2:16" ht="12.5">
      <c r="B50" s="195" t="str">
        <f t="shared" si="6"/>
        <v/>
      </c>
      <c r="C50" s="507">
        <f>IF(D11="","-",+C49+1)</f>
        <v>2049</v>
      </c>
      <c r="D50" s="523">
        <f>IF(F49+SUM(E$17:E49)=D$10,F49,D$10-SUM(E$17:E49))</f>
        <v>22881419.198714331</v>
      </c>
      <c r="E50" s="522">
        <f>IF(+I14&lt;F49,I14,D50)</f>
        <v>2318341.7619047621</v>
      </c>
      <c r="F50" s="523">
        <f t="shared" si="9"/>
        <v>20563077.43680957</v>
      </c>
      <c r="G50" s="524">
        <f t="shared" ref="G50:G72" si="12">+I$12*((D50+F50)/2)+E50</f>
        <v>5062443.6195834856</v>
      </c>
      <c r="H50" s="491">
        <f t="shared" ref="H50:H72" si="13">+I$13*((D50+F50)/2)+E50</f>
        <v>5062443.6195834856</v>
      </c>
      <c r="I50" s="511">
        <f t="shared" si="5"/>
        <v>0</v>
      </c>
      <c r="J50" s="511"/>
      <c r="K50" s="525"/>
      <c r="L50" s="514">
        <f t="shared" si="1"/>
        <v>0</v>
      </c>
      <c r="M50" s="525"/>
      <c r="N50" s="514">
        <f t="shared" si="3"/>
        <v>0</v>
      </c>
      <c r="O50" s="514">
        <f t="shared" si="4"/>
        <v>0</v>
      </c>
      <c r="P50" s="272"/>
    </row>
    <row r="51" spans="2:16" ht="12.5">
      <c r="B51" s="195" t="str">
        <f t="shared" si="6"/>
        <v/>
      </c>
      <c r="C51" s="507">
        <f>IF(D11="","-",+C50+1)</f>
        <v>2050</v>
      </c>
      <c r="D51" s="523">
        <f>IF(F50+SUM(E$17:E50)=D$10,F50,D$10-SUM(E$17:E50))</f>
        <v>20563077.43680957</v>
      </c>
      <c r="E51" s="522">
        <f>IF(+I14&lt;F50,I14,D51)</f>
        <v>2318341.7619047621</v>
      </c>
      <c r="F51" s="523">
        <f t="shared" si="9"/>
        <v>18244735.674904808</v>
      </c>
      <c r="G51" s="524">
        <f t="shared" si="12"/>
        <v>4769574.951363028</v>
      </c>
      <c r="H51" s="491">
        <f t="shared" si="13"/>
        <v>4769574.951363028</v>
      </c>
      <c r="I51" s="511">
        <f t="shared" si="5"/>
        <v>0</v>
      </c>
      <c r="J51" s="511"/>
      <c r="K51" s="525"/>
      <c r="L51" s="514">
        <f t="shared" si="1"/>
        <v>0</v>
      </c>
      <c r="M51" s="525"/>
      <c r="N51" s="514">
        <f t="shared" si="3"/>
        <v>0</v>
      </c>
      <c r="O51" s="514">
        <f t="shared" si="4"/>
        <v>0</v>
      </c>
      <c r="P51" s="272"/>
    </row>
    <row r="52" spans="2:16" ht="12.5">
      <c r="B52" s="195" t="str">
        <f t="shared" si="6"/>
        <v/>
      </c>
      <c r="C52" s="507">
        <f>IF(D11="","-",+C51+1)</f>
        <v>2051</v>
      </c>
      <c r="D52" s="523">
        <f>IF(F51+SUM(E$17:E51)=D$10,F51,D$10-SUM(E$17:E51))</f>
        <v>18244735.674904808</v>
      </c>
      <c r="E52" s="522">
        <f>IF(+I14&lt;F51,I14,D52)</f>
        <v>2318341.7619047621</v>
      </c>
      <c r="F52" s="523">
        <f t="shared" si="9"/>
        <v>15926393.913000047</v>
      </c>
      <c r="G52" s="524">
        <f t="shared" si="12"/>
        <v>4476706.2831425704</v>
      </c>
      <c r="H52" s="491">
        <f t="shared" si="13"/>
        <v>4476706.2831425704</v>
      </c>
      <c r="I52" s="511">
        <f t="shared" si="5"/>
        <v>0</v>
      </c>
      <c r="J52" s="511"/>
      <c r="K52" s="525"/>
      <c r="L52" s="514">
        <f t="shared" si="1"/>
        <v>0</v>
      </c>
      <c r="M52" s="525"/>
      <c r="N52" s="514">
        <f t="shared" si="3"/>
        <v>0</v>
      </c>
      <c r="O52" s="514">
        <f t="shared" si="4"/>
        <v>0</v>
      </c>
      <c r="P52" s="272"/>
    </row>
    <row r="53" spans="2:16" ht="12.5">
      <c r="B53" s="195" t="str">
        <f t="shared" si="6"/>
        <v/>
      </c>
      <c r="C53" s="507">
        <f>IF(D11="","-",+C52+1)</f>
        <v>2052</v>
      </c>
      <c r="D53" s="523">
        <f>IF(F52+SUM(E$17:E52)=D$10,F52,D$10-SUM(E$17:E52))</f>
        <v>15926393.913000047</v>
      </c>
      <c r="E53" s="522">
        <f>IF(+I14&lt;F52,I14,D53)</f>
        <v>2318341.7619047621</v>
      </c>
      <c r="F53" s="523">
        <f t="shared" si="9"/>
        <v>13608052.151095286</v>
      </c>
      <c r="G53" s="524">
        <f t="shared" si="12"/>
        <v>4183837.6149221128</v>
      </c>
      <c r="H53" s="491">
        <f t="shared" si="13"/>
        <v>4183837.6149221128</v>
      </c>
      <c r="I53" s="511">
        <f t="shared" si="5"/>
        <v>0</v>
      </c>
      <c r="J53" s="511"/>
      <c r="K53" s="525"/>
      <c r="L53" s="514">
        <f t="shared" si="1"/>
        <v>0</v>
      </c>
      <c r="M53" s="525"/>
      <c r="N53" s="514">
        <f t="shared" si="3"/>
        <v>0</v>
      </c>
      <c r="O53" s="514">
        <f t="shared" si="4"/>
        <v>0</v>
      </c>
      <c r="P53" s="272"/>
    </row>
    <row r="54" spans="2:16" ht="12.5">
      <c r="B54" s="195" t="str">
        <f t="shared" si="6"/>
        <v/>
      </c>
      <c r="C54" s="507">
        <f>IF(D11="","-",+C53+1)</f>
        <v>2053</v>
      </c>
      <c r="D54" s="523">
        <f>IF(F53+SUM(E$17:E53)=D$10,F53,D$10-SUM(E$17:E53))</f>
        <v>13608052.151095286</v>
      </c>
      <c r="E54" s="522">
        <f>IF(+I14&lt;F53,I14,D54)</f>
        <v>2318341.7619047621</v>
      </c>
      <c r="F54" s="523">
        <f t="shared" si="9"/>
        <v>11289710.389190525</v>
      </c>
      <c r="G54" s="524">
        <f t="shared" si="12"/>
        <v>3890968.9467016547</v>
      </c>
      <c r="H54" s="491">
        <f t="shared" si="13"/>
        <v>3890968.9467016547</v>
      </c>
      <c r="I54" s="511">
        <f t="shared" si="5"/>
        <v>0</v>
      </c>
      <c r="J54" s="511"/>
      <c r="K54" s="525"/>
      <c r="L54" s="514">
        <f t="shared" si="1"/>
        <v>0</v>
      </c>
      <c r="M54" s="525"/>
      <c r="N54" s="514">
        <f t="shared" si="3"/>
        <v>0</v>
      </c>
      <c r="O54" s="514">
        <f t="shared" si="4"/>
        <v>0</v>
      </c>
      <c r="P54" s="272"/>
    </row>
    <row r="55" spans="2:16" ht="12.5">
      <c r="B55" s="195" t="str">
        <f t="shared" si="6"/>
        <v/>
      </c>
      <c r="C55" s="507">
        <f>IF(D11="","-",+C54+1)</f>
        <v>2054</v>
      </c>
      <c r="D55" s="523">
        <f>IF(F54+SUM(E$17:E54)=D$10,F54,D$10-SUM(E$17:E54))</f>
        <v>11289710.389190525</v>
      </c>
      <c r="E55" s="522">
        <f>IF(+I14&lt;F54,I14,D55)</f>
        <v>2318341.7619047621</v>
      </c>
      <c r="F55" s="523">
        <f t="shared" si="9"/>
        <v>8971368.6272857636</v>
      </c>
      <c r="G55" s="524">
        <f t="shared" si="12"/>
        <v>3598100.2784811971</v>
      </c>
      <c r="H55" s="491">
        <f t="shared" si="13"/>
        <v>3598100.2784811971</v>
      </c>
      <c r="I55" s="511">
        <f t="shared" si="5"/>
        <v>0</v>
      </c>
      <c r="J55" s="511"/>
      <c r="K55" s="525"/>
      <c r="L55" s="514">
        <f t="shared" si="1"/>
        <v>0</v>
      </c>
      <c r="M55" s="525"/>
      <c r="N55" s="514">
        <f t="shared" si="3"/>
        <v>0</v>
      </c>
      <c r="O55" s="514">
        <f t="shared" si="4"/>
        <v>0</v>
      </c>
      <c r="P55" s="272"/>
    </row>
    <row r="56" spans="2:16" ht="12.5">
      <c r="B56" s="195" t="str">
        <f t="shared" si="6"/>
        <v/>
      </c>
      <c r="C56" s="507">
        <f>IF(D11="","-",+C55+1)</f>
        <v>2055</v>
      </c>
      <c r="D56" s="523">
        <f>IF(F55+SUM(E$17:E55)=D$10,F55,D$10-SUM(E$17:E55))</f>
        <v>8971368.6272857636</v>
      </c>
      <c r="E56" s="522">
        <f>IF(+I14&lt;F55,I14,D56)</f>
        <v>2318341.7619047621</v>
      </c>
      <c r="F56" s="523">
        <f t="shared" si="9"/>
        <v>6653026.8653810015</v>
      </c>
      <c r="G56" s="524">
        <f t="shared" si="12"/>
        <v>3305231.6102607395</v>
      </c>
      <c r="H56" s="491">
        <f t="shared" si="13"/>
        <v>3305231.6102607395</v>
      </c>
      <c r="I56" s="511">
        <f t="shared" si="5"/>
        <v>0</v>
      </c>
      <c r="J56" s="511"/>
      <c r="K56" s="525"/>
      <c r="L56" s="514">
        <f t="shared" si="1"/>
        <v>0</v>
      </c>
      <c r="M56" s="525"/>
      <c r="N56" s="514">
        <f t="shared" si="3"/>
        <v>0</v>
      </c>
      <c r="O56" s="514">
        <f t="shared" si="4"/>
        <v>0</v>
      </c>
      <c r="P56" s="272"/>
    </row>
    <row r="57" spans="2:16" ht="12.5">
      <c r="B57" s="195" t="str">
        <f t="shared" si="6"/>
        <v/>
      </c>
      <c r="C57" s="507">
        <f>IF(D11="","-",+C56+1)</f>
        <v>2056</v>
      </c>
      <c r="D57" s="523">
        <f>IF(F56+SUM(E$17:E56)=D$10,F56,D$10-SUM(E$17:E56))</f>
        <v>6653026.8653810015</v>
      </c>
      <c r="E57" s="522">
        <f>IF(+I14&lt;F56,I14,D57)</f>
        <v>2318341.7619047621</v>
      </c>
      <c r="F57" s="523">
        <f t="shared" si="9"/>
        <v>4334685.1034762394</v>
      </c>
      <c r="G57" s="524">
        <f t="shared" si="12"/>
        <v>3012362.9420402814</v>
      </c>
      <c r="H57" s="491">
        <f t="shared" si="13"/>
        <v>3012362.9420402814</v>
      </c>
      <c r="I57" s="511">
        <f t="shared" si="5"/>
        <v>0</v>
      </c>
      <c r="J57" s="511"/>
      <c r="K57" s="525"/>
      <c r="L57" s="514">
        <f t="shared" si="1"/>
        <v>0</v>
      </c>
      <c r="M57" s="525"/>
      <c r="N57" s="514">
        <f t="shared" si="3"/>
        <v>0</v>
      </c>
      <c r="O57" s="514">
        <f t="shared" si="4"/>
        <v>0</v>
      </c>
      <c r="P57" s="272"/>
    </row>
    <row r="58" spans="2:16" ht="12.5">
      <c r="B58" s="195" t="str">
        <f t="shared" si="6"/>
        <v/>
      </c>
      <c r="C58" s="507">
        <f>IF(D11="","-",+C57+1)</f>
        <v>2057</v>
      </c>
      <c r="D58" s="523">
        <f>IF(F57+SUM(E$17:E57)=D$10,F57,D$10-SUM(E$17:E57))</f>
        <v>4334685.1034762394</v>
      </c>
      <c r="E58" s="522">
        <f>IF(+I14&lt;F57,I14,D58)</f>
        <v>2318341.7619047621</v>
      </c>
      <c r="F58" s="523">
        <f t="shared" si="9"/>
        <v>2016343.3415714772</v>
      </c>
      <c r="G58" s="524">
        <f t="shared" si="12"/>
        <v>2719494.2738198237</v>
      </c>
      <c r="H58" s="491">
        <f t="shared" si="13"/>
        <v>2719494.2738198237</v>
      </c>
      <c r="I58" s="511">
        <f t="shared" si="5"/>
        <v>0</v>
      </c>
      <c r="J58" s="511"/>
      <c r="K58" s="525"/>
      <c r="L58" s="514">
        <f t="shared" si="1"/>
        <v>0</v>
      </c>
      <c r="M58" s="525"/>
      <c r="N58" s="514">
        <f t="shared" si="3"/>
        <v>0</v>
      </c>
      <c r="O58" s="514">
        <f t="shared" si="4"/>
        <v>0</v>
      </c>
      <c r="P58" s="272"/>
    </row>
    <row r="59" spans="2:16" ht="12.5">
      <c r="B59" s="195" t="str">
        <f t="shared" si="6"/>
        <v/>
      </c>
      <c r="C59" s="507">
        <f>IF(D11="","-",+C58+1)</f>
        <v>2058</v>
      </c>
      <c r="D59" s="523">
        <f>IF(F58+SUM(E$17:E58)=D$10,F58,D$10-SUM(E$17:E58))</f>
        <v>2016343.3415714772</v>
      </c>
      <c r="E59" s="522">
        <f>IF(+I14&lt;F58,I14,D59)</f>
        <v>2016343.3415714772</v>
      </c>
      <c r="F59" s="523">
        <f t="shared" si="9"/>
        <v>0</v>
      </c>
      <c r="G59" s="524">
        <f t="shared" si="12"/>
        <v>2143702.4304738934</v>
      </c>
      <c r="H59" s="491">
        <f t="shared" si="13"/>
        <v>2143702.4304738934</v>
      </c>
      <c r="I59" s="511">
        <f t="shared" si="5"/>
        <v>0</v>
      </c>
      <c r="J59" s="511"/>
      <c r="K59" s="525"/>
      <c r="L59" s="514">
        <f t="shared" si="1"/>
        <v>0</v>
      </c>
      <c r="M59" s="525"/>
      <c r="N59" s="514">
        <f t="shared" si="3"/>
        <v>0</v>
      </c>
      <c r="O59" s="514">
        <f t="shared" si="4"/>
        <v>0</v>
      </c>
      <c r="P59" s="272"/>
    </row>
    <row r="60" spans="2:16" ht="12.5">
      <c r="B60" s="195" t="str">
        <f t="shared" si="6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9"/>
        <v>0</v>
      </c>
      <c r="G60" s="524">
        <f t="shared" si="12"/>
        <v>0</v>
      </c>
      <c r="H60" s="491">
        <f t="shared" si="13"/>
        <v>0</v>
      </c>
      <c r="I60" s="511">
        <f t="shared" si="5"/>
        <v>0</v>
      </c>
      <c r="J60" s="511"/>
      <c r="K60" s="525"/>
      <c r="L60" s="514">
        <f t="shared" si="1"/>
        <v>0</v>
      </c>
      <c r="M60" s="525"/>
      <c r="N60" s="514">
        <f t="shared" si="3"/>
        <v>0</v>
      </c>
      <c r="O60" s="514">
        <f t="shared" si="4"/>
        <v>0</v>
      </c>
      <c r="P60" s="272"/>
    </row>
    <row r="61" spans="2:16" ht="12.5">
      <c r="B61" s="195" t="str">
        <f t="shared" si="6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9"/>
        <v>0</v>
      </c>
      <c r="G61" s="526">
        <f t="shared" si="12"/>
        <v>0</v>
      </c>
      <c r="H61" s="491">
        <f t="shared" si="13"/>
        <v>0</v>
      </c>
      <c r="I61" s="511">
        <f t="shared" si="5"/>
        <v>0</v>
      </c>
      <c r="J61" s="511"/>
      <c r="K61" s="525"/>
      <c r="L61" s="514">
        <f t="shared" si="1"/>
        <v>0</v>
      </c>
      <c r="M61" s="525"/>
      <c r="N61" s="514">
        <f t="shared" si="3"/>
        <v>0</v>
      </c>
      <c r="O61" s="514">
        <f t="shared" si="4"/>
        <v>0</v>
      </c>
      <c r="P61" s="272"/>
    </row>
    <row r="62" spans="2:16" ht="12.5">
      <c r="B62" s="195" t="str">
        <f t="shared" si="6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9"/>
        <v>0</v>
      </c>
      <c r="G62" s="526">
        <f t="shared" si="12"/>
        <v>0</v>
      </c>
      <c r="H62" s="491">
        <f t="shared" si="13"/>
        <v>0</v>
      </c>
      <c r="I62" s="511">
        <f t="shared" si="5"/>
        <v>0</v>
      </c>
      <c r="J62" s="511"/>
      <c r="K62" s="525"/>
      <c r="L62" s="514">
        <f t="shared" si="1"/>
        <v>0</v>
      </c>
      <c r="M62" s="525"/>
      <c r="N62" s="514">
        <f t="shared" si="3"/>
        <v>0</v>
      </c>
      <c r="O62" s="514">
        <f t="shared" si="4"/>
        <v>0</v>
      </c>
      <c r="P62" s="272"/>
    </row>
    <row r="63" spans="2:16" ht="12.5">
      <c r="B63" s="195" t="str">
        <f t="shared" si="6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9"/>
        <v>0</v>
      </c>
      <c r="G63" s="526">
        <f t="shared" si="12"/>
        <v>0</v>
      </c>
      <c r="H63" s="491">
        <f t="shared" si="13"/>
        <v>0</v>
      </c>
      <c r="I63" s="511">
        <f t="shared" si="5"/>
        <v>0</v>
      </c>
      <c r="J63" s="511"/>
      <c r="K63" s="525"/>
      <c r="L63" s="514">
        <f t="shared" si="1"/>
        <v>0</v>
      </c>
      <c r="M63" s="525"/>
      <c r="N63" s="514">
        <f t="shared" si="3"/>
        <v>0</v>
      </c>
      <c r="O63" s="514">
        <f t="shared" si="4"/>
        <v>0</v>
      </c>
      <c r="P63" s="272"/>
    </row>
    <row r="64" spans="2:16" ht="12.5">
      <c r="B64" s="195" t="str">
        <f t="shared" si="6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9"/>
        <v>0</v>
      </c>
      <c r="G64" s="526">
        <f t="shared" si="12"/>
        <v>0</v>
      </c>
      <c r="H64" s="491">
        <f t="shared" si="13"/>
        <v>0</v>
      </c>
      <c r="I64" s="511">
        <f t="shared" si="5"/>
        <v>0</v>
      </c>
      <c r="J64" s="511"/>
      <c r="K64" s="525"/>
      <c r="L64" s="514">
        <f t="shared" si="1"/>
        <v>0</v>
      </c>
      <c r="M64" s="525"/>
      <c r="N64" s="514">
        <f t="shared" si="3"/>
        <v>0</v>
      </c>
      <c r="O64" s="514">
        <f t="shared" si="4"/>
        <v>0</v>
      </c>
      <c r="P64" s="272"/>
    </row>
    <row r="65" spans="2:16" ht="12.5">
      <c r="B65" s="195" t="str">
        <f t="shared" si="6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9"/>
        <v>0</v>
      </c>
      <c r="G65" s="526">
        <f t="shared" si="12"/>
        <v>0</v>
      </c>
      <c r="H65" s="491">
        <f t="shared" si="13"/>
        <v>0</v>
      </c>
      <c r="I65" s="511">
        <f t="shared" si="5"/>
        <v>0</v>
      </c>
      <c r="J65" s="511"/>
      <c r="K65" s="525"/>
      <c r="L65" s="514">
        <f t="shared" si="1"/>
        <v>0</v>
      </c>
      <c r="M65" s="525"/>
      <c r="N65" s="514">
        <f t="shared" si="3"/>
        <v>0</v>
      </c>
      <c r="O65" s="514">
        <f t="shared" si="4"/>
        <v>0</v>
      </c>
      <c r="P65" s="272"/>
    </row>
    <row r="66" spans="2:16" ht="12.5">
      <c r="B66" s="195" t="str">
        <f t="shared" si="6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9"/>
        <v>0</v>
      </c>
      <c r="G66" s="526">
        <f t="shared" si="12"/>
        <v>0</v>
      </c>
      <c r="H66" s="491">
        <f t="shared" si="13"/>
        <v>0</v>
      </c>
      <c r="I66" s="511">
        <f t="shared" si="5"/>
        <v>0</v>
      </c>
      <c r="J66" s="511"/>
      <c r="K66" s="525"/>
      <c r="L66" s="514">
        <f t="shared" si="1"/>
        <v>0</v>
      </c>
      <c r="M66" s="525"/>
      <c r="N66" s="514">
        <f t="shared" si="3"/>
        <v>0</v>
      </c>
      <c r="O66" s="514">
        <f t="shared" si="4"/>
        <v>0</v>
      </c>
      <c r="P66" s="272"/>
    </row>
    <row r="67" spans="2:16" ht="12.5">
      <c r="B67" s="195" t="str">
        <f t="shared" si="6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9"/>
        <v>0</v>
      </c>
      <c r="G67" s="526">
        <f t="shared" si="12"/>
        <v>0</v>
      </c>
      <c r="H67" s="491">
        <f t="shared" si="13"/>
        <v>0</v>
      </c>
      <c r="I67" s="511">
        <f t="shared" si="5"/>
        <v>0</v>
      </c>
      <c r="J67" s="511"/>
      <c r="K67" s="525"/>
      <c r="L67" s="514">
        <f t="shared" si="1"/>
        <v>0</v>
      </c>
      <c r="M67" s="525"/>
      <c r="N67" s="514">
        <f t="shared" si="3"/>
        <v>0</v>
      </c>
      <c r="O67" s="514">
        <f t="shared" si="4"/>
        <v>0</v>
      </c>
      <c r="P67" s="272"/>
    </row>
    <row r="68" spans="2:16" ht="12.5">
      <c r="B68" s="195" t="str">
        <f t="shared" si="6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9"/>
        <v>0</v>
      </c>
      <c r="G68" s="526">
        <f t="shared" si="12"/>
        <v>0</v>
      </c>
      <c r="H68" s="491">
        <f t="shared" si="13"/>
        <v>0</v>
      </c>
      <c r="I68" s="511">
        <f t="shared" si="5"/>
        <v>0</v>
      </c>
      <c r="J68" s="511"/>
      <c r="K68" s="525"/>
      <c r="L68" s="514">
        <f t="shared" si="1"/>
        <v>0</v>
      </c>
      <c r="M68" s="525"/>
      <c r="N68" s="514">
        <f t="shared" si="3"/>
        <v>0</v>
      </c>
      <c r="O68" s="514">
        <f t="shared" si="4"/>
        <v>0</v>
      </c>
      <c r="P68" s="272"/>
    </row>
    <row r="69" spans="2:16" ht="12.5">
      <c r="B69" s="195" t="str">
        <f t="shared" si="6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9"/>
        <v>0</v>
      </c>
      <c r="G69" s="526">
        <f t="shared" si="12"/>
        <v>0</v>
      </c>
      <c r="H69" s="491">
        <f t="shared" si="13"/>
        <v>0</v>
      </c>
      <c r="I69" s="511">
        <f t="shared" si="5"/>
        <v>0</v>
      </c>
      <c r="J69" s="511"/>
      <c r="K69" s="525"/>
      <c r="L69" s="514">
        <f t="shared" si="1"/>
        <v>0</v>
      </c>
      <c r="M69" s="525"/>
      <c r="N69" s="514">
        <f t="shared" si="3"/>
        <v>0</v>
      </c>
      <c r="O69" s="514">
        <f t="shared" si="4"/>
        <v>0</v>
      </c>
      <c r="P69" s="272"/>
    </row>
    <row r="70" spans="2:16" ht="12.5">
      <c r="B70" s="195" t="str">
        <f t="shared" si="6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9"/>
        <v>0</v>
      </c>
      <c r="G70" s="526">
        <f t="shared" si="12"/>
        <v>0</v>
      </c>
      <c r="H70" s="491">
        <f t="shared" si="13"/>
        <v>0</v>
      </c>
      <c r="I70" s="511">
        <f t="shared" si="5"/>
        <v>0</v>
      </c>
      <c r="J70" s="511"/>
      <c r="K70" s="525"/>
      <c r="L70" s="514">
        <f t="shared" si="1"/>
        <v>0</v>
      </c>
      <c r="M70" s="525"/>
      <c r="N70" s="514">
        <f t="shared" si="3"/>
        <v>0</v>
      </c>
      <c r="O70" s="514">
        <f t="shared" si="4"/>
        <v>0</v>
      </c>
      <c r="P70" s="272"/>
    </row>
    <row r="71" spans="2:16" ht="12.5">
      <c r="B71" s="195" t="str">
        <f t="shared" si="6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9"/>
        <v>0</v>
      </c>
      <c r="G71" s="526">
        <f t="shared" si="12"/>
        <v>0</v>
      </c>
      <c r="H71" s="491">
        <f t="shared" si="13"/>
        <v>0</v>
      </c>
      <c r="I71" s="511">
        <f t="shared" si="5"/>
        <v>0</v>
      </c>
      <c r="J71" s="511"/>
      <c r="K71" s="525"/>
      <c r="L71" s="514">
        <f t="shared" si="1"/>
        <v>0</v>
      </c>
      <c r="M71" s="525"/>
      <c r="N71" s="514">
        <f t="shared" si="3"/>
        <v>0</v>
      </c>
      <c r="O71" s="514">
        <f t="shared" si="4"/>
        <v>0</v>
      </c>
      <c r="P71" s="272"/>
    </row>
    <row r="72" spans="2:16" ht="13" thickBot="1">
      <c r="B72" s="195" t="str">
        <f t="shared" si="6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9"/>
        <v>0</v>
      </c>
      <c r="G72" s="530">
        <f t="shared" si="12"/>
        <v>0</v>
      </c>
      <c r="H72" s="471">
        <f t="shared" si="13"/>
        <v>0</v>
      </c>
      <c r="I72" s="531">
        <f t="shared" si="5"/>
        <v>0</v>
      </c>
      <c r="J72" s="511"/>
      <c r="K72" s="532"/>
      <c r="L72" s="533">
        <f t="shared" si="1"/>
        <v>0</v>
      </c>
      <c r="M72" s="532"/>
      <c r="N72" s="533">
        <f t="shared" si="3"/>
        <v>0</v>
      </c>
      <c r="O72" s="533">
        <f t="shared" si="4"/>
        <v>0</v>
      </c>
      <c r="P72" s="272"/>
    </row>
    <row r="73" spans="2:16" ht="12.5">
      <c r="C73" s="374" t="s">
        <v>78</v>
      </c>
      <c r="D73" s="375"/>
      <c r="E73" s="375">
        <f>SUM(E17:E72)</f>
        <v>97370354</v>
      </c>
      <c r="F73" s="375"/>
      <c r="G73" s="375">
        <f>SUM(G17:G72)</f>
        <v>350014765.20095611</v>
      </c>
      <c r="H73" s="375">
        <f>SUM(H17:H72)</f>
        <v>350014765.20095611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60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11514152.464962322</v>
      </c>
      <c r="N87" s="546">
        <f>IF(J92&lt;D11,0,VLOOKUP(J92,C17:O72,11))</f>
        <v>11514152.464962322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12246820.408778705</v>
      </c>
      <c r="N88" s="550">
        <f>IF(J92&lt;D11,0,VLOOKUP(J92,C99:P154,7))</f>
        <v>12246820.408778705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Valliant-NW Texarkana 345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732667.94381638244</v>
      </c>
      <c r="N89" s="555">
        <f>+N88-N87</f>
        <v>732667.94381638244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TP2009089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97370354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>
        <f>+I12-J94</f>
        <v>1.2812561607827955E-2</v>
      </c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75">
        <f>+K94*G101</f>
        <v>1203028.7124730442</v>
      </c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2374886.6829268294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0</v>
      </c>
      <c r="F99" s="651">
        <v>94208721</v>
      </c>
      <c r="G99" s="652">
        <v>47104360.5</v>
      </c>
      <c r="H99" s="653">
        <v>5979898.0138057787</v>
      </c>
      <c r="I99" s="654">
        <v>5979898.0138057787</v>
      </c>
      <c r="J99" s="514">
        <f t="shared" ref="J99:J130" si="14">+I99-H99</f>
        <v>0</v>
      </c>
      <c r="K99" s="514"/>
      <c r="L99" s="512">
        <f>+H99</f>
        <v>5979898.0138057787</v>
      </c>
      <c r="M99" s="513">
        <f t="shared" ref="M99:M130" si="15">IF(L99&lt;&gt;0,+H99-L99,0)</f>
        <v>0</v>
      </c>
      <c r="N99" s="512">
        <f>+I99</f>
        <v>5979898.0138057787</v>
      </c>
      <c r="O99" s="513">
        <f t="shared" ref="O99:O130" si="16">IF(N99&lt;&gt;0,+I99-N99,0)</f>
        <v>0</v>
      </c>
      <c r="P99" s="513">
        <f t="shared" ref="P99:P130" si="17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97244455</v>
      </c>
      <c r="E100" s="630">
        <v>2315344.1666666665</v>
      </c>
      <c r="F100" s="631">
        <v>94929110.833333328</v>
      </c>
      <c r="G100" s="631">
        <v>96086782.916666657</v>
      </c>
      <c r="H100" s="633">
        <v>13987145.75171851</v>
      </c>
      <c r="I100" s="634">
        <v>13987145.75171851</v>
      </c>
      <c r="J100" s="514">
        <f t="shared" si="14"/>
        <v>0</v>
      </c>
      <c r="K100" s="514"/>
      <c r="L100" s="655">
        <f>+H100</f>
        <v>13987145.75171851</v>
      </c>
      <c r="M100" s="514">
        <f t="shared" si="15"/>
        <v>0</v>
      </c>
      <c r="N100" s="655">
        <f>+I100</f>
        <v>13987145.75171851</v>
      </c>
      <c r="O100" s="514">
        <f t="shared" si="16"/>
        <v>0</v>
      </c>
      <c r="P100" s="514">
        <f t="shared" si="17"/>
        <v>0</v>
      </c>
    </row>
    <row r="101" spans="1:16" ht="12.5">
      <c r="B101" s="195" t="str">
        <f t="shared" ref="B101:B154" si="18">IF(D101=F100,"","IU")</f>
        <v>IU</v>
      </c>
      <c r="C101" s="507">
        <f>IF(D93="","-",+C100+1)</f>
        <v>2018</v>
      </c>
      <c r="D101" s="629">
        <v>95053626.833333328</v>
      </c>
      <c r="E101" s="630">
        <v>2318308.8333333335</v>
      </c>
      <c r="F101" s="631">
        <v>92735318</v>
      </c>
      <c r="G101" s="631">
        <v>93894472.416666657</v>
      </c>
      <c r="H101" s="633">
        <v>12233995.703663049</v>
      </c>
      <c r="I101" s="634">
        <v>12233995.703663049</v>
      </c>
      <c r="J101" s="514">
        <f t="shared" si="14"/>
        <v>0</v>
      </c>
      <c r="K101" s="514"/>
      <c r="L101" s="655">
        <f>+H101</f>
        <v>12233995.703663049</v>
      </c>
      <c r="M101" s="514">
        <f t="shared" ref="M101" si="19">IF(L101&lt;&gt;0,+H101-L101,0)</f>
        <v>0</v>
      </c>
      <c r="N101" s="655">
        <f>+I101</f>
        <v>12233995.703663049</v>
      </c>
      <c r="O101" s="514">
        <f t="shared" si="16"/>
        <v>0</v>
      </c>
      <c r="P101" s="514">
        <f t="shared" si="17"/>
        <v>0</v>
      </c>
    </row>
    <row r="102" spans="1:16" ht="12.5">
      <c r="B102" s="195" t="str">
        <f t="shared" si="18"/>
        <v>IU</v>
      </c>
      <c r="C102" s="507">
        <f>IF(D93="","-",+C101+1)</f>
        <v>2019</v>
      </c>
      <c r="D102" s="629">
        <v>92736701</v>
      </c>
      <c r="E102" s="630">
        <v>2264426.8372093025</v>
      </c>
      <c r="F102" s="631">
        <v>90472274.162790701</v>
      </c>
      <c r="G102" s="631">
        <v>91604487.581395358</v>
      </c>
      <c r="H102" s="633">
        <v>12069821.253627364</v>
      </c>
      <c r="I102" s="634">
        <v>12069821.253627364</v>
      </c>
      <c r="J102" s="514">
        <f t="shared" si="14"/>
        <v>0</v>
      </c>
      <c r="K102" s="514"/>
      <c r="L102" s="655">
        <f>+H102</f>
        <v>12069821.253627364</v>
      </c>
      <c r="M102" s="514">
        <f t="shared" ref="M102:M103" si="20">IF(L102&lt;&gt;0,+H102-L102,0)</f>
        <v>0</v>
      </c>
      <c r="N102" s="655">
        <f>+I102</f>
        <v>12069821.253627364</v>
      </c>
      <c r="O102" s="514">
        <f t="shared" si="16"/>
        <v>0</v>
      </c>
      <c r="P102" s="514">
        <f t="shared" si="17"/>
        <v>0</v>
      </c>
    </row>
    <row r="103" spans="1:16" ht="12.5">
      <c r="B103" s="195" t="str">
        <f t="shared" si="18"/>
        <v/>
      </c>
      <c r="C103" s="507">
        <f>IF(D93="","-",+C102+1)</f>
        <v>2020</v>
      </c>
      <c r="D103" s="629">
        <v>90472274.162790701</v>
      </c>
      <c r="E103" s="630">
        <v>2318341.7619047621</v>
      </c>
      <c r="F103" s="631">
        <v>88153932.40088594</v>
      </c>
      <c r="G103" s="631">
        <v>89313103.281838328</v>
      </c>
      <c r="H103" s="633">
        <v>11926094.57446631</v>
      </c>
      <c r="I103" s="634">
        <v>11926094.57446631</v>
      </c>
      <c r="J103" s="514">
        <f t="shared" si="14"/>
        <v>0</v>
      </c>
      <c r="K103" s="514"/>
      <c r="L103" s="655">
        <f>+H103</f>
        <v>11926094.57446631</v>
      </c>
      <c r="M103" s="514">
        <f t="shared" si="20"/>
        <v>0</v>
      </c>
      <c r="N103" s="655">
        <f>+I103</f>
        <v>11926094.57446631</v>
      </c>
      <c r="O103" s="514">
        <f t="shared" si="16"/>
        <v>0</v>
      </c>
      <c r="P103" s="514">
        <f t="shared" si="17"/>
        <v>0</v>
      </c>
    </row>
    <row r="104" spans="1:16" ht="12.5">
      <c r="B104" s="195" t="str">
        <f t="shared" si="18"/>
        <v/>
      </c>
      <c r="C104" s="507">
        <f>IF(D93="","-",+C103+1)</f>
        <v>2021</v>
      </c>
      <c r="D104" s="374">
        <f>IF(F103+SUM(E$99:E103)=D$92,F103,D$92-SUM(E$99:E103))</f>
        <v>88153932.40088594</v>
      </c>
      <c r="E104" s="522">
        <f>IF(+J96&lt;F103,J96,D104)</f>
        <v>2374886.6829268294</v>
      </c>
      <c r="F104" s="523">
        <f t="shared" ref="F104:F130" si="21">+D104-E104</f>
        <v>85779045.717959106</v>
      </c>
      <c r="G104" s="523">
        <f t="shared" ref="G104:G130" si="22">+(F104+D104)/2</f>
        <v>86966489.059422523</v>
      </c>
      <c r="H104" s="526">
        <f t="shared" ref="H104:H154" si="23">+J$94*G104+E104</f>
        <v>12246820.408778705</v>
      </c>
      <c r="I104" s="577">
        <f t="shared" ref="I104:I154" si="24">+J$95*G104+E104</f>
        <v>12246820.408778705</v>
      </c>
      <c r="J104" s="514">
        <f t="shared" si="14"/>
        <v>0</v>
      </c>
      <c r="K104" s="514"/>
      <c r="L104" s="525"/>
      <c r="M104" s="514">
        <f t="shared" si="15"/>
        <v>0</v>
      </c>
      <c r="N104" s="525"/>
      <c r="O104" s="514">
        <f t="shared" si="16"/>
        <v>0</v>
      </c>
      <c r="P104" s="514">
        <f t="shared" si="17"/>
        <v>0</v>
      </c>
    </row>
    <row r="105" spans="1:16" ht="12.5">
      <c r="B105" s="195" t="str">
        <f t="shared" si="18"/>
        <v/>
      </c>
      <c r="C105" s="507">
        <f>IF(D93="","-",+C104+1)</f>
        <v>2022</v>
      </c>
      <c r="D105" s="374">
        <f>IF(F104+SUM(E$99:E104)=D$92,F104,D$92-SUM(E$99:E104))</f>
        <v>85779045.717959106</v>
      </c>
      <c r="E105" s="522">
        <f>IF(+J96&lt;F104,J96,D105)</f>
        <v>2374886.6829268294</v>
      </c>
      <c r="F105" s="523">
        <f t="shared" si="21"/>
        <v>83404159.035032272</v>
      </c>
      <c r="G105" s="523">
        <f t="shared" si="22"/>
        <v>84591602.376495689</v>
      </c>
      <c r="H105" s="526">
        <f t="shared" si="23"/>
        <v>11977236.984245576</v>
      </c>
      <c r="I105" s="577">
        <f t="shared" si="24"/>
        <v>11977236.984245576</v>
      </c>
      <c r="J105" s="514">
        <f t="shared" si="14"/>
        <v>0</v>
      </c>
      <c r="K105" s="514"/>
      <c r="L105" s="525"/>
      <c r="M105" s="514">
        <f t="shared" si="15"/>
        <v>0</v>
      </c>
      <c r="N105" s="525"/>
      <c r="O105" s="514">
        <f t="shared" si="16"/>
        <v>0</v>
      </c>
      <c r="P105" s="514">
        <f t="shared" si="17"/>
        <v>0</v>
      </c>
    </row>
    <row r="106" spans="1:16" ht="12.5">
      <c r="B106" s="195" t="str">
        <f t="shared" si="18"/>
        <v/>
      </c>
      <c r="C106" s="507">
        <f>IF(D93="","-",+C105+1)</f>
        <v>2023</v>
      </c>
      <c r="D106" s="374">
        <f>IF(F105+SUM(E$99:E105)=D$92,F105,D$92-SUM(E$99:E105))</f>
        <v>83404159.035032272</v>
      </c>
      <c r="E106" s="522">
        <f>IF(+J96&lt;F105,J96,D106)</f>
        <v>2374886.6829268294</v>
      </c>
      <c r="F106" s="523">
        <f t="shared" si="21"/>
        <v>81029272.352105439</v>
      </c>
      <c r="G106" s="523">
        <f t="shared" si="22"/>
        <v>82216715.693568856</v>
      </c>
      <c r="H106" s="526">
        <f t="shared" si="23"/>
        <v>11707653.559712449</v>
      </c>
      <c r="I106" s="577">
        <f t="shared" si="24"/>
        <v>11707653.559712449</v>
      </c>
      <c r="J106" s="514">
        <f t="shared" si="14"/>
        <v>0</v>
      </c>
      <c r="K106" s="514"/>
      <c r="L106" s="525"/>
      <c r="M106" s="514">
        <f t="shared" si="15"/>
        <v>0</v>
      </c>
      <c r="N106" s="525"/>
      <c r="O106" s="514">
        <f t="shared" si="16"/>
        <v>0</v>
      </c>
      <c r="P106" s="514">
        <f t="shared" si="17"/>
        <v>0</v>
      </c>
    </row>
    <row r="107" spans="1:16" ht="12.5">
      <c r="B107" s="195" t="str">
        <f t="shared" si="18"/>
        <v/>
      </c>
      <c r="C107" s="507">
        <f>IF(D93="","-",+C106+1)</f>
        <v>2024</v>
      </c>
      <c r="D107" s="374">
        <f>IF(F106+SUM(E$99:E106)=D$92,F106,D$92-SUM(E$99:E106))</f>
        <v>81029272.352105439</v>
      </c>
      <c r="E107" s="522">
        <f>IF(+J96&lt;F106,J96,D107)</f>
        <v>2374886.6829268294</v>
      </c>
      <c r="F107" s="523">
        <f t="shared" si="21"/>
        <v>78654385.669178605</v>
      </c>
      <c r="G107" s="523">
        <f t="shared" si="22"/>
        <v>79841829.010642022</v>
      </c>
      <c r="H107" s="526">
        <f t="shared" si="23"/>
        <v>11438070.135179322</v>
      </c>
      <c r="I107" s="577">
        <f t="shared" si="24"/>
        <v>11438070.135179322</v>
      </c>
      <c r="J107" s="514">
        <f t="shared" si="14"/>
        <v>0</v>
      </c>
      <c r="K107" s="514"/>
      <c r="L107" s="525"/>
      <c r="M107" s="514">
        <f t="shared" si="15"/>
        <v>0</v>
      </c>
      <c r="N107" s="525"/>
      <c r="O107" s="514">
        <f t="shared" si="16"/>
        <v>0</v>
      </c>
      <c r="P107" s="514">
        <f t="shared" si="17"/>
        <v>0</v>
      </c>
    </row>
    <row r="108" spans="1:16" ht="12.5">
      <c r="B108" s="195" t="str">
        <f t="shared" si="18"/>
        <v/>
      </c>
      <c r="C108" s="507">
        <f>IF(D93="","-",+C107+1)</f>
        <v>2025</v>
      </c>
      <c r="D108" s="374">
        <f>IF(F107+SUM(E$99:E107)=D$92,F107,D$92-SUM(E$99:E107))</f>
        <v>78654385.669178605</v>
      </c>
      <c r="E108" s="522">
        <f>IF(+J96&lt;F107,J96,D108)</f>
        <v>2374886.6829268294</v>
      </c>
      <c r="F108" s="523">
        <f t="shared" si="21"/>
        <v>76279498.986251771</v>
      </c>
      <c r="G108" s="523">
        <f t="shared" si="22"/>
        <v>77466942.327715188</v>
      </c>
      <c r="H108" s="526">
        <f t="shared" si="23"/>
        <v>11168486.710646193</v>
      </c>
      <c r="I108" s="577">
        <f t="shared" si="24"/>
        <v>11168486.710646193</v>
      </c>
      <c r="J108" s="514">
        <f t="shared" si="14"/>
        <v>0</v>
      </c>
      <c r="K108" s="514"/>
      <c r="L108" s="525"/>
      <c r="M108" s="514">
        <f t="shared" si="15"/>
        <v>0</v>
      </c>
      <c r="N108" s="525"/>
      <c r="O108" s="514">
        <f t="shared" si="16"/>
        <v>0</v>
      </c>
      <c r="P108" s="514">
        <f t="shared" si="17"/>
        <v>0</v>
      </c>
    </row>
    <row r="109" spans="1:16" ht="12.5">
      <c r="B109" s="195" t="str">
        <f t="shared" si="18"/>
        <v/>
      </c>
      <c r="C109" s="507">
        <f>IF(D93="","-",+C108+1)</f>
        <v>2026</v>
      </c>
      <c r="D109" s="374">
        <f>IF(F108+SUM(E$99:E108)=D$92,F108,D$92-SUM(E$99:E108))</f>
        <v>76279498.986251771</v>
      </c>
      <c r="E109" s="522">
        <f>IF(+J96&lt;F108,J96,D109)</f>
        <v>2374886.6829268294</v>
      </c>
      <c r="F109" s="523">
        <f t="shared" si="21"/>
        <v>73904612.303324938</v>
      </c>
      <c r="G109" s="523">
        <f t="shared" si="22"/>
        <v>75092055.644788355</v>
      </c>
      <c r="H109" s="526">
        <f t="shared" si="23"/>
        <v>10898903.286113067</v>
      </c>
      <c r="I109" s="577">
        <f t="shared" si="24"/>
        <v>10898903.286113067</v>
      </c>
      <c r="J109" s="514">
        <f t="shared" si="14"/>
        <v>0</v>
      </c>
      <c r="K109" s="514"/>
      <c r="L109" s="525"/>
      <c r="M109" s="514">
        <f t="shared" si="15"/>
        <v>0</v>
      </c>
      <c r="N109" s="525"/>
      <c r="O109" s="514">
        <f t="shared" si="16"/>
        <v>0</v>
      </c>
      <c r="P109" s="514">
        <f t="shared" si="17"/>
        <v>0</v>
      </c>
    </row>
    <row r="110" spans="1:16" ht="12.5">
      <c r="B110" s="195" t="str">
        <f t="shared" si="18"/>
        <v/>
      </c>
      <c r="C110" s="507">
        <f>IF(D93="","-",+C109+1)</f>
        <v>2027</v>
      </c>
      <c r="D110" s="374">
        <f>IF(F109+SUM(E$99:E109)=D$92,F109,D$92-SUM(E$99:E109))</f>
        <v>73904612.303324938</v>
      </c>
      <c r="E110" s="522">
        <f>IF(+J96&lt;F109,J96,D110)</f>
        <v>2374886.6829268294</v>
      </c>
      <c r="F110" s="523">
        <f t="shared" si="21"/>
        <v>71529725.620398104</v>
      </c>
      <c r="G110" s="523">
        <f t="shared" si="22"/>
        <v>72717168.961861521</v>
      </c>
      <c r="H110" s="526">
        <f t="shared" si="23"/>
        <v>10629319.861579938</v>
      </c>
      <c r="I110" s="577">
        <f t="shared" si="24"/>
        <v>10629319.861579938</v>
      </c>
      <c r="J110" s="514">
        <f t="shared" si="14"/>
        <v>0</v>
      </c>
      <c r="K110" s="514"/>
      <c r="L110" s="525"/>
      <c r="M110" s="514">
        <f t="shared" si="15"/>
        <v>0</v>
      </c>
      <c r="N110" s="525"/>
      <c r="O110" s="514">
        <f t="shared" si="16"/>
        <v>0</v>
      </c>
      <c r="P110" s="514">
        <f t="shared" si="17"/>
        <v>0</v>
      </c>
    </row>
    <row r="111" spans="1:16" ht="12.5">
      <c r="B111" s="195" t="str">
        <f t="shared" si="18"/>
        <v/>
      </c>
      <c r="C111" s="507">
        <f>IF(D93="","-",+C110+1)</f>
        <v>2028</v>
      </c>
      <c r="D111" s="374">
        <f>IF(F110+SUM(E$99:E110)=D$92,F110,D$92-SUM(E$99:E110))</f>
        <v>71529725.620398104</v>
      </c>
      <c r="E111" s="522">
        <f>IF(+J96&lt;F110,J96,D111)</f>
        <v>2374886.6829268294</v>
      </c>
      <c r="F111" s="523">
        <f t="shared" si="21"/>
        <v>69154838.937471271</v>
      </c>
      <c r="G111" s="523">
        <f t="shared" si="22"/>
        <v>70342282.278934687</v>
      </c>
      <c r="H111" s="526">
        <f t="shared" si="23"/>
        <v>10359736.437046811</v>
      </c>
      <c r="I111" s="577">
        <f t="shared" si="24"/>
        <v>10359736.437046811</v>
      </c>
      <c r="J111" s="514">
        <f t="shared" si="14"/>
        <v>0</v>
      </c>
      <c r="K111" s="514"/>
      <c r="L111" s="525"/>
      <c r="M111" s="514">
        <f t="shared" si="15"/>
        <v>0</v>
      </c>
      <c r="N111" s="525"/>
      <c r="O111" s="514">
        <f t="shared" si="16"/>
        <v>0</v>
      </c>
      <c r="P111" s="514">
        <f t="shared" si="17"/>
        <v>0</v>
      </c>
    </row>
    <row r="112" spans="1:16" ht="12.5">
      <c r="B112" s="195" t="str">
        <f t="shared" si="18"/>
        <v/>
      </c>
      <c r="C112" s="507">
        <f>IF(D93="","-",+C111+1)</f>
        <v>2029</v>
      </c>
      <c r="D112" s="374">
        <f>IF(F111+SUM(E$99:E111)=D$92,F111,D$92-SUM(E$99:E111))</f>
        <v>69154838.937471271</v>
      </c>
      <c r="E112" s="522">
        <f>IF(+J96&lt;F111,J96,D112)</f>
        <v>2374886.6829268294</v>
      </c>
      <c r="F112" s="523">
        <f t="shared" si="21"/>
        <v>66779952.254544444</v>
      </c>
      <c r="G112" s="523">
        <f t="shared" si="22"/>
        <v>67967395.596007854</v>
      </c>
      <c r="H112" s="526">
        <f t="shared" si="23"/>
        <v>10090153.012513684</v>
      </c>
      <c r="I112" s="577">
        <f t="shared" si="24"/>
        <v>10090153.012513684</v>
      </c>
      <c r="J112" s="514">
        <f t="shared" si="14"/>
        <v>0</v>
      </c>
      <c r="K112" s="514"/>
      <c r="L112" s="525"/>
      <c r="M112" s="514">
        <f t="shared" si="15"/>
        <v>0</v>
      </c>
      <c r="N112" s="525"/>
      <c r="O112" s="514">
        <f t="shared" si="16"/>
        <v>0</v>
      </c>
      <c r="P112" s="514">
        <f t="shared" si="17"/>
        <v>0</v>
      </c>
    </row>
    <row r="113" spans="2:16" ht="12.5">
      <c r="B113" s="195" t="str">
        <f t="shared" si="18"/>
        <v/>
      </c>
      <c r="C113" s="507">
        <f>IF(D93="","-",+C112+1)</f>
        <v>2030</v>
      </c>
      <c r="D113" s="374">
        <f>IF(F112+SUM(E$99:E112)=D$92,F112,D$92-SUM(E$99:E112))</f>
        <v>66779952.254544444</v>
      </c>
      <c r="E113" s="522">
        <f>IF(+J96&lt;F112,J96,D113)</f>
        <v>2374886.6829268294</v>
      </c>
      <c r="F113" s="523">
        <f t="shared" si="21"/>
        <v>64405065.571617618</v>
      </c>
      <c r="G113" s="523">
        <f t="shared" si="22"/>
        <v>65592508.913081035</v>
      </c>
      <c r="H113" s="526">
        <f t="shared" si="23"/>
        <v>9820569.5879805572</v>
      </c>
      <c r="I113" s="577">
        <f t="shared" si="24"/>
        <v>9820569.5879805572</v>
      </c>
      <c r="J113" s="514">
        <f t="shared" si="14"/>
        <v>0</v>
      </c>
      <c r="K113" s="514"/>
      <c r="L113" s="525"/>
      <c r="M113" s="514">
        <f t="shared" si="15"/>
        <v>0</v>
      </c>
      <c r="N113" s="525"/>
      <c r="O113" s="514">
        <f t="shared" si="16"/>
        <v>0</v>
      </c>
      <c r="P113" s="514">
        <f t="shared" si="17"/>
        <v>0</v>
      </c>
    </row>
    <row r="114" spans="2:16" ht="12.5">
      <c r="B114" s="195" t="str">
        <f t="shared" si="18"/>
        <v/>
      </c>
      <c r="C114" s="507">
        <f>IF(D93="","-",+C113+1)</f>
        <v>2031</v>
      </c>
      <c r="D114" s="374">
        <f>IF(F113+SUM(E$99:E113)=D$92,F113,D$92-SUM(E$99:E113))</f>
        <v>64405065.571617618</v>
      </c>
      <c r="E114" s="522">
        <f>IF(+J96&lt;F113,J96,D114)</f>
        <v>2374886.6829268294</v>
      </c>
      <c r="F114" s="523">
        <f t="shared" si="21"/>
        <v>62030178.888690792</v>
      </c>
      <c r="G114" s="523">
        <f t="shared" si="22"/>
        <v>63217622.230154201</v>
      </c>
      <c r="H114" s="526">
        <f t="shared" si="23"/>
        <v>9550986.1634474304</v>
      </c>
      <c r="I114" s="577">
        <f t="shared" si="24"/>
        <v>9550986.1634474304</v>
      </c>
      <c r="J114" s="514">
        <f t="shared" si="14"/>
        <v>0</v>
      </c>
      <c r="K114" s="514"/>
      <c r="L114" s="525"/>
      <c r="M114" s="514">
        <f t="shared" si="15"/>
        <v>0</v>
      </c>
      <c r="N114" s="525"/>
      <c r="O114" s="514">
        <f t="shared" si="16"/>
        <v>0</v>
      </c>
      <c r="P114" s="514">
        <f t="shared" si="17"/>
        <v>0</v>
      </c>
    </row>
    <row r="115" spans="2:16" ht="12.5">
      <c r="B115" s="195" t="str">
        <f t="shared" si="18"/>
        <v/>
      </c>
      <c r="C115" s="507">
        <f>IF(D93="","-",+C114+1)</f>
        <v>2032</v>
      </c>
      <c r="D115" s="374">
        <f>IF(F114+SUM(E$99:E114)=D$92,F114,D$92-SUM(E$99:E114))</f>
        <v>62030178.888690792</v>
      </c>
      <c r="E115" s="522">
        <f>IF(+J96&lt;F114,J96,D115)</f>
        <v>2374886.6829268294</v>
      </c>
      <c r="F115" s="523">
        <f t="shared" si="21"/>
        <v>59655292.205763966</v>
      </c>
      <c r="G115" s="523">
        <f t="shared" si="22"/>
        <v>60842735.547227383</v>
      </c>
      <c r="H115" s="526">
        <f t="shared" si="23"/>
        <v>9281402.7389143035</v>
      </c>
      <c r="I115" s="577">
        <f t="shared" si="24"/>
        <v>9281402.7389143035</v>
      </c>
      <c r="J115" s="514">
        <f t="shared" si="14"/>
        <v>0</v>
      </c>
      <c r="K115" s="514"/>
      <c r="L115" s="525"/>
      <c r="M115" s="514">
        <f t="shared" si="15"/>
        <v>0</v>
      </c>
      <c r="N115" s="525"/>
      <c r="O115" s="514">
        <f t="shared" si="16"/>
        <v>0</v>
      </c>
      <c r="P115" s="514">
        <f t="shared" si="17"/>
        <v>0</v>
      </c>
    </row>
    <row r="116" spans="2:16" ht="12.5">
      <c r="B116" s="195" t="str">
        <f t="shared" si="18"/>
        <v/>
      </c>
      <c r="C116" s="507">
        <f>IF(D93="","-",+C115+1)</f>
        <v>2033</v>
      </c>
      <c r="D116" s="374">
        <f>IF(F115+SUM(E$99:E115)=D$92,F115,D$92-SUM(E$99:E115))</f>
        <v>59655292.205763966</v>
      </c>
      <c r="E116" s="522">
        <f>IF(+J96&lt;F115,J96,D116)</f>
        <v>2374886.6829268294</v>
      </c>
      <c r="F116" s="523">
        <f t="shared" si="21"/>
        <v>57280405.52283714</v>
      </c>
      <c r="G116" s="523">
        <f t="shared" si="22"/>
        <v>58467848.864300549</v>
      </c>
      <c r="H116" s="526">
        <f t="shared" si="23"/>
        <v>9011819.3143811766</v>
      </c>
      <c r="I116" s="577">
        <f t="shared" si="24"/>
        <v>9011819.3143811766</v>
      </c>
      <c r="J116" s="514">
        <f t="shared" si="14"/>
        <v>0</v>
      </c>
      <c r="K116" s="514"/>
      <c r="L116" s="525"/>
      <c r="M116" s="514">
        <f t="shared" si="15"/>
        <v>0</v>
      </c>
      <c r="N116" s="525"/>
      <c r="O116" s="514">
        <f t="shared" si="16"/>
        <v>0</v>
      </c>
      <c r="P116" s="514">
        <f t="shared" si="17"/>
        <v>0</v>
      </c>
    </row>
    <row r="117" spans="2:16" ht="12.5">
      <c r="B117" s="195" t="str">
        <f t="shared" si="18"/>
        <v/>
      </c>
      <c r="C117" s="507">
        <f>IF(D93="","-",+C116+1)</f>
        <v>2034</v>
      </c>
      <c r="D117" s="374">
        <f>IF(F116+SUM(E$99:E116)=D$92,F116,D$92-SUM(E$99:E116))</f>
        <v>57280405.52283714</v>
      </c>
      <c r="E117" s="522">
        <f>IF(+J96&lt;F116,J96,D117)</f>
        <v>2374886.6829268294</v>
      </c>
      <c r="F117" s="523">
        <f t="shared" si="21"/>
        <v>54905518.839910313</v>
      </c>
      <c r="G117" s="523">
        <f t="shared" si="22"/>
        <v>56092962.18137373</v>
      </c>
      <c r="H117" s="526">
        <f t="shared" si="23"/>
        <v>8742235.8898480497</v>
      </c>
      <c r="I117" s="577">
        <f t="shared" si="24"/>
        <v>8742235.8898480497</v>
      </c>
      <c r="J117" s="514">
        <f t="shared" si="14"/>
        <v>0</v>
      </c>
      <c r="K117" s="514"/>
      <c r="L117" s="525"/>
      <c r="M117" s="514">
        <f t="shared" si="15"/>
        <v>0</v>
      </c>
      <c r="N117" s="525"/>
      <c r="O117" s="514">
        <f t="shared" si="16"/>
        <v>0</v>
      </c>
      <c r="P117" s="514">
        <f t="shared" si="17"/>
        <v>0</v>
      </c>
    </row>
    <row r="118" spans="2:16" ht="12.5">
      <c r="B118" s="195" t="str">
        <f t="shared" si="18"/>
        <v/>
      </c>
      <c r="C118" s="507">
        <f>IF(D93="","-",+C117+1)</f>
        <v>2035</v>
      </c>
      <c r="D118" s="374">
        <f>IF(F117+SUM(E$99:E117)=D$92,F117,D$92-SUM(E$99:E117))</f>
        <v>54905518.839910313</v>
      </c>
      <c r="E118" s="522">
        <f>IF(+J96&lt;F117,J96,D118)</f>
        <v>2374886.6829268294</v>
      </c>
      <c r="F118" s="523">
        <f t="shared" si="21"/>
        <v>52530632.156983487</v>
      </c>
      <c r="G118" s="523">
        <f t="shared" si="22"/>
        <v>53718075.498446897</v>
      </c>
      <c r="H118" s="526">
        <f t="shared" si="23"/>
        <v>8472652.4653149229</v>
      </c>
      <c r="I118" s="577">
        <f t="shared" si="24"/>
        <v>8472652.4653149229</v>
      </c>
      <c r="J118" s="514">
        <f t="shared" si="14"/>
        <v>0</v>
      </c>
      <c r="K118" s="514"/>
      <c r="L118" s="525"/>
      <c r="M118" s="514">
        <f t="shared" si="15"/>
        <v>0</v>
      </c>
      <c r="N118" s="525"/>
      <c r="O118" s="514">
        <f t="shared" si="16"/>
        <v>0</v>
      </c>
      <c r="P118" s="514">
        <f t="shared" si="17"/>
        <v>0</v>
      </c>
    </row>
    <row r="119" spans="2:16" ht="12.5">
      <c r="B119" s="195" t="str">
        <f t="shared" si="18"/>
        <v/>
      </c>
      <c r="C119" s="507">
        <f>IF(D93="","-",+C118+1)</f>
        <v>2036</v>
      </c>
      <c r="D119" s="374">
        <f>IF(F118+SUM(E$99:E118)=D$92,F118,D$92-SUM(E$99:E118))</f>
        <v>52530632.156983487</v>
      </c>
      <c r="E119" s="522">
        <f>IF(+J96&lt;F118,J96,D119)</f>
        <v>2374886.6829268294</v>
      </c>
      <c r="F119" s="523">
        <f t="shared" si="21"/>
        <v>50155745.474056661</v>
      </c>
      <c r="G119" s="523">
        <f t="shared" si="22"/>
        <v>51343188.815520078</v>
      </c>
      <c r="H119" s="526">
        <f t="shared" si="23"/>
        <v>8203069.0407817978</v>
      </c>
      <c r="I119" s="577">
        <f t="shared" si="24"/>
        <v>8203069.0407817978</v>
      </c>
      <c r="J119" s="514">
        <f t="shared" si="14"/>
        <v>0</v>
      </c>
      <c r="K119" s="514"/>
      <c r="L119" s="525"/>
      <c r="M119" s="514">
        <f t="shared" si="15"/>
        <v>0</v>
      </c>
      <c r="N119" s="525"/>
      <c r="O119" s="514">
        <f t="shared" si="16"/>
        <v>0</v>
      </c>
      <c r="P119" s="514">
        <f t="shared" si="17"/>
        <v>0</v>
      </c>
    </row>
    <row r="120" spans="2:16" ht="12.5">
      <c r="B120" s="195" t="str">
        <f t="shared" si="18"/>
        <v/>
      </c>
      <c r="C120" s="507">
        <f>IF(D93="","-",+C119+1)</f>
        <v>2037</v>
      </c>
      <c r="D120" s="374">
        <f>IF(F119+SUM(E$99:E119)=D$92,F119,D$92-SUM(E$99:E119))</f>
        <v>50155745.474056661</v>
      </c>
      <c r="E120" s="522">
        <f>IF(+J96&lt;F119,J96,D120)</f>
        <v>2374886.6829268294</v>
      </c>
      <c r="F120" s="523">
        <f t="shared" si="21"/>
        <v>47780858.791129835</v>
      </c>
      <c r="G120" s="523">
        <f t="shared" si="22"/>
        <v>48968302.132593244</v>
      </c>
      <c r="H120" s="526">
        <f t="shared" si="23"/>
        <v>7933485.6162486691</v>
      </c>
      <c r="I120" s="577">
        <f t="shared" si="24"/>
        <v>7933485.6162486691</v>
      </c>
      <c r="J120" s="514">
        <f t="shared" si="14"/>
        <v>0</v>
      </c>
      <c r="K120" s="514"/>
      <c r="L120" s="525"/>
      <c r="M120" s="514">
        <f t="shared" si="15"/>
        <v>0</v>
      </c>
      <c r="N120" s="525"/>
      <c r="O120" s="514">
        <f t="shared" si="16"/>
        <v>0</v>
      </c>
      <c r="P120" s="514">
        <f t="shared" si="17"/>
        <v>0</v>
      </c>
    </row>
    <row r="121" spans="2:16" ht="12.5">
      <c r="B121" s="195" t="str">
        <f t="shared" si="18"/>
        <v/>
      </c>
      <c r="C121" s="507">
        <f>IF(D93="","-",+C120+1)</f>
        <v>2038</v>
      </c>
      <c r="D121" s="374">
        <f>IF(F120+SUM(E$99:E120)=D$92,F120,D$92-SUM(E$99:E120))</f>
        <v>47780858.791129835</v>
      </c>
      <c r="E121" s="522">
        <f>IF(+J96&lt;F120,J96,D121)</f>
        <v>2374886.6829268294</v>
      </c>
      <c r="F121" s="523">
        <f t="shared" si="21"/>
        <v>45405972.108203009</v>
      </c>
      <c r="G121" s="523">
        <f t="shared" si="22"/>
        <v>46593415.449666426</v>
      </c>
      <c r="H121" s="526">
        <f t="shared" si="23"/>
        <v>7663902.1917155441</v>
      </c>
      <c r="I121" s="577">
        <f t="shared" si="24"/>
        <v>7663902.1917155441</v>
      </c>
      <c r="J121" s="514">
        <f t="shared" si="14"/>
        <v>0</v>
      </c>
      <c r="K121" s="514"/>
      <c r="L121" s="525"/>
      <c r="M121" s="514">
        <f t="shared" si="15"/>
        <v>0</v>
      </c>
      <c r="N121" s="525"/>
      <c r="O121" s="514">
        <f t="shared" si="16"/>
        <v>0</v>
      </c>
      <c r="P121" s="514">
        <f t="shared" si="17"/>
        <v>0</v>
      </c>
    </row>
    <row r="122" spans="2:16" ht="12.5">
      <c r="B122" s="195" t="str">
        <f t="shared" si="18"/>
        <v/>
      </c>
      <c r="C122" s="507">
        <f>IF(D93="","-",+C121+1)</f>
        <v>2039</v>
      </c>
      <c r="D122" s="374">
        <f>IF(F121+SUM(E$99:E121)=D$92,F121,D$92-SUM(E$99:E121))</f>
        <v>45405972.108203009</v>
      </c>
      <c r="E122" s="522">
        <f>IF(+J96&lt;F121,J96,D122)</f>
        <v>2374886.6829268294</v>
      </c>
      <c r="F122" s="523">
        <f t="shared" si="21"/>
        <v>43031085.425276183</v>
      </c>
      <c r="G122" s="523">
        <f t="shared" si="22"/>
        <v>44218528.766739592</v>
      </c>
      <c r="H122" s="526">
        <f t="shared" si="23"/>
        <v>7394318.7671824154</v>
      </c>
      <c r="I122" s="577">
        <f t="shared" si="24"/>
        <v>7394318.7671824154</v>
      </c>
      <c r="J122" s="514">
        <f t="shared" si="14"/>
        <v>0</v>
      </c>
      <c r="K122" s="514"/>
      <c r="L122" s="525"/>
      <c r="M122" s="514">
        <f t="shared" si="15"/>
        <v>0</v>
      </c>
      <c r="N122" s="525"/>
      <c r="O122" s="514">
        <f t="shared" si="16"/>
        <v>0</v>
      </c>
      <c r="P122" s="514">
        <f t="shared" si="17"/>
        <v>0</v>
      </c>
    </row>
    <row r="123" spans="2:16" ht="12.5">
      <c r="B123" s="195" t="str">
        <f t="shared" si="18"/>
        <v/>
      </c>
      <c r="C123" s="507">
        <f>IF(D93="","-",+C122+1)</f>
        <v>2040</v>
      </c>
      <c r="D123" s="374">
        <f>IF(F122+SUM(E$99:E122)=D$92,F122,D$92-SUM(E$99:E122))</f>
        <v>43031085.425276183</v>
      </c>
      <c r="E123" s="522">
        <f>IF(+J96&lt;F122,J96,D123)</f>
        <v>2374886.6829268294</v>
      </c>
      <c r="F123" s="523">
        <f t="shared" si="21"/>
        <v>40656198.742349356</v>
      </c>
      <c r="G123" s="523">
        <f t="shared" si="22"/>
        <v>41843642.083812773</v>
      </c>
      <c r="H123" s="526">
        <f t="shared" si="23"/>
        <v>7124735.3426492903</v>
      </c>
      <c r="I123" s="577">
        <f t="shared" si="24"/>
        <v>7124735.3426492903</v>
      </c>
      <c r="J123" s="514">
        <f t="shared" si="14"/>
        <v>0</v>
      </c>
      <c r="K123" s="514"/>
      <c r="L123" s="525"/>
      <c r="M123" s="514">
        <f t="shared" si="15"/>
        <v>0</v>
      </c>
      <c r="N123" s="525"/>
      <c r="O123" s="514">
        <f t="shared" si="16"/>
        <v>0</v>
      </c>
      <c r="P123" s="514">
        <f t="shared" si="17"/>
        <v>0</v>
      </c>
    </row>
    <row r="124" spans="2:16" ht="12.5">
      <c r="B124" s="195" t="str">
        <f t="shared" si="18"/>
        <v/>
      </c>
      <c r="C124" s="507">
        <f>IF(D93="","-",+C123+1)</f>
        <v>2041</v>
      </c>
      <c r="D124" s="374">
        <f>IF(F123+SUM(E$99:E123)=D$92,F123,D$92-SUM(E$99:E123))</f>
        <v>40656198.742349356</v>
      </c>
      <c r="E124" s="522">
        <f>IF(+J96&lt;F123,J96,D124)</f>
        <v>2374886.6829268294</v>
      </c>
      <c r="F124" s="523">
        <f t="shared" si="21"/>
        <v>38281312.05942253</v>
      </c>
      <c r="G124" s="523">
        <f t="shared" si="22"/>
        <v>39468755.40088594</v>
      </c>
      <c r="H124" s="526">
        <f t="shared" si="23"/>
        <v>6855151.9181161635</v>
      </c>
      <c r="I124" s="577">
        <f t="shared" si="24"/>
        <v>6855151.9181161635</v>
      </c>
      <c r="J124" s="514">
        <f t="shared" si="14"/>
        <v>0</v>
      </c>
      <c r="K124" s="514"/>
      <c r="L124" s="525"/>
      <c r="M124" s="514">
        <f t="shared" si="15"/>
        <v>0</v>
      </c>
      <c r="N124" s="525"/>
      <c r="O124" s="514">
        <f t="shared" si="16"/>
        <v>0</v>
      </c>
      <c r="P124" s="514">
        <f t="shared" si="17"/>
        <v>0</v>
      </c>
    </row>
    <row r="125" spans="2:16" ht="12.5">
      <c r="B125" s="195" t="str">
        <f t="shared" si="18"/>
        <v/>
      </c>
      <c r="C125" s="507">
        <f>IF(D93="","-",+C124+1)</f>
        <v>2042</v>
      </c>
      <c r="D125" s="374">
        <f>IF(F124+SUM(E$99:E124)=D$92,F124,D$92-SUM(E$99:E124))</f>
        <v>38281312.05942253</v>
      </c>
      <c r="E125" s="522">
        <f>IF(+J96&lt;F124,J96,D125)</f>
        <v>2374886.6829268294</v>
      </c>
      <c r="F125" s="523">
        <f t="shared" si="21"/>
        <v>35906425.376495704</v>
      </c>
      <c r="G125" s="523">
        <f t="shared" si="22"/>
        <v>37093868.717959121</v>
      </c>
      <c r="H125" s="526">
        <f t="shared" si="23"/>
        <v>6585568.4935830366</v>
      </c>
      <c r="I125" s="577">
        <f t="shared" si="24"/>
        <v>6585568.4935830366</v>
      </c>
      <c r="J125" s="514">
        <f t="shared" si="14"/>
        <v>0</v>
      </c>
      <c r="K125" s="514"/>
      <c r="L125" s="525"/>
      <c r="M125" s="514">
        <f t="shared" si="15"/>
        <v>0</v>
      </c>
      <c r="N125" s="525"/>
      <c r="O125" s="514">
        <f t="shared" si="16"/>
        <v>0</v>
      </c>
      <c r="P125" s="514">
        <f t="shared" si="17"/>
        <v>0</v>
      </c>
    </row>
    <row r="126" spans="2:16" ht="12.5">
      <c r="B126" s="195" t="str">
        <f t="shared" si="18"/>
        <v/>
      </c>
      <c r="C126" s="507">
        <f>IF(D93="","-",+C125+1)</f>
        <v>2043</v>
      </c>
      <c r="D126" s="374">
        <f>IF(F125+SUM(E$99:E125)=D$92,F125,D$92-SUM(E$99:E125))</f>
        <v>35906425.376495704</v>
      </c>
      <c r="E126" s="522">
        <f>IF(+J96&lt;F125,J96,D126)</f>
        <v>2374886.6829268294</v>
      </c>
      <c r="F126" s="523">
        <f t="shared" si="21"/>
        <v>33531538.693568874</v>
      </c>
      <c r="G126" s="523">
        <f t="shared" si="22"/>
        <v>34718982.035032287</v>
      </c>
      <c r="H126" s="526">
        <f t="shared" si="23"/>
        <v>6315985.0690499097</v>
      </c>
      <c r="I126" s="577">
        <f t="shared" si="24"/>
        <v>6315985.0690499097</v>
      </c>
      <c r="J126" s="514">
        <f t="shared" si="14"/>
        <v>0</v>
      </c>
      <c r="K126" s="514"/>
      <c r="L126" s="525"/>
      <c r="M126" s="514">
        <f t="shared" si="15"/>
        <v>0</v>
      </c>
      <c r="N126" s="525"/>
      <c r="O126" s="514">
        <f t="shared" si="16"/>
        <v>0</v>
      </c>
      <c r="P126" s="514">
        <f t="shared" si="17"/>
        <v>0</v>
      </c>
    </row>
    <row r="127" spans="2:16" ht="12.5">
      <c r="B127" s="195" t="str">
        <f t="shared" si="18"/>
        <v/>
      </c>
      <c r="C127" s="507">
        <f>IF(D93="","-",+C126+1)</f>
        <v>2044</v>
      </c>
      <c r="D127" s="374">
        <f>IF(F126+SUM(E$99:E126)=D$92,F126,D$92-SUM(E$99:E126))</f>
        <v>33531538.693568874</v>
      </c>
      <c r="E127" s="522">
        <f>IF(+J96&lt;F126,J96,D127)</f>
        <v>2374886.6829268294</v>
      </c>
      <c r="F127" s="523">
        <f t="shared" si="21"/>
        <v>31156652.010642044</v>
      </c>
      <c r="G127" s="523">
        <f t="shared" si="22"/>
        <v>32344095.352105461</v>
      </c>
      <c r="H127" s="526">
        <f t="shared" si="23"/>
        <v>6046401.6445167828</v>
      </c>
      <c r="I127" s="577">
        <f t="shared" si="24"/>
        <v>6046401.6445167828</v>
      </c>
      <c r="J127" s="514">
        <f t="shared" si="14"/>
        <v>0</v>
      </c>
      <c r="K127" s="514"/>
      <c r="L127" s="525"/>
      <c r="M127" s="514">
        <f t="shared" si="15"/>
        <v>0</v>
      </c>
      <c r="N127" s="525"/>
      <c r="O127" s="514">
        <f t="shared" si="16"/>
        <v>0</v>
      </c>
      <c r="P127" s="514">
        <f t="shared" si="17"/>
        <v>0</v>
      </c>
    </row>
    <row r="128" spans="2:16" ht="12.5">
      <c r="B128" s="195" t="str">
        <f t="shared" si="18"/>
        <v/>
      </c>
      <c r="C128" s="507">
        <f>IF(D93="","-",+C127+1)</f>
        <v>2045</v>
      </c>
      <c r="D128" s="374">
        <f>IF(F127+SUM(E$99:E127)=D$92,F127,D$92-SUM(E$99:E127))</f>
        <v>31156652.010642044</v>
      </c>
      <c r="E128" s="522">
        <f>IF(+J96&lt;F127,J96,D128)</f>
        <v>2374886.6829268294</v>
      </c>
      <c r="F128" s="523">
        <f t="shared" si="21"/>
        <v>28781765.327715214</v>
      </c>
      <c r="G128" s="523">
        <f t="shared" si="22"/>
        <v>29969208.669178627</v>
      </c>
      <c r="H128" s="526">
        <f t="shared" si="23"/>
        <v>5776818.219983655</v>
      </c>
      <c r="I128" s="577">
        <f t="shared" si="24"/>
        <v>5776818.219983655</v>
      </c>
      <c r="J128" s="514">
        <f t="shared" si="14"/>
        <v>0</v>
      </c>
      <c r="K128" s="514"/>
      <c r="L128" s="525"/>
      <c r="M128" s="514">
        <f t="shared" si="15"/>
        <v>0</v>
      </c>
      <c r="N128" s="525"/>
      <c r="O128" s="514">
        <f t="shared" si="16"/>
        <v>0</v>
      </c>
      <c r="P128" s="514">
        <f t="shared" si="17"/>
        <v>0</v>
      </c>
    </row>
    <row r="129" spans="2:16" ht="12.5">
      <c r="B129" s="195" t="str">
        <f t="shared" si="18"/>
        <v/>
      </c>
      <c r="C129" s="507">
        <f>IF(D93="","-",+C128+1)</f>
        <v>2046</v>
      </c>
      <c r="D129" s="374">
        <f>IF(F128+SUM(E$99:E128)=D$92,F128,D$92-SUM(E$99:E128))</f>
        <v>28781765.327715214</v>
      </c>
      <c r="E129" s="522">
        <f>IF(+J96&lt;F128,J96,D129)</f>
        <v>2374886.6829268294</v>
      </c>
      <c r="F129" s="523">
        <f t="shared" si="21"/>
        <v>26406878.644788384</v>
      </c>
      <c r="G129" s="523">
        <f t="shared" si="22"/>
        <v>27594321.986251801</v>
      </c>
      <c r="H129" s="526">
        <f t="shared" si="23"/>
        <v>5507234.7954505282</v>
      </c>
      <c r="I129" s="577">
        <f t="shared" si="24"/>
        <v>5507234.7954505282</v>
      </c>
      <c r="J129" s="514">
        <f t="shared" si="14"/>
        <v>0</v>
      </c>
      <c r="K129" s="514"/>
      <c r="L129" s="525"/>
      <c r="M129" s="514">
        <f t="shared" si="15"/>
        <v>0</v>
      </c>
      <c r="N129" s="525"/>
      <c r="O129" s="514">
        <f t="shared" si="16"/>
        <v>0</v>
      </c>
      <c r="P129" s="514">
        <f t="shared" si="17"/>
        <v>0</v>
      </c>
    </row>
    <row r="130" spans="2:16" ht="12.5">
      <c r="B130" s="195" t="str">
        <f t="shared" si="18"/>
        <v/>
      </c>
      <c r="C130" s="507">
        <f>IF(D93="","-",+C129+1)</f>
        <v>2047</v>
      </c>
      <c r="D130" s="374">
        <f>IF(F129+SUM(E$99:E129)=D$92,F129,D$92-SUM(E$99:E129))</f>
        <v>26406878.644788384</v>
      </c>
      <c r="E130" s="522">
        <f>IF(+J96&lt;F129,J96,D130)</f>
        <v>2374886.6829268294</v>
      </c>
      <c r="F130" s="523">
        <f t="shared" si="21"/>
        <v>24031991.961861555</v>
      </c>
      <c r="G130" s="523">
        <f t="shared" si="22"/>
        <v>25219435.303324968</v>
      </c>
      <c r="H130" s="526">
        <f t="shared" si="23"/>
        <v>5237651.3709174003</v>
      </c>
      <c r="I130" s="577">
        <f t="shared" si="24"/>
        <v>5237651.3709174003</v>
      </c>
      <c r="J130" s="514">
        <f t="shared" si="14"/>
        <v>0</v>
      </c>
      <c r="K130" s="514"/>
      <c r="L130" s="525"/>
      <c r="M130" s="514">
        <f t="shared" si="15"/>
        <v>0</v>
      </c>
      <c r="N130" s="525"/>
      <c r="O130" s="514">
        <f t="shared" si="16"/>
        <v>0</v>
      </c>
      <c r="P130" s="514">
        <f t="shared" si="17"/>
        <v>0</v>
      </c>
    </row>
    <row r="131" spans="2:16" ht="12.5">
      <c r="B131" s="195" t="str">
        <f t="shared" si="18"/>
        <v/>
      </c>
      <c r="C131" s="507">
        <f>IF(D93="","-",+C130+1)</f>
        <v>2048</v>
      </c>
      <c r="D131" s="374">
        <f>IF(F130+SUM(E$99:E130)=D$92,F130,D$92-SUM(E$99:E130))</f>
        <v>24031991.961861555</v>
      </c>
      <c r="E131" s="522">
        <f>IF(+J96&lt;F130,J96,D131)</f>
        <v>2374886.6829268294</v>
      </c>
      <c r="F131" s="523">
        <f t="shared" ref="F131:F154" si="25">+D131-E131</f>
        <v>21657105.278934725</v>
      </c>
      <c r="G131" s="523">
        <f t="shared" ref="G131:G154" si="26">+(F131+D131)/2</f>
        <v>22844548.620398141</v>
      </c>
      <c r="H131" s="526">
        <f t="shared" si="23"/>
        <v>4968067.9463842735</v>
      </c>
      <c r="I131" s="577">
        <f t="shared" si="24"/>
        <v>4968067.9463842735</v>
      </c>
      <c r="J131" s="514">
        <f t="shared" ref="J131:J154" si="27">+I541-H541</f>
        <v>0</v>
      </c>
      <c r="K131" s="514"/>
      <c r="L131" s="525"/>
      <c r="M131" s="514">
        <f t="shared" ref="M131:M154" si="28">IF(L541&lt;&gt;0,+H541-L541,0)</f>
        <v>0</v>
      </c>
      <c r="N131" s="525"/>
      <c r="O131" s="514">
        <f t="shared" ref="O131:O154" si="29">IF(N541&lt;&gt;0,+I541-N541,0)</f>
        <v>0</v>
      </c>
      <c r="P131" s="514">
        <f t="shared" ref="P131:P154" si="30">+O541-M541</f>
        <v>0</v>
      </c>
    </row>
    <row r="132" spans="2:16" ht="12.5">
      <c r="B132" s="195" t="str">
        <f t="shared" si="18"/>
        <v/>
      </c>
      <c r="C132" s="507">
        <f>IF(D93="","-",+C131+1)</f>
        <v>2049</v>
      </c>
      <c r="D132" s="374">
        <f>IF(F131+SUM(E$99:E131)=D$92,F131,D$92-SUM(E$99:E131))</f>
        <v>21657105.278934725</v>
      </c>
      <c r="E132" s="522">
        <f>IF(+J96&lt;F131,J96,D132)</f>
        <v>2374886.6829268294</v>
      </c>
      <c r="F132" s="523">
        <f t="shared" si="25"/>
        <v>19282218.596007895</v>
      </c>
      <c r="G132" s="523">
        <f t="shared" si="26"/>
        <v>20469661.937471308</v>
      </c>
      <c r="H132" s="526">
        <f t="shared" si="23"/>
        <v>4698484.5218511466</v>
      </c>
      <c r="I132" s="577">
        <f t="shared" si="24"/>
        <v>4698484.5218511466</v>
      </c>
      <c r="J132" s="514">
        <f t="shared" si="27"/>
        <v>0</v>
      </c>
      <c r="K132" s="514"/>
      <c r="L132" s="525"/>
      <c r="M132" s="514">
        <f t="shared" si="28"/>
        <v>0</v>
      </c>
      <c r="N132" s="525"/>
      <c r="O132" s="514">
        <f t="shared" si="29"/>
        <v>0</v>
      </c>
      <c r="P132" s="514">
        <f t="shared" si="30"/>
        <v>0</v>
      </c>
    </row>
    <row r="133" spans="2:16" ht="12.5">
      <c r="B133" s="195" t="str">
        <f t="shared" si="18"/>
        <v/>
      </c>
      <c r="C133" s="507">
        <f>IF(D93="","-",+C132+1)</f>
        <v>2050</v>
      </c>
      <c r="D133" s="374">
        <f>IF(F132+SUM(E$99:E132)=D$92,F132,D$92-SUM(E$99:E132))</f>
        <v>19282218.596007895</v>
      </c>
      <c r="E133" s="522">
        <f>IF(+J96&lt;F132,J96,D133)</f>
        <v>2374886.6829268294</v>
      </c>
      <c r="F133" s="523">
        <f t="shared" si="25"/>
        <v>16907331.913081065</v>
      </c>
      <c r="G133" s="523">
        <f t="shared" si="26"/>
        <v>18094775.254544482</v>
      </c>
      <c r="H133" s="526">
        <f t="shared" si="23"/>
        <v>4428901.0973180197</v>
      </c>
      <c r="I133" s="577">
        <f t="shared" si="24"/>
        <v>4428901.0973180197</v>
      </c>
      <c r="J133" s="514">
        <f t="shared" si="27"/>
        <v>0</v>
      </c>
      <c r="K133" s="514"/>
      <c r="L133" s="525"/>
      <c r="M133" s="514">
        <f t="shared" si="28"/>
        <v>0</v>
      </c>
      <c r="N133" s="525"/>
      <c r="O133" s="514">
        <f t="shared" si="29"/>
        <v>0</v>
      </c>
      <c r="P133" s="514">
        <f t="shared" si="30"/>
        <v>0</v>
      </c>
    </row>
    <row r="134" spans="2:16" ht="12.5">
      <c r="B134" s="195" t="str">
        <f t="shared" si="18"/>
        <v/>
      </c>
      <c r="C134" s="507">
        <f>IF(D93="","-",+C133+1)</f>
        <v>2051</v>
      </c>
      <c r="D134" s="374">
        <f>IF(F133+SUM(E$99:E133)=D$92,F133,D$92-SUM(E$99:E133))</f>
        <v>16907331.913081065</v>
      </c>
      <c r="E134" s="522">
        <f>IF(+J96&lt;F133,J96,D134)</f>
        <v>2374886.6829268294</v>
      </c>
      <c r="F134" s="523">
        <f t="shared" si="25"/>
        <v>14532445.230154235</v>
      </c>
      <c r="G134" s="523">
        <f t="shared" si="26"/>
        <v>15719888.57161765</v>
      </c>
      <c r="H134" s="526">
        <f t="shared" si="23"/>
        <v>4159317.6727848924</v>
      </c>
      <c r="I134" s="577">
        <f t="shared" si="24"/>
        <v>4159317.6727848924</v>
      </c>
      <c r="J134" s="514">
        <f t="shared" si="27"/>
        <v>0</v>
      </c>
      <c r="K134" s="514"/>
      <c r="L134" s="525"/>
      <c r="M134" s="514">
        <f t="shared" si="28"/>
        <v>0</v>
      </c>
      <c r="N134" s="525"/>
      <c r="O134" s="514">
        <f t="shared" si="29"/>
        <v>0</v>
      </c>
      <c r="P134" s="514">
        <f t="shared" si="30"/>
        <v>0</v>
      </c>
    </row>
    <row r="135" spans="2:16" ht="12.5">
      <c r="B135" s="195" t="str">
        <f t="shared" si="18"/>
        <v/>
      </c>
      <c r="C135" s="507">
        <f>IF(D93="","-",+C134+1)</f>
        <v>2052</v>
      </c>
      <c r="D135" s="374">
        <f>IF(F134+SUM(E$99:E134)=D$92,F134,D$92-SUM(E$99:E134))</f>
        <v>14532445.230154235</v>
      </c>
      <c r="E135" s="522">
        <f>IF(+J96&lt;F134,J96,D135)</f>
        <v>2374886.6829268294</v>
      </c>
      <c r="F135" s="523">
        <f t="shared" si="25"/>
        <v>12157558.547227405</v>
      </c>
      <c r="G135" s="523">
        <f t="shared" si="26"/>
        <v>13345001.88869082</v>
      </c>
      <c r="H135" s="526">
        <f t="shared" si="23"/>
        <v>3889734.248251765</v>
      </c>
      <c r="I135" s="577">
        <f t="shared" si="24"/>
        <v>3889734.248251765</v>
      </c>
      <c r="J135" s="514">
        <f t="shared" si="27"/>
        <v>0</v>
      </c>
      <c r="K135" s="514"/>
      <c r="L135" s="525"/>
      <c r="M135" s="514">
        <f t="shared" si="28"/>
        <v>0</v>
      </c>
      <c r="N135" s="525"/>
      <c r="O135" s="514">
        <f t="shared" si="29"/>
        <v>0</v>
      </c>
      <c r="P135" s="514">
        <f t="shared" si="30"/>
        <v>0</v>
      </c>
    </row>
    <row r="136" spans="2:16" ht="12.5">
      <c r="B136" s="195" t="str">
        <f t="shared" si="18"/>
        <v/>
      </c>
      <c r="C136" s="507">
        <f>IF(D93="","-",+C135+1)</f>
        <v>2053</v>
      </c>
      <c r="D136" s="374">
        <f>IF(F135+SUM(E$99:E135)=D$92,F135,D$92-SUM(E$99:E135))</f>
        <v>12157558.547227405</v>
      </c>
      <c r="E136" s="522">
        <f>IF(+J96&lt;F135,J96,D136)</f>
        <v>2374886.6829268294</v>
      </c>
      <c r="F136" s="523">
        <f t="shared" si="25"/>
        <v>9782671.8643005751</v>
      </c>
      <c r="G136" s="523">
        <f t="shared" si="26"/>
        <v>10970115.20576399</v>
      </c>
      <c r="H136" s="526">
        <f t="shared" si="23"/>
        <v>3620150.8237186382</v>
      </c>
      <c r="I136" s="577">
        <f t="shared" si="24"/>
        <v>3620150.8237186382</v>
      </c>
      <c r="J136" s="514">
        <f t="shared" si="27"/>
        <v>0</v>
      </c>
      <c r="K136" s="514"/>
      <c r="L136" s="525"/>
      <c r="M136" s="514">
        <f t="shared" si="28"/>
        <v>0</v>
      </c>
      <c r="N136" s="525"/>
      <c r="O136" s="514">
        <f t="shared" si="29"/>
        <v>0</v>
      </c>
      <c r="P136" s="514">
        <f t="shared" si="30"/>
        <v>0</v>
      </c>
    </row>
    <row r="137" spans="2:16" ht="12.5">
      <c r="B137" s="195" t="str">
        <f t="shared" si="18"/>
        <v/>
      </c>
      <c r="C137" s="507">
        <f>IF(D93="","-",+C136+1)</f>
        <v>2054</v>
      </c>
      <c r="D137" s="374">
        <f>IF(F136+SUM(E$99:E136)=D$92,F136,D$92-SUM(E$99:E136))</f>
        <v>9782671.8643005751</v>
      </c>
      <c r="E137" s="522">
        <f>IF(+J96&lt;F136,J96,D137)</f>
        <v>2374886.6829268294</v>
      </c>
      <c r="F137" s="523">
        <f t="shared" si="25"/>
        <v>7407785.1813737452</v>
      </c>
      <c r="G137" s="523">
        <f t="shared" si="26"/>
        <v>8595228.5228371602</v>
      </c>
      <c r="H137" s="526">
        <f t="shared" si="23"/>
        <v>3350567.3991855108</v>
      </c>
      <c r="I137" s="577">
        <f t="shared" si="24"/>
        <v>3350567.3991855108</v>
      </c>
      <c r="J137" s="514">
        <f t="shared" si="27"/>
        <v>0</v>
      </c>
      <c r="K137" s="514"/>
      <c r="L137" s="525"/>
      <c r="M137" s="514">
        <f t="shared" si="28"/>
        <v>0</v>
      </c>
      <c r="N137" s="525"/>
      <c r="O137" s="514">
        <f t="shared" si="29"/>
        <v>0</v>
      </c>
      <c r="P137" s="514">
        <f t="shared" si="30"/>
        <v>0</v>
      </c>
    </row>
    <row r="138" spans="2:16" ht="12.5">
      <c r="B138" s="195" t="str">
        <f t="shared" si="18"/>
        <v/>
      </c>
      <c r="C138" s="507">
        <f>IF(D93="","-",+C137+1)</f>
        <v>2055</v>
      </c>
      <c r="D138" s="374">
        <f>IF(F137+SUM(E$99:E137)=D$92,F137,D$92-SUM(E$99:E137))</f>
        <v>7407785.1813737452</v>
      </c>
      <c r="E138" s="522">
        <f>IF(+J96&lt;F137,J96,D138)</f>
        <v>2374886.6829268294</v>
      </c>
      <c r="F138" s="523">
        <f t="shared" si="25"/>
        <v>5032898.4984469153</v>
      </c>
      <c r="G138" s="523">
        <f t="shared" si="26"/>
        <v>6220341.8399103303</v>
      </c>
      <c r="H138" s="526">
        <f t="shared" si="23"/>
        <v>3080983.9746523835</v>
      </c>
      <c r="I138" s="577">
        <f t="shared" si="24"/>
        <v>3080983.9746523835</v>
      </c>
      <c r="J138" s="514">
        <f t="shared" si="27"/>
        <v>0</v>
      </c>
      <c r="K138" s="514"/>
      <c r="L138" s="525"/>
      <c r="M138" s="514">
        <f t="shared" si="28"/>
        <v>0</v>
      </c>
      <c r="N138" s="525"/>
      <c r="O138" s="514">
        <f t="shared" si="29"/>
        <v>0</v>
      </c>
      <c r="P138" s="514">
        <f t="shared" si="30"/>
        <v>0</v>
      </c>
    </row>
    <row r="139" spans="2:16" ht="12.5">
      <c r="B139" s="195" t="str">
        <f t="shared" si="18"/>
        <v/>
      </c>
      <c r="C139" s="507">
        <f>IF(D93="","-",+C138+1)</f>
        <v>2056</v>
      </c>
      <c r="D139" s="374">
        <f>IF(F138+SUM(E$99:E138)=D$92,F138,D$92-SUM(E$99:E138))</f>
        <v>5032898.4984469153</v>
      </c>
      <c r="E139" s="522">
        <f>IF(+J96&lt;F138,J96,D139)</f>
        <v>2374886.6829268294</v>
      </c>
      <c r="F139" s="523">
        <f t="shared" si="25"/>
        <v>2658011.8155200859</v>
      </c>
      <c r="G139" s="523">
        <f t="shared" si="26"/>
        <v>3845455.1569835003</v>
      </c>
      <c r="H139" s="526">
        <f t="shared" si="23"/>
        <v>2811400.5501192566</v>
      </c>
      <c r="I139" s="577">
        <f t="shared" si="24"/>
        <v>2811400.5501192566</v>
      </c>
      <c r="J139" s="514">
        <f t="shared" si="27"/>
        <v>0</v>
      </c>
      <c r="K139" s="514"/>
      <c r="L139" s="525"/>
      <c r="M139" s="514">
        <f t="shared" si="28"/>
        <v>0</v>
      </c>
      <c r="N139" s="525"/>
      <c r="O139" s="514">
        <f t="shared" si="29"/>
        <v>0</v>
      </c>
      <c r="P139" s="514">
        <f t="shared" si="30"/>
        <v>0</v>
      </c>
    </row>
    <row r="140" spans="2:16" ht="12.5">
      <c r="B140" s="195" t="str">
        <f t="shared" si="18"/>
        <v/>
      </c>
      <c r="C140" s="507">
        <f>IF(D93="","-",+C139+1)</f>
        <v>2057</v>
      </c>
      <c r="D140" s="374">
        <f>IF(F139+SUM(E$99:E139)=D$92,F139,D$92-SUM(E$99:E139))</f>
        <v>2658011.8155200859</v>
      </c>
      <c r="E140" s="522">
        <f>IF(+J96&lt;F139,J96,D140)</f>
        <v>2374886.6829268294</v>
      </c>
      <c r="F140" s="523">
        <f t="shared" si="25"/>
        <v>283125.13259325642</v>
      </c>
      <c r="G140" s="523">
        <f t="shared" si="26"/>
        <v>1470568.4740566711</v>
      </c>
      <c r="H140" s="526">
        <f t="shared" si="23"/>
        <v>2541817.1255861297</v>
      </c>
      <c r="I140" s="577">
        <f t="shared" si="24"/>
        <v>2541817.1255861297</v>
      </c>
      <c r="J140" s="514">
        <f t="shared" si="27"/>
        <v>0</v>
      </c>
      <c r="K140" s="514"/>
      <c r="L140" s="525"/>
      <c r="M140" s="514">
        <f t="shared" si="28"/>
        <v>0</v>
      </c>
      <c r="N140" s="525"/>
      <c r="O140" s="514">
        <f t="shared" si="29"/>
        <v>0</v>
      </c>
      <c r="P140" s="514">
        <f t="shared" si="30"/>
        <v>0</v>
      </c>
    </row>
    <row r="141" spans="2:16" ht="12.5">
      <c r="B141" s="195" t="str">
        <f t="shared" si="18"/>
        <v/>
      </c>
      <c r="C141" s="507">
        <f>IF(D93="","-",+C140+1)</f>
        <v>2058</v>
      </c>
      <c r="D141" s="374">
        <f>IF(F140+SUM(E$99:E140)=D$92,F140,D$92-SUM(E$99:E140))</f>
        <v>283125.13259325642</v>
      </c>
      <c r="E141" s="522">
        <f>IF(+J96&lt;F140,J96,D141)</f>
        <v>283125.13259325642</v>
      </c>
      <c r="F141" s="523">
        <f t="shared" si="25"/>
        <v>0</v>
      </c>
      <c r="G141" s="523">
        <f t="shared" si="26"/>
        <v>141562.56629662821</v>
      </c>
      <c r="H141" s="526">
        <f t="shared" si="23"/>
        <v>299194.49778962467</v>
      </c>
      <c r="I141" s="577">
        <f t="shared" si="24"/>
        <v>299194.49778962467</v>
      </c>
      <c r="J141" s="514">
        <f t="shared" si="27"/>
        <v>0</v>
      </c>
      <c r="K141" s="514"/>
      <c r="L141" s="525"/>
      <c r="M141" s="514">
        <f t="shared" si="28"/>
        <v>0</v>
      </c>
      <c r="N141" s="525"/>
      <c r="O141" s="514">
        <f t="shared" si="29"/>
        <v>0</v>
      </c>
      <c r="P141" s="514">
        <f t="shared" si="30"/>
        <v>0</v>
      </c>
    </row>
    <row r="142" spans="2:16" ht="12.5">
      <c r="B142" s="195" t="str">
        <f t="shared" si="18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5"/>
        <v>0</v>
      </c>
      <c r="G142" s="523">
        <f t="shared" si="26"/>
        <v>0</v>
      </c>
      <c r="H142" s="526">
        <f t="shared" si="23"/>
        <v>0</v>
      </c>
      <c r="I142" s="577">
        <f t="shared" si="24"/>
        <v>0</v>
      </c>
      <c r="J142" s="514">
        <f t="shared" si="27"/>
        <v>0</v>
      </c>
      <c r="K142" s="514"/>
      <c r="L142" s="525"/>
      <c r="M142" s="514">
        <f t="shared" si="28"/>
        <v>0</v>
      </c>
      <c r="N142" s="525"/>
      <c r="O142" s="514">
        <f t="shared" si="29"/>
        <v>0</v>
      </c>
      <c r="P142" s="514">
        <f t="shared" si="30"/>
        <v>0</v>
      </c>
    </row>
    <row r="143" spans="2:16" ht="12.5">
      <c r="B143" s="195" t="str">
        <f t="shared" si="18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5"/>
        <v>0</v>
      </c>
      <c r="G143" s="523">
        <f t="shared" si="26"/>
        <v>0</v>
      </c>
      <c r="H143" s="526">
        <f t="shared" si="23"/>
        <v>0</v>
      </c>
      <c r="I143" s="577">
        <f t="shared" si="24"/>
        <v>0</v>
      </c>
      <c r="J143" s="514">
        <f t="shared" si="27"/>
        <v>0</v>
      </c>
      <c r="K143" s="514"/>
      <c r="L143" s="525"/>
      <c r="M143" s="514">
        <f t="shared" si="28"/>
        <v>0</v>
      </c>
      <c r="N143" s="525"/>
      <c r="O143" s="514">
        <f t="shared" si="29"/>
        <v>0</v>
      </c>
      <c r="P143" s="514">
        <f t="shared" si="30"/>
        <v>0</v>
      </c>
    </row>
    <row r="144" spans="2:16" ht="12.5">
      <c r="B144" s="195" t="str">
        <f t="shared" si="18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5"/>
        <v>0</v>
      </c>
      <c r="G144" s="523">
        <f t="shared" si="26"/>
        <v>0</v>
      </c>
      <c r="H144" s="526">
        <f t="shared" si="23"/>
        <v>0</v>
      </c>
      <c r="I144" s="577">
        <f t="shared" si="24"/>
        <v>0</v>
      </c>
      <c r="J144" s="514">
        <f t="shared" si="27"/>
        <v>0</v>
      </c>
      <c r="K144" s="514"/>
      <c r="L144" s="525"/>
      <c r="M144" s="514">
        <f t="shared" si="28"/>
        <v>0</v>
      </c>
      <c r="N144" s="525"/>
      <c r="O144" s="514">
        <f t="shared" si="29"/>
        <v>0</v>
      </c>
      <c r="P144" s="514">
        <f t="shared" si="30"/>
        <v>0</v>
      </c>
    </row>
    <row r="145" spans="2:16" ht="12.5">
      <c r="B145" s="195" t="str">
        <f t="shared" si="18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5"/>
        <v>0</v>
      </c>
      <c r="G145" s="523">
        <f t="shared" si="26"/>
        <v>0</v>
      </c>
      <c r="H145" s="526">
        <f t="shared" si="23"/>
        <v>0</v>
      </c>
      <c r="I145" s="577">
        <f t="shared" si="24"/>
        <v>0</v>
      </c>
      <c r="J145" s="514">
        <f t="shared" si="27"/>
        <v>0</v>
      </c>
      <c r="K145" s="514"/>
      <c r="L145" s="525"/>
      <c r="M145" s="514">
        <f t="shared" si="28"/>
        <v>0</v>
      </c>
      <c r="N145" s="525"/>
      <c r="O145" s="514">
        <f t="shared" si="29"/>
        <v>0</v>
      </c>
      <c r="P145" s="514">
        <f t="shared" si="30"/>
        <v>0</v>
      </c>
    </row>
    <row r="146" spans="2:16" ht="12.5">
      <c r="B146" s="195" t="str">
        <f t="shared" si="18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5"/>
        <v>0</v>
      </c>
      <c r="G146" s="523">
        <f t="shared" si="26"/>
        <v>0</v>
      </c>
      <c r="H146" s="526">
        <f t="shared" si="23"/>
        <v>0</v>
      </c>
      <c r="I146" s="577">
        <f t="shared" si="24"/>
        <v>0</v>
      </c>
      <c r="J146" s="514">
        <f t="shared" si="27"/>
        <v>0</v>
      </c>
      <c r="K146" s="514"/>
      <c r="L146" s="525"/>
      <c r="M146" s="514">
        <f t="shared" si="28"/>
        <v>0</v>
      </c>
      <c r="N146" s="525"/>
      <c r="O146" s="514">
        <f t="shared" si="29"/>
        <v>0</v>
      </c>
      <c r="P146" s="514">
        <f t="shared" si="30"/>
        <v>0</v>
      </c>
    </row>
    <row r="147" spans="2:16" ht="12.5">
      <c r="B147" s="195" t="str">
        <f t="shared" si="18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5"/>
        <v>0</v>
      </c>
      <c r="G147" s="523">
        <f t="shared" si="26"/>
        <v>0</v>
      </c>
      <c r="H147" s="526">
        <f t="shared" si="23"/>
        <v>0</v>
      </c>
      <c r="I147" s="577">
        <f t="shared" si="24"/>
        <v>0</v>
      </c>
      <c r="J147" s="514">
        <f t="shared" si="27"/>
        <v>0</v>
      </c>
      <c r="K147" s="514"/>
      <c r="L147" s="525"/>
      <c r="M147" s="514">
        <f t="shared" si="28"/>
        <v>0</v>
      </c>
      <c r="N147" s="525"/>
      <c r="O147" s="514">
        <f t="shared" si="29"/>
        <v>0</v>
      </c>
      <c r="P147" s="514">
        <f t="shared" si="30"/>
        <v>0</v>
      </c>
    </row>
    <row r="148" spans="2:16" ht="12.5">
      <c r="B148" s="195" t="str">
        <f t="shared" si="18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5"/>
        <v>0</v>
      </c>
      <c r="G148" s="523">
        <f t="shared" si="26"/>
        <v>0</v>
      </c>
      <c r="H148" s="526">
        <f t="shared" si="23"/>
        <v>0</v>
      </c>
      <c r="I148" s="577">
        <f t="shared" si="24"/>
        <v>0</v>
      </c>
      <c r="J148" s="514">
        <f t="shared" si="27"/>
        <v>0</v>
      </c>
      <c r="K148" s="514"/>
      <c r="L148" s="525"/>
      <c r="M148" s="514">
        <f t="shared" si="28"/>
        <v>0</v>
      </c>
      <c r="N148" s="525"/>
      <c r="O148" s="514">
        <f t="shared" si="29"/>
        <v>0</v>
      </c>
      <c r="P148" s="514">
        <f t="shared" si="30"/>
        <v>0</v>
      </c>
    </row>
    <row r="149" spans="2:16" ht="12.5">
      <c r="B149" s="195" t="str">
        <f t="shared" si="18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5"/>
        <v>0</v>
      </c>
      <c r="G149" s="523">
        <f t="shared" si="26"/>
        <v>0</v>
      </c>
      <c r="H149" s="526">
        <f t="shared" si="23"/>
        <v>0</v>
      </c>
      <c r="I149" s="577">
        <f t="shared" si="24"/>
        <v>0</v>
      </c>
      <c r="J149" s="514">
        <f t="shared" si="27"/>
        <v>0</v>
      </c>
      <c r="K149" s="514"/>
      <c r="L149" s="525"/>
      <c r="M149" s="514">
        <f t="shared" si="28"/>
        <v>0</v>
      </c>
      <c r="N149" s="525"/>
      <c r="O149" s="514">
        <f t="shared" si="29"/>
        <v>0</v>
      </c>
      <c r="P149" s="514">
        <f t="shared" si="30"/>
        <v>0</v>
      </c>
    </row>
    <row r="150" spans="2:16" ht="12.5">
      <c r="B150" s="195" t="str">
        <f t="shared" si="18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5"/>
        <v>0</v>
      </c>
      <c r="G150" s="523">
        <f t="shared" si="26"/>
        <v>0</v>
      </c>
      <c r="H150" s="526">
        <f t="shared" si="23"/>
        <v>0</v>
      </c>
      <c r="I150" s="577">
        <f t="shared" si="24"/>
        <v>0</v>
      </c>
      <c r="J150" s="514">
        <f t="shared" si="27"/>
        <v>0</v>
      </c>
      <c r="K150" s="514"/>
      <c r="L150" s="525"/>
      <c r="M150" s="514">
        <f t="shared" si="28"/>
        <v>0</v>
      </c>
      <c r="N150" s="525"/>
      <c r="O150" s="514">
        <f t="shared" si="29"/>
        <v>0</v>
      </c>
      <c r="P150" s="514">
        <f t="shared" si="30"/>
        <v>0</v>
      </c>
    </row>
    <row r="151" spans="2:16" ht="12.5">
      <c r="B151" s="195" t="str">
        <f t="shared" si="18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5"/>
        <v>0</v>
      </c>
      <c r="G151" s="523">
        <f t="shared" si="26"/>
        <v>0</v>
      </c>
      <c r="H151" s="526">
        <f t="shared" si="23"/>
        <v>0</v>
      </c>
      <c r="I151" s="577">
        <f t="shared" si="24"/>
        <v>0</v>
      </c>
      <c r="J151" s="514">
        <f t="shared" si="27"/>
        <v>0</v>
      </c>
      <c r="K151" s="514"/>
      <c r="L151" s="525"/>
      <c r="M151" s="514">
        <f t="shared" si="28"/>
        <v>0</v>
      </c>
      <c r="N151" s="525"/>
      <c r="O151" s="514">
        <f t="shared" si="29"/>
        <v>0</v>
      </c>
      <c r="P151" s="514">
        <f t="shared" si="30"/>
        <v>0</v>
      </c>
    </row>
    <row r="152" spans="2:16" ht="12.5">
      <c r="B152" s="195" t="str">
        <f t="shared" si="18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5"/>
        <v>0</v>
      </c>
      <c r="G152" s="523">
        <f t="shared" si="26"/>
        <v>0</v>
      </c>
      <c r="H152" s="526">
        <f t="shared" si="23"/>
        <v>0</v>
      </c>
      <c r="I152" s="577">
        <f t="shared" si="24"/>
        <v>0</v>
      </c>
      <c r="J152" s="514">
        <f t="shared" si="27"/>
        <v>0</v>
      </c>
      <c r="K152" s="514"/>
      <c r="L152" s="525"/>
      <c r="M152" s="514">
        <f t="shared" si="28"/>
        <v>0</v>
      </c>
      <c r="N152" s="525"/>
      <c r="O152" s="514">
        <f t="shared" si="29"/>
        <v>0</v>
      </c>
      <c r="P152" s="514">
        <f t="shared" si="30"/>
        <v>0</v>
      </c>
    </row>
    <row r="153" spans="2:16" ht="12.5">
      <c r="B153" s="195" t="str">
        <f t="shared" si="18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5"/>
        <v>0</v>
      </c>
      <c r="G153" s="523">
        <f t="shared" si="26"/>
        <v>0</v>
      </c>
      <c r="H153" s="526">
        <f t="shared" si="23"/>
        <v>0</v>
      </c>
      <c r="I153" s="577">
        <f t="shared" si="24"/>
        <v>0</v>
      </c>
      <c r="J153" s="514">
        <f t="shared" si="27"/>
        <v>0</v>
      </c>
      <c r="K153" s="514"/>
      <c r="L153" s="525"/>
      <c r="M153" s="514">
        <f t="shared" si="28"/>
        <v>0</v>
      </c>
      <c r="N153" s="525"/>
      <c r="O153" s="514">
        <f t="shared" si="29"/>
        <v>0</v>
      </c>
      <c r="P153" s="514">
        <f t="shared" si="30"/>
        <v>0</v>
      </c>
    </row>
    <row r="154" spans="2:16" ht="13" thickBot="1">
      <c r="B154" s="195" t="str">
        <f t="shared" si="18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5"/>
        <v>0</v>
      </c>
      <c r="G154" s="528">
        <f t="shared" si="26"/>
        <v>0</v>
      </c>
      <c r="H154" s="530">
        <f t="shared" si="23"/>
        <v>0</v>
      </c>
      <c r="I154" s="579">
        <f t="shared" si="24"/>
        <v>0</v>
      </c>
      <c r="J154" s="533">
        <f t="shared" si="27"/>
        <v>0</v>
      </c>
      <c r="K154" s="514"/>
      <c r="L154" s="532"/>
      <c r="M154" s="533">
        <f t="shared" si="28"/>
        <v>0</v>
      </c>
      <c r="N154" s="532"/>
      <c r="O154" s="533">
        <f t="shared" si="29"/>
        <v>0</v>
      </c>
      <c r="P154" s="533">
        <f t="shared" si="30"/>
        <v>0</v>
      </c>
    </row>
    <row r="155" spans="2:16" ht="12.5">
      <c r="C155" s="374" t="s">
        <v>78</v>
      </c>
      <c r="D155" s="375"/>
      <c r="E155" s="375">
        <f>SUM(E99:E154)</f>
        <v>97370354.00000003</v>
      </c>
      <c r="F155" s="375"/>
      <c r="G155" s="375"/>
      <c r="H155" s="375">
        <f>SUM(H99:H154)</f>
        <v>330085944.18081993</v>
      </c>
      <c r="I155" s="375">
        <f>SUM(I99:I154)</f>
        <v>330085944.18081993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9" priority="2" stopIfTrue="1" operator="equal">
      <formula>$I$10</formula>
    </cfRule>
  </conditionalFormatting>
  <conditionalFormatting sqref="C99:C154">
    <cfRule type="cellIs" dxfId="38" priority="3" stopIfTrue="1" operator="equal">
      <formula>$J$92</formula>
    </cfRule>
  </conditionalFormatting>
  <conditionalFormatting sqref="C17">
    <cfRule type="cellIs" dxfId="37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110"/>
  <dimension ref="A1:P162"/>
  <sheetViews>
    <sheetView view="pageBreakPreview" zoomScale="80" zoomScaleNormal="100" zoomScaleSheetLayoutView="80" workbookViewId="0"/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61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7516854.5692845583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7516854.5692845583</v>
      </c>
      <c r="O6" s="269"/>
      <c r="P6" s="269"/>
    </row>
    <row r="7" spans="1:16" ht="13.5" thickBot="1">
      <c r="C7" s="467" t="s">
        <v>48</v>
      </c>
      <c r="D7" s="624" t="s">
        <v>380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381</v>
      </c>
      <c r="E9" s="637" t="s">
        <v>508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58649880.669999994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2016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1396425.7302380952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2016</v>
      </c>
      <c r="D17" s="649">
        <v>0</v>
      </c>
      <c r="E17" s="658">
        <v>923012.13953488367</v>
      </c>
      <c r="F17" s="651">
        <v>58611270.860465117</v>
      </c>
      <c r="G17" s="659">
        <v>4553761.5622253697</v>
      </c>
      <c r="H17" s="657">
        <v>4553761.5622253697</v>
      </c>
      <c r="I17" s="511">
        <f t="shared" ref="I17:I72" si="0">H17-G17</f>
        <v>0</v>
      </c>
      <c r="J17" s="511"/>
      <c r="K17" s="512">
        <f t="shared" ref="K17:K22" si="1">+G17</f>
        <v>4553761.5622253697</v>
      </c>
      <c r="L17" s="513">
        <f t="shared" ref="L17:L72" si="2">IF(K17&lt;&gt;0,+G17-K17,0)</f>
        <v>0</v>
      </c>
      <c r="M17" s="512">
        <f t="shared" ref="M17:M22" si="3">+H17</f>
        <v>4553761.5622253697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2017</v>
      </c>
      <c r="D18" s="631">
        <v>58611270.860465117</v>
      </c>
      <c r="E18" s="630">
        <v>1452055.6829268292</v>
      </c>
      <c r="F18" s="631">
        <v>57159215.177538291</v>
      </c>
      <c r="G18" s="630">
        <v>7928500.3710052036</v>
      </c>
      <c r="H18" s="639">
        <v>7928500.3710052036</v>
      </c>
      <c r="I18" s="511">
        <f t="shared" si="0"/>
        <v>0</v>
      </c>
      <c r="J18" s="511"/>
      <c r="K18" s="655">
        <f t="shared" si="1"/>
        <v>7928500.3710052036</v>
      </c>
      <c r="L18" s="514">
        <f t="shared" si="2"/>
        <v>0</v>
      </c>
      <c r="M18" s="655">
        <f t="shared" si="3"/>
        <v>7928500.3710052036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2018</v>
      </c>
      <c r="D19" s="631">
        <v>58611270.860465117</v>
      </c>
      <c r="E19" s="630">
        <v>1452055.6829268292</v>
      </c>
      <c r="F19" s="631">
        <v>57159215.177538291</v>
      </c>
      <c r="G19" s="630">
        <v>8808928.485670168</v>
      </c>
      <c r="H19" s="639">
        <v>8808928.485670168</v>
      </c>
      <c r="I19" s="511">
        <f t="shared" si="0"/>
        <v>0</v>
      </c>
      <c r="J19" s="511"/>
      <c r="K19" s="655">
        <f t="shared" si="1"/>
        <v>8808928.485670168</v>
      </c>
      <c r="L19" s="514">
        <f t="shared" ref="L19" si="6">IF(K19&lt;&gt;0,+G19-K19,0)</f>
        <v>0</v>
      </c>
      <c r="M19" s="655">
        <f t="shared" si="3"/>
        <v>8808928.485670168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/>
      </c>
      <c r="C20" s="507">
        <f>IF(D11="","-",+C19+1)</f>
        <v>2019</v>
      </c>
      <c r="D20" s="631">
        <v>57159215.177538291</v>
      </c>
      <c r="E20" s="630">
        <v>1452055.6829268292</v>
      </c>
      <c r="F20" s="631">
        <v>55707159.494611464</v>
      </c>
      <c r="G20" s="630">
        <v>8624380.7770549227</v>
      </c>
      <c r="H20" s="639">
        <v>8624380.7770549227</v>
      </c>
      <c r="I20" s="511">
        <f t="shared" si="0"/>
        <v>0</v>
      </c>
      <c r="J20" s="511"/>
      <c r="K20" s="655">
        <f t="shared" si="1"/>
        <v>8624380.7770549227</v>
      </c>
      <c r="L20" s="514">
        <f t="shared" ref="L20" si="8">IF(K20&lt;&gt;0,+G20-K20,0)</f>
        <v>0</v>
      </c>
      <c r="M20" s="655">
        <f t="shared" si="3"/>
        <v>8624380.7770549227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2020</v>
      </c>
      <c r="D21" s="631">
        <v>53369709.811684631</v>
      </c>
      <c r="E21" s="630">
        <v>1430460.7073170731</v>
      </c>
      <c r="F21" s="631">
        <v>51939249.104367554</v>
      </c>
      <c r="G21" s="630">
        <v>6818880.8355437173</v>
      </c>
      <c r="H21" s="639">
        <v>6818880.8355437173</v>
      </c>
      <c r="I21" s="511">
        <f t="shared" si="0"/>
        <v>0</v>
      </c>
      <c r="J21" s="511"/>
      <c r="K21" s="655">
        <f t="shared" si="1"/>
        <v>6818880.8355437173</v>
      </c>
      <c r="L21" s="514">
        <f t="shared" ref="L21" si="9">IF(K21&lt;&gt;0,+G21-K21,0)</f>
        <v>0</v>
      </c>
      <c r="M21" s="655">
        <f t="shared" si="3"/>
        <v>6818880.8355437173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2021</v>
      </c>
      <c r="D22" s="631">
        <v>52007778.577992059</v>
      </c>
      <c r="E22" s="630">
        <v>1396425.7380952381</v>
      </c>
      <c r="F22" s="631">
        <v>50611352.83989682</v>
      </c>
      <c r="G22" s="630">
        <v>6835472.9074064167</v>
      </c>
      <c r="H22" s="639">
        <v>6835472.9074064167</v>
      </c>
      <c r="I22" s="511">
        <f t="shared" si="0"/>
        <v>0</v>
      </c>
      <c r="J22" s="511"/>
      <c r="K22" s="655">
        <f t="shared" si="1"/>
        <v>6835472.9074064167</v>
      </c>
      <c r="L22" s="514">
        <f t="shared" ref="L22" si="10">IF(K22&lt;&gt;0,+G22-K22,0)</f>
        <v>0</v>
      </c>
      <c r="M22" s="655">
        <f t="shared" si="3"/>
        <v>6835472.9074064167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2022</v>
      </c>
      <c r="D23" s="631">
        <v>50543815.366272315</v>
      </c>
      <c r="E23" s="630">
        <v>1396425.7380952381</v>
      </c>
      <c r="F23" s="631">
        <v>49147389.628177077</v>
      </c>
      <c r="G23" s="630">
        <v>7001269.4944881881</v>
      </c>
      <c r="H23" s="639">
        <v>7001269.4944881881</v>
      </c>
      <c r="I23" s="511">
        <f t="shared" si="0"/>
        <v>0</v>
      </c>
      <c r="J23" s="511"/>
      <c r="K23" s="655">
        <f t="shared" ref="K23" si="11">+G23</f>
        <v>7001269.4944881881</v>
      </c>
      <c r="L23" s="514">
        <f t="shared" ref="L23" si="12">IF(K23&lt;&gt;0,+G23-K23,0)</f>
        <v>0</v>
      </c>
      <c r="M23" s="655">
        <f t="shared" ref="M23" si="13">+H23</f>
        <v>7001269.4944881881</v>
      </c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>IU</v>
      </c>
      <c r="C24" s="507">
        <f>IF(D11="","-",+C23+1)</f>
        <v>2023</v>
      </c>
      <c r="D24" s="523">
        <f>IF(F23+SUM(E$17:E23)=D$10,F23,D$10-SUM(E$17:E23))</f>
        <v>49147389.298177078</v>
      </c>
      <c r="E24" s="522">
        <f>IF(+I14&lt;F23,I14,D24)</f>
        <v>1396425.7302380952</v>
      </c>
      <c r="F24" s="523">
        <f t="shared" ref="F24:F72" si="14">+D24-E24</f>
        <v>47750963.567938983</v>
      </c>
      <c r="G24" s="524">
        <f t="shared" ref="G24:G48" si="15">+I$12*((D24+F24)/2)+E24</f>
        <v>7516854.5692845583</v>
      </c>
      <c r="H24" s="491">
        <f t="shared" ref="H24:H48" si="16">+I$13*((D24+F24)/2)+E24</f>
        <v>7516854.5692845583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2024</v>
      </c>
      <c r="D25" s="523">
        <f>IF(F24+SUM(E$17:E24)=D$10,F24,D$10-SUM(E$17:E24))</f>
        <v>47750963.567938983</v>
      </c>
      <c r="E25" s="522">
        <f>IF(+I14&lt;F24,I14,D25)</f>
        <v>1396425.7302380952</v>
      </c>
      <c r="F25" s="523">
        <f t="shared" si="14"/>
        <v>46354537.837700889</v>
      </c>
      <c r="G25" s="524">
        <f t="shared" si="15"/>
        <v>7340448.592131475</v>
      </c>
      <c r="H25" s="491">
        <f t="shared" si="16"/>
        <v>7340448.592131475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2025</v>
      </c>
      <c r="D26" s="523">
        <f>IF(F25+SUM(E$17:E25)=D$10,F25,D$10-SUM(E$17:E25))</f>
        <v>46354537.837700889</v>
      </c>
      <c r="E26" s="522">
        <f>IF(+I14&lt;F25,I14,D26)</f>
        <v>1396425.7302380952</v>
      </c>
      <c r="F26" s="523">
        <f t="shared" si="14"/>
        <v>44958112.107462794</v>
      </c>
      <c r="G26" s="524">
        <f t="shared" si="15"/>
        <v>7164042.6149783917</v>
      </c>
      <c r="H26" s="491">
        <f t="shared" si="16"/>
        <v>7164042.6149783917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2026</v>
      </c>
      <c r="D27" s="523">
        <f>IF(F26+SUM(E$17:E26)=D$10,F26,D$10-SUM(E$17:E26))</f>
        <v>44958112.107462794</v>
      </c>
      <c r="E27" s="522">
        <f>IF(+I14&lt;F26,I14,D27)</f>
        <v>1396425.7302380952</v>
      </c>
      <c r="F27" s="523">
        <f t="shared" si="14"/>
        <v>43561686.377224699</v>
      </c>
      <c r="G27" s="524">
        <f t="shared" si="15"/>
        <v>6987636.6378253074</v>
      </c>
      <c r="H27" s="491">
        <f t="shared" si="16"/>
        <v>6987636.6378253074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2027</v>
      </c>
      <c r="D28" s="523">
        <f>IF(F27+SUM(E$17:E27)=D$10,F27,D$10-SUM(E$17:E27))</f>
        <v>43561686.377224699</v>
      </c>
      <c r="E28" s="522">
        <f>IF(+I14&lt;F27,I14,D28)</f>
        <v>1396425.7302380952</v>
      </c>
      <c r="F28" s="523">
        <f t="shared" si="14"/>
        <v>42165260.646986604</v>
      </c>
      <c r="G28" s="524">
        <f t="shared" si="15"/>
        <v>6811230.6606722241</v>
      </c>
      <c r="H28" s="491">
        <f t="shared" si="16"/>
        <v>6811230.6606722241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2028</v>
      </c>
      <c r="D29" s="523">
        <f>IF(F28+SUM(E$17:E28)=D$10,F28,D$10-SUM(E$17:E28))</f>
        <v>42165260.646986604</v>
      </c>
      <c r="E29" s="522">
        <f>IF(+I14&lt;F28,I14,D29)</f>
        <v>1396425.7302380952</v>
      </c>
      <c r="F29" s="523">
        <f t="shared" si="14"/>
        <v>40768834.916748509</v>
      </c>
      <c r="G29" s="524">
        <f t="shared" si="15"/>
        <v>6634824.6835191408</v>
      </c>
      <c r="H29" s="491">
        <f t="shared" si="16"/>
        <v>6634824.6835191408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2029</v>
      </c>
      <c r="D30" s="523">
        <f>IF(F29+SUM(E$17:E29)=D$10,F29,D$10-SUM(E$17:E29))</f>
        <v>40768834.916748509</v>
      </c>
      <c r="E30" s="522">
        <f>IF(+I14&lt;F29,I14,D30)</f>
        <v>1396425.7302380952</v>
      </c>
      <c r="F30" s="523">
        <f t="shared" si="14"/>
        <v>39372409.186510414</v>
      </c>
      <c r="G30" s="524">
        <f t="shared" si="15"/>
        <v>6458418.7063660566</v>
      </c>
      <c r="H30" s="491">
        <f t="shared" si="16"/>
        <v>6458418.7063660566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2030</v>
      </c>
      <c r="D31" s="523">
        <f>IF(F30+SUM(E$17:E30)=D$10,F30,D$10-SUM(E$17:E30))</f>
        <v>39372409.186510414</v>
      </c>
      <c r="E31" s="522">
        <f>IF(+I14&lt;F30,I14,D31)</f>
        <v>1396425.7302380952</v>
      </c>
      <c r="F31" s="523">
        <f t="shared" si="14"/>
        <v>37975983.456272319</v>
      </c>
      <c r="G31" s="524">
        <f t="shared" si="15"/>
        <v>6282012.7292129733</v>
      </c>
      <c r="H31" s="491">
        <f t="shared" si="16"/>
        <v>6282012.7292129733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2031</v>
      </c>
      <c r="D32" s="523">
        <f>IF(F31+SUM(E$17:E31)=D$10,F31,D$10-SUM(E$17:E31))</f>
        <v>37975983.456272319</v>
      </c>
      <c r="E32" s="522">
        <f>IF(+I14&lt;F31,I14,D32)</f>
        <v>1396425.7302380952</v>
      </c>
      <c r="F32" s="523">
        <f t="shared" si="14"/>
        <v>36579557.726034224</v>
      </c>
      <c r="G32" s="524">
        <f t="shared" si="15"/>
        <v>6105606.752059889</v>
      </c>
      <c r="H32" s="491">
        <f t="shared" si="16"/>
        <v>6105606.752059889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2032</v>
      </c>
      <c r="D33" s="523">
        <f>IF(F32+SUM(E$17:E32)=D$10,F32,D$10-SUM(E$17:E32))</f>
        <v>36579557.726034224</v>
      </c>
      <c r="E33" s="522">
        <f>IF(+I14&lt;F32,I14,D33)</f>
        <v>1396425.7302380952</v>
      </c>
      <c r="F33" s="523">
        <f t="shared" si="14"/>
        <v>35183131.995796129</v>
      </c>
      <c r="G33" s="524">
        <f t="shared" si="15"/>
        <v>5929200.7749068057</v>
      </c>
      <c r="H33" s="491">
        <f t="shared" si="16"/>
        <v>5929200.7749068057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2033</v>
      </c>
      <c r="D34" s="523">
        <f>IF(F33+SUM(E$17:E33)=D$10,F33,D$10-SUM(E$17:E33))</f>
        <v>35183131.995796129</v>
      </c>
      <c r="E34" s="522">
        <f>IF(+I14&lt;F33,I14,D34)</f>
        <v>1396425.7302380952</v>
      </c>
      <c r="F34" s="523">
        <f t="shared" si="14"/>
        <v>33786706.265558034</v>
      </c>
      <c r="G34" s="524">
        <f t="shared" si="15"/>
        <v>5752794.7977537224</v>
      </c>
      <c r="H34" s="491">
        <f t="shared" si="16"/>
        <v>5752794.7977537224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2034</v>
      </c>
      <c r="D35" s="523">
        <f>IF(F34+SUM(E$17:E34)=D$10,F34,D$10-SUM(E$17:E34))</f>
        <v>33786706.265558034</v>
      </c>
      <c r="E35" s="522">
        <f>IF(+I14&lt;F34,I14,D35)</f>
        <v>1396425.7302380952</v>
      </c>
      <c r="F35" s="523">
        <f t="shared" si="14"/>
        <v>32390280.535319939</v>
      </c>
      <c r="G35" s="524">
        <f t="shared" si="15"/>
        <v>5576388.8206006391</v>
      </c>
      <c r="H35" s="491">
        <f t="shared" si="16"/>
        <v>5576388.8206006391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2035</v>
      </c>
      <c r="D36" s="523">
        <f>IF(F35+SUM(E$17:E35)=D$10,F35,D$10-SUM(E$17:E35))</f>
        <v>32390280.535319939</v>
      </c>
      <c r="E36" s="522">
        <f>IF(+I14&lt;F35,I14,D36)</f>
        <v>1396425.7302380952</v>
      </c>
      <c r="F36" s="523">
        <f t="shared" si="14"/>
        <v>30993854.805081844</v>
      </c>
      <c r="G36" s="524">
        <f t="shared" si="15"/>
        <v>5399982.8434475549</v>
      </c>
      <c r="H36" s="491">
        <f t="shared" si="16"/>
        <v>5399982.8434475549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2036</v>
      </c>
      <c r="D37" s="523">
        <f>IF(F36+SUM(E$17:E36)=D$10,F36,D$10-SUM(E$17:E36))</f>
        <v>30993854.805081844</v>
      </c>
      <c r="E37" s="522">
        <f>IF(+I14&lt;F36,I14,D37)</f>
        <v>1396425.7302380952</v>
      </c>
      <c r="F37" s="523">
        <f t="shared" si="14"/>
        <v>29597429.074843749</v>
      </c>
      <c r="G37" s="524">
        <f t="shared" si="15"/>
        <v>5223576.8662944715</v>
      </c>
      <c r="H37" s="491">
        <f t="shared" si="16"/>
        <v>5223576.8662944715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2037</v>
      </c>
      <c r="D38" s="523">
        <f>IF(F37+SUM(E$17:E37)=D$10,F37,D$10-SUM(E$17:E37))</f>
        <v>29597429.074843749</v>
      </c>
      <c r="E38" s="522">
        <f>IF(+I14&lt;F37,I14,D38)</f>
        <v>1396425.7302380952</v>
      </c>
      <c r="F38" s="523">
        <f t="shared" si="14"/>
        <v>28201003.344605654</v>
      </c>
      <c r="G38" s="524">
        <f t="shared" si="15"/>
        <v>5047170.8891413882</v>
      </c>
      <c r="H38" s="491">
        <f t="shared" si="16"/>
        <v>5047170.8891413882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2038</v>
      </c>
      <c r="D39" s="523">
        <f>IF(F38+SUM(E$17:E38)=D$10,F38,D$10-SUM(E$17:E38))</f>
        <v>28201003.344605654</v>
      </c>
      <c r="E39" s="522">
        <f>IF(+I14&lt;F38,I14,D39)</f>
        <v>1396425.7302380952</v>
      </c>
      <c r="F39" s="523">
        <f t="shared" si="14"/>
        <v>26804577.61436756</v>
      </c>
      <c r="G39" s="524">
        <f t="shared" si="15"/>
        <v>4870764.911988304</v>
      </c>
      <c r="H39" s="491">
        <f t="shared" si="16"/>
        <v>4870764.911988304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2039</v>
      </c>
      <c r="D40" s="523">
        <f>IF(F39+SUM(E$17:E39)=D$10,F39,D$10-SUM(E$17:E39))</f>
        <v>26804577.61436756</v>
      </c>
      <c r="E40" s="522">
        <f>IF(+I14&lt;F39,I14,D40)</f>
        <v>1396425.7302380952</v>
      </c>
      <c r="F40" s="523">
        <f t="shared" si="14"/>
        <v>25408151.884129465</v>
      </c>
      <c r="G40" s="524">
        <f t="shared" si="15"/>
        <v>4694358.9348352207</v>
      </c>
      <c r="H40" s="491">
        <f t="shared" si="16"/>
        <v>4694358.9348352207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2040</v>
      </c>
      <c r="D41" s="523">
        <f>IF(F40+SUM(E$17:E40)=D$10,F40,D$10-SUM(E$17:E40))</f>
        <v>25408151.884129465</v>
      </c>
      <c r="E41" s="522">
        <f>IF(+I14&lt;F40,I14,D41)</f>
        <v>1396425.7302380952</v>
      </c>
      <c r="F41" s="523">
        <f t="shared" si="14"/>
        <v>24011726.15389137</v>
      </c>
      <c r="G41" s="524">
        <f t="shared" si="15"/>
        <v>4517952.9576821364</v>
      </c>
      <c r="H41" s="491">
        <f t="shared" si="16"/>
        <v>4517952.9576821364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2041</v>
      </c>
      <c r="D42" s="523">
        <f>IF(F41+SUM(E$17:E41)=D$10,F41,D$10-SUM(E$17:E41))</f>
        <v>24011726.15389137</v>
      </c>
      <c r="E42" s="522">
        <f>IF(+I14&lt;F41,I14,D42)</f>
        <v>1396425.7302380952</v>
      </c>
      <c r="F42" s="523">
        <f t="shared" si="14"/>
        <v>22615300.423653275</v>
      </c>
      <c r="G42" s="524">
        <f t="shared" si="15"/>
        <v>4341546.9805290531</v>
      </c>
      <c r="H42" s="491">
        <f t="shared" si="16"/>
        <v>4341546.9805290531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2042</v>
      </c>
      <c r="D43" s="523">
        <f>IF(F42+SUM(E$17:E42)=D$10,F42,D$10-SUM(E$17:E42))</f>
        <v>22615300.423653275</v>
      </c>
      <c r="E43" s="522">
        <f>IF(+I14&lt;F42,I14,D43)</f>
        <v>1396425.7302380952</v>
      </c>
      <c r="F43" s="523">
        <f t="shared" si="14"/>
        <v>21218874.69341518</v>
      </c>
      <c r="G43" s="524">
        <f t="shared" si="15"/>
        <v>4165141.0033759698</v>
      </c>
      <c r="H43" s="491">
        <f t="shared" si="16"/>
        <v>4165141.0033759698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2043</v>
      </c>
      <c r="D44" s="523">
        <f>IF(F43+SUM(E$17:E43)=D$10,F43,D$10-SUM(E$17:E43))</f>
        <v>21218874.69341518</v>
      </c>
      <c r="E44" s="522">
        <f>IF(+I14&lt;F43,I14,D44)</f>
        <v>1396425.7302380952</v>
      </c>
      <c r="F44" s="523">
        <f t="shared" si="14"/>
        <v>19822448.963177085</v>
      </c>
      <c r="G44" s="524">
        <f t="shared" si="15"/>
        <v>3988735.0262228856</v>
      </c>
      <c r="H44" s="491">
        <f t="shared" si="16"/>
        <v>3988735.0262228856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2044</v>
      </c>
      <c r="D45" s="523">
        <f>IF(F44+SUM(E$17:E44)=D$10,F44,D$10-SUM(E$17:E44))</f>
        <v>19822448.963177085</v>
      </c>
      <c r="E45" s="522">
        <f>IF(+I14&lt;F44,I14,D45)</f>
        <v>1396425.7302380952</v>
      </c>
      <c r="F45" s="523">
        <f t="shared" si="14"/>
        <v>18426023.23293899</v>
      </c>
      <c r="G45" s="524">
        <f t="shared" si="15"/>
        <v>3812329.0490698023</v>
      </c>
      <c r="H45" s="491">
        <f t="shared" si="16"/>
        <v>3812329.0490698023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2045</v>
      </c>
      <c r="D46" s="523">
        <f>IF(F45+SUM(E$17:E45)=D$10,F45,D$10-SUM(E$17:E45))</f>
        <v>18426023.23293899</v>
      </c>
      <c r="E46" s="522">
        <f>IF(+I14&lt;F45,I14,D46)</f>
        <v>1396425.7302380952</v>
      </c>
      <c r="F46" s="523">
        <f t="shared" si="14"/>
        <v>17029597.502700895</v>
      </c>
      <c r="G46" s="524">
        <f t="shared" si="15"/>
        <v>3635923.071916719</v>
      </c>
      <c r="H46" s="491">
        <f t="shared" si="16"/>
        <v>3635923.071916719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2046</v>
      </c>
      <c r="D47" s="523">
        <f>IF(F46+SUM(E$17:E46)=D$10,F46,D$10-SUM(E$17:E46))</f>
        <v>17029597.502700895</v>
      </c>
      <c r="E47" s="522">
        <f>IF(+I14&lt;F46,I14,D47)</f>
        <v>1396425.7302380952</v>
      </c>
      <c r="F47" s="523">
        <f t="shared" si="14"/>
        <v>15633171.7724628</v>
      </c>
      <c r="G47" s="524">
        <f t="shared" si="15"/>
        <v>3459517.0947636347</v>
      </c>
      <c r="H47" s="491">
        <f t="shared" si="16"/>
        <v>3459517.0947636347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2047</v>
      </c>
      <c r="D48" s="523">
        <f>IF(F47+SUM(E$17:E47)=D$10,F47,D$10-SUM(E$17:E47))</f>
        <v>15633171.7724628</v>
      </c>
      <c r="E48" s="522">
        <f>IF(+I14&lt;F47,I14,D48)</f>
        <v>1396425.7302380952</v>
      </c>
      <c r="F48" s="523">
        <f t="shared" si="14"/>
        <v>14236746.042224705</v>
      </c>
      <c r="G48" s="524">
        <f t="shared" si="15"/>
        <v>3283111.1176105514</v>
      </c>
      <c r="H48" s="491">
        <f t="shared" si="16"/>
        <v>3283111.1176105514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2048</v>
      </c>
      <c r="D49" s="523">
        <f>IF(F48+SUM(E$17:E48)=D$10,F48,D$10-SUM(E$17:E48))</f>
        <v>14236746.042224705</v>
      </c>
      <c r="E49" s="522">
        <f>IF(+I14&lt;F48,I14,D49)</f>
        <v>1396425.7302380952</v>
      </c>
      <c r="F49" s="523">
        <f t="shared" si="14"/>
        <v>12840320.31198661</v>
      </c>
      <c r="G49" s="524">
        <f t="shared" ref="G49:G72" si="17">+I$12*((D49+F49)/2)+E49</f>
        <v>3106705.1404574676</v>
      </c>
      <c r="H49" s="491">
        <f t="shared" ref="H49:H72" si="18">+I$13*((D49+F49)/2)+E49</f>
        <v>3106705.1404574676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2049</v>
      </c>
      <c r="D50" s="523">
        <f>IF(F49+SUM(E$17:E49)=D$10,F49,D$10-SUM(E$17:E49))</f>
        <v>12840320.31198661</v>
      </c>
      <c r="E50" s="522">
        <f>IF(+I14&lt;F49,I14,D50)</f>
        <v>1396425.7302380952</v>
      </c>
      <c r="F50" s="523">
        <f t="shared" si="14"/>
        <v>11443894.581748515</v>
      </c>
      <c r="G50" s="524">
        <f t="shared" si="17"/>
        <v>2930299.1633043839</v>
      </c>
      <c r="H50" s="491">
        <f t="shared" si="18"/>
        <v>2930299.1633043839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2050</v>
      </c>
      <c r="D51" s="523">
        <f>IF(F50+SUM(E$17:E50)=D$10,F50,D$10-SUM(E$17:E50))</f>
        <v>11443894.581748515</v>
      </c>
      <c r="E51" s="522">
        <f>IF(+I14&lt;F50,I14,D51)</f>
        <v>1396425.7302380952</v>
      </c>
      <c r="F51" s="523">
        <f t="shared" si="14"/>
        <v>10047468.85151042</v>
      </c>
      <c r="G51" s="524">
        <f t="shared" si="17"/>
        <v>2753893.1861513006</v>
      </c>
      <c r="H51" s="491">
        <f t="shared" si="18"/>
        <v>2753893.1861513006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2051</v>
      </c>
      <c r="D52" s="523">
        <f>IF(F51+SUM(E$17:E51)=D$10,F51,D$10-SUM(E$17:E51))</f>
        <v>10047468.85151042</v>
      </c>
      <c r="E52" s="522">
        <f>IF(+I14&lt;F51,I14,D52)</f>
        <v>1396425.7302380952</v>
      </c>
      <c r="F52" s="523">
        <f t="shared" si="14"/>
        <v>8651043.1212723255</v>
      </c>
      <c r="G52" s="524">
        <f t="shared" si="17"/>
        <v>2577487.2089982168</v>
      </c>
      <c r="H52" s="491">
        <f t="shared" si="18"/>
        <v>2577487.2089982168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2052</v>
      </c>
      <c r="D53" s="523">
        <f>IF(F52+SUM(E$17:E52)=D$10,F52,D$10-SUM(E$17:E52))</f>
        <v>8651043.1212723255</v>
      </c>
      <c r="E53" s="522">
        <f>IF(+I14&lt;F52,I14,D53)</f>
        <v>1396425.7302380952</v>
      </c>
      <c r="F53" s="523">
        <f t="shared" si="14"/>
        <v>7254617.3910342306</v>
      </c>
      <c r="G53" s="524">
        <f t="shared" si="17"/>
        <v>2401081.231845133</v>
      </c>
      <c r="H53" s="491">
        <f t="shared" si="18"/>
        <v>2401081.231845133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2053</v>
      </c>
      <c r="D54" s="523">
        <f>IF(F53+SUM(E$17:E53)=D$10,F53,D$10-SUM(E$17:E53))</f>
        <v>7254617.3910342306</v>
      </c>
      <c r="E54" s="522">
        <f>IF(+I14&lt;F53,I14,D54)</f>
        <v>1396425.7302380952</v>
      </c>
      <c r="F54" s="523">
        <f t="shared" si="14"/>
        <v>5858191.6607961357</v>
      </c>
      <c r="G54" s="524">
        <f t="shared" si="17"/>
        <v>2224675.2546920497</v>
      </c>
      <c r="H54" s="491">
        <f t="shared" si="18"/>
        <v>2224675.2546920497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2054</v>
      </c>
      <c r="D55" s="523">
        <f>IF(F54+SUM(E$17:E54)=D$10,F54,D$10-SUM(E$17:E54))</f>
        <v>5858191.6607961357</v>
      </c>
      <c r="E55" s="522">
        <f>IF(+I14&lt;F54,I14,D55)</f>
        <v>1396425.7302380952</v>
      </c>
      <c r="F55" s="523">
        <f t="shared" si="14"/>
        <v>4461765.9305580407</v>
      </c>
      <c r="G55" s="524">
        <f t="shared" si="17"/>
        <v>2048269.2775389659</v>
      </c>
      <c r="H55" s="491">
        <f t="shared" si="18"/>
        <v>2048269.2775389659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2055</v>
      </c>
      <c r="D56" s="523">
        <f>IF(F55+SUM(E$17:E55)=D$10,F55,D$10-SUM(E$17:E55))</f>
        <v>4461765.9305580407</v>
      </c>
      <c r="E56" s="522">
        <f>IF(+I14&lt;F55,I14,D56)</f>
        <v>1396425.7302380952</v>
      </c>
      <c r="F56" s="523">
        <f t="shared" si="14"/>
        <v>3065340.2003199458</v>
      </c>
      <c r="G56" s="524">
        <f t="shared" si="17"/>
        <v>1871863.3003858821</v>
      </c>
      <c r="H56" s="491">
        <f t="shared" si="18"/>
        <v>1871863.3003858821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2056</v>
      </c>
      <c r="D57" s="523">
        <f>IF(F56+SUM(E$17:E56)=D$10,F56,D$10-SUM(E$17:E56))</f>
        <v>3065340.2003199458</v>
      </c>
      <c r="E57" s="522">
        <f>IF(+I14&lt;F56,I14,D57)</f>
        <v>1396425.7302380952</v>
      </c>
      <c r="F57" s="523">
        <f t="shared" si="14"/>
        <v>1668914.4700818507</v>
      </c>
      <c r="G57" s="524">
        <f t="shared" si="17"/>
        <v>1695457.3232327986</v>
      </c>
      <c r="H57" s="491">
        <f t="shared" si="18"/>
        <v>1695457.3232327986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2057</v>
      </c>
      <c r="D58" s="523">
        <f>IF(F57+SUM(E$17:E57)=D$10,F57,D$10-SUM(E$17:E57))</f>
        <v>1668914.4700818507</v>
      </c>
      <c r="E58" s="522">
        <f>IF(+I14&lt;F57,I14,D58)</f>
        <v>1396425.7302380952</v>
      </c>
      <c r="F58" s="523">
        <f t="shared" si="14"/>
        <v>272488.73984375549</v>
      </c>
      <c r="G58" s="524">
        <f t="shared" si="17"/>
        <v>1519051.3460797148</v>
      </c>
      <c r="H58" s="491">
        <f t="shared" si="18"/>
        <v>1519051.3460797148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2058</v>
      </c>
      <c r="D59" s="523">
        <f>IF(F58+SUM(E$17:E58)=D$10,F58,D$10-SUM(E$17:E58))</f>
        <v>272488.73984375549</v>
      </c>
      <c r="E59" s="522">
        <f>IF(+I14&lt;F58,I14,D59)</f>
        <v>272488.73984375549</v>
      </c>
      <c r="F59" s="523">
        <f t="shared" si="14"/>
        <v>0</v>
      </c>
      <c r="G59" s="524">
        <f t="shared" si="17"/>
        <v>289700.05347629439</v>
      </c>
      <c r="H59" s="491">
        <f t="shared" si="18"/>
        <v>289700.05347629439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2059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4"/>
        <v>0</v>
      </c>
      <c r="G60" s="524">
        <f t="shared" si="17"/>
        <v>0</v>
      </c>
      <c r="H60" s="491">
        <f t="shared" si="18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2060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4"/>
        <v>0</v>
      </c>
      <c r="G61" s="526">
        <f t="shared" si="17"/>
        <v>0</v>
      </c>
      <c r="H61" s="491">
        <f t="shared" si="18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2061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4"/>
        <v>0</v>
      </c>
      <c r="G62" s="526">
        <f t="shared" si="17"/>
        <v>0</v>
      </c>
      <c r="H62" s="491">
        <f t="shared" si="18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2062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4"/>
        <v>0</v>
      </c>
      <c r="G63" s="526">
        <f t="shared" si="17"/>
        <v>0</v>
      </c>
      <c r="H63" s="491">
        <f t="shared" si="18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2063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4"/>
        <v>0</v>
      </c>
      <c r="G64" s="526">
        <f t="shared" si="17"/>
        <v>0</v>
      </c>
      <c r="H64" s="491">
        <f t="shared" si="18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2064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4"/>
        <v>0</v>
      </c>
      <c r="G65" s="526">
        <f t="shared" si="17"/>
        <v>0</v>
      </c>
      <c r="H65" s="491">
        <f t="shared" si="18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2065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4"/>
        <v>0</v>
      </c>
      <c r="G66" s="526">
        <f t="shared" si="17"/>
        <v>0</v>
      </c>
      <c r="H66" s="491">
        <f t="shared" si="18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2066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4"/>
        <v>0</v>
      </c>
      <c r="G67" s="526">
        <f t="shared" si="17"/>
        <v>0</v>
      </c>
      <c r="H67" s="491">
        <f t="shared" si="18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2067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4"/>
        <v>0</v>
      </c>
      <c r="G68" s="526">
        <f t="shared" si="17"/>
        <v>0</v>
      </c>
      <c r="H68" s="491">
        <f t="shared" si="18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2068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4"/>
        <v>0</v>
      </c>
      <c r="G69" s="526">
        <f t="shared" si="17"/>
        <v>0</v>
      </c>
      <c r="H69" s="491">
        <f t="shared" si="18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2069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4"/>
        <v>0</v>
      </c>
      <c r="G70" s="526">
        <f t="shared" si="17"/>
        <v>0</v>
      </c>
      <c r="H70" s="491">
        <f t="shared" si="18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2070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4"/>
        <v>0</v>
      </c>
      <c r="G71" s="526">
        <f t="shared" si="17"/>
        <v>0</v>
      </c>
      <c r="H71" s="491">
        <f t="shared" si="18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2071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4"/>
        <v>0</v>
      </c>
      <c r="G72" s="530">
        <f t="shared" si="17"/>
        <v>0</v>
      </c>
      <c r="H72" s="471">
        <f t="shared" si="18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58649880.670000002</v>
      </c>
      <c r="F73" s="375"/>
      <c r="G73" s="375">
        <f>SUM(G17:G72)</f>
        <v>208989248.00574508</v>
      </c>
      <c r="H73" s="375">
        <f>SUM(H17:H72)</f>
        <v>208989248.00574508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61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6835472.9074064167</v>
      </c>
      <c r="N87" s="546">
        <f>IF(J92&lt;D11,0,VLOOKUP(J92,C17:O72,11))</f>
        <v>6835472.9074064167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7273204.5252049714</v>
      </c>
      <c r="N88" s="550">
        <f>IF(J92&lt;D11,0,VLOOKUP(J92,C99:P154,7))</f>
        <v>7273204.5252049714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Messick 500/230 kV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437731.61779855471</v>
      </c>
      <c r="N89" s="555">
        <f>+N88-N87</f>
        <v>437731.61779855471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TP2011033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58649881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487">
        <v>2016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483"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1430484.9024390243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2016</v>
      </c>
      <c r="D99" s="649">
        <v>0</v>
      </c>
      <c r="E99" s="650">
        <v>942654.85714285716</v>
      </c>
      <c r="F99" s="651">
        <v>58444601.142857142</v>
      </c>
      <c r="G99" s="652">
        <v>29222300.571428571</v>
      </c>
      <c r="H99" s="653">
        <v>4492330.3044337472</v>
      </c>
      <c r="I99" s="654">
        <v>4492330.3044337472</v>
      </c>
      <c r="J99" s="514">
        <f t="shared" ref="J99:J130" si="19">+I99-H99</f>
        <v>0</v>
      </c>
      <c r="K99" s="514"/>
      <c r="L99" s="512">
        <f>+H99</f>
        <v>4492330.3044337472</v>
      </c>
      <c r="M99" s="513">
        <f t="shared" ref="M99:M130" si="20">IF(L99&lt;&gt;0,+H99-L99,0)</f>
        <v>0</v>
      </c>
      <c r="N99" s="512">
        <f>+I99</f>
        <v>4492330.3044337472</v>
      </c>
      <c r="O99" s="513">
        <f t="shared" ref="O99:O130" si="21">IF(N99&lt;&gt;0,+I99-N99,0)</f>
        <v>0</v>
      </c>
      <c r="P99" s="513">
        <f t="shared" ref="P99:P130" si="22">+O99-M99</f>
        <v>0</v>
      </c>
    </row>
    <row r="100" spans="1:16" ht="12.5">
      <c r="B100" s="195" t="str">
        <f>IF(D100=F99,"","IU")</f>
        <v>IU</v>
      </c>
      <c r="C100" s="507">
        <f>IF(D93="","-",+C99+1)</f>
        <v>2017</v>
      </c>
      <c r="D100" s="629">
        <v>57706234.142857142</v>
      </c>
      <c r="E100" s="630">
        <v>1396402.1190476189</v>
      </c>
      <c r="F100" s="631">
        <v>56309832.023809522</v>
      </c>
      <c r="G100" s="631">
        <v>57008033.083333328</v>
      </c>
      <c r="H100" s="633">
        <v>7416711.841213882</v>
      </c>
      <c r="I100" s="634">
        <v>7416711.841213882</v>
      </c>
      <c r="J100" s="514">
        <f t="shared" si="19"/>
        <v>0</v>
      </c>
      <c r="K100" s="514"/>
      <c r="L100" s="655">
        <f>+H100</f>
        <v>7416711.841213882</v>
      </c>
      <c r="M100" s="514">
        <f t="shared" si="20"/>
        <v>0</v>
      </c>
      <c r="N100" s="655">
        <f>+I100</f>
        <v>7416711.841213882</v>
      </c>
      <c r="O100" s="514">
        <f t="shared" si="21"/>
        <v>0</v>
      </c>
      <c r="P100" s="514">
        <f t="shared" si="22"/>
        <v>0</v>
      </c>
    </row>
    <row r="101" spans="1:16" ht="12.5">
      <c r="B101" s="195" t="str">
        <f t="shared" ref="B101:B154" si="23">IF(D101=F100,"","IU")</f>
        <v>IU</v>
      </c>
      <c r="C101" s="507">
        <f>IF(D93="","-",+C100+1)</f>
        <v>2018</v>
      </c>
      <c r="D101" s="629">
        <v>56310824.023809522</v>
      </c>
      <c r="E101" s="630">
        <v>1363950.7209302327</v>
      </c>
      <c r="F101" s="631">
        <v>54946873.302879289</v>
      </c>
      <c r="G101" s="631">
        <v>55628848.663344406</v>
      </c>
      <c r="H101" s="633">
        <v>7318493.0853602551</v>
      </c>
      <c r="I101" s="634">
        <v>7318493.0853602551</v>
      </c>
      <c r="J101" s="514">
        <f t="shared" si="19"/>
        <v>0</v>
      </c>
      <c r="K101" s="514"/>
      <c r="L101" s="655">
        <f>+H101</f>
        <v>7318493.0853602551</v>
      </c>
      <c r="M101" s="514">
        <f t="shared" ref="M101:M102" si="24">IF(L101&lt;&gt;0,+H101-L101,0)</f>
        <v>0</v>
      </c>
      <c r="N101" s="655">
        <f>+I101</f>
        <v>7318493.0853602551</v>
      </c>
      <c r="O101" s="514">
        <f t="shared" si="21"/>
        <v>0</v>
      </c>
      <c r="P101" s="514">
        <f t="shared" si="22"/>
        <v>0</v>
      </c>
    </row>
    <row r="102" spans="1:16" ht="12.5">
      <c r="B102" s="195" t="str">
        <f t="shared" si="23"/>
        <v/>
      </c>
      <c r="C102" s="507">
        <f>IF(D93="","-",+C101+1)</f>
        <v>2019</v>
      </c>
      <c r="D102" s="629">
        <v>54946873.302879289</v>
      </c>
      <c r="E102" s="630">
        <v>1363950.7209302327</v>
      </c>
      <c r="F102" s="631">
        <v>53582922.581949055</v>
      </c>
      <c r="G102" s="631">
        <v>54264897.942414172</v>
      </c>
      <c r="H102" s="633">
        <v>7172495.0547354436</v>
      </c>
      <c r="I102" s="634">
        <v>7172495.0547354436</v>
      </c>
      <c r="J102" s="514">
        <f t="shared" si="19"/>
        <v>0</v>
      </c>
      <c r="K102" s="514"/>
      <c r="L102" s="655">
        <f>+H102</f>
        <v>7172495.0547354436</v>
      </c>
      <c r="M102" s="514">
        <f t="shared" si="24"/>
        <v>0</v>
      </c>
      <c r="N102" s="655">
        <f>+I102</f>
        <v>7172495.0547354436</v>
      </c>
      <c r="O102" s="514">
        <f t="shared" si="21"/>
        <v>0</v>
      </c>
      <c r="P102" s="514">
        <f t="shared" si="22"/>
        <v>0</v>
      </c>
    </row>
    <row r="103" spans="1:16" ht="12.5">
      <c r="B103" s="195" t="str">
        <f t="shared" si="23"/>
        <v/>
      </c>
      <c r="C103" s="507">
        <f>IF(D93="","-",+C102+1)</f>
        <v>2020</v>
      </c>
      <c r="D103" s="374">
        <v>53582922.581949055</v>
      </c>
      <c r="E103" s="522">
        <v>1396425.7380952381</v>
      </c>
      <c r="F103" s="523">
        <v>52186496.843853816</v>
      </c>
      <c r="G103" s="523">
        <v>52884709.712901436</v>
      </c>
      <c r="H103" s="526">
        <v>7085436.6426010244</v>
      </c>
      <c r="I103" s="577">
        <v>7085436.6426010244</v>
      </c>
      <c r="J103" s="514">
        <f t="shared" si="19"/>
        <v>0</v>
      </c>
      <c r="K103" s="514"/>
      <c r="L103" s="655">
        <f>+H103</f>
        <v>7085436.6426010244</v>
      </c>
      <c r="M103" s="514">
        <f t="shared" ref="M103" si="25">IF(L103&lt;&gt;0,+H103-L103,0)</f>
        <v>0</v>
      </c>
      <c r="N103" s="655">
        <f>+I103</f>
        <v>7085436.6426010244</v>
      </c>
      <c r="O103" s="514">
        <f t="shared" si="21"/>
        <v>0</v>
      </c>
      <c r="P103" s="514">
        <f t="shared" si="22"/>
        <v>0</v>
      </c>
    </row>
    <row r="104" spans="1:16" ht="12.5">
      <c r="B104" s="195" t="str">
        <f t="shared" si="23"/>
        <v/>
      </c>
      <c r="C104" s="507">
        <f>IF(D93="","-",+C103+1)</f>
        <v>2021</v>
      </c>
      <c r="D104" s="374">
        <f>IF(F103+SUM(E$99:E103)=D$92,F103,D$92-SUM(E$99:E103))</f>
        <v>52186496.843853816</v>
      </c>
      <c r="E104" s="522">
        <f>IF(+J96&lt;F103,J96,D104)</f>
        <v>1430484.9024390243</v>
      </c>
      <c r="F104" s="523">
        <f t="shared" ref="F104:F130" si="26">+D104-E104</f>
        <v>50756011.941414788</v>
      </c>
      <c r="G104" s="523">
        <f t="shared" ref="G104:G130" si="27">+(F104+D104)/2</f>
        <v>51471254.392634302</v>
      </c>
      <c r="H104" s="526">
        <f t="shared" ref="H104:H154" si="28">+J$94*G104+E104</f>
        <v>7273204.5252049714</v>
      </c>
      <c r="I104" s="577">
        <f t="shared" ref="I104:I154" si="29">+J$95*G104+E104</f>
        <v>7273204.5252049714</v>
      </c>
      <c r="J104" s="514">
        <f t="shared" si="19"/>
        <v>0</v>
      </c>
      <c r="K104" s="514"/>
      <c r="L104" s="525"/>
      <c r="M104" s="514">
        <f t="shared" si="20"/>
        <v>0</v>
      </c>
      <c r="N104" s="525"/>
      <c r="O104" s="514">
        <f t="shared" si="21"/>
        <v>0</v>
      </c>
      <c r="P104" s="514">
        <f t="shared" si="22"/>
        <v>0</v>
      </c>
    </row>
    <row r="105" spans="1:16" ht="12.5">
      <c r="B105" s="195" t="str">
        <f t="shared" si="23"/>
        <v/>
      </c>
      <c r="C105" s="507">
        <f>IF(D93="","-",+C104+1)</f>
        <v>2022</v>
      </c>
      <c r="D105" s="374">
        <f>IF(F104+SUM(E$99:E104)=D$92,F104,D$92-SUM(E$99:E104))</f>
        <v>50756011.941414788</v>
      </c>
      <c r="E105" s="522">
        <f>IF(+J96&lt;F104,J96,D105)</f>
        <v>1430484.9024390243</v>
      </c>
      <c r="F105" s="523">
        <f t="shared" si="26"/>
        <v>49325527.03897576</v>
      </c>
      <c r="G105" s="523">
        <f t="shared" si="27"/>
        <v>50040769.490195274</v>
      </c>
      <c r="H105" s="526">
        <f t="shared" si="28"/>
        <v>7110824.1381680667</v>
      </c>
      <c r="I105" s="577">
        <f t="shared" si="29"/>
        <v>7110824.1381680667</v>
      </c>
      <c r="J105" s="514">
        <f t="shared" si="19"/>
        <v>0</v>
      </c>
      <c r="K105" s="514"/>
      <c r="L105" s="525"/>
      <c r="M105" s="514">
        <f t="shared" si="20"/>
        <v>0</v>
      </c>
      <c r="N105" s="525"/>
      <c r="O105" s="514">
        <f t="shared" si="21"/>
        <v>0</v>
      </c>
      <c r="P105" s="514">
        <f t="shared" si="22"/>
        <v>0</v>
      </c>
    </row>
    <row r="106" spans="1:16" ht="12.5">
      <c r="B106" s="195" t="str">
        <f t="shared" si="23"/>
        <v/>
      </c>
      <c r="C106" s="507">
        <f>IF(D93="","-",+C105+1)</f>
        <v>2023</v>
      </c>
      <c r="D106" s="374">
        <f>IF(F105+SUM(E$99:E105)=D$92,F105,D$92-SUM(E$99:E105))</f>
        <v>49325527.03897576</v>
      </c>
      <c r="E106" s="522">
        <f>IF(+J96&lt;F105,J96,D106)</f>
        <v>1430484.9024390243</v>
      </c>
      <c r="F106" s="523">
        <f t="shared" si="26"/>
        <v>47895042.136536732</v>
      </c>
      <c r="G106" s="523">
        <f t="shared" si="27"/>
        <v>48610284.587756246</v>
      </c>
      <c r="H106" s="526">
        <f t="shared" si="28"/>
        <v>6948443.751131162</v>
      </c>
      <c r="I106" s="577">
        <f t="shared" si="29"/>
        <v>6948443.751131162</v>
      </c>
      <c r="J106" s="514">
        <f t="shared" si="19"/>
        <v>0</v>
      </c>
      <c r="K106" s="514"/>
      <c r="L106" s="525"/>
      <c r="M106" s="514">
        <f t="shared" si="20"/>
        <v>0</v>
      </c>
      <c r="N106" s="525"/>
      <c r="O106" s="514">
        <f t="shared" si="21"/>
        <v>0</v>
      </c>
      <c r="P106" s="514">
        <f t="shared" si="22"/>
        <v>0</v>
      </c>
    </row>
    <row r="107" spans="1:16" ht="12.5">
      <c r="B107" s="195" t="str">
        <f t="shared" si="23"/>
        <v/>
      </c>
      <c r="C107" s="507">
        <f>IF(D93="","-",+C106+1)</f>
        <v>2024</v>
      </c>
      <c r="D107" s="374">
        <f>IF(F106+SUM(E$99:E106)=D$92,F106,D$92-SUM(E$99:E106))</f>
        <v>47895042.136536732</v>
      </c>
      <c r="E107" s="522">
        <f>IF(+J96&lt;F106,J96,D107)</f>
        <v>1430484.9024390243</v>
      </c>
      <c r="F107" s="523">
        <f t="shared" si="26"/>
        <v>46464557.234097704</v>
      </c>
      <c r="G107" s="523">
        <f t="shared" si="27"/>
        <v>47179799.685317218</v>
      </c>
      <c r="H107" s="526">
        <f t="shared" si="28"/>
        <v>6786063.3640942574</v>
      </c>
      <c r="I107" s="577">
        <f t="shared" si="29"/>
        <v>6786063.3640942574</v>
      </c>
      <c r="J107" s="514">
        <f t="shared" si="19"/>
        <v>0</v>
      </c>
      <c r="K107" s="514"/>
      <c r="L107" s="525"/>
      <c r="M107" s="514">
        <f t="shared" si="20"/>
        <v>0</v>
      </c>
      <c r="N107" s="525"/>
      <c r="O107" s="514">
        <f t="shared" si="21"/>
        <v>0</v>
      </c>
      <c r="P107" s="514">
        <f t="shared" si="22"/>
        <v>0</v>
      </c>
    </row>
    <row r="108" spans="1:16" ht="12.5">
      <c r="B108" s="195" t="str">
        <f t="shared" si="23"/>
        <v/>
      </c>
      <c r="C108" s="507">
        <f>IF(D93="","-",+C107+1)</f>
        <v>2025</v>
      </c>
      <c r="D108" s="374">
        <f>IF(F107+SUM(E$99:E107)=D$92,F107,D$92-SUM(E$99:E107))</f>
        <v>46464557.234097704</v>
      </c>
      <c r="E108" s="522">
        <f>IF(+J96&lt;F107,J96,D108)</f>
        <v>1430484.9024390243</v>
      </c>
      <c r="F108" s="523">
        <f t="shared" si="26"/>
        <v>45034072.331658676</v>
      </c>
      <c r="G108" s="523">
        <f t="shared" si="27"/>
        <v>45749314.78287819</v>
      </c>
      <c r="H108" s="526">
        <f t="shared" si="28"/>
        <v>6623682.9770573527</v>
      </c>
      <c r="I108" s="577">
        <f t="shared" si="29"/>
        <v>6623682.9770573527</v>
      </c>
      <c r="J108" s="514">
        <f t="shared" si="19"/>
        <v>0</v>
      </c>
      <c r="K108" s="514"/>
      <c r="L108" s="525"/>
      <c r="M108" s="514">
        <f t="shared" si="20"/>
        <v>0</v>
      </c>
      <c r="N108" s="525"/>
      <c r="O108" s="514">
        <f t="shared" si="21"/>
        <v>0</v>
      </c>
      <c r="P108" s="514">
        <f t="shared" si="22"/>
        <v>0</v>
      </c>
    </row>
    <row r="109" spans="1:16" ht="12.5">
      <c r="B109" s="195" t="str">
        <f t="shared" si="23"/>
        <v/>
      </c>
      <c r="C109" s="507">
        <f>IF(D93="","-",+C108+1)</f>
        <v>2026</v>
      </c>
      <c r="D109" s="374">
        <f>IF(F108+SUM(E$99:E108)=D$92,F108,D$92-SUM(E$99:E108))</f>
        <v>45034072.331658676</v>
      </c>
      <c r="E109" s="522">
        <f>IF(+J96&lt;F108,J96,D109)</f>
        <v>1430484.9024390243</v>
      </c>
      <c r="F109" s="523">
        <f t="shared" si="26"/>
        <v>43603587.429219648</v>
      </c>
      <c r="G109" s="523">
        <f t="shared" si="27"/>
        <v>44318829.880439162</v>
      </c>
      <c r="H109" s="526">
        <f t="shared" si="28"/>
        <v>6461302.590020448</v>
      </c>
      <c r="I109" s="577">
        <f t="shared" si="29"/>
        <v>6461302.590020448</v>
      </c>
      <c r="J109" s="514">
        <f t="shared" si="19"/>
        <v>0</v>
      </c>
      <c r="K109" s="514"/>
      <c r="L109" s="525"/>
      <c r="M109" s="514">
        <f t="shared" si="20"/>
        <v>0</v>
      </c>
      <c r="N109" s="525"/>
      <c r="O109" s="514">
        <f t="shared" si="21"/>
        <v>0</v>
      </c>
      <c r="P109" s="514">
        <f t="shared" si="22"/>
        <v>0</v>
      </c>
    </row>
    <row r="110" spans="1:16" ht="12.5">
      <c r="B110" s="195" t="str">
        <f t="shared" si="23"/>
        <v/>
      </c>
      <c r="C110" s="507">
        <f>IF(D93="","-",+C109+1)</f>
        <v>2027</v>
      </c>
      <c r="D110" s="374">
        <f>IF(F109+SUM(E$99:E109)=D$92,F109,D$92-SUM(E$99:E109))</f>
        <v>43603587.429219648</v>
      </c>
      <c r="E110" s="522">
        <f>IF(+J96&lt;F109,J96,D110)</f>
        <v>1430484.9024390243</v>
      </c>
      <c r="F110" s="523">
        <f t="shared" si="26"/>
        <v>42173102.52678062</v>
      </c>
      <c r="G110" s="523">
        <f t="shared" si="27"/>
        <v>42888344.978000134</v>
      </c>
      <c r="H110" s="526">
        <f t="shared" si="28"/>
        <v>6298922.2029835433</v>
      </c>
      <c r="I110" s="577">
        <f t="shared" si="29"/>
        <v>6298922.2029835433</v>
      </c>
      <c r="J110" s="514">
        <f t="shared" si="19"/>
        <v>0</v>
      </c>
      <c r="K110" s="514"/>
      <c r="L110" s="525"/>
      <c r="M110" s="514">
        <f t="shared" si="20"/>
        <v>0</v>
      </c>
      <c r="N110" s="525"/>
      <c r="O110" s="514">
        <f t="shared" si="21"/>
        <v>0</v>
      </c>
      <c r="P110" s="514">
        <f t="shared" si="22"/>
        <v>0</v>
      </c>
    </row>
    <row r="111" spans="1:16" ht="12.5">
      <c r="B111" s="195" t="str">
        <f t="shared" si="23"/>
        <v/>
      </c>
      <c r="C111" s="507">
        <f>IF(D93="","-",+C110+1)</f>
        <v>2028</v>
      </c>
      <c r="D111" s="374">
        <f>IF(F110+SUM(E$99:E110)=D$92,F110,D$92-SUM(E$99:E110))</f>
        <v>42173102.52678062</v>
      </c>
      <c r="E111" s="522">
        <f>IF(+J96&lt;F110,J96,D111)</f>
        <v>1430484.9024390243</v>
      </c>
      <c r="F111" s="523">
        <f t="shared" si="26"/>
        <v>40742617.624341592</v>
      </c>
      <c r="G111" s="523">
        <f t="shared" si="27"/>
        <v>41457860.075561106</v>
      </c>
      <c r="H111" s="526">
        <f t="shared" si="28"/>
        <v>6136541.8159466386</v>
      </c>
      <c r="I111" s="577">
        <f t="shared" si="29"/>
        <v>6136541.8159466386</v>
      </c>
      <c r="J111" s="514">
        <f t="shared" si="19"/>
        <v>0</v>
      </c>
      <c r="K111" s="514"/>
      <c r="L111" s="525"/>
      <c r="M111" s="514">
        <f t="shared" si="20"/>
        <v>0</v>
      </c>
      <c r="N111" s="525"/>
      <c r="O111" s="514">
        <f t="shared" si="21"/>
        <v>0</v>
      </c>
      <c r="P111" s="514">
        <f t="shared" si="22"/>
        <v>0</v>
      </c>
    </row>
    <row r="112" spans="1:16" ht="12.5">
      <c r="B112" s="195" t="str">
        <f t="shared" si="23"/>
        <v/>
      </c>
      <c r="C112" s="507">
        <f>IF(D93="","-",+C111+1)</f>
        <v>2029</v>
      </c>
      <c r="D112" s="374">
        <f>IF(F111+SUM(E$99:E111)=D$92,F111,D$92-SUM(E$99:E111))</f>
        <v>40742617.624341592</v>
      </c>
      <c r="E112" s="522">
        <f>IF(+J96&lt;F111,J96,D112)</f>
        <v>1430484.9024390243</v>
      </c>
      <c r="F112" s="523">
        <f t="shared" si="26"/>
        <v>39312132.721902564</v>
      </c>
      <c r="G112" s="523">
        <f t="shared" si="27"/>
        <v>40027375.173122078</v>
      </c>
      <c r="H112" s="526">
        <f t="shared" si="28"/>
        <v>5974161.4289097339</v>
      </c>
      <c r="I112" s="577">
        <f t="shared" si="29"/>
        <v>5974161.4289097339</v>
      </c>
      <c r="J112" s="514">
        <f t="shared" si="19"/>
        <v>0</v>
      </c>
      <c r="K112" s="514"/>
      <c r="L112" s="525"/>
      <c r="M112" s="514">
        <f t="shared" si="20"/>
        <v>0</v>
      </c>
      <c r="N112" s="525"/>
      <c r="O112" s="514">
        <f t="shared" si="21"/>
        <v>0</v>
      </c>
      <c r="P112" s="514">
        <f t="shared" si="22"/>
        <v>0</v>
      </c>
    </row>
    <row r="113" spans="2:16" ht="12.5">
      <c r="B113" s="195" t="str">
        <f t="shared" si="23"/>
        <v/>
      </c>
      <c r="C113" s="507">
        <f>IF(D93="","-",+C112+1)</f>
        <v>2030</v>
      </c>
      <c r="D113" s="374">
        <f>IF(F112+SUM(E$99:E112)=D$92,F112,D$92-SUM(E$99:E112))</f>
        <v>39312132.721902564</v>
      </c>
      <c r="E113" s="522">
        <f>IF(+J96&lt;F112,J96,D113)</f>
        <v>1430484.9024390243</v>
      </c>
      <c r="F113" s="523">
        <f t="shared" si="26"/>
        <v>37881647.819463536</v>
      </c>
      <c r="G113" s="523">
        <f t="shared" si="27"/>
        <v>38596890.27068305</v>
      </c>
      <c r="H113" s="526">
        <f t="shared" si="28"/>
        <v>5811781.0418728292</v>
      </c>
      <c r="I113" s="577">
        <f t="shared" si="29"/>
        <v>5811781.0418728292</v>
      </c>
      <c r="J113" s="514">
        <f t="shared" si="19"/>
        <v>0</v>
      </c>
      <c r="K113" s="514"/>
      <c r="L113" s="525"/>
      <c r="M113" s="514">
        <f t="shared" si="20"/>
        <v>0</v>
      </c>
      <c r="N113" s="525"/>
      <c r="O113" s="514">
        <f t="shared" si="21"/>
        <v>0</v>
      </c>
      <c r="P113" s="514">
        <f t="shared" si="22"/>
        <v>0</v>
      </c>
    </row>
    <row r="114" spans="2:16" ht="12.5">
      <c r="B114" s="195" t="str">
        <f t="shared" si="23"/>
        <v/>
      </c>
      <c r="C114" s="507">
        <f>IF(D93="","-",+C113+1)</f>
        <v>2031</v>
      </c>
      <c r="D114" s="374">
        <f>IF(F113+SUM(E$99:E113)=D$92,F113,D$92-SUM(E$99:E113))</f>
        <v>37881647.819463536</v>
      </c>
      <c r="E114" s="522">
        <f>IF(+J96&lt;F113,J96,D114)</f>
        <v>1430484.9024390243</v>
      </c>
      <c r="F114" s="523">
        <f t="shared" si="26"/>
        <v>36451162.917024508</v>
      </c>
      <c r="G114" s="523">
        <f t="shared" si="27"/>
        <v>37166405.368244022</v>
      </c>
      <c r="H114" s="526">
        <f t="shared" si="28"/>
        <v>5649400.6548359236</v>
      </c>
      <c r="I114" s="577">
        <f t="shared" si="29"/>
        <v>5649400.6548359236</v>
      </c>
      <c r="J114" s="514">
        <f t="shared" si="19"/>
        <v>0</v>
      </c>
      <c r="K114" s="514"/>
      <c r="L114" s="525"/>
      <c r="M114" s="514">
        <f t="shared" si="20"/>
        <v>0</v>
      </c>
      <c r="N114" s="525"/>
      <c r="O114" s="514">
        <f t="shared" si="21"/>
        <v>0</v>
      </c>
      <c r="P114" s="514">
        <f t="shared" si="22"/>
        <v>0</v>
      </c>
    </row>
    <row r="115" spans="2:16" ht="12.5">
      <c r="B115" s="195" t="str">
        <f t="shared" si="23"/>
        <v/>
      </c>
      <c r="C115" s="507">
        <f>IF(D93="","-",+C114+1)</f>
        <v>2032</v>
      </c>
      <c r="D115" s="374">
        <f>IF(F114+SUM(E$99:E114)=D$92,F114,D$92-SUM(E$99:E114))</f>
        <v>36451162.917024508</v>
      </c>
      <c r="E115" s="522">
        <f>IF(+J96&lt;F114,J96,D115)</f>
        <v>1430484.9024390243</v>
      </c>
      <c r="F115" s="523">
        <f t="shared" si="26"/>
        <v>35020678.01458548</v>
      </c>
      <c r="G115" s="523">
        <f t="shared" si="27"/>
        <v>35735920.465804994</v>
      </c>
      <c r="H115" s="526">
        <f t="shared" si="28"/>
        <v>5487020.2677990198</v>
      </c>
      <c r="I115" s="577">
        <f t="shared" si="29"/>
        <v>5487020.2677990198</v>
      </c>
      <c r="J115" s="514">
        <f t="shared" si="19"/>
        <v>0</v>
      </c>
      <c r="K115" s="514"/>
      <c r="L115" s="525"/>
      <c r="M115" s="514">
        <f t="shared" si="20"/>
        <v>0</v>
      </c>
      <c r="N115" s="525"/>
      <c r="O115" s="514">
        <f t="shared" si="21"/>
        <v>0</v>
      </c>
      <c r="P115" s="514">
        <f t="shared" si="22"/>
        <v>0</v>
      </c>
    </row>
    <row r="116" spans="2:16" ht="12.5">
      <c r="B116" s="195" t="str">
        <f t="shared" si="23"/>
        <v/>
      </c>
      <c r="C116" s="507">
        <f>IF(D93="","-",+C115+1)</f>
        <v>2033</v>
      </c>
      <c r="D116" s="374">
        <f>IF(F115+SUM(E$99:E115)=D$92,F115,D$92-SUM(E$99:E115))</f>
        <v>35020678.01458548</v>
      </c>
      <c r="E116" s="522">
        <f>IF(+J96&lt;F115,J96,D116)</f>
        <v>1430484.9024390243</v>
      </c>
      <c r="F116" s="523">
        <f t="shared" si="26"/>
        <v>33590193.112146452</v>
      </c>
      <c r="G116" s="523">
        <f t="shared" si="27"/>
        <v>34305435.563365966</v>
      </c>
      <c r="H116" s="526">
        <f t="shared" si="28"/>
        <v>5324639.8807621151</v>
      </c>
      <c r="I116" s="577">
        <f t="shared" si="29"/>
        <v>5324639.8807621151</v>
      </c>
      <c r="J116" s="514">
        <f t="shared" si="19"/>
        <v>0</v>
      </c>
      <c r="K116" s="514"/>
      <c r="L116" s="525"/>
      <c r="M116" s="514">
        <f t="shared" si="20"/>
        <v>0</v>
      </c>
      <c r="N116" s="525"/>
      <c r="O116" s="514">
        <f t="shared" si="21"/>
        <v>0</v>
      </c>
      <c r="P116" s="514">
        <f t="shared" si="22"/>
        <v>0</v>
      </c>
    </row>
    <row r="117" spans="2:16" ht="12.5">
      <c r="B117" s="195" t="str">
        <f t="shared" si="23"/>
        <v/>
      </c>
      <c r="C117" s="507">
        <f>IF(D93="","-",+C116+1)</f>
        <v>2034</v>
      </c>
      <c r="D117" s="374">
        <f>IF(F116+SUM(E$99:E116)=D$92,F116,D$92-SUM(E$99:E116))</f>
        <v>33590193.112146504</v>
      </c>
      <c r="E117" s="522">
        <f>IF(+J96&lt;F116,J96,D117)</f>
        <v>1430484.9024390243</v>
      </c>
      <c r="F117" s="523">
        <f t="shared" si="26"/>
        <v>32159708.20970748</v>
      </c>
      <c r="G117" s="523">
        <f t="shared" si="27"/>
        <v>32874950.66092699</v>
      </c>
      <c r="H117" s="526">
        <f t="shared" si="28"/>
        <v>5162259.493725216</v>
      </c>
      <c r="I117" s="577">
        <f t="shared" si="29"/>
        <v>5162259.493725216</v>
      </c>
      <c r="J117" s="514">
        <f t="shared" si="19"/>
        <v>0</v>
      </c>
      <c r="K117" s="514"/>
      <c r="L117" s="525"/>
      <c r="M117" s="514">
        <f t="shared" si="20"/>
        <v>0</v>
      </c>
      <c r="N117" s="525"/>
      <c r="O117" s="514">
        <f t="shared" si="21"/>
        <v>0</v>
      </c>
      <c r="P117" s="514">
        <f t="shared" si="22"/>
        <v>0</v>
      </c>
    </row>
    <row r="118" spans="2:16" ht="12.5">
      <c r="B118" s="195" t="str">
        <f t="shared" si="23"/>
        <v/>
      </c>
      <c r="C118" s="507">
        <f>IF(D93="","-",+C117+1)</f>
        <v>2035</v>
      </c>
      <c r="D118" s="374">
        <f>IF(F117+SUM(E$99:E117)=D$92,F117,D$92-SUM(E$99:E117))</f>
        <v>32159708.20970748</v>
      </c>
      <c r="E118" s="522">
        <f>IF(+J96&lt;F117,J96,D118)</f>
        <v>1430484.9024390243</v>
      </c>
      <c r="F118" s="523">
        <f t="shared" si="26"/>
        <v>30729223.307268456</v>
      </c>
      <c r="G118" s="523">
        <f t="shared" si="27"/>
        <v>31444465.75848797</v>
      </c>
      <c r="H118" s="526">
        <f t="shared" si="28"/>
        <v>4999879.1066883113</v>
      </c>
      <c r="I118" s="577">
        <f t="shared" si="29"/>
        <v>4999879.1066883113</v>
      </c>
      <c r="J118" s="514">
        <f t="shared" si="19"/>
        <v>0</v>
      </c>
      <c r="K118" s="514"/>
      <c r="L118" s="525"/>
      <c r="M118" s="514">
        <f t="shared" si="20"/>
        <v>0</v>
      </c>
      <c r="N118" s="525"/>
      <c r="O118" s="514">
        <f t="shared" si="21"/>
        <v>0</v>
      </c>
      <c r="P118" s="514">
        <f t="shared" si="22"/>
        <v>0</v>
      </c>
    </row>
    <row r="119" spans="2:16" ht="12.5">
      <c r="B119" s="195" t="str">
        <f t="shared" si="23"/>
        <v/>
      </c>
      <c r="C119" s="507">
        <f>IF(D93="","-",+C118+1)</f>
        <v>2036</v>
      </c>
      <c r="D119" s="374">
        <f>IF(F118+SUM(E$99:E118)=D$92,F118,D$92-SUM(E$99:E118))</f>
        <v>30729223.307268456</v>
      </c>
      <c r="E119" s="522">
        <f>IF(+J96&lt;F118,J96,D119)</f>
        <v>1430484.9024390243</v>
      </c>
      <c r="F119" s="523">
        <f t="shared" si="26"/>
        <v>29298738.404829431</v>
      </c>
      <c r="G119" s="523">
        <f t="shared" si="27"/>
        <v>30013980.856048942</v>
      </c>
      <c r="H119" s="526">
        <f t="shared" si="28"/>
        <v>4837498.7196514066</v>
      </c>
      <c r="I119" s="577">
        <f t="shared" si="29"/>
        <v>4837498.7196514066</v>
      </c>
      <c r="J119" s="514">
        <f t="shared" si="19"/>
        <v>0</v>
      </c>
      <c r="K119" s="514"/>
      <c r="L119" s="525"/>
      <c r="M119" s="514">
        <f t="shared" si="20"/>
        <v>0</v>
      </c>
      <c r="N119" s="525"/>
      <c r="O119" s="514">
        <f t="shared" si="21"/>
        <v>0</v>
      </c>
      <c r="P119" s="514">
        <f t="shared" si="22"/>
        <v>0</v>
      </c>
    </row>
    <row r="120" spans="2:16" ht="12.5">
      <c r="B120" s="195" t="str">
        <f t="shared" si="23"/>
        <v/>
      </c>
      <c r="C120" s="507">
        <f>IF(D93="","-",+C119+1)</f>
        <v>2037</v>
      </c>
      <c r="D120" s="374">
        <f>IF(F119+SUM(E$99:E119)=D$92,F119,D$92-SUM(E$99:E119))</f>
        <v>29298738.404829431</v>
      </c>
      <c r="E120" s="522">
        <f>IF(+J96&lt;F119,J96,D120)</f>
        <v>1430484.9024390243</v>
      </c>
      <c r="F120" s="523">
        <f t="shared" si="26"/>
        <v>27868253.502390407</v>
      </c>
      <c r="G120" s="523">
        <f t="shared" si="27"/>
        <v>28583495.953609921</v>
      </c>
      <c r="H120" s="526">
        <f t="shared" si="28"/>
        <v>4675118.3326145038</v>
      </c>
      <c r="I120" s="577">
        <f t="shared" si="29"/>
        <v>4675118.3326145038</v>
      </c>
      <c r="J120" s="514">
        <f t="shared" si="19"/>
        <v>0</v>
      </c>
      <c r="K120" s="514"/>
      <c r="L120" s="525"/>
      <c r="M120" s="514">
        <f t="shared" si="20"/>
        <v>0</v>
      </c>
      <c r="N120" s="525"/>
      <c r="O120" s="514">
        <f t="shared" si="21"/>
        <v>0</v>
      </c>
      <c r="P120" s="514">
        <f t="shared" si="22"/>
        <v>0</v>
      </c>
    </row>
    <row r="121" spans="2:16" ht="12.5">
      <c r="B121" s="195" t="str">
        <f t="shared" si="23"/>
        <v/>
      </c>
      <c r="C121" s="507">
        <f>IF(D93="","-",+C120+1)</f>
        <v>2038</v>
      </c>
      <c r="D121" s="374">
        <f>IF(F120+SUM(E$99:E120)=D$92,F120,D$92-SUM(E$99:E120))</f>
        <v>27868253.502390407</v>
      </c>
      <c r="E121" s="522">
        <f>IF(+J96&lt;F120,J96,D121)</f>
        <v>1430484.9024390243</v>
      </c>
      <c r="F121" s="523">
        <f t="shared" si="26"/>
        <v>26437768.599951383</v>
      </c>
      <c r="G121" s="523">
        <f t="shared" si="27"/>
        <v>27153011.051170893</v>
      </c>
      <c r="H121" s="526">
        <f t="shared" si="28"/>
        <v>4512737.9455775991</v>
      </c>
      <c r="I121" s="577">
        <f t="shared" si="29"/>
        <v>4512737.9455775991</v>
      </c>
      <c r="J121" s="514">
        <f t="shared" si="19"/>
        <v>0</v>
      </c>
      <c r="K121" s="514"/>
      <c r="L121" s="525"/>
      <c r="M121" s="514">
        <f t="shared" si="20"/>
        <v>0</v>
      </c>
      <c r="N121" s="525"/>
      <c r="O121" s="514">
        <f t="shared" si="21"/>
        <v>0</v>
      </c>
      <c r="P121" s="514">
        <f t="shared" si="22"/>
        <v>0</v>
      </c>
    </row>
    <row r="122" spans="2:16" ht="12.5">
      <c r="B122" s="195" t="str">
        <f t="shared" si="23"/>
        <v/>
      </c>
      <c r="C122" s="507">
        <f>IF(D93="","-",+C121+1)</f>
        <v>2039</v>
      </c>
      <c r="D122" s="374">
        <f>IF(F121+SUM(E$99:E121)=D$92,F121,D$92-SUM(E$99:E121))</f>
        <v>26437768.599951383</v>
      </c>
      <c r="E122" s="522">
        <f>IF(+J96&lt;F121,J96,D122)</f>
        <v>1430484.9024390243</v>
      </c>
      <c r="F122" s="523">
        <f t="shared" si="26"/>
        <v>25007283.697512358</v>
      </c>
      <c r="G122" s="523">
        <f t="shared" si="27"/>
        <v>25722526.148731872</v>
      </c>
      <c r="H122" s="526">
        <f t="shared" si="28"/>
        <v>4350357.5585406944</v>
      </c>
      <c r="I122" s="577">
        <f t="shared" si="29"/>
        <v>4350357.5585406944</v>
      </c>
      <c r="J122" s="514">
        <f t="shared" si="19"/>
        <v>0</v>
      </c>
      <c r="K122" s="514"/>
      <c r="L122" s="525"/>
      <c r="M122" s="514">
        <f t="shared" si="20"/>
        <v>0</v>
      </c>
      <c r="N122" s="525"/>
      <c r="O122" s="514">
        <f t="shared" si="21"/>
        <v>0</v>
      </c>
      <c r="P122" s="514">
        <f t="shared" si="22"/>
        <v>0</v>
      </c>
    </row>
    <row r="123" spans="2:16" ht="12.5">
      <c r="B123" s="195" t="str">
        <f t="shared" si="23"/>
        <v/>
      </c>
      <c r="C123" s="507">
        <f>IF(D93="","-",+C122+1)</f>
        <v>2040</v>
      </c>
      <c r="D123" s="374">
        <f>IF(F122+SUM(E$99:E122)=D$92,F122,D$92-SUM(E$99:E122))</f>
        <v>25007283.697512358</v>
      </c>
      <c r="E123" s="522">
        <f>IF(+J96&lt;F122,J96,D123)</f>
        <v>1430484.9024390243</v>
      </c>
      <c r="F123" s="523">
        <f t="shared" si="26"/>
        <v>23576798.795073334</v>
      </c>
      <c r="G123" s="523">
        <f t="shared" si="27"/>
        <v>24292041.246292844</v>
      </c>
      <c r="H123" s="526">
        <f t="shared" si="28"/>
        <v>4187977.1715037902</v>
      </c>
      <c r="I123" s="577">
        <f t="shared" si="29"/>
        <v>4187977.1715037902</v>
      </c>
      <c r="J123" s="514">
        <f t="shared" si="19"/>
        <v>0</v>
      </c>
      <c r="K123" s="514"/>
      <c r="L123" s="525"/>
      <c r="M123" s="514">
        <f t="shared" si="20"/>
        <v>0</v>
      </c>
      <c r="N123" s="525"/>
      <c r="O123" s="514">
        <f t="shared" si="21"/>
        <v>0</v>
      </c>
      <c r="P123" s="514">
        <f t="shared" si="22"/>
        <v>0</v>
      </c>
    </row>
    <row r="124" spans="2:16" ht="12.5">
      <c r="B124" s="195" t="str">
        <f t="shared" si="23"/>
        <v/>
      </c>
      <c r="C124" s="507">
        <f>IF(D93="","-",+C123+1)</f>
        <v>2041</v>
      </c>
      <c r="D124" s="374">
        <f>IF(F123+SUM(E$99:E123)=D$92,F123,D$92-SUM(E$99:E123))</f>
        <v>23576798.795073334</v>
      </c>
      <c r="E124" s="522">
        <f>IF(+J96&lt;F123,J96,D124)</f>
        <v>1430484.9024390243</v>
      </c>
      <c r="F124" s="523">
        <f t="shared" si="26"/>
        <v>22146313.89263431</v>
      </c>
      <c r="G124" s="523">
        <f t="shared" si="27"/>
        <v>22861556.343853824</v>
      </c>
      <c r="H124" s="526">
        <f t="shared" si="28"/>
        <v>4025596.784466886</v>
      </c>
      <c r="I124" s="577">
        <f t="shared" si="29"/>
        <v>4025596.784466886</v>
      </c>
      <c r="J124" s="514">
        <f t="shared" si="19"/>
        <v>0</v>
      </c>
      <c r="K124" s="514"/>
      <c r="L124" s="525"/>
      <c r="M124" s="514">
        <f t="shared" si="20"/>
        <v>0</v>
      </c>
      <c r="N124" s="525"/>
      <c r="O124" s="514">
        <f t="shared" si="21"/>
        <v>0</v>
      </c>
      <c r="P124" s="514">
        <f t="shared" si="22"/>
        <v>0</v>
      </c>
    </row>
    <row r="125" spans="2:16" ht="12.5">
      <c r="B125" s="195" t="str">
        <f t="shared" si="23"/>
        <v/>
      </c>
      <c r="C125" s="507">
        <f>IF(D93="","-",+C124+1)</f>
        <v>2042</v>
      </c>
      <c r="D125" s="374">
        <f>IF(F124+SUM(E$99:E124)=D$92,F124,D$92-SUM(E$99:E124))</f>
        <v>22146313.89263431</v>
      </c>
      <c r="E125" s="522">
        <f>IF(+J96&lt;F124,J96,D125)</f>
        <v>1430484.9024390243</v>
      </c>
      <c r="F125" s="523">
        <f t="shared" si="26"/>
        <v>20715828.990195286</v>
      </c>
      <c r="G125" s="523">
        <f t="shared" si="27"/>
        <v>21431071.441414796</v>
      </c>
      <c r="H125" s="526">
        <f t="shared" si="28"/>
        <v>3863216.3974299813</v>
      </c>
      <c r="I125" s="577">
        <f t="shared" si="29"/>
        <v>3863216.3974299813</v>
      </c>
      <c r="J125" s="514">
        <f t="shared" si="19"/>
        <v>0</v>
      </c>
      <c r="K125" s="514"/>
      <c r="L125" s="525"/>
      <c r="M125" s="514">
        <f t="shared" si="20"/>
        <v>0</v>
      </c>
      <c r="N125" s="525"/>
      <c r="O125" s="514">
        <f t="shared" si="21"/>
        <v>0</v>
      </c>
      <c r="P125" s="514">
        <f t="shared" si="22"/>
        <v>0</v>
      </c>
    </row>
    <row r="126" spans="2:16" ht="12.5">
      <c r="B126" s="195" t="str">
        <f t="shared" si="23"/>
        <v/>
      </c>
      <c r="C126" s="507">
        <f>IF(D93="","-",+C125+1)</f>
        <v>2043</v>
      </c>
      <c r="D126" s="374">
        <f>IF(F125+SUM(E$99:E125)=D$92,F125,D$92-SUM(E$99:E125))</f>
        <v>20715828.990195286</v>
      </c>
      <c r="E126" s="522">
        <f>IF(+J96&lt;F125,J96,D126)</f>
        <v>1430484.9024390243</v>
      </c>
      <c r="F126" s="523">
        <f t="shared" si="26"/>
        <v>19285344.087756261</v>
      </c>
      <c r="G126" s="523">
        <f t="shared" si="27"/>
        <v>20000586.538975775</v>
      </c>
      <c r="H126" s="526">
        <f t="shared" si="28"/>
        <v>3700836.0103930775</v>
      </c>
      <c r="I126" s="577">
        <f t="shared" si="29"/>
        <v>3700836.0103930775</v>
      </c>
      <c r="J126" s="514">
        <f t="shared" si="19"/>
        <v>0</v>
      </c>
      <c r="K126" s="514"/>
      <c r="L126" s="525"/>
      <c r="M126" s="514">
        <f t="shared" si="20"/>
        <v>0</v>
      </c>
      <c r="N126" s="525"/>
      <c r="O126" s="514">
        <f t="shared" si="21"/>
        <v>0</v>
      </c>
      <c r="P126" s="514">
        <f t="shared" si="22"/>
        <v>0</v>
      </c>
    </row>
    <row r="127" spans="2:16" ht="12.5">
      <c r="B127" s="195" t="str">
        <f t="shared" si="23"/>
        <v/>
      </c>
      <c r="C127" s="507">
        <f>IF(D93="","-",+C126+1)</f>
        <v>2044</v>
      </c>
      <c r="D127" s="374">
        <f>IF(F126+SUM(E$99:E126)=D$92,F126,D$92-SUM(E$99:E126))</f>
        <v>19285344.087756261</v>
      </c>
      <c r="E127" s="522">
        <f>IF(+J96&lt;F126,J96,D127)</f>
        <v>1430484.9024390243</v>
      </c>
      <c r="F127" s="523">
        <f t="shared" si="26"/>
        <v>17854859.185317237</v>
      </c>
      <c r="G127" s="523">
        <f t="shared" si="27"/>
        <v>18570101.636536747</v>
      </c>
      <c r="H127" s="526">
        <f t="shared" si="28"/>
        <v>3538455.6233561728</v>
      </c>
      <c r="I127" s="577">
        <f t="shared" si="29"/>
        <v>3538455.6233561728</v>
      </c>
      <c r="J127" s="514">
        <f t="shared" si="19"/>
        <v>0</v>
      </c>
      <c r="K127" s="514"/>
      <c r="L127" s="525"/>
      <c r="M127" s="514">
        <f t="shared" si="20"/>
        <v>0</v>
      </c>
      <c r="N127" s="525"/>
      <c r="O127" s="514">
        <f t="shared" si="21"/>
        <v>0</v>
      </c>
      <c r="P127" s="514">
        <f t="shared" si="22"/>
        <v>0</v>
      </c>
    </row>
    <row r="128" spans="2:16" ht="12.5">
      <c r="B128" s="195" t="str">
        <f t="shared" si="23"/>
        <v/>
      </c>
      <c r="C128" s="507">
        <f>IF(D93="","-",+C127+1)</f>
        <v>2045</v>
      </c>
      <c r="D128" s="374">
        <f>IF(F127+SUM(E$99:E127)=D$92,F127,D$92-SUM(E$99:E127))</f>
        <v>17854859.185317237</v>
      </c>
      <c r="E128" s="522">
        <f>IF(+J96&lt;F127,J96,D128)</f>
        <v>1430484.9024390243</v>
      </c>
      <c r="F128" s="523">
        <f t="shared" si="26"/>
        <v>16424374.282878213</v>
      </c>
      <c r="G128" s="523">
        <f t="shared" si="27"/>
        <v>17139616.734097727</v>
      </c>
      <c r="H128" s="526">
        <f t="shared" si="28"/>
        <v>3376075.2363192691</v>
      </c>
      <c r="I128" s="577">
        <f t="shared" si="29"/>
        <v>3376075.2363192691</v>
      </c>
      <c r="J128" s="514">
        <f t="shared" si="19"/>
        <v>0</v>
      </c>
      <c r="K128" s="514"/>
      <c r="L128" s="525"/>
      <c r="M128" s="514">
        <f t="shared" si="20"/>
        <v>0</v>
      </c>
      <c r="N128" s="525"/>
      <c r="O128" s="514">
        <f t="shared" si="21"/>
        <v>0</v>
      </c>
      <c r="P128" s="514">
        <f t="shared" si="22"/>
        <v>0</v>
      </c>
    </row>
    <row r="129" spans="2:16" ht="12.5">
      <c r="B129" s="195" t="str">
        <f t="shared" si="23"/>
        <v/>
      </c>
      <c r="C129" s="507">
        <f>IF(D93="","-",+C128+1)</f>
        <v>2046</v>
      </c>
      <c r="D129" s="374">
        <f>IF(F128+SUM(E$99:E128)=D$92,F128,D$92-SUM(E$99:E128))</f>
        <v>16424374.282878213</v>
      </c>
      <c r="E129" s="522">
        <f>IF(+J96&lt;F128,J96,D129)</f>
        <v>1430484.9024390243</v>
      </c>
      <c r="F129" s="523">
        <f t="shared" si="26"/>
        <v>14993889.380439188</v>
      </c>
      <c r="G129" s="523">
        <f t="shared" si="27"/>
        <v>15709131.8316587</v>
      </c>
      <c r="H129" s="526">
        <f t="shared" si="28"/>
        <v>3213694.8492823644</v>
      </c>
      <c r="I129" s="577">
        <f t="shared" si="29"/>
        <v>3213694.8492823644</v>
      </c>
      <c r="J129" s="514">
        <f t="shared" si="19"/>
        <v>0</v>
      </c>
      <c r="K129" s="514"/>
      <c r="L129" s="525"/>
      <c r="M129" s="514">
        <f t="shared" si="20"/>
        <v>0</v>
      </c>
      <c r="N129" s="525"/>
      <c r="O129" s="514">
        <f t="shared" si="21"/>
        <v>0</v>
      </c>
      <c r="P129" s="514">
        <f t="shared" si="22"/>
        <v>0</v>
      </c>
    </row>
    <row r="130" spans="2:16" ht="12.5">
      <c r="B130" s="195" t="str">
        <f t="shared" si="23"/>
        <v/>
      </c>
      <c r="C130" s="507">
        <f>IF(D93="","-",+C129+1)</f>
        <v>2047</v>
      </c>
      <c r="D130" s="374">
        <f>IF(F129+SUM(E$99:E129)=D$92,F129,D$92-SUM(E$99:E129))</f>
        <v>14993889.380439188</v>
      </c>
      <c r="E130" s="522">
        <f>IF(+J96&lt;F129,J96,D130)</f>
        <v>1430484.9024390243</v>
      </c>
      <c r="F130" s="523">
        <f t="shared" si="26"/>
        <v>13563404.478000164</v>
      </c>
      <c r="G130" s="523">
        <f t="shared" si="27"/>
        <v>14278646.929219676</v>
      </c>
      <c r="H130" s="526">
        <f t="shared" si="28"/>
        <v>3051314.4622454601</v>
      </c>
      <c r="I130" s="577">
        <f t="shared" si="29"/>
        <v>3051314.4622454601</v>
      </c>
      <c r="J130" s="514">
        <f t="shared" si="19"/>
        <v>0</v>
      </c>
      <c r="K130" s="514"/>
      <c r="L130" s="525"/>
      <c r="M130" s="514">
        <f t="shared" si="20"/>
        <v>0</v>
      </c>
      <c r="N130" s="525"/>
      <c r="O130" s="514">
        <f t="shared" si="21"/>
        <v>0</v>
      </c>
      <c r="P130" s="514">
        <f t="shared" si="22"/>
        <v>0</v>
      </c>
    </row>
    <row r="131" spans="2:16" ht="12.5">
      <c r="B131" s="195" t="str">
        <f t="shared" si="23"/>
        <v/>
      </c>
      <c r="C131" s="507">
        <f>IF(D93="","-",+C130+1)</f>
        <v>2048</v>
      </c>
      <c r="D131" s="374">
        <f>IF(F130+SUM(E$99:E130)=D$92,F130,D$92-SUM(E$99:E130))</f>
        <v>13563404.478000164</v>
      </c>
      <c r="E131" s="522">
        <f>IF(+J96&lt;F130,J96,D131)</f>
        <v>1430484.9024390243</v>
      </c>
      <c r="F131" s="523">
        <f t="shared" ref="F131:F154" si="30">+D131-E131</f>
        <v>12132919.57556114</v>
      </c>
      <c r="G131" s="523">
        <f t="shared" ref="G131:G154" si="31">+(F131+D131)/2</f>
        <v>12848162.026780652</v>
      </c>
      <c r="H131" s="526">
        <f t="shared" si="28"/>
        <v>2888934.0752085559</v>
      </c>
      <c r="I131" s="577">
        <f t="shared" si="29"/>
        <v>2888934.0752085559</v>
      </c>
      <c r="J131" s="514">
        <f t="shared" ref="J131:J154" si="32">+I541-H541</f>
        <v>0</v>
      </c>
      <c r="K131" s="514"/>
      <c r="L131" s="525"/>
      <c r="M131" s="514">
        <f t="shared" ref="M131:M154" si="33">IF(L541&lt;&gt;0,+H541-L541,0)</f>
        <v>0</v>
      </c>
      <c r="N131" s="525"/>
      <c r="O131" s="514">
        <f t="shared" ref="O131:O154" si="34">IF(N541&lt;&gt;0,+I541-N541,0)</f>
        <v>0</v>
      </c>
      <c r="P131" s="514">
        <f t="shared" ref="P131:P154" si="35">+O541-M541</f>
        <v>0</v>
      </c>
    </row>
    <row r="132" spans="2:16" ht="12.5">
      <c r="B132" s="195" t="str">
        <f t="shared" si="23"/>
        <v/>
      </c>
      <c r="C132" s="507">
        <f>IF(D93="","-",+C131+1)</f>
        <v>2049</v>
      </c>
      <c r="D132" s="374">
        <f>IF(F131+SUM(E$99:E131)=D$92,F131,D$92-SUM(E$99:E131))</f>
        <v>12132919.57556114</v>
      </c>
      <c r="E132" s="522">
        <f>IF(+J96&lt;F131,J96,D132)</f>
        <v>1430484.9024390243</v>
      </c>
      <c r="F132" s="523">
        <f t="shared" si="30"/>
        <v>10702434.673122115</v>
      </c>
      <c r="G132" s="523">
        <f t="shared" si="31"/>
        <v>11417677.124341628</v>
      </c>
      <c r="H132" s="526">
        <f t="shared" si="28"/>
        <v>2726553.6881716512</v>
      </c>
      <c r="I132" s="577">
        <f t="shared" si="29"/>
        <v>2726553.6881716512</v>
      </c>
      <c r="J132" s="514">
        <f t="shared" si="32"/>
        <v>0</v>
      </c>
      <c r="K132" s="514"/>
      <c r="L132" s="525"/>
      <c r="M132" s="514">
        <f t="shared" si="33"/>
        <v>0</v>
      </c>
      <c r="N132" s="525"/>
      <c r="O132" s="514">
        <f t="shared" si="34"/>
        <v>0</v>
      </c>
      <c r="P132" s="514">
        <f t="shared" si="35"/>
        <v>0</v>
      </c>
    </row>
    <row r="133" spans="2:16" ht="12.5">
      <c r="B133" s="195" t="str">
        <f t="shared" si="23"/>
        <v/>
      </c>
      <c r="C133" s="507">
        <f>IF(D93="","-",+C132+1)</f>
        <v>2050</v>
      </c>
      <c r="D133" s="374">
        <f>IF(F132+SUM(E$99:E132)=D$92,F132,D$92-SUM(E$99:E132))</f>
        <v>10702434.673122115</v>
      </c>
      <c r="E133" s="522">
        <f>IF(+J96&lt;F132,J96,D133)</f>
        <v>1430484.9024390243</v>
      </c>
      <c r="F133" s="523">
        <f t="shared" si="30"/>
        <v>9271949.7706830911</v>
      </c>
      <c r="G133" s="523">
        <f t="shared" si="31"/>
        <v>9987192.2219026033</v>
      </c>
      <c r="H133" s="526">
        <f t="shared" si="28"/>
        <v>2564173.3011347475</v>
      </c>
      <c r="I133" s="577">
        <f t="shared" si="29"/>
        <v>2564173.3011347475</v>
      </c>
      <c r="J133" s="514">
        <f t="shared" si="32"/>
        <v>0</v>
      </c>
      <c r="K133" s="514"/>
      <c r="L133" s="525"/>
      <c r="M133" s="514">
        <f t="shared" si="33"/>
        <v>0</v>
      </c>
      <c r="N133" s="525"/>
      <c r="O133" s="514">
        <f t="shared" si="34"/>
        <v>0</v>
      </c>
      <c r="P133" s="514">
        <f t="shared" si="35"/>
        <v>0</v>
      </c>
    </row>
    <row r="134" spans="2:16" ht="12.5">
      <c r="B134" s="195" t="str">
        <f t="shared" si="23"/>
        <v/>
      </c>
      <c r="C134" s="507">
        <f>IF(D93="","-",+C133+1)</f>
        <v>2051</v>
      </c>
      <c r="D134" s="374">
        <f>IF(F133+SUM(E$99:E133)=D$92,F133,D$92-SUM(E$99:E133))</f>
        <v>9271949.7706830911</v>
      </c>
      <c r="E134" s="522">
        <f>IF(+J96&lt;F133,J96,D134)</f>
        <v>1430484.9024390243</v>
      </c>
      <c r="F134" s="523">
        <f t="shared" si="30"/>
        <v>7841464.8682440668</v>
      </c>
      <c r="G134" s="523">
        <f t="shared" si="31"/>
        <v>8556707.319463579</v>
      </c>
      <c r="H134" s="526">
        <f t="shared" si="28"/>
        <v>2401792.9140978428</v>
      </c>
      <c r="I134" s="577">
        <f t="shared" si="29"/>
        <v>2401792.9140978428</v>
      </c>
      <c r="J134" s="514">
        <f t="shared" si="32"/>
        <v>0</v>
      </c>
      <c r="K134" s="514"/>
      <c r="L134" s="525"/>
      <c r="M134" s="514">
        <f t="shared" si="33"/>
        <v>0</v>
      </c>
      <c r="N134" s="525"/>
      <c r="O134" s="514">
        <f t="shared" si="34"/>
        <v>0</v>
      </c>
      <c r="P134" s="514">
        <f t="shared" si="35"/>
        <v>0</v>
      </c>
    </row>
    <row r="135" spans="2:16" ht="12.5">
      <c r="B135" s="195" t="str">
        <f t="shared" si="23"/>
        <v/>
      </c>
      <c r="C135" s="507">
        <f>IF(D93="","-",+C134+1)</f>
        <v>2052</v>
      </c>
      <c r="D135" s="374">
        <f>IF(F134+SUM(E$99:E134)=D$92,F134,D$92-SUM(E$99:E134))</f>
        <v>7841464.8682440668</v>
      </c>
      <c r="E135" s="522">
        <f>IF(+J96&lt;F134,J96,D135)</f>
        <v>1430484.9024390243</v>
      </c>
      <c r="F135" s="523">
        <f t="shared" si="30"/>
        <v>6410979.9658050425</v>
      </c>
      <c r="G135" s="523">
        <f t="shared" si="31"/>
        <v>7126222.4170245547</v>
      </c>
      <c r="H135" s="526">
        <f t="shared" si="28"/>
        <v>2239412.5270609385</v>
      </c>
      <c r="I135" s="577">
        <f t="shared" si="29"/>
        <v>2239412.5270609385</v>
      </c>
      <c r="J135" s="514">
        <f t="shared" si="32"/>
        <v>0</v>
      </c>
      <c r="K135" s="514"/>
      <c r="L135" s="525"/>
      <c r="M135" s="514">
        <f t="shared" si="33"/>
        <v>0</v>
      </c>
      <c r="N135" s="525"/>
      <c r="O135" s="514">
        <f t="shared" si="34"/>
        <v>0</v>
      </c>
      <c r="P135" s="514">
        <f t="shared" si="35"/>
        <v>0</v>
      </c>
    </row>
    <row r="136" spans="2:16" ht="12.5">
      <c r="B136" s="195" t="str">
        <f t="shared" si="23"/>
        <v/>
      </c>
      <c r="C136" s="507">
        <f>IF(D93="","-",+C135+1)</f>
        <v>2053</v>
      </c>
      <c r="D136" s="374">
        <f>IF(F135+SUM(E$99:E135)=D$92,F135,D$92-SUM(E$99:E135))</f>
        <v>6410979.9658050425</v>
      </c>
      <c r="E136" s="522">
        <f>IF(+J96&lt;F135,J96,D136)</f>
        <v>1430484.9024390243</v>
      </c>
      <c r="F136" s="523">
        <f t="shared" si="30"/>
        <v>4980495.0633660182</v>
      </c>
      <c r="G136" s="523">
        <f t="shared" si="31"/>
        <v>5695737.5145855304</v>
      </c>
      <c r="H136" s="526">
        <f t="shared" si="28"/>
        <v>2077032.1400240343</v>
      </c>
      <c r="I136" s="577">
        <f t="shared" si="29"/>
        <v>2077032.1400240343</v>
      </c>
      <c r="J136" s="514">
        <f t="shared" si="32"/>
        <v>0</v>
      </c>
      <c r="K136" s="514"/>
      <c r="L136" s="525"/>
      <c r="M136" s="514">
        <f t="shared" si="33"/>
        <v>0</v>
      </c>
      <c r="N136" s="525"/>
      <c r="O136" s="514">
        <f t="shared" si="34"/>
        <v>0</v>
      </c>
      <c r="P136" s="514">
        <f t="shared" si="35"/>
        <v>0</v>
      </c>
    </row>
    <row r="137" spans="2:16" ht="12.5">
      <c r="B137" s="195" t="str">
        <f t="shared" si="23"/>
        <v>IU</v>
      </c>
      <c r="C137" s="507">
        <f>IF(D93="","-",+C136+1)</f>
        <v>2054</v>
      </c>
      <c r="D137" s="374">
        <f>IF(F136+SUM(E$99:E136)=D$92,F136,D$92-SUM(E$99:E136))</f>
        <v>4980495.0633659661</v>
      </c>
      <c r="E137" s="522">
        <f>IF(+J96&lt;F136,J96,D137)</f>
        <v>1430484.9024390243</v>
      </c>
      <c r="F137" s="523">
        <f t="shared" si="30"/>
        <v>3550010.1609269418</v>
      </c>
      <c r="G137" s="523">
        <f t="shared" si="31"/>
        <v>4265252.6121464539</v>
      </c>
      <c r="H137" s="526">
        <f t="shared" si="28"/>
        <v>1914651.752987124</v>
      </c>
      <c r="I137" s="577">
        <f t="shared" si="29"/>
        <v>1914651.752987124</v>
      </c>
      <c r="J137" s="514">
        <f t="shared" si="32"/>
        <v>0</v>
      </c>
      <c r="K137" s="514"/>
      <c r="L137" s="525"/>
      <c r="M137" s="514">
        <f t="shared" si="33"/>
        <v>0</v>
      </c>
      <c r="N137" s="525"/>
      <c r="O137" s="514">
        <f t="shared" si="34"/>
        <v>0</v>
      </c>
      <c r="P137" s="514">
        <f t="shared" si="35"/>
        <v>0</v>
      </c>
    </row>
    <row r="138" spans="2:16" ht="12.5">
      <c r="B138" s="195" t="str">
        <f t="shared" si="23"/>
        <v/>
      </c>
      <c r="C138" s="507">
        <f>IF(D93="","-",+C137+1)</f>
        <v>2055</v>
      </c>
      <c r="D138" s="374">
        <f>IF(F137+SUM(E$99:E137)=D$92,F137,D$92-SUM(E$99:E137))</f>
        <v>3550010.1609269418</v>
      </c>
      <c r="E138" s="522">
        <f>IF(+J96&lt;F137,J96,D138)</f>
        <v>1430484.9024390243</v>
      </c>
      <c r="F138" s="523">
        <f t="shared" si="30"/>
        <v>2119525.2584879175</v>
      </c>
      <c r="G138" s="523">
        <f t="shared" si="31"/>
        <v>2834767.7097074296</v>
      </c>
      <c r="H138" s="526">
        <f t="shared" si="28"/>
        <v>1752271.3659502198</v>
      </c>
      <c r="I138" s="577">
        <f t="shared" si="29"/>
        <v>1752271.3659502198</v>
      </c>
      <c r="J138" s="514">
        <f t="shared" si="32"/>
        <v>0</v>
      </c>
      <c r="K138" s="514"/>
      <c r="L138" s="525"/>
      <c r="M138" s="514">
        <f t="shared" si="33"/>
        <v>0</v>
      </c>
      <c r="N138" s="525"/>
      <c r="O138" s="514">
        <f t="shared" si="34"/>
        <v>0</v>
      </c>
      <c r="P138" s="514">
        <f t="shared" si="35"/>
        <v>0</v>
      </c>
    </row>
    <row r="139" spans="2:16" ht="12.5">
      <c r="B139" s="195" t="str">
        <f t="shared" si="23"/>
        <v/>
      </c>
      <c r="C139" s="507">
        <f>IF(D93="","-",+C138+1)</f>
        <v>2056</v>
      </c>
      <c r="D139" s="374">
        <f>IF(F138+SUM(E$99:E138)=D$92,F138,D$92-SUM(E$99:E138))</f>
        <v>2119525.2584879175</v>
      </c>
      <c r="E139" s="522">
        <f>IF(+J96&lt;F138,J96,D139)</f>
        <v>1430484.9024390243</v>
      </c>
      <c r="F139" s="523">
        <f t="shared" si="30"/>
        <v>689040.35604889318</v>
      </c>
      <c r="G139" s="523">
        <f t="shared" si="31"/>
        <v>1404282.8072684053</v>
      </c>
      <c r="H139" s="526">
        <f t="shared" si="28"/>
        <v>1589890.9789133156</v>
      </c>
      <c r="I139" s="577">
        <f t="shared" si="29"/>
        <v>1589890.9789133156</v>
      </c>
      <c r="J139" s="514">
        <f t="shared" si="32"/>
        <v>0</v>
      </c>
      <c r="K139" s="514"/>
      <c r="L139" s="525"/>
      <c r="M139" s="514">
        <f t="shared" si="33"/>
        <v>0</v>
      </c>
      <c r="N139" s="525"/>
      <c r="O139" s="514">
        <f t="shared" si="34"/>
        <v>0</v>
      </c>
      <c r="P139" s="514">
        <f t="shared" si="35"/>
        <v>0</v>
      </c>
    </row>
    <row r="140" spans="2:16" ht="12.5">
      <c r="B140" s="195" t="str">
        <f t="shared" si="23"/>
        <v/>
      </c>
      <c r="C140" s="507">
        <f>IF(D93="","-",+C139+1)</f>
        <v>2057</v>
      </c>
      <c r="D140" s="374">
        <f>IF(F139+SUM(E$99:E139)=D$92,F139,D$92-SUM(E$99:E139))</f>
        <v>689040.35604889318</v>
      </c>
      <c r="E140" s="522">
        <f>IF(+J96&lt;F139,J96,D140)</f>
        <v>689040.35604889318</v>
      </c>
      <c r="F140" s="523">
        <f t="shared" si="30"/>
        <v>0</v>
      </c>
      <c r="G140" s="523">
        <f t="shared" si="31"/>
        <v>344520.17802444659</v>
      </c>
      <c r="H140" s="526">
        <f t="shared" si="28"/>
        <v>728148.29752681276</v>
      </c>
      <c r="I140" s="577">
        <f t="shared" si="29"/>
        <v>728148.29752681276</v>
      </c>
      <c r="J140" s="514">
        <f t="shared" si="32"/>
        <v>0</v>
      </c>
      <c r="K140" s="514"/>
      <c r="L140" s="525"/>
      <c r="M140" s="514">
        <f t="shared" si="33"/>
        <v>0</v>
      </c>
      <c r="N140" s="525"/>
      <c r="O140" s="514">
        <f t="shared" si="34"/>
        <v>0</v>
      </c>
      <c r="P140" s="514">
        <f t="shared" si="35"/>
        <v>0</v>
      </c>
    </row>
    <row r="141" spans="2:16" ht="12.5">
      <c r="B141" s="195" t="str">
        <f t="shared" si="23"/>
        <v/>
      </c>
      <c r="C141" s="507">
        <f>IF(D93="","-",+C140+1)</f>
        <v>2058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30"/>
        <v>0</v>
      </c>
      <c r="G141" s="523">
        <f t="shared" si="31"/>
        <v>0</v>
      </c>
      <c r="H141" s="526">
        <f t="shared" si="28"/>
        <v>0</v>
      </c>
      <c r="I141" s="577">
        <f t="shared" si="29"/>
        <v>0</v>
      </c>
      <c r="J141" s="514">
        <f t="shared" si="32"/>
        <v>0</v>
      </c>
      <c r="K141" s="514"/>
      <c r="L141" s="525"/>
      <c r="M141" s="514">
        <f t="shared" si="33"/>
        <v>0</v>
      </c>
      <c r="N141" s="525"/>
      <c r="O141" s="514">
        <f t="shared" si="34"/>
        <v>0</v>
      </c>
      <c r="P141" s="514">
        <f t="shared" si="35"/>
        <v>0</v>
      </c>
    </row>
    <row r="142" spans="2:16" ht="12.5">
      <c r="B142" s="195" t="str">
        <f t="shared" si="23"/>
        <v/>
      </c>
      <c r="C142" s="507">
        <f>IF(D93="","-",+C141+1)</f>
        <v>2059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30"/>
        <v>0</v>
      </c>
      <c r="G142" s="523">
        <f t="shared" si="31"/>
        <v>0</v>
      </c>
      <c r="H142" s="526">
        <f t="shared" si="28"/>
        <v>0</v>
      </c>
      <c r="I142" s="577">
        <f t="shared" si="29"/>
        <v>0</v>
      </c>
      <c r="J142" s="514">
        <f t="shared" si="32"/>
        <v>0</v>
      </c>
      <c r="K142" s="514"/>
      <c r="L142" s="525"/>
      <c r="M142" s="514">
        <f t="shared" si="33"/>
        <v>0</v>
      </c>
      <c r="N142" s="525"/>
      <c r="O142" s="514">
        <f t="shared" si="34"/>
        <v>0</v>
      </c>
      <c r="P142" s="514">
        <f t="shared" si="35"/>
        <v>0</v>
      </c>
    </row>
    <row r="143" spans="2:16" ht="12.5">
      <c r="B143" s="195" t="str">
        <f t="shared" si="23"/>
        <v/>
      </c>
      <c r="C143" s="507">
        <f>IF(D93="","-",+C142+1)</f>
        <v>2060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30"/>
        <v>0</v>
      </c>
      <c r="G143" s="523">
        <f t="shared" si="31"/>
        <v>0</v>
      </c>
      <c r="H143" s="526">
        <f t="shared" si="28"/>
        <v>0</v>
      </c>
      <c r="I143" s="577">
        <f t="shared" si="29"/>
        <v>0</v>
      </c>
      <c r="J143" s="514">
        <f t="shared" si="32"/>
        <v>0</v>
      </c>
      <c r="K143" s="514"/>
      <c r="L143" s="525"/>
      <c r="M143" s="514">
        <f t="shared" si="33"/>
        <v>0</v>
      </c>
      <c r="N143" s="525"/>
      <c r="O143" s="514">
        <f t="shared" si="34"/>
        <v>0</v>
      </c>
      <c r="P143" s="514">
        <f t="shared" si="35"/>
        <v>0</v>
      </c>
    </row>
    <row r="144" spans="2:16" ht="12.5">
      <c r="B144" s="195" t="str">
        <f t="shared" si="23"/>
        <v/>
      </c>
      <c r="C144" s="507">
        <f>IF(D93="","-",+C143+1)</f>
        <v>2061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30"/>
        <v>0</v>
      </c>
      <c r="G144" s="523">
        <f t="shared" si="31"/>
        <v>0</v>
      </c>
      <c r="H144" s="526">
        <f t="shared" si="28"/>
        <v>0</v>
      </c>
      <c r="I144" s="577">
        <f t="shared" si="29"/>
        <v>0</v>
      </c>
      <c r="J144" s="514">
        <f t="shared" si="32"/>
        <v>0</v>
      </c>
      <c r="K144" s="514"/>
      <c r="L144" s="525"/>
      <c r="M144" s="514">
        <f t="shared" si="33"/>
        <v>0</v>
      </c>
      <c r="N144" s="525"/>
      <c r="O144" s="514">
        <f t="shared" si="34"/>
        <v>0</v>
      </c>
      <c r="P144" s="514">
        <f t="shared" si="35"/>
        <v>0</v>
      </c>
    </row>
    <row r="145" spans="2:16" ht="12.5">
      <c r="B145" s="195" t="str">
        <f t="shared" si="23"/>
        <v/>
      </c>
      <c r="C145" s="507">
        <f>IF(D93="","-",+C144+1)</f>
        <v>2062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30"/>
        <v>0</v>
      </c>
      <c r="G145" s="523">
        <f t="shared" si="31"/>
        <v>0</v>
      </c>
      <c r="H145" s="526">
        <f t="shared" si="28"/>
        <v>0</v>
      </c>
      <c r="I145" s="577">
        <f t="shared" si="29"/>
        <v>0</v>
      </c>
      <c r="J145" s="514">
        <f t="shared" si="32"/>
        <v>0</v>
      </c>
      <c r="K145" s="514"/>
      <c r="L145" s="525"/>
      <c r="M145" s="514">
        <f t="shared" si="33"/>
        <v>0</v>
      </c>
      <c r="N145" s="525"/>
      <c r="O145" s="514">
        <f t="shared" si="34"/>
        <v>0</v>
      </c>
      <c r="P145" s="514">
        <f t="shared" si="35"/>
        <v>0</v>
      </c>
    </row>
    <row r="146" spans="2:16" ht="12.5">
      <c r="B146" s="195" t="str">
        <f t="shared" si="23"/>
        <v/>
      </c>
      <c r="C146" s="507">
        <f>IF(D93="","-",+C145+1)</f>
        <v>2063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30"/>
        <v>0</v>
      </c>
      <c r="G146" s="523">
        <f t="shared" si="31"/>
        <v>0</v>
      </c>
      <c r="H146" s="526">
        <f t="shared" si="28"/>
        <v>0</v>
      </c>
      <c r="I146" s="577">
        <f t="shared" si="29"/>
        <v>0</v>
      </c>
      <c r="J146" s="514">
        <f t="shared" si="32"/>
        <v>0</v>
      </c>
      <c r="K146" s="514"/>
      <c r="L146" s="525"/>
      <c r="M146" s="514">
        <f t="shared" si="33"/>
        <v>0</v>
      </c>
      <c r="N146" s="525"/>
      <c r="O146" s="514">
        <f t="shared" si="34"/>
        <v>0</v>
      </c>
      <c r="P146" s="514">
        <f t="shared" si="35"/>
        <v>0</v>
      </c>
    </row>
    <row r="147" spans="2:16" ht="12.5">
      <c r="B147" s="195" t="str">
        <f t="shared" si="23"/>
        <v/>
      </c>
      <c r="C147" s="507">
        <f>IF(D93="","-",+C146+1)</f>
        <v>2064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30"/>
        <v>0</v>
      </c>
      <c r="G147" s="523">
        <f t="shared" si="31"/>
        <v>0</v>
      </c>
      <c r="H147" s="526">
        <f t="shared" si="28"/>
        <v>0</v>
      </c>
      <c r="I147" s="577">
        <f t="shared" si="29"/>
        <v>0</v>
      </c>
      <c r="J147" s="514">
        <f t="shared" si="32"/>
        <v>0</v>
      </c>
      <c r="K147" s="514"/>
      <c r="L147" s="525"/>
      <c r="M147" s="514">
        <f t="shared" si="33"/>
        <v>0</v>
      </c>
      <c r="N147" s="525"/>
      <c r="O147" s="514">
        <f t="shared" si="34"/>
        <v>0</v>
      </c>
      <c r="P147" s="514">
        <f t="shared" si="35"/>
        <v>0</v>
      </c>
    </row>
    <row r="148" spans="2:16" ht="12.5">
      <c r="B148" s="195" t="str">
        <f t="shared" si="23"/>
        <v/>
      </c>
      <c r="C148" s="507">
        <f>IF(D93="","-",+C147+1)</f>
        <v>2065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30"/>
        <v>0</v>
      </c>
      <c r="G148" s="523">
        <f t="shared" si="31"/>
        <v>0</v>
      </c>
      <c r="H148" s="526">
        <f t="shared" si="28"/>
        <v>0</v>
      </c>
      <c r="I148" s="577">
        <f t="shared" si="29"/>
        <v>0</v>
      </c>
      <c r="J148" s="514">
        <f t="shared" si="32"/>
        <v>0</v>
      </c>
      <c r="K148" s="514"/>
      <c r="L148" s="525"/>
      <c r="M148" s="514">
        <f t="shared" si="33"/>
        <v>0</v>
      </c>
      <c r="N148" s="525"/>
      <c r="O148" s="514">
        <f t="shared" si="34"/>
        <v>0</v>
      </c>
      <c r="P148" s="514">
        <f t="shared" si="35"/>
        <v>0</v>
      </c>
    </row>
    <row r="149" spans="2:16" ht="12.5">
      <c r="B149" s="195" t="str">
        <f t="shared" si="23"/>
        <v/>
      </c>
      <c r="C149" s="507">
        <f>IF(D93="","-",+C148+1)</f>
        <v>2066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30"/>
        <v>0</v>
      </c>
      <c r="G149" s="523">
        <f t="shared" si="31"/>
        <v>0</v>
      </c>
      <c r="H149" s="526">
        <f t="shared" si="28"/>
        <v>0</v>
      </c>
      <c r="I149" s="577">
        <f t="shared" si="29"/>
        <v>0</v>
      </c>
      <c r="J149" s="514">
        <f t="shared" si="32"/>
        <v>0</v>
      </c>
      <c r="K149" s="514"/>
      <c r="L149" s="525"/>
      <c r="M149" s="514">
        <f t="shared" si="33"/>
        <v>0</v>
      </c>
      <c r="N149" s="525"/>
      <c r="O149" s="514">
        <f t="shared" si="34"/>
        <v>0</v>
      </c>
      <c r="P149" s="514">
        <f t="shared" si="35"/>
        <v>0</v>
      </c>
    </row>
    <row r="150" spans="2:16" ht="12.5">
      <c r="B150" s="195" t="str">
        <f t="shared" si="23"/>
        <v/>
      </c>
      <c r="C150" s="507">
        <f>IF(D93="","-",+C149+1)</f>
        <v>2067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30"/>
        <v>0</v>
      </c>
      <c r="G150" s="523">
        <f t="shared" si="31"/>
        <v>0</v>
      </c>
      <c r="H150" s="526">
        <f t="shared" si="28"/>
        <v>0</v>
      </c>
      <c r="I150" s="577">
        <f t="shared" si="29"/>
        <v>0</v>
      </c>
      <c r="J150" s="514">
        <f t="shared" si="32"/>
        <v>0</v>
      </c>
      <c r="K150" s="514"/>
      <c r="L150" s="525"/>
      <c r="M150" s="514">
        <f t="shared" si="33"/>
        <v>0</v>
      </c>
      <c r="N150" s="525"/>
      <c r="O150" s="514">
        <f t="shared" si="34"/>
        <v>0</v>
      </c>
      <c r="P150" s="514">
        <f t="shared" si="35"/>
        <v>0</v>
      </c>
    </row>
    <row r="151" spans="2:16" ht="12.5">
      <c r="B151" s="195" t="str">
        <f t="shared" si="23"/>
        <v/>
      </c>
      <c r="C151" s="507">
        <f>IF(D93="","-",+C150+1)</f>
        <v>2068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30"/>
        <v>0</v>
      </c>
      <c r="G151" s="523">
        <f t="shared" si="31"/>
        <v>0</v>
      </c>
      <c r="H151" s="526">
        <f t="shared" si="28"/>
        <v>0</v>
      </c>
      <c r="I151" s="577">
        <f t="shared" si="29"/>
        <v>0</v>
      </c>
      <c r="J151" s="514">
        <f t="shared" si="32"/>
        <v>0</v>
      </c>
      <c r="K151" s="514"/>
      <c r="L151" s="525"/>
      <c r="M151" s="514">
        <f t="shared" si="33"/>
        <v>0</v>
      </c>
      <c r="N151" s="525"/>
      <c r="O151" s="514">
        <f t="shared" si="34"/>
        <v>0</v>
      </c>
      <c r="P151" s="514">
        <f t="shared" si="35"/>
        <v>0</v>
      </c>
    </row>
    <row r="152" spans="2:16" ht="12.5">
      <c r="B152" s="195" t="str">
        <f t="shared" si="23"/>
        <v/>
      </c>
      <c r="C152" s="507">
        <f>IF(D93="","-",+C151+1)</f>
        <v>2069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30"/>
        <v>0</v>
      </c>
      <c r="G152" s="523">
        <f t="shared" si="31"/>
        <v>0</v>
      </c>
      <c r="H152" s="526">
        <f t="shared" si="28"/>
        <v>0</v>
      </c>
      <c r="I152" s="577">
        <f t="shared" si="29"/>
        <v>0</v>
      </c>
      <c r="J152" s="514">
        <f t="shared" si="32"/>
        <v>0</v>
      </c>
      <c r="K152" s="514"/>
      <c r="L152" s="525"/>
      <c r="M152" s="514">
        <f t="shared" si="33"/>
        <v>0</v>
      </c>
      <c r="N152" s="525"/>
      <c r="O152" s="514">
        <f t="shared" si="34"/>
        <v>0</v>
      </c>
      <c r="P152" s="514">
        <f t="shared" si="35"/>
        <v>0</v>
      </c>
    </row>
    <row r="153" spans="2:16" ht="12.5">
      <c r="B153" s="195" t="str">
        <f t="shared" si="23"/>
        <v/>
      </c>
      <c r="C153" s="507">
        <f>IF(D93="","-",+C152+1)</f>
        <v>2070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30"/>
        <v>0</v>
      </c>
      <c r="G153" s="523">
        <f t="shared" si="31"/>
        <v>0</v>
      </c>
      <c r="H153" s="526">
        <f t="shared" si="28"/>
        <v>0</v>
      </c>
      <c r="I153" s="577">
        <f t="shared" si="29"/>
        <v>0</v>
      </c>
      <c r="J153" s="514">
        <f t="shared" si="32"/>
        <v>0</v>
      </c>
      <c r="K153" s="514"/>
      <c r="L153" s="525"/>
      <c r="M153" s="514">
        <f t="shared" si="33"/>
        <v>0</v>
      </c>
      <c r="N153" s="525"/>
      <c r="O153" s="514">
        <f t="shared" si="34"/>
        <v>0</v>
      </c>
      <c r="P153" s="514">
        <f t="shared" si="35"/>
        <v>0</v>
      </c>
    </row>
    <row r="154" spans="2:16" ht="13" thickBot="1">
      <c r="B154" s="195" t="str">
        <f t="shared" si="23"/>
        <v/>
      </c>
      <c r="C154" s="527">
        <f>IF(D93="","-",+C153+1)</f>
        <v>2071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30"/>
        <v>0</v>
      </c>
      <c r="G154" s="528">
        <f t="shared" si="31"/>
        <v>0</v>
      </c>
      <c r="H154" s="530">
        <f t="shared" si="28"/>
        <v>0</v>
      </c>
      <c r="I154" s="579">
        <f t="shared" si="29"/>
        <v>0</v>
      </c>
      <c r="J154" s="533">
        <f t="shared" si="32"/>
        <v>0</v>
      </c>
      <c r="K154" s="514"/>
      <c r="L154" s="532"/>
      <c r="M154" s="533">
        <f t="shared" si="33"/>
        <v>0</v>
      </c>
      <c r="N154" s="532"/>
      <c r="O154" s="533">
        <f t="shared" si="34"/>
        <v>0</v>
      </c>
      <c r="P154" s="533">
        <f t="shared" si="35"/>
        <v>0</v>
      </c>
    </row>
    <row r="155" spans="2:16" ht="12.5">
      <c r="C155" s="374" t="s">
        <v>78</v>
      </c>
      <c r="D155" s="375"/>
      <c r="E155" s="375">
        <f>SUM(E99:E154)</f>
        <v>58649881.000000015</v>
      </c>
      <c r="F155" s="375"/>
      <c r="G155" s="375"/>
      <c r="H155" s="375">
        <f>SUM(H99:H154)</f>
        <v>193749334.30000031</v>
      </c>
      <c r="I155" s="375">
        <f>SUM(I99:I154)</f>
        <v>193749334.30000031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6" priority="2" stopIfTrue="1" operator="equal">
      <formula>$I$10</formula>
    </cfRule>
  </conditionalFormatting>
  <conditionalFormatting sqref="C99:C154">
    <cfRule type="cellIs" dxfId="35" priority="3" stopIfTrue="1" operator="equal">
      <formula>$J$92</formula>
    </cfRule>
  </conditionalFormatting>
  <conditionalFormatting sqref="C17">
    <cfRule type="cellIs" dxfId="34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11"/>
  <dimension ref="A1:P162"/>
  <sheetViews>
    <sheetView view="pageBreakPreview" zoomScale="80" zoomScaleNormal="100" zoomScaleSheetLayoutView="80" workbookViewId="0"/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62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164998.75779973256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164998.75779973256</v>
      </c>
      <c r="O6" s="269"/>
      <c r="P6" s="269"/>
    </row>
    <row r="7" spans="1:16" ht="13.5" thickBot="1">
      <c r="C7" s="467" t="s">
        <v>48</v>
      </c>
      <c r="D7" s="624" t="s">
        <v>382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407</v>
      </c>
      <c r="E9" s="637" t="s">
        <v>408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1247291.6099999999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29697.419285714284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>
        <v>0</v>
      </c>
      <c r="E17" s="658">
        <v>13779.069767441859</v>
      </c>
      <c r="F17" s="651">
        <v>1171220.9302325582</v>
      </c>
      <c r="G17" s="659">
        <v>86331.834002984833</v>
      </c>
      <c r="H17" s="657">
        <v>86331.834002984833</v>
      </c>
      <c r="I17" s="511">
        <f t="shared" ref="I17:I72" si="0">H17-G17</f>
        <v>0</v>
      </c>
      <c r="J17" s="511"/>
      <c r="K17" s="512">
        <f t="shared" ref="K17:K22" si="1">+G17</f>
        <v>86331.834002984833</v>
      </c>
      <c r="L17" s="513">
        <f t="shared" ref="L17:L72" si="2">IF(K17&lt;&gt;0,+G17-K17,0)</f>
        <v>0</v>
      </c>
      <c r="M17" s="512">
        <f>+H17</f>
        <v>86331.834002984833</v>
      </c>
      <c r="N17" s="513">
        <f t="shared" ref="N17:N72" si="3">IF(M17&lt;&gt;0,+H17-M17,0)</f>
        <v>0</v>
      </c>
      <c r="O17" s="514">
        <f t="shared" ref="O17:O72" si="4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1171220.9302325582</v>
      </c>
      <c r="E18" s="630">
        <v>28902.439024390245</v>
      </c>
      <c r="F18" s="631">
        <v>1142318.491208168</v>
      </c>
      <c r="G18" s="630">
        <v>175921.04307589805</v>
      </c>
      <c r="H18" s="639">
        <v>175921.04307589805</v>
      </c>
      <c r="I18" s="511">
        <f t="shared" si="0"/>
        <v>0</v>
      </c>
      <c r="J18" s="511"/>
      <c r="K18" s="518">
        <f t="shared" si="1"/>
        <v>175921.04307589805</v>
      </c>
      <c r="L18" s="519">
        <f t="shared" si="2"/>
        <v>0</v>
      </c>
      <c r="M18" s="518">
        <f>+G18</f>
        <v>175921.04307589805</v>
      </c>
      <c r="N18" s="514">
        <f t="shared" si="3"/>
        <v>0</v>
      </c>
      <c r="O18" s="514">
        <f t="shared" si="4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1142318.491208168</v>
      </c>
      <c r="E19" s="630">
        <v>28902.439024390245</v>
      </c>
      <c r="F19" s="631">
        <v>1113416.0521837778</v>
      </c>
      <c r="G19" s="630">
        <v>172247.71363126423</v>
      </c>
      <c r="H19" s="639">
        <v>172247.71363126423</v>
      </c>
      <c r="I19" s="511">
        <f t="shared" si="0"/>
        <v>0</v>
      </c>
      <c r="J19" s="511"/>
      <c r="K19" s="518">
        <f t="shared" si="1"/>
        <v>172247.71363126423</v>
      </c>
      <c r="L19" s="519">
        <f t="shared" ref="L19" si="5">IF(K19&lt;&gt;0,+G19-K19,0)</f>
        <v>0</v>
      </c>
      <c r="M19" s="518">
        <f>+G19</f>
        <v>172247.71363126423</v>
      </c>
      <c r="N19" s="514">
        <f t="shared" si="3"/>
        <v>0</v>
      </c>
      <c r="O19" s="514">
        <f t="shared" si="4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2020</v>
      </c>
      <c r="D20" s="631">
        <v>1175708.0521837776</v>
      </c>
      <c r="E20" s="630">
        <v>30421.756097560974</v>
      </c>
      <c r="F20" s="631">
        <v>1145286.2960862166</v>
      </c>
      <c r="G20" s="630">
        <v>149181.76277171262</v>
      </c>
      <c r="H20" s="639">
        <v>149181.76277171262</v>
      </c>
      <c r="I20" s="511">
        <f t="shared" si="0"/>
        <v>0</v>
      </c>
      <c r="J20" s="511"/>
      <c r="K20" s="518">
        <f t="shared" si="1"/>
        <v>149181.76277171262</v>
      </c>
      <c r="L20" s="519">
        <f t="shared" ref="L20" si="7">IF(K20&lt;&gt;0,+G20-K20,0)</f>
        <v>0</v>
      </c>
      <c r="M20" s="518">
        <f>+G20</f>
        <v>149181.76277171262</v>
      </c>
      <c r="N20" s="514">
        <f t="shared" si="3"/>
        <v>0</v>
      </c>
      <c r="O20" s="514">
        <f t="shared" si="4"/>
        <v>0</v>
      </c>
      <c r="P20" s="272"/>
    </row>
    <row r="21" spans="2:16" ht="12.5">
      <c r="B21" s="195" t="str">
        <f t="shared" si="6"/>
        <v>IU</v>
      </c>
      <c r="C21" s="507">
        <f>IF(D11="","-",+C20+1)</f>
        <v>2021</v>
      </c>
      <c r="D21" s="631">
        <v>1146630.5955757231</v>
      </c>
      <c r="E21" s="630">
        <v>29697.428571428572</v>
      </c>
      <c r="F21" s="631">
        <v>1116933.1670042945</v>
      </c>
      <c r="G21" s="630">
        <v>149671.45198505887</v>
      </c>
      <c r="H21" s="639">
        <v>149671.45198505887</v>
      </c>
      <c r="I21" s="511">
        <f t="shared" si="0"/>
        <v>0</v>
      </c>
      <c r="J21" s="511"/>
      <c r="K21" s="518">
        <f t="shared" si="1"/>
        <v>149671.45198505887</v>
      </c>
      <c r="L21" s="519">
        <f t="shared" ref="L21" si="8">IF(K21&lt;&gt;0,+G21-K21,0)</f>
        <v>0</v>
      </c>
      <c r="M21" s="518">
        <f>+G21</f>
        <v>149671.45198505887</v>
      </c>
      <c r="N21" s="514">
        <f t="shared" si="3"/>
        <v>0</v>
      </c>
      <c r="O21" s="514">
        <f t="shared" si="4"/>
        <v>0</v>
      </c>
      <c r="P21" s="272"/>
    </row>
    <row r="22" spans="2:16" ht="12.5">
      <c r="B22" s="195" t="str">
        <f t="shared" si="6"/>
        <v>IU</v>
      </c>
      <c r="C22" s="507">
        <f>IF(D11="","-",+C21+1)</f>
        <v>2022</v>
      </c>
      <c r="D22" s="631">
        <v>1115588.8675147882</v>
      </c>
      <c r="E22" s="630">
        <v>29697.428571428572</v>
      </c>
      <c r="F22" s="631">
        <v>1085891.4389433595</v>
      </c>
      <c r="G22" s="630">
        <v>153469.16100420433</v>
      </c>
      <c r="H22" s="639">
        <v>153469.16100420433</v>
      </c>
      <c r="I22" s="511">
        <f t="shared" si="0"/>
        <v>0</v>
      </c>
      <c r="J22" s="511"/>
      <c r="K22" s="518">
        <f t="shared" si="1"/>
        <v>153469.16100420433</v>
      </c>
      <c r="L22" s="519">
        <f t="shared" ref="L22" si="9">IF(K22&lt;&gt;0,+G22-K22,0)</f>
        <v>0</v>
      </c>
      <c r="M22" s="518">
        <f>+G22</f>
        <v>153469.16100420433</v>
      </c>
      <c r="N22" s="514">
        <f t="shared" si="3"/>
        <v>0</v>
      </c>
      <c r="O22" s="514">
        <f t="shared" si="4"/>
        <v>0</v>
      </c>
      <c r="P22" s="272"/>
    </row>
    <row r="23" spans="2:16" ht="12.5">
      <c r="B23" s="195" t="str">
        <f t="shared" si="6"/>
        <v>IU</v>
      </c>
      <c r="C23" s="507">
        <f>IF(D11="","-",+C22+1)</f>
        <v>2023</v>
      </c>
      <c r="D23" s="523">
        <f>IF(F22+SUM(E$17:E22)=D$10,F22,D$10-SUM(E$17:E22))</f>
        <v>1085891.0489433594</v>
      </c>
      <c r="E23" s="522">
        <f>IF(+I14&lt;F22,I14,D23)</f>
        <v>29697.419285714284</v>
      </c>
      <c r="F23" s="523">
        <f t="shared" ref="F23:F72" si="10">+D23-E23</f>
        <v>1056193.629657645</v>
      </c>
      <c r="G23" s="524">
        <f t="shared" ref="G23:G48" si="11">+I$12*((D23+F23)/2)+E23</f>
        <v>164998.75779973256</v>
      </c>
      <c r="H23" s="491">
        <f t="shared" ref="H23:H48" si="12">+I$13*((D23+F23)/2)+E23</f>
        <v>164998.75779973256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3"/>
        <v>0</v>
      </c>
      <c r="O23" s="514">
        <f t="shared" si="4"/>
        <v>0</v>
      </c>
      <c r="P23" s="272"/>
    </row>
    <row r="24" spans="2:16" ht="12.5">
      <c r="B24" s="195" t="str">
        <f t="shared" si="6"/>
        <v/>
      </c>
      <c r="C24" s="507">
        <f>IF(D11="","-",+C23+1)</f>
        <v>2024</v>
      </c>
      <c r="D24" s="523">
        <f>IF(F23+SUM(E$17:E23)=D$10,F23,D$10-SUM(E$17:E23))</f>
        <v>1056193.629657645</v>
      </c>
      <c r="E24" s="522">
        <f>IF(+I14&lt;F23,I14,D24)</f>
        <v>29697.419285714284</v>
      </c>
      <c r="F24" s="523">
        <f t="shared" si="10"/>
        <v>1026496.2103719307</v>
      </c>
      <c r="G24" s="524">
        <f t="shared" si="11"/>
        <v>161247.17821008404</v>
      </c>
      <c r="H24" s="491">
        <f t="shared" si="12"/>
        <v>161247.17821008404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3"/>
        <v>0</v>
      </c>
      <c r="O24" s="514">
        <f t="shared" si="4"/>
        <v>0</v>
      </c>
      <c r="P24" s="272"/>
    </row>
    <row r="25" spans="2:16" ht="12.5">
      <c r="B25" s="195" t="str">
        <f t="shared" si="6"/>
        <v/>
      </c>
      <c r="C25" s="507">
        <f>IF(D11="","-",+C24+1)</f>
        <v>2025</v>
      </c>
      <c r="D25" s="523">
        <f>IF(F24+SUM(E$17:E24)=D$10,F24,D$10-SUM(E$17:E24))</f>
        <v>1026496.2103719307</v>
      </c>
      <c r="E25" s="522">
        <f>IF(+I14&lt;F24,I14,D25)</f>
        <v>29697.419285714284</v>
      </c>
      <c r="F25" s="523">
        <f t="shared" si="10"/>
        <v>996798.79108621646</v>
      </c>
      <c r="G25" s="524">
        <f t="shared" si="11"/>
        <v>157495.59862043551</v>
      </c>
      <c r="H25" s="491">
        <f t="shared" si="12"/>
        <v>157495.59862043551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3"/>
        <v>0</v>
      </c>
      <c r="O25" s="514">
        <f t="shared" si="4"/>
        <v>0</v>
      </c>
      <c r="P25" s="272"/>
    </row>
    <row r="26" spans="2:16" ht="12.5">
      <c r="B26" s="195" t="str">
        <f t="shared" si="6"/>
        <v/>
      </c>
      <c r="C26" s="507">
        <f>IF(D11="","-",+C25+1)</f>
        <v>2026</v>
      </c>
      <c r="D26" s="523">
        <f>IF(F25+SUM(E$17:E25)=D$10,F25,D$10-SUM(E$17:E25))</f>
        <v>996798.79108621646</v>
      </c>
      <c r="E26" s="522">
        <f>IF(+I14&lt;F25,I14,D26)</f>
        <v>29697.419285714284</v>
      </c>
      <c r="F26" s="523">
        <f t="shared" si="10"/>
        <v>967101.37180050218</v>
      </c>
      <c r="G26" s="524">
        <f t="shared" si="11"/>
        <v>153744.01903078702</v>
      </c>
      <c r="H26" s="491">
        <f t="shared" si="12"/>
        <v>153744.01903078702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3"/>
        <v>0</v>
      </c>
      <c r="O26" s="514">
        <f t="shared" si="4"/>
        <v>0</v>
      </c>
      <c r="P26" s="272"/>
    </row>
    <row r="27" spans="2:16" ht="12.5">
      <c r="B27" s="195" t="str">
        <f t="shared" si="6"/>
        <v/>
      </c>
      <c r="C27" s="507">
        <f>IF(D11="","-",+C26+1)</f>
        <v>2027</v>
      </c>
      <c r="D27" s="523">
        <f>IF(F26+SUM(E$17:E26)=D$10,F26,D$10-SUM(E$17:E26))</f>
        <v>967101.37180050218</v>
      </c>
      <c r="E27" s="522">
        <f>IF(+I14&lt;F26,I14,D27)</f>
        <v>29697.419285714284</v>
      </c>
      <c r="F27" s="523">
        <f t="shared" si="10"/>
        <v>937403.9525147879</v>
      </c>
      <c r="G27" s="524">
        <f t="shared" si="11"/>
        <v>149992.4394411385</v>
      </c>
      <c r="H27" s="491">
        <f t="shared" si="12"/>
        <v>149992.4394411385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3"/>
        <v>0</v>
      </c>
      <c r="O27" s="514">
        <f t="shared" si="4"/>
        <v>0</v>
      </c>
      <c r="P27" s="272"/>
    </row>
    <row r="28" spans="2:16" ht="12.5">
      <c r="B28" s="195" t="str">
        <f t="shared" si="6"/>
        <v/>
      </c>
      <c r="C28" s="507">
        <f>IF(D11="","-",+C27+1)</f>
        <v>2028</v>
      </c>
      <c r="D28" s="523">
        <f>IF(F27+SUM(E$17:E27)=D$10,F27,D$10-SUM(E$17:E27))</f>
        <v>937403.9525147879</v>
      </c>
      <c r="E28" s="522">
        <f>IF(+I14&lt;F27,I14,D28)</f>
        <v>29697.419285714284</v>
      </c>
      <c r="F28" s="523">
        <f t="shared" si="10"/>
        <v>907706.53322907363</v>
      </c>
      <c r="G28" s="524">
        <f t="shared" si="11"/>
        <v>146240.85985149001</v>
      </c>
      <c r="H28" s="491">
        <f t="shared" si="12"/>
        <v>146240.85985149001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3"/>
        <v>0</v>
      </c>
      <c r="O28" s="514">
        <f t="shared" si="4"/>
        <v>0</v>
      </c>
      <c r="P28" s="272"/>
    </row>
    <row r="29" spans="2:16" ht="12.5">
      <c r="B29" s="195" t="str">
        <f t="shared" si="6"/>
        <v/>
      </c>
      <c r="C29" s="507">
        <f>IF(D11="","-",+C28+1)</f>
        <v>2029</v>
      </c>
      <c r="D29" s="523">
        <f>IF(F28+SUM(E$17:E28)=D$10,F28,D$10-SUM(E$17:E28))</f>
        <v>907706.53322907363</v>
      </c>
      <c r="E29" s="522">
        <f>IF(+I14&lt;F28,I14,D29)</f>
        <v>29697.419285714284</v>
      </c>
      <c r="F29" s="523">
        <f t="shared" si="10"/>
        <v>878009.11394335935</v>
      </c>
      <c r="G29" s="524">
        <f t="shared" si="11"/>
        <v>142489.28026184146</v>
      </c>
      <c r="H29" s="491">
        <f t="shared" si="12"/>
        <v>142489.28026184146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3"/>
        <v>0</v>
      </c>
      <c r="O29" s="514">
        <f t="shared" si="4"/>
        <v>0</v>
      </c>
      <c r="P29" s="272"/>
    </row>
    <row r="30" spans="2:16" ht="12.5">
      <c r="B30" s="195" t="str">
        <f t="shared" si="6"/>
        <v/>
      </c>
      <c r="C30" s="507">
        <f>IF(D11="","-",+C29+1)</f>
        <v>2030</v>
      </c>
      <c r="D30" s="523">
        <f>IF(F29+SUM(E$17:E29)=D$10,F29,D$10-SUM(E$17:E29))</f>
        <v>878009.11394335935</v>
      </c>
      <c r="E30" s="522">
        <f>IF(+I14&lt;F29,I14,D30)</f>
        <v>29697.419285714284</v>
      </c>
      <c r="F30" s="523">
        <f t="shared" si="10"/>
        <v>848311.69465764507</v>
      </c>
      <c r="G30" s="524">
        <f t="shared" si="11"/>
        <v>138737.70067219296</v>
      </c>
      <c r="H30" s="491">
        <f t="shared" si="12"/>
        <v>138737.70067219296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3"/>
        <v>0</v>
      </c>
      <c r="O30" s="514">
        <f t="shared" si="4"/>
        <v>0</v>
      </c>
      <c r="P30" s="272"/>
    </row>
    <row r="31" spans="2:16" ht="12.5">
      <c r="B31" s="195" t="str">
        <f t="shared" si="6"/>
        <v/>
      </c>
      <c r="C31" s="507">
        <f>IF(D11="","-",+C30+1)</f>
        <v>2031</v>
      </c>
      <c r="D31" s="523">
        <f>IF(F30+SUM(E$17:E30)=D$10,F30,D$10-SUM(E$17:E30))</f>
        <v>848311.69465764507</v>
      </c>
      <c r="E31" s="522">
        <f>IF(+I14&lt;F30,I14,D31)</f>
        <v>29697.419285714284</v>
      </c>
      <c r="F31" s="523">
        <f t="shared" si="10"/>
        <v>818614.27537193079</v>
      </c>
      <c r="G31" s="524">
        <f t="shared" si="11"/>
        <v>134986.12108254444</v>
      </c>
      <c r="H31" s="491">
        <f t="shared" si="12"/>
        <v>134986.12108254444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3"/>
        <v>0</v>
      </c>
      <c r="O31" s="514">
        <f t="shared" si="4"/>
        <v>0</v>
      </c>
      <c r="P31" s="272"/>
    </row>
    <row r="32" spans="2:16" ht="12.5">
      <c r="B32" s="195" t="str">
        <f t="shared" si="6"/>
        <v/>
      </c>
      <c r="C32" s="507">
        <f>IF(D11="","-",+C31+1)</f>
        <v>2032</v>
      </c>
      <c r="D32" s="523">
        <f>IF(F31+SUM(E$17:E31)=D$10,F31,D$10-SUM(E$17:E31))</f>
        <v>818614.27537193079</v>
      </c>
      <c r="E32" s="522">
        <f>IF(+I14&lt;F31,I14,D32)</f>
        <v>29697.419285714284</v>
      </c>
      <c r="F32" s="523">
        <f t="shared" si="10"/>
        <v>788916.85608621652</v>
      </c>
      <c r="G32" s="524">
        <f t="shared" si="11"/>
        <v>131234.54149289595</v>
      </c>
      <c r="H32" s="491">
        <f t="shared" si="12"/>
        <v>131234.54149289595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3"/>
        <v>0</v>
      </c>
      <c r="O32" s="514">
        <f t="shared" si="4"/>
        <v>0</v>
      </c>
      <c r="P32" s="272"/>
    </row>
    <row r="33" spans="2:16" ht="12.5">
      <c r="B33" s="195" t="str">
        <f t="shared" si="6"/>
        <v/>
      </c>
      <c r="C33" s="507">
        <f>IF(D11="","-",+C32+1)</f>
        <v>2033</v>
      </c>
      <c r="D33" s="523">
        <f>IF(F32+SUM(E$17:E32)=D$10,F32,D$10-SUM(E$17:E32))</f>
        <v>788916.85608621652</v>
      </c>
      <c r="E33" s="522">
        <f>IF(+I14&lt;F32,I14,D33)</f>
        <v>29697.419285714284</v>
      </c>
      <c r="F33" s="523">
        <f t="shared" si="10"/>
        <v>759219.43680050224</v>
      </c>
      <c r="G33" s="524">
        <f t="shared" si="11"/>
        <v>127482.9619032474</v>
      </c>
      <c r="H33" s="491">
        <f t="shared" si="12"/>
        <v>127482.9619032474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3"/>
        <v>0</v>
      </c>
      <c r="O33" s="514">
        <f t="shared" si="4"/>
        <v>0</v>
      </c>
      <c r="P33" s="272"/>
    </row>
    <row r="34" spans="2:16" ht="12.5">
      <c r="B34" s="195" t="str">
        <f t="shared" si="6"/>
        <v/>
      </c>
      <c r="C34" s="507">
        <f>IF(D11="","-",+C33+1)</f>
        <v>2034</v>
      </c>
      <c r="D34" s="523">
        <f>IF(F33+SUM(E$17:E33)=D$10,F33,D$10-SUM(E$17:E33))</f>
        <v>759219.43680050224</v>
      </c>
      <c r="E34" s="522">
        <f>IF(+I14&lt;F33,I14,D34)</f>
        <v>29697.419285714284</v>
      </c>
      <c r="F34" s="523">
        <f t="shared" si="10"/>
        <v>729522.01751478796</v>
      </c>
      <c r="G34" s="524">
        <f t="shared" si="11"/>
        <v>123731.38231359891</v>
      </c>
      <c r="H34" s="491">
        <f t="shared" si="12"/>
        <v>123731.38231359891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3"/>
        <v>0</v>
      </c>
      <c r="O34" s="514">
        <f t="shared" si="4"/>
        <v>0</v>
      </c>
      <c r="P34" s="272"/>
    </row>
    <row r="35" spans="2:16" ht="12.5">
      <c r="B35" s="195" t="str">
        <f t="shared" si="6"/>
        <v/>
      </c>
      <c r="C35" s="507">
        <f>IF(D11="","-",+C34+1)</f>
        <v>2035</v>
      </c>
      <c r="D35" s="523">
        <f>IF(F34+SUM(E$17:E34)=D$10,F34,D$10-SUM(E$17:E34))</f>
        <v>729522.01751478796</v>
      </c>
      <c r="E35" s="522">
        <f>IF(+I14&lt;F34,I14,D35)</f>
        <v>29697.419285714284</v>
      </c>
      <c r="F35" s="523">
        <f t="shared" si="10"/>
        <v>699824.59822907369</v>
      </c>
      <c r="G35" s="524">
        <f t="shared" si="11"/>
        <v>119979.80272395039</v>
      </c>
      <c r="H35" s="491">
        <f t="shared" si="12"/>
        <v>119979.80272395039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3"/>
        <v>0</v>
      </c>
      <c r="O35" s="514">
        <f t="shared" si="4"/>
        <v>0</v>
      </c>
      <c r="P35" s="272"/>
    </row>
    <row r="36" spans="2:16" ht="12.5">
      <c r="B36" s="195" t="str">
        <f t="shared" si="6"/>
        <v/>
      </c>
      <c r="C36" s="507">
        <f>IF(D11="","-",+C35+1)</f>
        <v>2036</v>
      </c>
      <c r="D36" s="523">
        <f>IF(F35+SUM(E$17:E35)=D$10,F35,D$10-SUM(E$17:E35))</f>
        <v>699824.59822907369</v>
      </c>
      <c r="E36" s="522">
        <f>IF(+I14&lt;F35,I14,D36)</f>
        <v>29697.419285714284</v>
      </c>
      <c r="F36" s="523">
        <f t="shared" si="10"/>
        <v>670127.17894335941</v>
      </c>
      <c r="G36" s="524">
        <f t="shared" si="11"/>
        <v>116228.22313430189</v>
      </c>
      <c r="H36" s="491">
        <f t="shared" si="12"/>
        <v>116228.22313430189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3"/>
        <v>0</v>
      </c>
      <c r="O36" s="514">
        <f t="shared" si="4"/>
        <v>0</v>
      </c>
      <c r="P36" s="272"/>
    </row>
    <row r="37" spans="2:16" ht="12.5">
      <c r="B37" s="195" t="str">
        <f t="shared" si="6"/>
        <v/>
      </c>
      <c r="C37" s="507">
        <f>IF(D11="","-",+C36+1)</f>
        <v>2037</v>
      </c>
      <c r="D37" s="523">
        <f>IF(F36+SUM(E$17:E36)=D$10,F36,D$10-SUM(E$17:E36))</f>
        <v>670127.17894335941</v>
      </c>
      <c r="E37" s="522">
        <f>IF(+I14&lt;F36,I14,D37)</f>
        <v>29697.419285714284</v>
      </c>
      <c r="F37" s="523">
        <f t="shared" si="10"/>
        <v>640429.75965764513</v>
      </c>
      <c r="G37" s="524">
        <f t="shared" si="11"/>
        <v>112476.64354465334</v>
      </c>
      <c r="H37" s="491">
        <f t="shared" si="12"/>
        <v>112476.64354465334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3"/>
        <v>0</v>
      </c>
      <c r="O37" s="514">
        <f t="shared" si="4"/>
        <v>0</v>
      </c>
      <c r="P37" s="272"/>
    </row>
    <row r="38" spans="2:16" ht="12.5">
      <c r="B38" s="195" t="str">
        <f t="shared" si="6"/>
        <v/>
      </c>
      <c r="C38" s="507">
        <f>IF(D11="","-",+C37+1)</f>
        <v>2038</v>
      </c>
      <c r="D38" s="523">
        <f>IF(F37+SUM(E$17:E37)=D$10,F37,D$10-SUM(E$17:E37))</f>
        <v>640429.75965764513</v>
      </c>
      <c r="E38" s="522">
        <f>IF(+I14&lt;F37,I14,D38)</f>
        <v>29697.419285714284</v>
      </c>
      <c r="F38" s="523">
        <f t="shared" si="10"/>
        <v>610732.34037193086</v>
      </c>
      <c r="G38" s="524">
        <f t="shared" si="11"/>
        <v>108725.06395500485</v>
      </c>
      <c r="H38" s="491">
        <f t="shared" si="12"/>
        <v>108725.06395500485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3"/>
        <v>0</v>
      </c>
      <c r="O38" s="514">
        <f t="shared" si="4"/>
        <v>0</v>
      </c>
      <c r="P38" s="272"/>
    </row>
    <row r="39" spans="2:16" ht="12.5">
      <c r="B39" s="195" t="str">
        <f t="shared" si="6"/>
        <v/>
      </c>
      <c r="C39" s="507">
        <f>IF(D11="","-",+C38+1)</f>
        <v>2039</v>
      </c>
      <c r="D39" s="523">
        <f>IF(F38+SUM(E$17:E38)=D$10,F38,D$10-SUM(E$17:E38))</f>
        <v>610732.34037193086</v>
      </c>
      <c r="E39" s="522">
        <f>IF(+I14&lt;F38,I14,D39)</f>
        <v>29697.419285714284</v>
      </c>
      <c r="F39" s="523">
        <f t="shared" si="10"/>
        <v>581034.92108621658</v>
      </c>
      <c r="G39" s="524">
        <f t="shared" si="11"/>
        <v>104973.48436535633</v>
      </c>
      <c r="H39" s="491">
        <f t="shared" si="12"/>
        <v>104973.48436535633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3"/>
        <v>0</v>
      </c>
      <c r="O39" s="514">
        <f t="shared" si="4"/>
        <v>0</v>
      </c>
      <c r="P39" s="272"/>
    </row>
    <row r="40" spans="2:16" ht="12.5">
      <c r="B40" s="195" t="str">
        <f t="shared" si="6"/>
        <v/>
      </c>
      <c r="C40" s="507">
        <f>IF(D11="","-",+C39+1)</f>
        <v>2040</v>
      </c>
      <c r="D40" s="523">
        <f>IF(F39+SUM(E$17:E39)=D$10,F39,D$10-SUM(E$17:E39))</f>
        <v>581034.92108621658</v>
      </c>
      <c r="E40" s="522">
        <f>IF(+I14&lt;F39,I14,D40)</f>
        <v>29697.419285714284</v>
      </c>
      <c r="F40" s="523">
        <f t="shared" si="10"/>
        <v>551337.5018005023</v>
      </c>
      <c r="G40" s="524">
        <f t="shared" si="11"/>
        <v>101221.90477570784</v>
      </c>
      <c r="H40" s="491">
        <f t="shared" si="12"/>
        <v>101221.90477570784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3"/>
        <v>0</v>
      </c>
      <c r="O40" s="514">
        <f t="shared" si="4"/>
        <v>0</v>
      </c>
      <c r="P40" s="272"/>
    </row>
    <row r="41" spans="2:16" ht="12.5">
      <c r="B41" s="195" t="str">
        <f t="shared" si="6"/>
        <v/>
      </c>
      <c r="C41" s="507">
        <f>IF(D11="","-",+C40+1)</f>
        <v>2041</v>
      </c>
      <c r="D41" s="523">
        <f>IF(F40+SUM(E$17:E40)=D$10,F40,D$10-SUM(E$17:E40))</f>
        <v>551337.5018005023</v>
      </c>
      <c r="E41" s="522">
        <f>IF(+I14&lt;F40,I14,D41)</f>
        <v>29697.419285714284</v>
      </c>
      <c r="F41" s="523">
        <f t="shared" si="10"/>
        <v>521640.08251478802</v>
      </c>
      <c r="G41" s="524">
        <f t="shared" si="11"/>
        <v>97470.325186059315</v>
      </c>
      <c r="H41" s="491">
        <f t="shared" si="12"/>
        <v>97470.325186059315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3"/>
        <v>0</v>
      </c>
      <c r="O41" s="514">
        <f t="shared" si="4"/>
        <v>0</v>
      </c>
      <c r="P41" s="272"/>
    </row>
    <row r="42" spans="2:16" ht="12.5">
      <c r="B42" s="195" t="str">
        <f t="shared" si="6"/>
        <v/>
      </c>
      <c r="C42" s="507">
        <f>IF(D11="","-",+C41+1)</f>
        <v>2042</v>
      </c>
      <c r="D42" s="523">
        <f>IF(F41+SUM(E$17:E41)=D$10,F41,D$10-SUM(E$17:E41))</f>
        <v>521640.08251478802</v>
      </c>
      <c r="E42" s="522">
        <f>IF(+I14&lt;F41,I14,D42)</f>
        <v>29697.419285714284</v>
      </c>
      <c r="F42" s="523">
        <f t="shared" si="10"/>
        <v>491942.66322907375</v>
      </c>
      <c r="G42" s="524">
        <f t="shared" si="11"/>
        <v>93718.745596410794</v>
      </c>
      <c r="H42" s="491">
        <f t="shared" si="12"/>
        <v>93718.745596410794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3"/>
        <v>0</v>
      </c>
      <c r="O42" s="514">
        <f t="shared" si="4"/>
        <v>0</v>
      </c>
      <c r="P42" s="272"/>
    </row>
    <row r="43" spans="2:16" ht="12.5">
      <c r="B43" s="195" t="str">
        <f t="shared" si="6"/>
        <v/>
      </c>
      <c r="C43" s="507">
        <f>IF(D11="","-",+C42+1)</f>
        <v>2043</v>
      </c>
      <c r="D43" s="523">
        <f>IF(F42+SUM(E$17:E42)=D$10,F42,D$10-SUM(E$17:E42))</f>
        <v>491942.66322907375</v>
      </c>
      <c r="E43" s="522">
        <f>IF(+I14&lt;F42,I14,D43)</f>
        <v>29697.419285714284</v>
      </c>
      <c r="F43" s="523">
        <f t="shared" si="10"/>
        <v>462245.24394335947</v>
      </c>
      <c r="G43" s="524">
        <f t="shared" si="11"/>
        <v>89967.166006762272</v>
      </c>
      <c r="H43" s="491">
        <f t="shared" si="12"/>
        <v>89967.166006762272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3"/>
        <v>0</v>
      </c>
      <c r="O43" s="514">
        <f t="shared" si="4"/>
        <v>0</v>
      </c>
      <c r="P43" s="272"/>
    </row>
    <row r="44" spans="2:16" ht="12.5">
      <c r="B44" s="195" t="str">
        <f t="shared" si="6"/>
        <v/>
      </c>
      <c r="C44" s="507">
        <f>IF(D11="","-",+C43+1)</f>
        <v>2044</v>
      </c>
      <c r="D44" s="523">
        <f>IF(F43+SUM(E$17:E43)=D$10,F43,D$10-SUM(E$17:E43))</f>
        <v>462245.24394335947</v>
      </c>
      <c r="E44" s="522">
        <f>IF(+I14&lt;F43,I14,D44)</f>
        <v>29697.419285714284</v>
      </c>
      <c r="F44" s="523">
        <f t="shared" si="10"/>
        <v>432547.82465764519</v>
      </c>
      <c r="G44" s="524">
        <f t="shared" si="11"/>
        <v>86215.586417113765</v>
      </c>
      <c r="H44" s="491">
        <f t="shared" si="12"/>
        <v>86215.586417113765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3"/>
        <v>0</v>
      </c>
      <c r="O44" s="514">
        <f t="shared" si="4"/>
        <v>0</v>
      </c>
      <c r="P44" s="272"/>
    </row>
    <row r="45" spans="2:16" ht="12.5">
      <c r="B45" s="195" t="str">
        <f t="shared" si="6"/>
        <v/>
      </c>
      <c r="C45" s="507">
        <f>IF(D11="","-",+C44+1)</f>
        <v>2045</v>
      </c>
      <c r="D45" s="523">
        <f>IF(F44+SUM(E$17:E44)=D$10,F44,D$10-SUM(E$17:E44))</f>
        <v>432547.82465764519</v>
      </c>
      <c r="E45" s="522">
        <f>IF(+I14&lt;F44,I14,D45)</f>
        <v>29697.419285714284</v>
      </c>
      <c r="F45" s="523">
        <f t="shared" si="10"/>
        <v>402850.40537193092</v>
      </c>
      <c r="G45" s="524">
        <f t="shared" si="11"/>
        <v>82464.006827465259</v>
      </c>
      <c r="H45" s="491">
        <f t="shared" si="12"/>
        <v>82464.006827465259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3"/>
        <v>0</v>
      </c>
      <c r="O45" s="514">
        <f t="shared" si="4"/>
        <v>0</v>
      </c>
      <c r="P45" s="272"/>
    </row>
    <row r="46" spans="2:16" ht="12.5">
      <c r="B46" s="195" t="str">
        <f t="shared" si="6"/>
        <v/>
      </c>
      <c r="C46" s="507">
        <f>IF(D11="","-",+C45+1)</f>
        <v>2046</v>
      </c>
      <c r="D46" s="523">
        <f>IF(F45+SUM(E$17:E45)=D$10,F45,D$10-SUM(E$17:E45))</f>
        <v>402850.40537193092</v>
      </c>
      <c r="E46" s="522">
        <f>IF(+I14&lt;F45,I14,D46)</f>
        <v>29697.419285714284</v>
      </c>
      <c r="F46" s="523">
        <f t="shared" si="10"/>
        <v>373152.98608621664</v>
      </c>
      <c r="G46" s="524">
        <f t="shared" si="11"/>
        <v>78712.427237816737</v>
      </c>
      <c r="H46" s="491">
        <f t="shared" si="12"/>
        <v>78712.427237816737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3"/>
        <v>0</v>
      </c>
      <c r="O46" s="514">
        <f t="shared" si="4"/>
        <v>0</v>
      </c>
      <c r="P46" s="272"/>
    </row>
    <row r="47" spans="2:16" ht="12.5">
      <c r="B47" s="195" t="str">
        <f t="shared" si="6"/>
        <v/>
      </c>
      <c r="C47" s="507">
        <f>IF(D11="","-",+C46+1)</f>
        <v>2047</v>
      </c>
      <c r="D47" s="523">
        <f>IF(F46+SUM(E$17:E46)=D$10,F46,D$10-SUM(E$17:E46))</f>
        <v>373152.98608621664</v>
      </c>
      <c r="E47" s="522">
        <f>IF(+I14&lt;F46,I14,D47)</f>
        <v>29697.419285714284</v>
      </c>
      <c r="F47" s="523">
        <f t="shared" si="10"/>
        <v>343455.56680050236</v>
      </c>
      <c r="G47" s="524">
        <f t="shared" si="11"/>
        <v>74960.847648168216</v>
      </c>
      <c r="H47" s="491">
        <f t="shared" si="12"/>
        <v>74960.847648168216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3"/>
        <v>0</v>
      </c>
      <c r="O47" s="514">
        <f t="shared" si="4"/>
        <v>0</v>
      </c>
      <c r="P47" s="272"/>
    </row>
    <row r="48" spans="2:16" ht="12.5">
      <c r="B48" s="195" t="str">
        <f t="shared" si="6"/>
        <v/>
      </c>
      <c r="C48" s="507">
        <f>IF(D11="","-",+C47+1)</f>
        <v>2048</v>
      </c>
      <c r="D48" s="523">
        <f>IF(F47+SUM(E$17:E47)=D$10,F47,D$10-SUM(E$17:E47))</f>
        <v>343455.56680050236</v>
      </c>
      <c r="E48" s="522">
        <f>IF(+I14&lt;F47,I14,D48)</f>
        <v>29697.419285714284</v>
      </c>
      <c r="F48" s="523">
        <f t="shared" si="10"/>
        <v>313758.14751478808</v>
      </c>
      <c r="G48" s="524">
        <f t="shared" si="11"/>
        <v>71209.268058519723</v>
      </c>
      <c r="H48" s="491">
        <f t="shared" si="12"/>
        <v>71209.268058519723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3"/>
        <v>0</v>
      </c>
      <c r="O48" s="514">
        <f t="shared" si="4"/>
        <v>0</v>
      </c>
      <c r="P48" s="272"/>
    </row>
    <row r="49" spans="2:16" ht="12.5">
      <c r="B49" s="195" t="str">
        <f t="shared" si="6"/>
        <v/>
      </c>
      <c r="C49" s="507">
        <f>IF(D11="","-",+C48+1)</f>
        <v>2049</v>
      </c>
      <c r="D49" s="523">
        <f>IF(F48+SUM(E$17:E48)=D$10,F48,D$10-SUM(E$17:E48))</f>
        <v>313758.14751478808</v>
      </c>
      <c r="E49" s="522">
        <f>IF(+I14&lt;F48,I14,D49)</f>
        <v>29697.419285714284</v>
      </c>
      <c r="F49" s="523">
        <f t="shared" si="10"/>
        <v>284060.72822907381</v>
      </c>
      <c r="G49" s="524">
        <f t="shared" ref="G49:G72" si="13">+I$12*((D49+F49)/2)+E49</f>
        <v>67457.688468871202</v>
      </c>
      <c r="H49" s="491">
        <f t="shared" ref="H49:H72" si="14">+I$13*((D49+F49)/2)+E49</f>
        <v>67457.688468871202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3"/>
        <v>0</v>
      </c>
      <c r="O49" s="514">
        <f t="shared" si="4"/>
        <v>0</v>
      </c>
      <c r="P49" s="272"/>
    </row>
    <row r="50" spans="2:16" ht="12.5">
      <c r="B50" s="195" t="str">
        <f t="shared" si="6"/>
        <v/>
      </c>
      <c r="C50" s="507">
        <f>IF(D11="","-",+C49+1)</f>
        <v>2050</v>
      </c>
      <c r="D50" s="523">
        <f>IF(F49+SUM(E$17:E49)=D$10,F49,D$10-SUM(E$17:E49))</f>
        <v>284060.72822907381</v>
      </c>
      <c r="E50" s="522">
        <f>IF(+I14&lt;F49,I14,D50)</f>
        <v>29697.419285714284</v>
      </c>
      <c r="F50" s="523">
        <f t="shared" si="10"/>
        <v>254363.30894335953</v>
      </c>
      <c r="G50" s="524">
        <f t="shared" si="13"/>
        <v>63706.108879222687</v>
      </c>
      <c r="H50" s="491">
        <f t="shared" si="14"/>
        <v>63706.108879222687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3"/>
        <v>0</v>
      </c>
      <c r="O50" s="514">
        <f t="shared" si="4"/>
        <v>0</v>
      </c>
      <c r="P50" s="272"/>
    </row>
    <row r="51" spans="2:16" ht="12.5">
      <c r="B51" s="195" t="str">
        <f t="shared" si="6"/>
        <v/>
      </c>
      <c r="C51" s="507">
        <f>IF(D11="","-",+C50+1)</f>
        <v>2051</v>
      </c>
      <c r="D51" s="523">
        <f>IF(F50+SUM(E$17:E50)=D$10,F50,D$10-SUM(E$17:E50))</f>
        <v>254363.30894335953</v>
      </c>
      <c r="E51" s="522">
        <f>IF(+I14&lt;F50,I14,D51)</f>
        <v>29697.419285714284</v>
      </c>
      <c r="F51" s="523">
        <f t="shared" si="10"/>
        <v>224665.88965764525</v>
      </c>
      <c r="G51" s="524">
        <f t="shared" si="13"/>
        <v>59954.529289574173</v>
      </c>
      <c r="H51" s="491">
        <f t="shared" si="14"/>
        <v>59954.529289574173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3"/>
        <v>0</v>
      </c>
      <c r="O51" s="514">
        <f t="shared" si="4"/>
        <v>0</v>
      </c>
      <c r="P51" s="272"/>
    </row>
    <row r="52" spans="2:16" ht="12.5">
      <c r="B52" s="195" t="str">
        <f t="shared" si="6"/>
        <v/>
      </c>
      <c r="C52" s="507">
        <f>IF(D11="","-",+C51+1)</f>
        <v>2052</v>
      </c>
      <c r="D52" s="523">
        <f>IF(F51+SUM(E$17:E51)=D$10,F51,D$10-SUM(E$17:E51))</f>
        <v>224665.88965764525</v>
      </c>
      <c r="E52" s="522">
        <f>IF(+I14&lt;F51,I14,D52)</f>
        <v>29697.419285714284</v>
      </c>
      <c r="F52" s="523">
        <f t="shared" si="10"/>
        <v>194968.47037193098</v>
      </c>
      <c r="G52" s="524">
        <f t="shared" si="13"/>
        <v>56202.949699925652</v>
      </c>
      <c r="H52" s="491">
        <f t="shared" si="14"/>
        <v>56202.949699925652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3"/>
        <v>0</v>
      </c>
      <c r="O52" s="514">
        <f t="shared" si="4"/>
        <v>0</v>
      </c>
      <c r="P52" s="272"/>
    </row>
    <row r="53" spans="2:16" ht="12.5">
      <c r="B53" s="195" t="str">
        <f t="shared" si="6"/>
        <v/>
      </c>
      <c r="C53" s="507">
        <f>IF(D11="","-",+C52+1)</f>
        <v>2053</v>
      </c>
      <c r="D53" s="523">
        <f>IF(F52+SUM(E$17:E52)=D$10,F52,D$10-SUM(E$17:E52))</f>
        <v>194968.47037193098</v>
      </c>
      <c r="E53" s="522">
        <f>IF(+I14&lt;F52,I14,D53)</f>
        <v>29697.419285714284</v>
      </c>
      <c r="F53" s="523">
        <f t="shared" si="10"/>
        <v>165271.0510862167</v>
      </c>
      <c r="G53" s="524">
        <f t="shared" si="13"/>
        <v>52451.370110277145</v>
      </c>
      <c r="H53" s="491">
        <f t="shared" si="14"/>
        <v>52451.370110277145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3"/>
        <v>0</v>
      </c>
      <c r="O53" s="514">
        <f t="shared" si="4"/>
        <v>0</v>
      </c>
      <c r="P53" s="272"/>
    </row>
    <row r="54" spans="2:16" ht="12.5">
      <c r="B54" s="195" t="str">
        <f t="shared" si="6"/>
        <v/>
      </c>
      <c r="C54" s="507">
        <f>IF(D11="","-",+C53+1)</f>
        <v>2054</v>
      </c>
      <c r="D54" s="523">
        <f>IF(F53+SUM(E$17:E53)=D$10,F53,D$10-SUM(E$17:E53))</f>
        <v>165271.0510862167</v>
      </c>
      <c r="E54" s="522">
        <f>IF(+I14&lt;F53,I14,D54)</f>
        <v>29697.419285714284</v>
      </c>
      <c r="F54" s="523">
        <f t="shared" si="10"/>
        <v>135573.63180050242</v>
      </c>
      <c r="G54" s="524">
        <f t="shared" si="13"/>
        <v>48699.79052062863</v>
      </c>
      <c r="H54" s="491">
        <f t="shared" si="14"/>
        <v>48699.79052062863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3"/>
        <v>0</v>
      </c>
      <c r="O54" s="514">
        <f t="shared" si="4"/>
        <v>0</v>
      </c>
      <c r="P54" s="272"/>
    </row>
    <row r="55" spans="2:16" ht="12.5">
      <c r="B55" s="195" t="str">
        <f t="shared" si="6"/>
        <v/>
      </c>
      <c r="C55" s="507">
        <f>IF(D11="","-",+C54+1)</f>
        <v>2055</v>
      </c>
      <c r="D55" s="523">
        <f>IF(F54+SUM(E$17:E54)=D$10,F54,D$10-SUM(E$17:E54))</f>
        <v>135573.63180050242</v>
      </c>
      <c r="E55" s="522">
        <f>IF(+I14&lt;F54,I14,D55)</f>
        <v>29697.419285714284</v>
      </c>
      <c r="F55" s="523">
        <f t="shared" si="10"/>
        <v>105876.21251478815</v>
      </c>
      <c r="G55" s="524">
        <f t="shared" si="13"/>
        <v>44948.210930980116</v>
      </c>
      <c r="H55" s="491">
        <f t="shared" si="14"/>
        <v>44948.210930980116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3"/>
        <v>0</v>
      </c>
      <c r="O55" s="514">
        <f t="shared" si="4"/>
        <v>0</v>
      </c>
      <c r="P55" s="272"/>
    </row>
    <row r="56" spans="2:16" ht="12.5">
      <c r="B56" s="195" t="str">
        <f t="shared" si="6"/>
        <v/>
      </c>
      <c r="C56" s="507">
        <f>IF(D11="","-",+C55+1)</f>
        <v>2056</v>
      </c>
      <c r="D56" s="523">
        <f>IF(F55+SUM(E$17:E55)=D$10,F55,D$10-SUM(E$17:E55))</f>
        <v>105876.21251478815</v>
      </c>
      <c r="E56" s="522">
        <f>IF(+I14&lt;F55,I14,D56)</f>
        <v>29697.419285714284</v>
      </c>
      <c r="F56" s="523">
        <f t="shared" si="10"/>
        <v>76178.793229073868</v>
      </c>
      <c r="G56" s="524">
        <f t="shared" si="13"/>
        <v>41196.631341331602</v>
      </c>
      <c r="H56" s="491">
        <f t="shared" si="14"/>
        <v>41196.631341331602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3"/>
        <v>0</v>
      </c>
      <c r="O56" s="514">
        <f t="shared" si="4"/>
        <v>0</v>
      </c>
      <c r="P56" s="272"/>
    </row>
    <row r="57" spans="2:16" ht="12.5">
      <c r="B57" s="195" t="str">
        <f t="shared" si="6"/>
        <v/>
      </c>
      <c r="C57" s="507">
        <f>IF(D11="","-",+C56+1)</f>
        <v>2057</v>
      </c>
      <c r="D57" s="523">
        <f>IF(F56+SUM(E$17:E56)=D$10,F56,D$10-SUM(E$17:E56))</f>
        <v>76178.793229073868</v>
      </c>
      <c r="E57" s="522">
        <f>IF(+I14&lt;F56,I14,D57)</f>
        <v>29697.419285714284</v>
      </c>
      <c r="F57" s="523">
        <f t="shared" si="10"/>
        <v>46481.373943359584</v>
      </c>
      <c r="G57" s="524">
        <f t="shared" si="13"/>
        <v>37445.051751683088</v>
      </c>
      <c r="H57" s="491">
        <f t="shared" si="14"/>
        <v>37445.051751683088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3"/>
        <v>0</v>
      </c>
      <c r="O57" s="514">
        <f t="shared" si="4"/>
        <v>0</v>
      </c>
      <c r="P57" s="272"/>
    </row>
    <row r="58" spans="2:16" ht="12.5">
      <c r="B58" s="195" t="str">
        <f t="shared" si="6"/>
        <v/>
      </c>
      <c r="C58" s="507">
        <f>IF(D11="","-",+C57+1)</f>
        <v>2058</v>
      </c>
      <c r="D58" s="523">
        <f>IF(F57+SUM(E$17:E57)=D$10,F57,D$10-SUM(E$17:E57))</f>
        <v>46481.373943359584</v>
      </c>
      <c r="E58" s="522">
        <f>IF(+I14&lt;F57,I14,D58)</f>
        <v>29697.419285714284</v>
      </c>
      <c r="F58" s="523">
        <f t="shared" si="10"/>
        <v>16783.954657645299</v>
      </c>
      <c r="G58" s="524">
        <f t="shared" si="13"/>
        <v>33693.472162034574</v>
      </c>
      <c r="H58" s="491">
        <f t="shared" si="14"/>
        <v>33693.472162034574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3"/>
        <v>0</v>
      </c>
      <c r="O58" s="514">
        <f t="shared" si="4"/>
        <v>0</v>
      </c>
      <c r="P58" s="272"/>
    </row>
    <row r="59" spans="2:16" ht="12.5">
      <c r="B59" s="195" t="str">
        <f t="shared" si="6"/>
        <v/>
      </c>
      <c r="C59" s="507">
        <f>IF(D11="","-",+C58+1)</f>
        <v>2059</v>
      </c>
      <c r="D59" s="523">
        <f>IF(F58+SUM(E$17:E58)=D$10,F58,D$10-SUM(E$17:E58))</f>
        <v>16783.954657645299</v>
      </c>
      <c r="E59" s="522">
        <f>IF(+I14&lt;F58,I14,D59)</f>
        <v>16783.954657645299</v>
      </c>
      <c r="F59" s="523">
        <f t="shared" si="10"/>
        <v>0</v>
      </c>
      <c r="G59" s="524">
        <f t="shared" si="13"/>
        <v>17844.086198393314</v>
      </c>
      <c r="H59" s="491">
        <f t="shared" si="14"/>
        <v>17844.086198393314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3"/>
        <v>0</v>
      </c>
      <c r="O59" s="514">
        <f t="shared" si="4"/>
        <v>0</v>
      </c>
      <c r="P59" s="272"/>
    </row>
    <row r="60" spans="2:16" ht="12.5">
      <c r="B60" s="195" t="str">
        <f t="shared" si="6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0"/>
        <v>0</v>
      </c>
      <c r="G60" s="524">
        <f t="shared" si="13"/>
        <v>0</v>
      </c>
      <c r="H60" s="491">
        <f t="shared" si="14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3"/>
        <v>0</v>
      </c>
      <c r="O60" s="514">
        <f t="shared" si="4"/>
        <v>0</v>
      </c>
      <c r="P60" s="272"/>
    </row>
    <row r="61" spans="2:16" ht="12.5">
      <c r="B61" s="195" t="str">
        <f t="shared" si="6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0"/>
        <v>0</v>
      </c>
      <c r="G61" s="526">
        <f t="shared" si="13"/>
        <v>0</v>
      </c>
      <c r="H61" s="491">
        <f t="shared" si="14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3"/>
        <v>0</v>
      </c>
      <c r="O61" s="514">
        <f t="shared" si="4"/>
        <v>0</v>
      </c>
      <c r="P61" s="272"/>
    </row>
    <row r="62" spans="2:16" ht="12.5">
      <c r="B62" s="195" t="str">
        <f t="shared" si="6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0"/>
        <v>0</v>
      </c>
      <c r="G62" s="526">
        <f t="shared" si="13"/>
        <v>0</v>
      </c>
      <c r="H62" s="491">
        <f t="shared" si="14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3"/>
        <v>0</v>
      </c>
      <c r="O62" s="514">
        <f t="shared" si="4"/>
        <v>0</v>
      </c>
      <c r="P62" s="272"/>
    </row>
    <row r="63" spans="2:16" ht="12.5">
      <c r="B63" s="195" t="str">
        <f t="shared" si="6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0"/>
        <v>0</v>
      </c>
      <c r="G63" s="526">
        <f t="shared" si="13"/>
        <v>0</v>
      </c>
      <c r="H63" s="491">
        <f t="shared" si="14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3"/>
        <v>0</v>
      </c>
      <c r="O63" s="514">
        <f t="shared" si="4"/>
        <v>0</v>
      </c>
      <c r="P63" s="272"/>
    </row>
    <row r="64" spans="2:16" ht="12.5">
      <c r="B64" s="195" t="str">
        <f t="shared" si="6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0"/>
        <v>0</v>
      </c>
      <c r="G64" s="526">
        <f t="shared" si="13"/>
        <v>0</v>
      </c>
      <c r="H64" s="491">
        <f t="shared" si="14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3"/>
        <v>0</v>
      </c>
      <c r="O64" s="514">
        <f t="shared" si="4"/>
        <v>0</v>
      </c>
      <c r="P64" s="272"/>
    </row>
    <row r="65" spans="2:16" ht="12.5">
      <c r="B65" s="195" t="str">
        <f t="shared" si="6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0"/>
        <v>0</v>
      </c>
      <c r="G65" s="526">
        <f t="shared" si="13"/>
        <v>0</v>
      </c>
      <c r="H65" s="491">
        <f t="shared" si="14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3"/>
        <v>0</v>
      </c>
      <c r="O65" s="514">
        <f t="shared" si="4"/>
        <v>0</v>
      </c>
      <c r="P65" s="272"/>
    </row>
    <row r="66" spans="2:16" ht="12.5">
      <c r="B66" s="195" t="str">
        <f t="shared" si="6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0"/>
        <v>0</v>
      </c>
      <c r="G66" s="526">
        <f t="shared" si="13"/>
        <v>0</v>
      </c>
      <c r="H66" s="491">
        <f t="shared" si="14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3"/>
        <v>0</v>
      </c>
      <c r="O66" s="514">
        <f t="shared" si="4"/>
        <v>0</v>
      </c>
      <c r="P66" s="272"/>
    </row>
    <row r="67" spans="2:16" ht="12.5">
      <c r="B67" s="195" t="str">
        <f t="shared" si="6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0"/>
        <v>0</v>
      </c>
      <c r="G67" s="526">
        <f t="shared" si="13"/>
        <v>0</v>
      </c>
      <c r="H67" s="491">
        <f t="shared" si="14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3"/>
        <v>0</v>
      </c>
      <c r="O67" s="514">
        <f t="shared" si="4"/>
        <v>0</v>
      </c>
      <c r="P67" s="272"/>
    </row>
    <row r="68" spans="2:16" ht="12.5">
      <c r="B68" s="195" t="str">
        <f t="shared" si="6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0"/>
        <v>0</v>
      </c>
      <c r="G68" s="526">
        <f t="shared" si="13"/>
        <v>0</v>
      </c>
      <c r="H68" s="491">
        <f t="shared" si="14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3"/>
        <v>0</v>
      </c>
      <c r="O68" s="514">
        <f t="shared" si="4"/>
        <v>0</v>
      </c>
      <c r="P68" s="272"/>
    </row>
    <row r="69" spans="2:16" ht="12.5">
      <c r="B69" s="195" t="str">
        <f t="shared" si="6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0"/>
        <v>0</v>
      </c>
      <c r="G69" s="526">
        <f t="shared" si="13"/>
        <v>0</v>
      </c>
      <c r="H69" s="491">
        <f t="shared" si="14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3"/>
        <v>0</v>
      </c>
      <c r="O69" s="514">
        <f t="shared" si="4"/>
        <v>0</v>
      </c>
      <c r="P69" s="272"/>
    </row>
    <row r="70" spans="2:16" ht="12.5">
      <c r="B70" s="195" t="str">
        <f t="shared" si="6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0"/>
        <v>0</v>
      </c>
      <c r="G70" s="526">
        <f t="shared" si="13"/>
        <v>0</v>
      </c>
      <c r="H70" s="491">
        <f t="shared" si="14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3"/>
        <v>0</v>
      </c>
      <c r="O70" s="514">
        <f t="shared" si="4"/>
        <v>0</v>
      </c>
      <c r="P70" s="272"/>
    </row>
    <row r="71" spans="2:16" ht="12.5">
      <c r="B71" s="195" t="str">
        <f t="shared" si="6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0"/>
        <v>0</v>
      </c>
      <c r="G71" s="526">
        <f t="shared" si="13"/>
        <v>0</v>
      </c>
      <c r="H71" s="491">
        <f t="shared" si="14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3"/>
        <v>0</v>
      </c>
      <c r="O71" s="514">
        <f t="shared" si="4"/>
        <v>0</v>
      </c>
      <c r="P71" s="272"/>
    </row>
    <row r="72" spans="2:16" ht="13" thickBot="1">
      <c r="B72" s="195" t="str">
        <f t="shared" si="6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0"/>
        <v>0</v>
      </c>
      <c r="G72" s="530">
        <f t="shared" si="13"/>
        <v>0</v>
      </c>
      <c r="H72" s="471">
        <f t="shared" si="14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3"/>
        <v>0</v>
      </c>
      <c r="O72" s="533">
        <f t="shared" si="4"/>
        <v>0</v>
      </c>
      <c r="P72" s="272"/>
    </row>
    <row r="73" spans="2:16" ht="12.5">
      <c r="C73" s="374" t="s">
        <v>78</v>
      </c>
      <c r="D73" s="375"/>
      <c r="E73" s="375">
        <f>SUM(E17:E72)</f>
        <v>1247291.6100000006</v>
      </c>
      <c r="F73" s="375"/>
      <c r="G73" s="375">
        <f>SUM(G17:G72)</f>
        <v>4481127.191981324</v>
      </c>
      <c r="H73" s="375">
        <f>SUM(H17:H72)</f>
        <v>4481127.191981324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62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149671.45198505887</v>
      </c>
      <c r="N87" s="546">
        <f>IF(J92&lt;D11,0,VLOOKUP(J92,C17:O72,11))</f>
        <v>149671.45198505887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158564.34301687434</v>
      </c>
      <c r="N88" s="550">
        <f>IF(J92&lt;D11,0,VLOOKUP(J92,C99:P154,7))</f>
        <v>158564.34301687434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Letourneau 69 kV Capacitor Bank Addition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8892.8910318154667</v>
      </c>
      <c r="N89" s="555">
        <f>+N88-N87</f>
        <v>8892.8910318154667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TP2015106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1247292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30421.756097560974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14811.392857142857</v>
      </c>
      <c r="F99" s="651">
        <v>1229345.607142857</v>
      </c>
      <c r="G99" s="652">
        <v>614672.80357142852</v>
      </c>
      <c r="H99" s="653">
        <v>89476.594305664243</v>
      </c>
      <c r="I99" s="654">
        <v>89476.594305664243</v>
      </c>
      <c r="J99" s="514">
        <f t="shared" ref="J99:J130" si="15">+I99-H99</f>
        <v>0</v>
      </c>
      <c r="K99" s="514"/>
      <c r="L99" s="512">
        <f>+H99</f>
        <v>89476.594305664243</v>
      </c>
      <c r="M99" s="513">
        <f t="shared" ref="M99:M130" si="16">IF(L99&lt;&gt;0,+H99-L99,0)</f>
        <v>0</v>
      </c>
      <c r="N99" s="512">
        <f>+I99</f>
        <v>89476.594305664243</v>
      </c>
      <c r="O99" s="513">
        <f t="shared" ref="O99:O130" si="17">IF(N99&lt;&gt;0,+I99-N99,0)</f>
        <v>0</v>
      </c>
      <c r="P99" s="513">
        <f t="shared" ref="P99:P130" si="18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1232480.607142857</v>
      </c>
      <c r="E100" s="630">
        <v>29697.428571428572</v>
      </c>
      <c r="F100" s="631">
        <v>1202783.1785714284</v>
      </c>
      <c r="G100" s="631">
        <v>1217631.8928571427</v>
      </c>
      <c r="H100" s="633">
        <v>158284.94029757322</v>
      </c>
      <c r="I100" s="634">
        <v>158284.94029757322</v>
      </c>
      <c r="J100" s="514">
        <f t="shared" si="15"/>
        <v>0</v>
      </c>
      <c r="K100" s="514"/>
      <c r="L100" s="655">
        <f>+H100</f>
        <v>158284.94029757322</v>
      </c>
      <c r="M100" s="514">
        <f t="shared" si="16"/>
        <v>0</v>
      </c>
      <c r="N100" s="655">
        <f>+I100</f>
        <v>158284.94029757322</v>
      </c>
      <c r="O100" s="514">
        <f t="shared" si="17"/>
        <v>0</v>
      </c>
      <c r="P100" s="514">
        <f t="shared" si="18"/>
        <v>0</v>
      </c>
    </row>
    <row r="101" spans="1:16" ht="12.5">
      <c r="B101" s="195" t="str">
        <f t="shared" ref="B101:B154" si="19">IF(D101=F100,"","IU")</f>
        <v/>
      </c>
      <c r="C101" s="507">
        <f>IF(D93="","-",+C100+1)</f>
        <v>2019</v>
      </c>
      <c r="D101" s="629">
        <v>1202783.1785714284</v>
      </c>
      <c r="E101" s="630">
        <v>29006.79069767442</v>
      </c>
      <c r="F101" s="631">
        <v>1173776.3878737539</v>
      </c>
      <c r="G101" s="631">
        <v>1188279.783222591</v>
      </c>
      <c r="H101" s="633">
        <v>156200.90813870312</v>
      </c>
      <c r="I101" s="634">
        <v>156200.90813870312</v>
      </c>
      <c r="J101" s="514">
        <f t="shared" si="15"/>
        <v>0</v>
      </c>
      <c r="K101" s="514"/>
      <c r="L101" s="655">
        <f>+H101</f>
        <v>156200.90813870312</v>
      </c>
      <c r="M101" s="514">
        <f t="shared" ref="M101:M102" si="20">IF(L101&lt;&gt;0,+H101-L101,0)</f>
        <v>0</v>
      </c>
      <c r="N101" s="655">
        <f>+I101</f>
        <v>156200.90813870312</v>
      </c>
      <c r="O101" s="514">
        <f t="shared" si="17"/>
        <v>0</v>
      </c>
      <c r="P101" s="514">
        <f t="shared" si="18"/>
        <v>0</v>
      </c>
    </row>
    <row r="102" spans="1:16" ht="12.5">
      <c r="B102" s="195" t="str">
        <f t="shared" si="19"/>
        <v/>
      </c>
      <c r="C102" s="507">
        <f>IF(D93="","-",+C101+1)</f>
        <v>2020</v>
      </c>
      <c r="D102" s="629">
        <v>1173776.3878737539</v>
      </c>
      <c r="E102" s="630">
        <v>29697.428571428572</v>
      </c>
      <c r="F102" s="631">
        <v>1144078.9593023253</v>
      </c>
      <c r="G102" s="631">
        <v>1158927.6735880396</v>
      </c>
      <c r="H102" s="633">
        <v>154367.72001045776</v>
      </c>
      <c r="I102" s="634">
        <v>154367.72001045776</v>
      </c>
      <c r="J102" s="514">
        <f t="shared" si="15"/>
        <v>0</v>
      </c>
      <c r="K102" s="514"/>
      <c r="L102" s="655">
        <f>+H102</f>
        <v>154367.72001045776</v>
      </c>
      <c r="M102" s="514">
        <f t="shared" si="20"/>
        <v>0</v>
      </c>
      <c r="N102" s="655">
        <f>+I102</f>
        <v>154367.72001045776</v>
      </c>
      <c r="O102" s="514">
        <f t="shared" si="17"/>
        <v>0</v>
      </c>
      <c r="P102" s="514">
        <f t="shared" si="18"/>
        <v>0</v>
      </c>
    </row>
    <row r="103" spans="1:16" ht="12.5">
      <c r="B103" s="195" t="str">
        <f t="shared" si="19"/>
        <v/>
      </c>
      <c r="C103" s="507">
        <f>IF(D93="","-",+C102+1)</f>
        <v>2021</v>
      </c>
      <c r="D103" s="374">
        <f>IF(F102+SUM(E$99:E102)=D$92,F102,D$92-SUM(E$99:E102))</f>
        <v>1144078.9593023253</v>
      </c>
      <c r="E103" s="522">
        <f>IF(+J96&lt;F102,J96,D103)</f>
        <v>30421.756097560974</v>
      </c>
      <c r="F103" s="523">
        <f t="shared" ref="F103:F130" si="21">+D103-E103</f>
        <v>1113657.2032047643</v>
      </c>
      <c r="G103" s="523">
        <f t="shared" ref="G103:G130" si="22">+(F103+D103)/2</f>
        <v>1128868.0812535449</v>
      </c>
      <c r="H103" s="526">
        <f t="shared" ref="H103:H154" si="23">+J$94*G103+E103</f>
        <v>158564.34301687434</v>
      </c>
      <c r="I103" s="577">
        <f t="shared" ref="I103:I154" si="24">+J$95*G103+E103</f>
        <v>158564.34301687434</v>
      </c>
      <c r="J103" s="514">
        <f t="shared" si="15"/>
        <v>0</v>
      </c>
      <c r="K103" s="514"/>
      <c r="L103" s="525"/>
      <c r="M103" s="514">
        <f t="shared" si="16"/>
        <v>0</v>
      </c>
      <c r="N103" s="525"/>
      <c r="O103" s="514">
        <f t="shared" si="17"/>
        <v>0</v>
      </c>
      <c r="P103" s="514">
        <f t="shared" si="18"/>
        <v>0</v>
      </c>
    </row>
    <row r="104" spans="1:16" ht="12.5">
      <c r="B104" s="195" t="str">
        <f t="shared" si="19"/>
        <v/>
      </c>
      <c r="C104" s="507">
        <f>IF(D93="","-",+C103+1)</f>
        <v>2022</v>
      </c>
      <c r="D104" s="374">
        <f>IF(F103+SUM(E$99:E103)=D$92,F103,D$92-SUM(E$99:E103))</f>
        <v>1113657.2032047643</v>
      </c>
      <c r="E104" s="522">
        <f>IF(+J96&lt;F103,J96,D104)</f>
        <v>30421.756097560974</v>
      </c>
      <c r="F104" s="523">
        <f t="shared" si="21"/>
        <v>1083235.4471072033</v>
      </c>
      <c r="G104" s="523">
        <f t="shared" si="22"/>
        <v>1098446.3251559837</v>
      </c>
      <c r="H104" s="526">
        <f t="shared" si="23"/>
        <v>155111.0409085881</v>
      </c>
      <c r="I104" s="577">
        <f t="shared" si="24"/>
        <v>155111.0409085881</v>
      </c>
      <c r="J104" s="514">
        <f t="shared" si="15"/>
        <v>0</v>
      </c>
      <c r="K104" s="514"/>
      <c r="L104" s="525"/>
      <c r="M104" s="514">
        <f t="shared" si="16"/>
        <v>0</v>
      </c>
      <c r="N104" s="525"/>
      <c r="O104" s="514">
        <f t="shared" si="17"/>
        <v>0</v>
      </c>
      <c r="P104" s="514">
        <f t="shared" si="18"/>
        <v>0</v>
      </c>
    </row>
    <row r="105" spans="1:16" ht="12.5">
      <c r="B105" s="195" t="str">
        <f t="shared" si="19"/>
        <v/>
      </c>
      <c r="C105" s="507">
        <f>IF(D93="","-",+C104+1)</f>
        <v>2023</v>
      </c>
      <c r="D105" s="374">
        <f>IF(F104+SUM(E$99:E104)=D$92,F104,D$92-SUM(E$99:E104))</f>
        <v>1083235.4471072033</v>
      </c>
      <c r="E105" s="522">
        <f>IF(+J96&lt;F104,J96,D105)</f>
        <v>30421.756097560974</v>
      </c>
      <c r="F105" s="523">
        <f t="shared" si="21"/>
        <v>1052813.6910096423</v>
      </c>
      <c r="G105" s="523">
        <f t="shared" si="22"/>
        <v>1068024.5690584229</v>
      </c>
      <c r="H105" s="526">
        <f t="shared" si="23"/>
        <v>151657.73880030194</v>
      </c>
      <c r="I105" s="577">
        <f t="shared" si="24"/>
        <v>151657.73880030194</v>
      </c>
      <c r="J105" s="514">
        <f t="shared" si="15"/>
        <v>0</v>
      </c>
      <c r="K105" s="514"/>
      <c r="L105" s="525"/>
      <c r="M105" s="514">
        <f t="shared" si="16"/>
        <v>0</v>
      </c>
      <c r="N105" s="525"/>
      <c r="O105" s="514">
        <f t="shared" si="17"/>
        <v>0</v>
      </c>
      <c r="P105" s="514">
        <f t="shared" si="18"/>
        <v>0</v>
      </c>
    </row>
    <row r="106" spans="1:16" ht="12.5">
      <c r="B106" s="195" t="str">
        <f t="shared" si="19"/>
        <v/>
      </c>
      <c r="C106" s="507">
        <f>IF(D93="","-",+C105+1)</f>
        <v>2024</v>
      </c>
      <c r="D106" s="374">
        <f>IF(F105+SUM(E$99:E105)=D$92,F105,D$92-SUM(E$99:E105))</f>
        <v>1052813.6910096423</v>
      </c>
      <c r="E106" s="522">
        <f>IF(+J96&lt;F105,J96,D106)</f>
        <v>30421.756097560974</v>
      </c>
      <c r="F106" s="523">
        <f t="shared" si="21"/>
        <v>1022391.9349120813</v>
      </c>
      <c r="G106" s="523">
        <f t="shared" si="22"/>
        <v>1037602.8129608618</v>
      </c>
      <c r="H106" s="526">
        <f t="shared" si="23"/>
        <v>148204.43669201573</v>
      </c>
      <c r="I106" s="577">
        <f t="shared" si="24"/>
        <v>148204.43669201573</v>
      </c>
      <c r="J106" s="514">
        <f t="shared" si="15"/>
        <v>0</v>
      </c>
      <c r="K106" s="514"/>
      <c r="L106" s="525"/>
      <c r="M106" s="514">
        <f t="shared" si="16"/>
        <v>0</v>
      </c>
      <c r="N106" s="525"/>
      <c r="O106" s="514">
        <f t="shared" si="17"/>
        <v>0</v>
      </c>
      <c r="P106" s="514">
        <f t="shared" si="18"/>
        <v>0</v>
      </c>
    </row>
    <row r="107" spans="1:16" ht="12.5">
      <c r="B107" s="195" t="str">
        <f t="shared" si="19"/>
        <v/>
      </c>
      <c r="C107" s="507">
        <f>IF(D93="","-",+C106+1)</f>
        <v>2025</v>
      </c>
      <c r="D107" s="374">
        <f>IF(F106+SUM(E$99:E106)=D$92,F106,D$92-SUM(E$99:E106))</f>
        <v>1022391.9349120813</v>
      </c>
      <c r="E107" s="522">
        <f>IF(+J96&lt;F106,J96,D107)</f>
        <v>30421.756097560974</v>
      </c>
      <c r="F107" s="523">
        <f t="shared" si="21"/>
        <v>991970.17881452036</v>
      </c>
      <c r="G107" s="523">
        <f t="shared" si="22"/>
        <v>1007181.0568633009</v>
      </c>
      <c r="H107" s="526">
        <f t="shared" si="23"/>
        <v>144751.13458372952</v>
      </c>
      <c r="I107" s="577">
        <f t="shared" si="24"/>
        <v>144751.13458372952</v>
      </c>
      <c r="J107" s="514">
        <f t="shared" si="15"/>
        <v>0</v>
      </c>
      <c r="K107" s="514"/>
      <c r="L107" s="525"/>
      <c r="M107" s="514">
        <f t="shared" si="16"/>
        <v>0</v>
      </c>
      <c r="N107" s="525"/>
      <c r="O107" s="514">
        <f t="shared" si="17"/>
        <v>0</v>
      </c>
      <c r="P107" s="514">
        <f t="shared" si="18"/>
        <v>0</v>
      </c>
    </row>
    <row r="108" spans="1:16" ht="12.5">
      <c r="B108" s="195" t="str">
        <f t="shared" si="19"/>
        <v/>
      </c>
      <c r="C108" s="507">
        <f>IF(D93="","-",+C107+1)</f>
        <v>2026</v>
      </c>
      <c r="D108" s="374">
        <f>IF(F107+SUM(E$99:E107)=D$92,F107,D$92-SUM(E$99:E107))</f>
        <v>991970.17881452036</v>
      </c>
      <c r="E108" s="522">
        <f>IF(+J96&lt;F107,J96,D108)</f>
        <v>30421.756097560974</v>
      </c>
      <c r="F108" s="523">
        <f t="shared" si="21"/>
        <v>961548.42271695938</v>
      </c>
      <c r="G108" s="523">
        <f t="shared" si="22"/>
        <v>976759.30076573987</v>
      </c>
      <c r="H108" s="526">
        <f t="shared" si="23"/>
        <v>141297.83247544334</v>
      </c>
      <c r="I108" s="577">
        <f t="shared" si="24"/>
        <v>141297.83247544334</v>
      </c>
      <c r="J108" s="514">
        <f t="shared" si="15"/>
        <v>0</v>
      </c>
      <c r="K108" s="514"/>
      <c r="L108" s="525"/>
      <c r="M108" s="514">
        <f t="shared" si="16"/>
        <v>0</v>
      </c>
      <c r="N108" s="525"/>
      <c r="O108" s="514">
        <f t="shared" si="17"/>
        <v>0</v>
      </c>
      <c r="P108" s="514">
        <f t="shared" si="18"/>
        <v>0</v>
      </c>
    </row>
    <row r="109" spans="1:16" ht="12.5">
      <c r="B109" s="195" t="str">
        <f t="shared" si="19"/>
        <v/>
      </c>
      <c r="C109" s="507">
        <f>IF(D93="","-",+C108+1)</f>
        <v>2027</v>
      </c>
      <c r="D109" s="374">
        <f>IF(F108+SUM(E$99:E108)=D$92,F108,D$92-SUM(E$99:E108))</f>
        <v>961548.42271695938</v>
      </c>
      <c r="E109" s="522">
        <f>IF(+J96&lt;F108,J96,D109)</f>
        <v>30421.756097560974</v>
      </c>
      <c r="F109" s="523">
        <f t="shared" si="21"/>
        <v>931126.6666193984</v>
      </c>
      <c r="G109" s="523">
        <f t="shared" si="22"/>
        <v>946337.54466817889</v>
      </c>
      <c r="H109" s="526">
        <f t="shared" si="23"/>
        <v>137844.53036715713</v>
      </c>
      <c r="I109" s="577">
        <f t="shared" si="24"/>
        <v>137844.53036715713</v>
      </c>
      <c r="J109" s="514">
        <f t="shared" si="15"/>
        <v>0</v>
      </c>
      <c r="K109" s="514"/>
      <c r="L109" s="525"/>
      <c r="M109" s="514">
        <f t="shared" si="16"/>
        <v>0</v>
      </c>
      <c r="N109" s="525"/>
      <c r="O109" s="514">
        <f t="shared" si="17"/>
        <v>0</v>
      </c>
      <c r="P109" s="514">
        <f t="shared" si="18"/>
        <v>0</v>
      </c>
    </row>
    <row r="110" spans="1:16" ht="12.5">
      <c r="B110" s="195" t="str">
        <f t="shared" si="19"/>
        <v/>
      </c>
      <c r="C110" s="507">
        <f>IF(D93="","-",+C109+1)</f>
        <v>2028</v>
      </c>
      <c r="D110" s="374">
        <f>IF(F109+SUM(E$99:E109)=D$92,F109,D$92-SUM(E$99:E109))</f>
        <v>931126.6666193984</v>
      </c>
      <c r="E110" s="522">
        <f>IF(+J96&lt;F109,J96,D110)</f>
        <v>30421.756097560974</v>
      </c>
      <c r="F110" s="523">
        <f t="shared" si="21"/>
        <v>900704.91052183742</v>
      </c>
      <c r="G110" s="523">
        <f t="shared" si="22"/>
        <v>915915.78857061791</v>
      </c>
      <c r="H110" s="526">
        <f t="shared" si="23"/>
        <v>134391.22825887095</v>
      </c>
      <c r="I110" s="577">
        <f t="shared" si="24"/>
        <v>134391.22825887095</v>
      </c>
      <c r="J110" s="514">
        <f t="shared" si="15"/>
        <v>0</v>
      </c>
      <c r="K110" s="514"/>
      <c r="L110" s="525"/>
      <c r="M110" s="514">
        <f t="shared" si="16"/>
        <v>0</v>
      </c>
      <c r="N110" s="525"/>
      <c r="O110" s="514">
        <f t="shared" si="17"/>
        <v>0</v>
      </c>
      <c r="P110" s="514">
        <f t="shared" si="18"/>
        <v>0</v>
      </c>
    </row>
    <row r="111" spans="1:16" ht="12.5">
      <c r="B111" s="195" t="str">
        <f t="shared" si="19"/>
        <v/>
      </c>
      <c r="C111" s="507">
        <f>IF(D93="","-",+C110+1)</f>
        <v>2029</v>
      </c>
      <c r="D111" s="374">
        <f>IF(F110+SUM(E$99:E110)=D$92,F110,D$92-SUM(E$99:E110))</f>
        <v>900704.91052183742</v>
      </c>
      <c r="E111" s="522">
        <f>IF(+J96&lt;F110,J96,D111)</f>
        <v>30421.756097560974</v>
      </c>
      <c r="F111" s="523">
        <f t="shared" si="21"/>
        <v>870283.15442427644</v>
      </c>
      <c r="G111" s="523">
        <f t="shared" si="22"/>
        <v>885494.03247305693</v>
      </c>
      <c r="H111" s="526">
        <f t="shared" si="23"/>
        <v>130937.92615058474</v>
      </c>
      <c r="I111" s="577">
        <f t="shared" si="24"/>
        <v>130937.92615058474</v>
      </c>
      <c r="J111" s="514">
        <f t="shared" si="15"/>
        <v>0</v>
      </c>
      <c r="K111" s="514"/>
      <c r="L111" s="525"/>
      <c r="M111" s="514">
        <f t="shared" si="16"/>
        <v>0</v>
      </c>
      <c r="N111" s="525"/>
      <c r="O111" s="514">
        <f t="shared" si="17"/>
        <v>0</v>
      </c>
      <c r="P111" s="514">
        <f t="shared" si="18"/>
        <v>0</v>
      </c>
    </row>
    <row r="112" spans="1:16" ht="12.5">
      <c r="B112" s="195" t="str">
        <f t="shared" si="19"/>
        <v/>
      </c>
      <c r="C112" s="507">
        <f>IF(D93="","-",+C111+1)</f>
        <v>2030</v>
      </c>
      <c r="D112" s="374">
        <f>IF(F111+SUM(E$99:E111)=D$92,F111,D$92-SUM(E$99:E111))</f>
        <v>870283.15442427644</v>
      </c>
      <c r="E112" s="522">
        <f>IF(+J96&lt;F111,J96,D112)</f>
        <v>30421.756097560974</v>
      </c>
      <c r="F112" s="523">
        <f t="shared" si="21"/>
        <v>839861.39832671545</v>
      </c>
      <c r="G112" s="523">
        <f t="shared" si="22"/>
        <v>855072.27637549595</v>
      </c>
      <c r="H112" s="526">
        <f t="shared" si="23"/>
        <v>127484.62404229856</v>
      </c>
      <c r="I112" s="577">
        <f t="shared" si="24"/>
        <v>127484.62404229856</v>
      </c>
      <c r="J112" s="514">
        <f t="shared" si="15"/>
        <v>0</v>
      </c>
      <c r="K112" s="514"/>
      <c r="L112" s="525"/>
      <c r="M112" s="514">
        <f t="shared" si="16"/>
        <v>0</v>
      </c>
      <c r="N112" s="525"/>
      <c r="O112" s="514">
        <f t="shared" si="17"/>
        <v>0</v>
      </c>
      <c r="P112" s="514">
        <f t="shared" si="18"/>
        <v>0</v>
      </c>
    </row>
    <row r="113" spans="2:16" ht="12.5">
      <c r="B113" s="195" t="str">
        <f t="shared" si="19"/>
        <v/>
      </c>
      <c r="C113" s="507">
        <f>IF(D93="","-",+C112+1)</f>
        <v>2031</v>
      </c>
      <c r="D113" s="374">
        <f>IF(F112+SUM(E$99:E112)=D$92,F112,D$92-SUM(E$99:E112))</f>
        <v>839861.39832671545</v>
      </c>
      <c r="E113" s="522">
        <f>IF(+J96&lt;F112,J96,D113)</f>
        <v>30421.756097560974</v>
      </c>
      <c r="F113" s="523">
        <f t="shared" si="21"/>
        <v>809439.64222915447</v>
      </c>
      <c r="G113" s="523">
        <f t="shared" si="22"/>
        <v>824650.52027793496</v>
      </c>
      <c r="H113" s="526">
        <f t="shared" si="23"/>
        <v>124031.32193401235</v>
      </c>
      <c r="I113" s="577">
        <f t="shared" si="24"/>
        <v>124031.32193401235</v>
      </c>
      <c r="J113" s="514">
        <f t="shared" si="15"/>
        <v>0</v>
      </c>
      <c r="K113" s="514"/>
      <c r="L113" s="525"/>
      <c r="M113" s="514">
        <f t="shared" si="16"/>
        <v>0</v>
      </c>
      <c r="N113" s="525"/>
      <c r="O113" s="514">
        <f t="shared" si="17"/>
        <v>0</v>
      </c>
      <c r="P113" s="514">
        <f t="shared" si="18"/>
        <v>0</v>
      </c>
    </row>
    <row r="114" spans="2:16" ht="12.5">
      <c r="B114" s="195" t="str">
        <f t="shared" si="19"/>
        <v/>
      </c>
      <c r="C114" s="507">
        <f>IF(D93="","-",+C113+1)</f>
        <v>2032</v>
      </c>
      <c r="D114" s="374">
        <f>IF(F113+SUM(E$99:E113)=D$92,F113,D$92-SUM(E$99:E113))</f>
        <v>809439.64222915447</v>
      </c>
      <c r="E114" s="522">
        <f>IF(+J96&lt;F113,J96,D114)</f>
        <v>30421.756097560974</v>
      </c>
      <c r="F114" s="523">
        <f t="shared" si="21"/>
        <v>779017.88613159349</v>
      </c>
      <c r="G114" s="523">
        <f t="shared" si="22"/>
        <v>794228.76418037398</v>
      </c>
      <c r="H114" s="526">
        <f t="shared" si="23"/>
        <v>120578.01982572617</v>
      </c>
      <c r="I114" s="577">
        <f t="shared" si="24"/>
        <v>120578.01982572617</v>
      </c>
      <c r="J114" s="514">
        <f t="shared" si="15"/>
        <v>0</v>
      </c>
      <c r="K114" s="514"/>
      <c r="L114" s="525"/>
      <c r="M114" s="514">
        <f t="shared" si="16"/>
        <v>0</v>
      </c>
      <c r="N114" s="525"/>
      <c r="O114" s="514">
        <f t="shared" si="17"/>
        <v>0</v>
      </c>
      <c r="P114" s="514">
        <f t="shared" si="18"/>
        <v>0</v>
      </c>
    </row>
    <row r="115" spans="2:16" ht="12.5">
      <c r="B115" s="195" t="str">
        <f t="shared" si="19"/>
        <v/>
      </c>
      <c r="C115" s="507">
        <f>IF(D93="","-",+C114+1)</f>
        <v>2033</v>
      </c>
      <c r="D115" s="374">
        <f>IF(F114+SUM(E$99:E114)=D$92,F114,D$92-SUM(E$99:E114))</f>
        <v>779017.88613159349</v>
      </c>
      <c r="E115" s="522">
        <f>IF(+J96&lt;F114,J96,D115)</f>
        <v>30421.756097560974</v>
      </c>
      <c r="F115" s="523">
        <f t="shared" si="21"/>
        <v>748596.13003403251</v>
      </c>
      <c r="G115" s="523">
        <f t="shared" si="22"/>
        <v>763807.008082813</v>
      </c>
      <c r="H115" s="526">
        <f t="shared" si="23"/>
        <v>117124.71771743995</v>
      </c>
      <c r="I115" s="577">
        <f t="shared" si="24"/>
        <v>117124.71771743995</v>
      </c>
      <c r="J115" s="514">
        <f t="shared" si="15"/>
        <v>0</v>
      </c>
      <c r="K115" s="514"/>
      <c r="L115" s="525"/>
      <c r="M115" s="514">
        <f t="shared" si="16"/>
        <v>0</v>
      </c>
      <c r="N115" s="525"/>
      <c r="O115" s="514">
        <f t="shared" si="17"/>
        <v>0</v>
      </c>
      <c r="P115" s="514">
        <f t="shared" si="18"/>
        <v>0</v>
      </c>
    </row>
    <row r="116" spans="2:16" ht="12.5">
      <c r="B116" s="195" t="str">
        <f t="shared" si="19"/>
        <v/>
      </c>
      <c r="C116" s="507">
        <f>IF(D93="","-",+C115+1)</f>
        <v>2034</v>
      </c>
      <c r="D116" s="374">
        <f>IF(F115+SUM(E$99:E115)=D$92,F115,D$92-SUM(E$99:E115))</f>
        <v>748596.13003403251</v>
      </c>
      <c r="E116" s="522">
        <f>IF(+J96&lt;F115,J96,D116)</f>
        <v>30421.756097560974</v>
      </c>
      <c r="F116" s="523">
        <f t="shared" si="21"/>
        <v>718174.37393647153</v>
      </c>
      <c r="G116" s="523">
        <f t="shared" si="22"/>
        <v>733385.25198525202</v>
      </c>
      <c r="H116" s="526">
        <f t="shared" si="23"/>
        <v>113671.41560915377</v>
      </c>
      <c r="I116" s="577">
        <f t="shared" si="24"/>
        <v>113671.41560915377</v>
      </c>
      <c r="J116" s="514">
        <f t="shared" si="15"/>
        <v>0</v>
      </c>
      <c r="K116" s="514"/>
      <c r="L116" s="525"/>
      <c r="M116" s="514">
        <f t="shared" si="16"/>
        <v>0</v>
      </c>
      <c r="N116" s="525"/>
      <c r="O116" s="514">
        <f t="shared" si="17"/>
        <v>0</v>
      </c>
      <c r="P116" s="514">
        <f t="shared" si="18"/>
        <v>0</v>
      </c>
    </row>
    <row r="117" spans="2:16" ht="12.5">
      <c r="B117" s="195" t="str">
        <f t="shared" si="19"/>
        <v/>
      </c>
      <c r="C117" s="507">
        <f>IF(D93="","-",+C116+1)</f>
        <v>2035</v>
      </c>
      <c r="D117" s="374">
        <f>IF(F116+SUM(E$99:E116)=D$92,F116,D$92-SUM(E$99:E116))</f>
        <v>718174.37393647153</v>
      </c>
      <c r="E117" s="522">
        <f>IF(+J96&lt;F116,J96,D117)</f>
        <v>30421.756097560974</v>
      </c>
      <c r="F117" s="523">
        <f t="shared" si="21"/>
        <v>687752.61783891055</v>
      </c>
      <c r="G117" s="523">
        <f t="shared" si="22"/>
        <v>702963.49588769104</v>
      </c>
      <c r="H117" s="526">
        <f t="shared" si="23"/>
        <v>110218.11350086756</v>
      </c>
      <c r="I117" s="577">
        <f t="shared" si="24"/>
        <v>110218.11350086756</v>
      </c>
      <c r="J117" s="514">
        <f t="shared" si="15"/>
        <v>0</v>
      </c>
      <c r="K117" s="514"/>
      <c r="L117" s="525"/>
      <c r="M117" s="514">
        <f t="shared" si="16"/>
        <v>0</v>
      </c>
      <c r="N117" s="525"/>
      <c r="O117" s="514">
        <f t="shared" si="17"/>
        <v>0</v>
      </c>
      <c r="P117" s="514">
        <f t="shared" si="18"/>
        <v>0</v>
      </c>
    </row>
    <row r="118" spans="2:16" ht="12.5">
      <c r="B118" s="195" t="str">
        <f t="shared" si="19"/>
        <v/>
      </c>
      <c r="C118" s="507">
        <f>IF(D93="","-",+C117+1)</f>
        <v>2036</v>
      </c>
      <c r="D118" s="374">
        <f>IF(F117+SUM(E$99:E117)=D$92,F117,D$92-SUM(E$99:E117))</f>
        <v>687752.61783891055</v>
      </c>
      <c r="E118" s="522">
        <f>IF(+J96&lt;F117,J96,D118)</f>
        <v>30421.756097560974</v>
      </c>
      <c r="F118" s="523">
        <f t="shared" si="21"/>
        <v>657330.86174134957</v>
      </c>
      <c r="G118" s="523">
        <f t="shared" si="22"/>
        <v>672541.73979013006</v>
      </c>
      <c r="H118" s="526">
        <f t="shared" si="23"/>
        <v>106764.81139258138</v>
      </c>
      <c r="I118" s="577">
        <f t="shared" si="24"/>
        <v>106764.81139258138</v>
      </c>
      <c r="J118" s="514">
        <f t="shared" si="15"/>
        <v>0</v>
      </c>
      <c r="K118" s="514"/>
      <c r="L118" s="525"/>
      <c r="M118" s="514">
        <f t="shared" si="16"/>
        <v>0</v>
      </c>
      <c r="N118" s="525"/>
      <c r="O118" s="514">
        <f t="shared" si="17"/>
        <v>0</v>
      </c>
      <c r="P118" s="514">
        <f t="shared" si="18"/>
        <v>0</v>
      </c>
    </row>
    <row r="119" spans="2:16" ht="12.5">
      <c r="B119" s="195" t="str">
        <f t="shared" si="19"/>
        <v/>
      </c>
      <c r="C119" s="507">
        <f>IF(D93="","-",+C118+1)</f>
        <v>2037</v>
      </c>
      <c r="D119" s="374">
        <f>IF(F118+SUM(E$99:E118)=D$92,F118,D$92-SUM(E$99:E118))</f>
        <v>657330.86174134957</v>
      </c>
      <c r="E119" s="522">
        <f>IF(+J96&lt;F118,J96,D119)</f>
        <v>30421.756097560974</v>
      </c>
      <c r="F119" s="523">
        <f t="shared" si="21"/>
        <v>626909.10564378859</v>
      </c>
      <c r="G119" s="523">
        <f t="shared" si="22"/>
        <v>642119.98369256908</v>
      </c>
      <c r="H119" s="526">
        <f t="shared" si="23"/>
        <v>103311.50928429517</v>
      </c>
      <c r="I119" s="577">
        <f t="shared" si="24"/>
        <v>103311.50928429517</v>
      </c>
      <c r="J119" s="514">
        <f t="shared" si="15"/>
        <v>0</v>
      </c>
      <c r="K119" s="514"/>
      <c r="L119" s="525"/>
      <c r="M119" s="514">
        <f t="shared" si="16"/>
        <v>0</v>
      </c>
      <c r="N119" s="525"/>
      <c r="O119" s="514">
        <f t="shared" si="17"/>
        <v>0</v>
      </c>
      <c r="P119" s="514">
        <f t="shared" si="18"/>
        <v>0</v>
      </c>
    </row>
    <row r="120" spans="2:16" ht="12.5">
      <c r="B120" s="195" t="str">
        <f t="shared" si="19"/>
        <v/>
      </c>
      <c r="C120" s="507">
        <f>IF(D93="","-",+C119+1)</f>
        <v>2038</v>
      </c>
      <c r="D120" s="374">
        <f>IF(F119+SUM(E$99:E119)=D$92,F119,D$92-SUM(E$99:E119))</f>
        <v>626909.10564378859</v>
      </c>
      <c r="E120" s="522">
        <f>IF(+J96&lt;F119,J96,D120)</f>
        <v>30421.756097560974</v>
      </c>
      <c r="F120" s="523">
        <f t="shared" si="21"/>
        <v>596487.3495462276</v>
      </c>
      <c r="G120" s="523">
        <f t="shared" si="22"/>
        <v>611698.22759500809</v>
      </c>
      <c r="H120" s="526">
        <f t="shared" si="23"/>
        <v>99858.207176008989</v>
      </c>
      <c r="I120" s="577">
        <f t="shared" si="24"/>
        <v>99858.207176008989</v>
      </c>
      <c r="J120" s="514">
        <f t="shared" si="15"/>
        <v>0</v>
      </c>
      <c r="K120" s="514"/>
      <c r="L120" s="525"/>
      <c r="M120" s="514">
        <f t="shared" si="16"/>
        <v>0</v>
      </c>
      <c r="N120" s="525"/>
      <c r="O120" s="514">
        <f t="shared" si="17"/>
        <v>0</v>
      </c>
      <c r="P120" s="514">
        <f t="shared" si="18"/>
        <v>0</v>
      </c>
    </row>
    <row r="121" spans="2:16" ht="12.5">
      <c r="B121" s="195" t="str">
        <f t="shared" si="19"/>
        <v/>
      </c>
      <c r="C121" s="507">
        <f>IF(D93="","-",+C120+1)</f>
        <v>2039</v>
      </c>
      <c r="D121" s="374">
        <f>IF(F120+SUM(E$99:E120)=D$92,F120,D$92-SUM(E$99:E120))</f>
        <v>596487.3495462276</v>
      </c>
      <c r="E121" s="522">
        <f>IF(+J96&lt;F120,J96,D121)</f>
        <v>30421.756097560974</v>
      </c>
      <c r="F121" s="523">
        <f t="shared" si="21"/>
        <v>566065.59344866662</v>
      </c>
      <c r="G121" s="523">
        <f t="shared" si="22"/>
        <v>581276.47149744711</v>
      </c>
      <c r="H121" s="526">
        <f t="shared" si="23"/>
        <v>96404.905067722779</v>
      </c>
      <c r="I121" s="577">
        <f t="shared" si="24"/>
        <v>96404.905067722779</v>
      </c>
      <c r="J121" s="514">
        <f t="shared" si="15"/>
        <v>0</v>
      </c>
      <c r="K121" s="514"/>
      <c r="L121" s="525"/>
      <c r="M121" s="514">
        <f t="shared" si="16"/>
        <v>0</v>
      </c>
      <c r="N121" s="525"/>
      <c r="O121" s="514">
        <f t="shared" si="17"/>
        <v>0</v>
      </c>
      <c r="P121" s="514">
        <f t="shared" si="18"/>
        <v>0</v>
      </c>
    </row>
    <row r="122" spans="2:16" ht="12.5">
      <c r="B122" s="195" t="str">
        <f t="shared" si="19"/>
        <v/>
      </c>
      <c r="C122" s="507">
        <f>IF(D93="","-",+C121+1)</f>
        <v>2040</v>
      </c>
      <c r="D122" s="374">
        <f>IF(F121+SUM(E$99:E121)=D$92,F121,D$92-SUM(E$99:E121))</f>
        <v>566065.59344866662</v>
      </c>
      <c r="E122" s="522">
        <f>IF(+J96&lt;F121,J96,D122)</f>
        <v>30421.756097560974</v>
      </c>
      <c r="F122" s="523">
        <f t="shared" si="21"/>
        <v>535643.83735110564</v>
      </c>
      <c r="G122" s="523">
        <f t="shared" si="22"/>
        <v>550854.71539988613</v>
      </c>
      <c r="H122" s="526">
        <f t="shared" si="23"/>
        <v>92951.602959436597</v>
      </c>
      <c r="I122" s="577">
        <f t="shared" si="24"/>
        <v>92951.602959436597</v>
      </c>
      <c r="J122" s="514">
        <f t="shared" si="15"/>
        <v>0</v>
      </c>
      <c r="K122" s="514"/>
      <c r="L122" s="525"/>
      <c r="M122" s="514">
        <f t="shared" si="16"/>
        <v>0</v>
      </c>
      <c r="N122" s="525"/>
      <c r="O122" s="514">
        <f t="shared" si="17"/>
        <v>0</v>
      </c>
      <c r="P122" s="514">
        <f t="shared" si="18"/>
        <v>0</v>
      </c>
    </row>
    <row r="123" spans="2:16" ht="12.5">
      <c r="B123" s="195" t="str">
        <f t="shared" si="19"/>
        <v/>
      </c>
      <c r="C123" s="507">
        <f>IF(D93="","-",+C122+1)</f>
        <v>2041</v>
      </c>
      <c r="D123" s="374">
        <f>IF(F122+SUM(E$99:E122)=D$92,F122,D$92-SUM(E$99:E122))</f>
        <v>535643.83735110564</v>
      </c>
      <c r="E123" s="522">
        <f>IF(+J96&lt;F122,J96,D123)</f>
        <v>30421.756097560974</v>
      </c>
      <c r="F123" s="523">
        <f t="shared" si="21"/>
        <v>505222.08125354466</v>
      </c>
      <c r="G123" s="523">
        <f t="shared" si="22"/>
        <v>520432.95930232515</v>
      </c>
      <c r="H123" s="526">
        <f t="shared" si="23"/>
        <v>89498.300851150401</v>
      </c>
      <c r="I123" s="577">
        <f t="shared" si="24"/>
        <v>89498.300851150401</v>
      </c>
      <c r="J123" s="514">
        <f t="shared" si="15"/>
        <v>0</v>
      </c>
      <c r="K123" s="514"/>
      <c r="L123" s="525"/>
      <c r="M123" s="514">
        <f t="shared" si="16"/>
        <v>0</v>
      </c>
      <c r="N123" s="525"/>
      <c r="O123" s="514">
        <f t="shared" si="17"/>
        <v>0</v>
      </c>
      <c r="P123" s="514">
        <f t="shared" si="18"/>
        <v>0</v>
      </c>
    </row>
    <row r="124" spans="2:16" ht="12.5">
      <c r="B124" s="195" t="str">
        <f t="shared" si="19"/>
        <v/>
      </c>
      <c r="C124" s="507">
        <f>IF(D93="","-",+C123+1)</f>
        <v>2042</v>
      </c>
      <c r="D124" s="374">
        <f>IF(F123+SUM(E$99:E123)=D$92,F123,D$92-SUM(E$99:E123))</f>
        <v>505222.08125354466</v>
      </c>
      <c r="E124" s="522">
        <f>IF(+J96&lt;F123,J96,D124)</f>
        <v>30421.756097560974</v>
      </c>
      <c r="F124" s="523">
        <f t="shared" si="21"/>
        <v>474800.32515598368</v>
      </c>
      <c r="G124" s="523">
        <f t="shared" si="22"/>
        <v>490011.20320476417</v>
      </c>
      <c r="H124" s="526">
        <f t="shared" si="23"/>
        <v>86044.998742864205</v>
      </c>
      <c r="I124" s="577">
        <f t="shared" si="24"/>
        <v>86044.998742864205</v>
      </c>
      <c r="J124" s="514">
        <f t="shared" si="15"/>
        <v>0</v>
      </c>
      <c r="K124" s="514"/>
      <c r="L124" s="525"/>
      <c r="M124" s="514">
        <f t="shared" si="16"/>
        <v>0</v>
      </c>
      <c r="N124" s="525"/>
      <c r="O124" s="514">
        <f t="shared" si="17"/>
        <v>0</v>
      </c>
      <c r="P124" s="514">
        <f t="shared" si="18"/>
        <v>0</v>
      </c>
    </row>
    <row r="125" spans="2:16" ht="12.5">
      <c r="B125" s="195" t="str">
        <f t="shared" si="19"/>
        <v/>
      </c>
      <c r="C125" s="507">
        <f>IF(D93="","-",+C124+1)</f>
        <v>2043</v>
      </c>
      <c r="D125" s="374">
        <f>IF(F124+SUM(E$99:E124)=D$92,F124,D$92-SUM(E$99:E124))</f>
        <v>474800.32515598368</v>
      </c>
      <c r="E125" s="522">
        <f>IF(+J96&lt;F124,J96,D125)</f>
        <v>30421.756097560974</v>
      </c>
      <c r="F125" s="523">
        <f t="shared" si="21"/>
        <v>444378.5690584227</v>
      </c>
      <c r="G125" s="523">
        <f t="shared" si="22"/>
        <v>459589.44710720319</v>
      </c>
      <c r="H125" s="526">
        <f t="shared" si="23"/>
        <v>82591.696634578009</v>
      </c>
      <c r="I125" s="577">
        <f t="shared" si="24"/>
        <v>82591.696634578009</v>
      </c>
      <c r="J125" s="514">
        <f t="shared" si="15"/>
        <v>0</v>
      </c>
      <c r="K125" s="514"/>
      <c r="L125" s="525"/>
      <c r="M125" s="514">
        <f t="shared" si="16"/>
        <v>0</v>
      </c>
      <c r="N125" s="525"/>
      <c r="O125" s="514">
        <f t="shared" si="17"/>
        <v>0</v>
      </c>
      <c r="P125" s="514">
        <f t="shared" si="18"/>
        <v>0</v>
      </c>
    </row>
    <row r="126" spans="2:16" ht="12.5">
      <c r="B126" s="195" t="str">
        <f t="shared" si="19"/>
        <v/>
      </c>
      <c r="C126" s="507">
        <f>IF(D93="","-",+C125+1)</f>
        <v>2044</v>
      </c>
      <c r="D126" s="374">
        <f>IF(F125+SUM(E$99:E125)=D$92,F125,D$92-SUM(E$99:E125))</f>
        <v>444378.5690584227</v>
      </c>
      <c r="E126" s="522">
        <f>IF(+J96&lt;F125,J96,D126)</f>
        <v>30421.756097560974</v>
      </c>
      <c r="F126" s="523">
        <f t="shared" si="21"/>
        <v>413956.81296086172</v>
      </c>
      <c r="G126" s="523">
        <f t="shared" si="22"/>
        <v>429167.69100964221</v>
      </c>
      <c r="H126" s="526">
        <f t="shared" si="23"/>
        <v>79138.394526291813</v>
      </c>
      <c r="I126" s="577">
        <f t="shared" si="24"/>
        <v>79138.394526291813</v>
      </c>
      <c r="J126" s="514">
        <f t="shared" si="15"/>
        <v>0</v>
      </c>
      <c r="K126" s="514"/>
      <c r="L126" s="525"/>
      <c r="M126" s="514">
        <f t="shared" si="16"/>
        <v>0</v>
      </c>
      <c r="N126" s="525"/>
      <c r="O126" s="514">
        <f t="shared" si="17"/>
        <v>0</v>
      </c>
      <c r="P126" s="514">
        <f t="shared" si="18"/>
        <v>0</v>
      </c>
    </row>
    <row r="127" spans="2:16" ht="12.5">
      <c r="B127" s="195" t="str">
        <f t="shared" si="19"/>
        <v/>
      </c>
      <c r="C127" s="507">
        <f>IF(D93="","-",+C126+1)</f>
        <v>2045</v>
      </c>
      <c r="D127" s="374">
        <f>IF(F126+SUM(E$99:E126)=D$92,F126,D$92-SUM(E$99:E126))</f>
        <v>413956.81296086172</v>
      </c>
      <c r="E127" s="522">
        <f>IF(+J96&lt;F126,J96,D127)</f>
        <v>30421.756097560974</v>
      </c>
      <c r="F127" s="523">
        <f t="shared" si="21"/>
        <v>383535.05686330074</v>
      </c>
      <c r="G127" s="523">
        <f t="shared" si="22"/>
        <v>398745.93491208123</v>
      </c>
      <c r="H127" s="526">
        <f t="shared" si="23"/>
        <v>75685.092418005617</v>
      </c>
      <c r="I127" s="577">
        <f t="shared" si="24"/>
        <v>75685.092418005617</v>
      </c>
      <c r="J127" s="514">
        <f t="shared" si="15"/>
        <v>0</v>
      </c>
      <c r="K127" s="514"/>
      <c r="L127" s="525"/>
      <c r="M127" s="514">
        <f t="shared" si="16"/>
        <v>0</v>
      </c>
      <c r="N127" s="525"/>
      <c r="O127" s="514">
        <f t="shared" si="17"/>
        <v>0</v>
      </c>
      <c r="P127" s="514">
        <f t="shared" si="18"/>
        <v>0</v>
      </c>
    </row>
    <row r="128" spans="2:16" ht="12.5">
      <c r="B128" s="195" t="str">
        <f t="shared" si="19"/>
        <v/>
      </c>
      <c r="C128" s="507">
        <f>IF(D93="","-",+C127+1)</f>
        <v>2046</v>
      </c>
      <c r="D128" s="374">
        <f>IF(F127+SUM(E$99:E127)=D$92,F127,D$92-SUM(E$99:E127))</f>
        <v>383535.05686330074</v>
      </c>
      <c r="E128" s="522">
        <f>IF(+J96&lt;F127,J96,D128)</f>
        <v>30421.756097560974</v>
      </c>
      <c r="F128" s="523">
        <f t="shared" si="21"/>
        <v>353113.30076573975</v>
      </c>
      <c r="G128" s="523">
        <f t="shared" si="22"/>
        <v>368324.17881452024</v>
      </c>
      <c r="H128" s="526">
        <f t="shared" si="23"/>
        <v>72231.790309719421</v>
      </c>
      <c r="I128" s="577">
        <f t="shared" si="24"/>
        <v>72231.790309719421</v>
      </c>
      <c r="J128" s="514">
        <f t="shared" si="15"/>
        <v>0</v>
      </c>
      <c r="K128" s="514"/>
      <c r="L128" s="525"/>
      <c r="M128" s="514">
        <f t="shared" si="16"/>
        <v>0</v>
      </c>
      <c r="N128" s="525"/>
      <c r="O128" s="514">
        <f t="shared" si="17"/>
        <v>0</v>
      </c>
      <c r="P128" s="514">
        <f t="shared" si="18"/>
        <v>0</v>
      </c>
    </row>
    <row r="129" spans="2:16" ht="12.5">
      <c r="B129" s="195" t="str">
        <f t="shared" si="19"/>
        <v/>
      </c>
      <c r="C129" s="507">
        <f>IF(D93="","-",+C128+1)</f>
        <v>2047</v>
      </c>
      <c r="D129" s="374">
        <f>IF(F128+SUM(E$99:E128)=D$92,F128,D$92-SUM(E$99:E128))</f>
        <v>353113.30076573975</v>
      </c>
      <c r="E129" s="522">
        <f>IF(+J96&lt;F128,J96,D129)</f>
        <v>30421.756097560974</v>
      </c>
      <c r="F129" s="523">
        <f t="shared" si="21"/>
        <v>322691.54466817877</v>
      </c>
      <c r="G129" s="523">
        <f t="shared" si="22"/>
        <v>337902.42271695926</v>
      </c>
      <c r="H129" s="526">
        <f t="shared" si="23"/>
        <v>68778.488201433225</v>
      </c>
      <c r="I129" s="577">
        <f t="shared" si="24"/>
        <v>68778.488201433225</v>
      </c>
      <c r="J129" s="514">
        <f t="shared" si="15"/>
        <v>0</v>
      </c>
      <c r="K129" s="514"/>
      <c r="L129" s="525"/>
      <c r="M129" s="514">
        <f t="shared" si="16"/>
        <v>0</v>
      </c>
      <c r="N129" s="525"/>
      <c r="O129" s="514">
        <f t="shared" si="17"/>
        <v>0</v>
      </c>
      <c r="P129" s="514">
        <f t="shared" si="18"/>
        <v>0</v>
      </c>
    </row>
    <row r="130" spans="2:16" ht="12.5">
      <c r="B130" s="195" t="str">
        <f t="shared" si="19"/>
        <v/>
      </c>
      <c r="C130" s="507">
        <f>IF(D93="","-",+C129+1)</f>
        <v>2048</v>
      </c>
      <c r="D130" s="374">
        <f>IF(F129+SUM(E$99:E129)=D$92,F129,D$92-SUM(E$99:E129))</f>
        <v>322691.54466817877</v>
      </c>
      <c r="E130" s="522">
        <f>IF(+J96&lt;F129,J96,D130)</f>
        <v>30421.756097560974</v>
      </c>
      <c r="F130" s="523">
        <f t="shared" si="21"/>
        <v>292269.78857061779</v>
      </c>
      <c r="G130" s="523">
        <f t="shared" si="22"/>
        <v>307480.66661939828</v>
      </c>
      <c r="H130" s="526">
        <f t="shared" si="23"/>
        <v>65325.186093147029</v>
      </c>
      <c r="I130" s="577">
        <f t="shared" si="24"/>
        <v>65325.186093147029</v>
      </c>
      <c r="J130" s="514">
        <f t="shared" si="15"/>
        <v>0</v>
      </c>
      <c r="K130" s="514"/>
      <c r="L130" s="525"/>
      <c r="M130" s="514">
        <f t="shared" si="16"/>
        <v>0</v>
      </c>
      <c r="N130" s="525"/>
      <c r="O130" s="514">
        <f t="shared" si="17"/>
        <v>0</v>
      </c>
      <c r="P130" s="514">
        <f t="shared" si="18"/>
        <v>0</v>
      </c>
    </row>
    <row r="131" spans="2:16" ht="12.5">
      <c r="B131" s="195" t="str">
        <f t="shared" si="19"/>
        <v/>
      </c>
      <c r="C131" s="507">
        <f>IF(D93="","-",+C130+1)</f>
        <v>2049</v>
      </c>
      <c r="D131" s="374">
        <f>IF(F130+SUM(E$99:E130)=D$92,F130,D$92-SUM(E$99:E130))</f>
        <v>292269.78857061779</v>
      </c>
      <c r="E131" s="522">
        <f>IF(+J96&lt;F130,J96,D131)</f>
        <v>30421.756097560974</v>
      </c>
      <c r="F131" s="523">
        <f t="shared" ref="F131:F154" si="25">+D131-E131</f>
        <v>261848.03247305681</v>
      </c>
      <c r="G131" s="523">
        <f t="shared" ref="G131:G154" si="26">+(F131+D131)/2</f>
        <v>277058.9105218373</v>
      </c>
      <c r="H131" s="526">
        <f t="shared" si="23"/>
        <v>61871.883984860833</v>
      </c>
      <c r="I131" s="577">
        <f t="shared" si="24"/>
        <v>61871.883984860833</v>
      </c>
      <c r="J131" s="514">
        <f t="shared" ref="J131:J154" si="27">+I541-H541</f>
        <v>0</v>
      </c>
      <c r="K131" s="514"/>
      <c r="L131" s="525"/>
      <c r="M131" s="514">
        <f t="shared" ref="M131:M154" si="28">IF(L541&lt;&gt;0,+H541-L541,0)</f>
        <v>0</v>
      </c>
      <c r="N131" s="525"/>
      <c r="O131" s="514">
        <f t="shared" ref="O131:O154" si="29">IF(N541&lt;&gt;0,+I541-N541,0)</f>
        <v>0</v>
      </c>
      <c r="P131" s="514">
        <f t="shared" ref="P131:P154" si="30">+O541-M541</f>
        <v>0</v>
      </c>
    </row>
    <row r="132" spans="2:16" ht="12.5">
      <c r="B132" s="195" t="str">
        <f t="shared" si="19"/>
        <v/>
      </c>
      <c r="C132" s="507">
        <f>IF(D93="","-",+C131+1)</f>
        <v>2050</v>
      </c>
      <c r="D132" s="374">
        <f>IF(F131+SUM(E$99:E131)=D$92,F131,D$92-SUM(E$99:E131))</f>
        <v>261848.03247305681</v>
      </c>
      <c r="E132" s="522">
        <f>IF(+J96&lt;F131,J96,D132)</f>
        <v>30421.756097560974</v>
      </c>
      <c r="F132" s="523">
        <f t="shared" si="25"/>
        <v>231426.27637549583</v>
      </c>
      <c r="G132" s="523">
        <f t="shared" si="26"/>
        <v>246637.15442427632</v>
      </c>
      <c r="H132" s="526">
        <f t="shared" si="23"/>
        <v>58418.581876574637</v>
      </c>
      <c r="I132" s="577">
        <f t="shared" si="24"/>
        <v>58418.581876574637</v>
      </c>
      <c r="J132" s="514">
        <f t="shared" si="27"/>
        <v>0</v>
      </c>
      <c r="K132" s="514"/>
      <c r="L132" s="525"/>
      <c r="M132" s="514">
        <f t="shared" si="28"/>
        <v>0</v>
      </c>
      <c r="N132" s="525"/>
      <c r="O132" s="514">
        <f t="shared" si="29"/>
        <v>0</v>
      </c>
      <c r="P132" s="514">
        <f t="shared" si="30"/>
        <v>0</v>
      </c>
    </row>
    <row r="133" spans="2:16" ht="12.5">
      <c r="B133" s="195" t="str">
        <f t="shared" si="19"/>
        <v/>
      </c>
      <c r="C133" s="507">
        <f>IF(D93="","-",+C132+1)</f>
        <v>2051</v>
      </c>
      <c r="D133" s="374">
        <f>IF(F132+SUM(E$99:E132)=D$92,F132,D$92-SUM(E$99:E132))</f>
        <v>231426.27637549583</v>
      </c>
      <c r="E133" s="522">
        <f>IF(+J96&lt;F132,J96,D133)</f>
        <v>30421.756097560974</v>
      </c>
      <c r="F133" s="523">
        <f t="shared" si="25"/>
        <v>201004.52027793485</v>
      </c>
      <c r="G133" s="523">
        <f t="shared" si="26"/>
        <v>216215.39832671534</v>
      </c>
      <c r="H133" s="526">
        <f t="shared" si="23"/>
        <v>54965.279768288441</v>
      </c>
      <c r="I133" s="577">
        <f t="shared" si="24"/>
        <v>54965.279768288441</v>
      </c>
      <c r="J133" s="514">
        <f t="shared" si="27"/>
        <v>0</v>
      </c>
      <c r="K133" s="514"/>
      <c r="L133" s="525"/>
      <c r="M133" s="514">
        <f t="shared" si="28"/>
        <v>0</v>
      </c>
      <c r="N133" s="525"/>
      <c r="O133" s="514">
        <f t="shared" si="29"/>
        <v>0</v>
      </c>
      <c r="P133" s="514">
        <f t="shared" si="30"/>
        <v>0</v>
      </c>
    </row>
    <row r="134" spans="2:16" ht="12.5">
      <c r="B134" s="195" t="str">
        <f t="shared" si="19"/>
        <v/>
      </c>
      <c r="C134" s="507">
        <f>IF(D93="","-",+C133+1)</f>
        <v>2052</v>
      </c>
      <c r="D134" s="374">
        <f>IF(F133+SUM(E$99:E133)=D$92,F133,D$92-SUM(E$99:E133))</f>
        <v>201004.52027793485</v>
      </c>
      <c r="E134" s="522">
        <f>IF(+J96&lt;F133,J96,D134)</f>
        <v>30421.756097560974</v>
      </c>
      <c r="F134" s="523">
        <f t="shared" si="25"/>
        <v>170582.76418037387</v>
      </c>
      <c r="G134" s="523">
        <f t="shared" si="26"/>
        <v>185793.64222915436</v>
      </c>
      <c r="H134" s="526">
        <f t="shared" si="23"/>
        <v>51511.977660002245</v>
      </c>
      <c r="I134" s="577">
        <f t="shared" si="24"/>
        <v>51511.977660002245</v>
      </c>
      <c r="J134" s="514">
        <f t="shared" si="27"/>
        <v>0</v>
      </c>
      <c r="K134" s="514"/>
      <c r="L134" s="525"/>
      <c r="M134" s="514">
        <f t="shared" si="28"/>
        <v>0</v>
      </c>
      <c r="N134" s="525"/>
      <c r="O134" s="514">
        <f t="shared" si="29"/>
        <v>0</v>
      </c>
      <c r="P134" s="514">
        <f t="shared" si="30"/>
        <v>0</v>
      </c>
    </row>
    <row r="135" spans="2:16" ht="12.5">
      <c r="B135" s="195" t="str">
        <f t="shared" si="19"/>
        <v/>
      </c>
      <c r="C135" s="507">
        <f>IF(D93="","-",+C134+1)</f>
        <v>2053</v>
      </c>
      <c r="D135" s="374">
        <f>IF(F134+SUM(E$99:E134)=D$92,F134,D$92-SUM(E$99:E134))</f>
        <v>170582.76418037387</v>
      </c>
      <c r="E135" s="522">
        <f>IF(+J96&lt;F134,J96,D135)</f>
        <v>30421.756097560974</v>
      </c>
      <c r="F135" s="523">
        <f t="shared" si="25"/>
        <v>140161.00808281288</v>
      </c>
      <c r="G135" s="523">
        <f t="shared" si="26"/>
        <v>155371.88613159338</v>
      </c>
      <c r="H135" s="526">
        <f t="shared" si="23"/>
        <v>48058.675551716049</v>
      </c>
      <c r="I135" s="577">
        <f t="shared" si="24"/>
        <v>48058.675551716049</v>
      </c>
      <c r="J135" s="514">
        <f t="shared" si="27"/>
        <v>0</v>
      </c>
      <c r="K135" s="514"/>
      <c r="L135" s="525"/>
      <c r="M135" s="514">
        <f t="shared" si="28"/>
        <v>0</v>
      </c>
      <c r="N135" s="525"/>
      <c r="O135" s="514">
        <f t="shared" si="29"/>
        <v>0</v>
      </c>
      <c r="P135" s="514">
        <f t="shared" si="30"/>
        <v>0</v>
      </c>
    </row>
    <row r="136" spans="2:16" ht="12.5">
      <c r="B136" s="195" t="str">
        <f t="shared" si="19"/>
        <v/>
      </c>
      <c r="C136" s="507">
        <f>IF(D93="","-",+C135+1)</f>
        <v>2054</v>
      </c>
      <c r="D136" s="374">
        <f>IF(F135+SUM(E$99:E135)=D$92,F135,D$92-SUM(E$99:E135))</f>
        <v>140161.00808281288</v>
      </c>
      <c r="E136" s="522">
        <f>IF(+J96&lt;F135,J96,D136)</f>
        <v>30421.756097560974</v>
      </c>
      <c r="F136" s="523">
        <f t="shared" si="25"/>
        <v>109739.2519852519</v>
      </c>
      <c r="G136" s="523">
        <f t="shared" si="26"/>
        <v>124950.13003403239</v>
      </c>
      <c r="H136" s="526">
        <f t="shared" si="23"/>
        <v>44605.373443429853</v>
      </c>
      <c r="I136" s="577">
        <f t="shared" si="24"/>
        <v>44605.373443429853</v>
      </c>
      <c r="J136" s="514">
        <f t="shared" si="27"/>
        <v>0</v>
      </c>
      <c r="K136" s="514"/>
      <c r="L136" s="525"/>
      <c r="M136" s="514">
        <f t="shared" si="28"/>
        <v>0</v>
      </c>
      <c r="N136" s="525"/>
      <c r="O136" s="514">
        <f t="shared" si="29"/>
        <v>0</v>
      </c>
      <c r="P136" s="514">
        <f t="shared" si="30"/>
        <v>0</v>
      </c>
    </row>
    <row r="137" spans="2:16" ht="12.5">
      <c r="B137" s="195" t="str">
        <f t="shared" si="19"/>
        <v/>
      </c>
      <c r="C137" s="507">
        <f>IF(D93="","-",+C136+1)</f>
        <v>2055</v>
      </c>
      <c r="D137" s="374">
        <f>IF(F136+SUM(E$99:E136)=D$92,F136,D$92-SUM(E$99:E136))</f>
        <v>109739.2519852519</v>
      </c>
      <c r="E137" s="522">
        <f>IF(+J96&lt;F136,J96,D137)</f>
        <v>30421.756097560974</v>
      </c>
      <c r="F137" s="523">
        <f t="shared" si="25"/>
        <v>79317.495887690922</v>
      </c>
      <c r="G137" s="523">
        <f t="shared" si="26"/>
        <v>94528.373936471413</v>
      </c>
      <c r="H137" s="526">
        <f t="shared" si="23"/>
        <v>41152.071335143657</v>
      </c>
      <c r="I137" s="577">
        <f t="shared" si="24"/>
        <v>41152.071335143657</v>
      </c>
      <c r="J137" s="514">
        <f t="shared" si="27"/>
        <v>0</v>
      </c>
      <c r="K137" s="514"/>
      <c r="L137" s="525"/>
      <c r="M137" s="514">
        <f t="shared" si="28"/>
        <v>0</v>
      </c>
      <c r="N137" s="525"/>
      <c r="O137" s="514">
        <f t="shared" si="29"/>
        <v>0</v>
      </c>
      <c r="P137" s="514">
        <f t="shared" si="30"/>
        <v>0</v>
      </c>
    </row>
    <row r="138" spans="2:16" ht="12.5">
      <c r="B138" s="195" t="str">
        <f t="shared" si="19"/>
        <v/>
      </c>
      <c r="C138" s="507">
        <f>IF(D93="","-",+C137+1)</f>
        <v>2056</v>
      </c>
      <c r="D138" s="374">
        <f>IF(F137+SUM(E$99:E137)=D$92,F137,D$92-SUM(E$99:E137))</f>
        <v>79317.495887690922</v>
      </c>
      <c r="E138" s="522">
        <f>IF(+J96&lt;F137,J96,D138)</f>
        <v>30421.756097560974</v>
      </c>
      <c r="F138" s="523">
        <f t="shared" si="25"/>
        <v>48895.739790129948</v>
      </c>
      <c r="G138" s="523">
        <f t="shared" si="26"/>
        <v>64106.617838910432</v>
      </c>
      <c r="H138" s="526">
        <f t="shared" si="23"/>
        <v>37698.769226857461</v>
      </c>
      <c r="I138" s="577">
        <f t="shared" si="24"/>
        <v>37698.769226857461</v>
      </c>
      <c r="J138" s="514">
        <f t="shared" si="27"/>
        <v>0</v>
      </c>
      <c r="K138" s="514"/>
      <c r="L138" s="525"/>
      <c r="M138" s="514">
        <f t="shared" si="28"/>
        <v>0</v>
      </c>
      <c r="N138" s="525"/>
      <c r="O138" s="514">
        <f t="shared" si="29"/>
        <v>0</v>
      </c>
      <c r="P138" s="514">
        <f t="shared" si="30"/>
        <v>0</v>
      </c>
    </row>
    <row r="139" spans="2:16" ht="12.5">
      <c r="B139" s="195" t="str">
        <f t="shared" si="19"/>
        <v/>
      </c>
      <c r="C139" s="507">
        <f>IF(D93="","-",+C138+1)</f>
        <v>2057</v>
      </c>
      <c r="D139" s="374">
        <f>IF(F138+SUM(E$99:E138)=D$92,F138,D$92-SUM(E$99:E138))</f>
        <v>48895.739790129948</v>
      </c>
      <c r="E139" s="522">
        <f>IF(+J96&lt;F138,J96,D139)</f>
        <v>30421.756097560974</v>
      </c>
      <c r="F139" s="523">
        <f t="shared" si="25"/>
        <v>18473.983692568974</v>
      </c>
      <c r="G139" s="523">
        <f t="shared" si="26"/>
        <v>33684.861741349465</v>
      </c>
      <c r="H139" s="526">
        <f t="shared" si="23"/>
        <v>34245.467118571272</v>
      </c>
      <c r="I139" s="577">
        <f t="shared" si="24"/>
        <v>34245.467118571272</v>
      </c>
      <c r="J139" s="514">
        <f t="shared" si="27"/>
        <v>0</v>
      </c>
      <c r="K139" s="514"/>
      <c r="L139" s="525"/>
      <c r="M139" s="514">
        <f t="shared" si="28"/>
        <v>0</v>
      </c>
      <c r="N139" s="525"/>
      <c r="O139" s="514">
        <f t="shared" si="29"/>
        <v>0</v>
      </c>
      <c r="P139" s="514">
        <f t="shared" si="30"/>
        <v>0</v>
      </c>
    </row>
    <row r="140" spans="2:16" ht="12.5">
      <c r="B140" s="195" t="str">
        <f t="shared" si="19"/>
        <v/>
      </c>
      <c r="C140" s="507">
        <f>IF(D93="","-",+C139+1)</f>
        <v>2058</v>
      </c>
      <c r="D140" s="374">
        <f>IF(F139+SUM(E$99:E139)=D$92,F139,D$92-SUM(E$99:E139))</f>
        <v>18473.983692568974</v>
      </c>
      <c r="E140" s="522">
        <f>IF(+J96&lt;F139,J96,D140)</f>
        <v>18473.983692568974</v>
      </c>
      <c r="F140" s="523">
        <f t="shared" si="25"/>
        <v>0</v>
      </c>
      <c r="G140" s="523">
        <f t="shared" si="26"/>
        <v>9236.9918462844871</v>
      </c>
      <c r="H140" s="526">
        <f t="shared" si="23"/>
        <v>19522.513676002574</v>
      </c>
      <c r="I140" s="577">
        <f t="shared" si="24"/>
        <v>19522.513676002574</v>
      </c>
      <c r="J140" s="514">
        <f t="shared" si="27"/>
        <v>0</v>
      </c>
      <c r="K140" s="514"/>
      <c r="L140" s="525"/>
      <c r="M140" s="514">
        <f t="shared" si="28"/>
        <v>0</v>
      </c>
      <c r="N140" s="525"/>
      <c r="O140" s="514">
        <f t="shared" si="29"/>
        <v>0</v>
      </c>
      <c r="P140" s="514">
        <f t="shared" si="30"/>
        <v>0</v>
      </c>
    </row>
    <row r="141" spans="2:16" ht="12.5">
      <c r="B141" s="195" t="str">
        <f t="shared" si="19"/>
        <v/>
      </c>
      <c r="C141" s="507">
        <f>IF(D93="","-",+C140+1)</f>
        <v>2059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5"/>
        <v>0</v>
      </c>
      <c r="G141" s="523">
        <f t="shared" si="26"/>
        <v>0</v>
      </c>
      <c r="H141" s="526">
        <f t="shared" si="23"/>
        <v>0</v>
      </c>
      <c r="I141" s="577">
        <f t="shared" si="24"/>
        <v>0</v>
      </c>
      <c r="J141" s="514">
        <f t="shared" si="27"/>
        <v>0</v>
      </c>
      <c r="K141" s="514"/>
      <c r="L141" s="525"/>
      <c r="M141" s="514">
        <f t="shared" si="28"/>
        <v>0</v>
      </c>
      <c r="N141" s="525"/>
      <c r="O141" s="514">
        <f t="shared" si="29"/>
        <v>0</v>
      </c>
      <c r="P141" s="514">
        <f t="shared" si="30"/>
        <v>0</v>
      </c>
    </row>
    <row r="142" spans="2:16" ht="12.5">
      <c r="B142" s="195" t="str">
        <f t="shared" si="19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5"/>
        <v>0</v>
      </c>
      <c r="G142" s="523">
        <f t="shared" si="26"/>
        <v>0</v>
      </c>
      <c r="H142" s="526">
        <f t="shared" si="23"/>
        <v>0</v>
      </c>
      <c r="I142" s="577">
        <f t="shared" si="24"/>
        <v>0</v>
      </c>
      <c r="J142" s="514">
        <f t="shared" si="27"/>
        <v>0</v>
      </c>
      <c r="K142" s="514"/>
      <c r="L142" s="525"/>
      <c r="M142" s="514">
        <f t="shared" si="28"/>
        <v>0</v>
      </c>
      <c r="N142" s="525"/>
      <c r="O142" s="514">
        <f t="shared" si="29"/>
        <v>0</v>
      </c>
      <c r="P142" s="514">
        <f t="shared" si="30"/>
        <v>0</v>
      </c>
    </row>
    <row r="143" spans="2:16" ht="12.5">
      <c r="B143" s="195" t="str">
        <f t="shared" si="19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5"/>
        <v>0</v>
      </c>
      <c r="G143" s="523">
        <f t="shared" si="26"/>
        <v>0</v>
      </c>
      <c r="H143" s="526">
        <f t="shared" si="23"/>
        <v>0</v>
      </c>
      <c r="I143" s="577">
        <f t="shared" si="24"/>
        <v>0</v>
      </c>
      <c r="J143" s="514">
        <f t="shared" si="27"/>
        <v>0</v>
      </c>
      <c r="K143" s="514"/>
      <c r="L143" s="525"/>
      <c r="M143" s="514">
        <f t="shared" si="28"/>
        <v>0</v>
      </c>
      <c r="N143" s="525"/>
      <c r="O143" s="514">
        <f t="shared" si="29"/>
        <v>0</v>
      </c>
      <c r="P143" s="514">
        <f t="shared" si="30"/>
        <v>0</v>
      </c>
    </row>
    <row r="144" spans="2:16" ht="12.5">
      <c r="B144" s="195" t="str">
        <f t="shared" si="19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5"/>
        <v>0</v>
      </c>
      <c r="G144" s="523">
        <f t="shared" si="26"/>
        <v>0</v>
      </c>
      <c r="H144" s="526">
        <f t="shared" si="23"/>
        <v>0</v>
      </c>
      <c r="I144" s="577">
        <f t="shared" si="24"/>
        <v>0</v>
      </c>
      <c r="J144" s="514">
        <f t="shared" si="27"/>
        <v>0</v>
      </c>
      <c r="K144" s="514"/>
      <c r="L144" s="525"/>
      <c r="M144" s="514">
        <f t="shared" si="28"/>
        <v>0</v>
      </c>
      <c r="N144" s="525"/>
      <c r="O144" s="514">
        <f t="shared" si="29"/>
        <v>0</v>
      </c>
      <c r="P144" s="514">
        <f t="shared" si="30"/>
        <v>0</v>
      </c>
    </row>
    <row r="145" spans="2:16" ht="12.5">
      <c r="B145" s="195" t="str">
        <f t="shared" si="19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5"/>
        <v>0</v>
      </c>
      <c r="G145" s="523">
        <f t="shared" si="26"/>
        <v>0</v>
      </c>
      <c r="H145" s="526">
        <f t="shared" si="23"/>
        <v>0</v>
      </c>
      <c r="I145" s="577">
        <f t="shared" si="24"/>
        <v>0</v>
      </c>
      <c r="J145" s="514">
        <f t="shared" si="27"/>
        <v>0</v>
      </c>
      <c r="K145" s="514"/>
      <c r="L145" s="525"/>
      <c r="M145" s="514">
        <f t="shared" si="28"/>
        <v>0</v>
      </c>
      <c r="N145" s="525"/>
      <c r="O145" s="514">
        <f t="shared" si="29"/>
        <v>0</v>
      </c>
      <c r="P145" s="514">
        <f t="shared" si="30"/>
        <v>0</v>
      </c>
    </row>
    <row r="146" spans="2:16" ht="12.5">
      <c r="B146" s="195" t="str">
        <f t="shared" si="19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5"/>
        <v>0</v>
      </c>
      <c r="G146" s="523">
        <f t="shared" si="26"/>
        <v>0</v>
      </c>
      <c r="H146" s="526">
        <f t="shared" si="23"/>
        <v>0</v>
      </c>
      <c r="I146" s="577">
        <f t="shared" si="24"/>
        <v>0</v>
      </c>
      <c r="J146" s="514">
        <f t="shared" si="27"/>
        <v>0</v>
      </c>
      <c r="K146" s="514"/>
      <c r="L146" s="525"/>
      <c r="M146" s="514">
        <f t="shared" si="28"/>
        <v>0</v>
      </c>
      <c r="N146" s="525"/>
      <c r="O146" s="514">
        <f t="shared" si="29"/>
        <v>0</v>
      </c>
      <c r="P146" s="514">
        <f t="shared" si="30"/>
        <v>0</v>
      </c>
    </row>
    <row r="147" spans="2:16" ht="12.5">
      <c r="B147" s="195" t="str">
        <f t="shared" si="19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5"/>
        <v>0</v>
      </c>
      <c r="G147" s="523">
        <f t="shared" si="26"/>
        <v>0</v>
      </c>
      <c r="H147" s="526">
        <f t="shared" si="23"/>
        <v>0</v>
      </c>
      <c r="I147" s="577">
        <f t="shared" si="24"/>
        <v>0</v>
      </c>
      <c r="J147" s="514">
        <f t="shared" si="27"/>
        <v>0</v>
      </c>
      <c r="K147" s="514"/>
      <c r="L147" s="525"/>
      <c r="M147" s="514">
        <f t="shared" si="28"/>
        <v>0</v>
      </c>
      <c r="N147" s="525"/>
      <c r="O147" s="514">
        <f t="shared" si="29"/>
        <v>0</v>
      </c>
      <c r="P147" s="514">
        <f t="shared" si="30"/>
        <v>0</v>
      </c>
    </row>
    <row r="148" spans="2:16" ht="12.5">
      <c r="B148" s="195" t="str">
        <f t="shared" si="19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5"/>
        <v>0</v>
      </c>
      <c r="G148" s="523">
        <f t="shared" si="26"/>
        <v>0</v>
      </c>
      <c r="H148" s="526">
        <f t="shared" si="23"/>
        <v>0</v>
      </c>
      <c r="I148" s="577">
        <f t="shared" si="24"/>
        <v>0</v>
      </c>
      <c r="J148" s="514">
        <f t="shared" si="27"/>
        <v>0</v>
      </c>
      <c r="K148" s="514"/>
      <c r="L148" s="525"/>
      <c r="M148" s="514">
        <f t="shared" si="28"/>
        <v>0</v>
      </c>
      <c r="N148" s="525"/>
      <c r="O148" s="514">
        <f t="shared" si="29"/>
        <v>0</v>
      </c>
      <c r="P148" s="514">
        <f t="shared" si="30"/>
        <v>0</v>
      </c>
    </row>
    <row r="149" spans="2:16" ht="12.5">
      <c r="B149" s="195" t="str">
        <f t="shared" si="19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5"/>
        <v>0</v>
      </c>
      <c r="G149" s="523">
        <f t="shared" si="26"/>
        <v>0</v>
      </c>
      <c r="H149" s="526">
        <f t="shared" si="23"/>
        <v>0</v>
      </c>
      <c r="I149" s="577">
        <f t="shared" si="24"/>
        <v>0</v>
      </c>
      <c r="J149" s="514">
        <f t="shared" si="27"/>
        <v>0</v>
      </c>
      <c r="K149" s="514"/>
      <c r="L149" s="525"/>
      <c r="M149" s="514">
        <f t="shared" si="28"/>
        <v>0</v>
      </c>
      <c r="N149" s="525"/>
      <c r="O149" s="514">
        <f t="shared" si="29"/>
        <v>0</v>
      </c>
      <c r="P149" s="514">
        <f t="shared" si="30"/>
        <v>0</v>
      </c>
    </row>
    <row r="150" spans="2:16" ht="12.5">
      <c r="B150" s="195" t="str">
        <f t="shared" si="19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5"/>
        <v>0</v>
      </c>
      <c r="G150" s="523">
        <f t="shared" si="26"/>
        <v>0</v>
      </c>
      <c r="H150" s="526">
        <f t="shared" si="23"/>
        <v>0</v>
      </c>
      <c r="I150" s="577">
        <f t="shared" si="24"/>
        <v>0</v>
      </c>
      <c r="J150" s="514">
        <f t="shared" si="27"/>
        <v>0</v>
      </c>
      <c r="K150" s="514"/>
      <c r="L150" s="525"/>
      <c r="M150" s="514">
        <f t="shared" si="28"/>
        <v>0</v>
      </c>
      <c r="N150" s="525"/>
      <c r="O150" s="514">
        <f t="shared" si="29"/>
        <v>0</v>
      </c>
      <c r="P150" s="514">
        <f t="shared" si="30"/>
        <v>0</v>
      </c>
    </row>
    <row r="151" spans="2:16" ht="12.5">
      <c r="B151" s="195" t="str">
        <f t="shared" si="19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5"/>
        <v>0</v>
      </c>
      <c r="G151" s="523">
        <f t="shared" si="26"/>
        <v>0</v>
      </c>
      <c r="H151" s="526">
        <f t="shared" si="23"/>
        <v>0</v>
      </c>
      <c r="I151" s="577">
        <f t="shared" si="24"/>
        <v>0</v>
      </c>
      <c r="J151" s="514">
        <f t="shared" si="27"/>
        <v>0</v>
      </c>
      <c r="K151" s="514"/>
      <c r="L151" s="525"/>
      <c r="M151" s="514">
        <f t="shared" si="28"/>
        <v>0</v>
      </c>
      <c r="N151" s="525"/>
      <c r="O151" s="514">
        <f t="shared" si="29"/>
        <v>0</v>
      </c>
      <c r="P151" s="514">
        <f t="shared" si="30"/>
        <v>0</v>
      </c>
    </row>
    <row r="152" spans="2:16" ht="12.5">
      <c r="B152" s="195" t="str">
        <f t="shared" si="19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5"/>
        <v>0</v>
      </c>
      <c r="G152" s="523">
        <f t="shared" si="26"/>
        <v>0</v>
      </c>
      <c r="H152" s="526">
        <f t="shared" si="23"/>
        <v>0</v>
      </c>
      <c r="I152" s="577">
        <f t="shared" si="24"/>
        <v>0</v>
      </c>
      <c r="J152" s="514">
        <f t="shared" si="27"/>
        <v>0</v>
      </c>
      <c r="K152" s="514"/>
      <c r="L152" s="525"/>
      <c r="M152" s="514">
        <f t="shared" si="28"/>
        <v>0</v>
      </c>
      <c r="N152" s="525"/>
      <c r="O152" s="514">
        <f t="shared" si="29"/>
        <v>0</v>
      </c>
      <c r="P152" s="514">
        <f t="shared" si="30"/>
        <v>0</v>
      </c>
    </row>
    <row r="153" spans="2:16" ht="12.5">
      <c r="B153" s="195" t="str">
        <f t="shared" si="19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5"/>
        <v>0</v>
      </c>
      <c r="G153" s="523">
        <f t="shared" si="26"/>
        <v>0</v>
      </c>
      <c r="H153" s="526">
        <f t="shared" si="23"/>
        <v>0</v>
      </c>
      <c r="I153" s="577">
        <f t="shared" si="24"/>
        <v>0</v>
      </c>
      <c r="J153" s="514">
        <f t="shared" si="27"/>
        <v>0</v>
      </c>
      <c r="K153" s="514"/>
      <c r="L153" s="525"/>
      <c r="M153" s="514">
        <f t="shared" si="28"/>
        <v>0</v>
      </c>
      <c r="N153" s="525"/>
      <c r="O153" s="514">
        <f t="shared" si="29"/>
        <v>0</v>
      </c>
      <c r="P153" s="514">
        <f t="shared" si="30"/>
        <v>0</v>
      </c>
    </row>
    <row r="154" spans="2:16" ht="13" thickBot="1">
      <c r="B154" s="195" t="str">
        <f t="shared" si="19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5"/>
        <v>0</v>
      </c>
      <c r="G154" s="528">
        <f t="shared" si="26"/>
        <v>0</v>
      </c>
      <c r="H154" s="530">
        <f t="shared" si="23"/>
        <v>0</v>
      </c>
      <c r="I154" s="579">
        <f t="shared" si="24"/>
        <v>0</v>
      </c>
      <c r="J154" s="533">
        <f t="shared" si="27"/>
        <v>0</v>
      </c>
      <c r="K154" s="514"/>
      <c r="L154" s="532"/>
      <c r="M154" s="533">
        <f t="shared" si="28"/>
        <v>0</v>
      </c>
      <c r="N154" s="532"/>
      <c r="O154" s="533">
        <f t="shared" si="29"/>
        <v>0</v>
      </c>
      <c r="P154" s="533">
        <f t="shared" si="30"/>
        <v>0</v>
      </c>
    </row>
    <row r="155" spans="2:16" ht="12.5">
      <c r="C155" s="374" t="s">
        <v>78</v>
      </c>
      <c r="D155" s="375"/>
      <c r="E155" s="375">
        <f>SUM(E99:E154)</f>
        <v>1247291.9999999995</v>
      </c>
      <c r="F155" s="375"/>
      <c r="G155" s="375"/>
      <c r="H155" s="375">
        <f>SUM(H99:H154)</f>
        <v>4144834.1639341447</v>
      </c>
      <c r="I155" s="375">
        <f>SUM(I99:I154)</f>
        <v>4144834.1639341447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3" priority="2" stopIfTrue="1" operator="equal">
      <formula>$I$10</formula>
    </cfRule>
  </conditionalFormatting>
  <conditionalFormatting sqref="C99:C154">
    <cfRule type="cellIs" dxfId="32" priority="3" stopIfTrue="1" operator="equal">
      <formula>$J$92</formula>
    </cfRule>
  </conditionalFormatting>
  <conditionalFormatting sqref="C17">
    <cfRule type="cellIs" dxfId="31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12"/>
  <dimension ref="A1:P162"/>
  <sheetViews>
    <sheetView view="pageBreakPreview" zoomScale="80" zoomScaleNormal="100" zoomScaleSheetLayoutView="80" workbookViewId="0"/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63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614725.43863410503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614725.43863410503</v>
      </c>
      <c r="O6" s="269"/>
      <c r="P6" s="269"/>
    </row>
    <row r="7" spans="1:16" ht="13.5" thickBot="1">
      <c r="C7" s="467" t="s">
        <v>48</v>
      </c>
      <c r="D7" s="624" t="s">
        <v>383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409</v>
      </c>
      <c r="E9" s="637" t="s">
        <v>410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4648771.29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110685.03071428572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>
        <v>0</v>
      </c>
      <c r="E17" s="658">
        <v>0</v>
      </c>
      <c r="F17" s="651">
        <v>5508000</v>
      </c>
      <c r="G17" s="659">
        <v>341200.03757960664</v>
      </c>
      <c r="H17" s="657">
        <v>341200.03757960664</v>
      </c>
      <c r="I17" s="511">
        <f t="shared" ref="I17:I72" si="0">H17-G17</f>
        <v>0</v>
      </c>
      <c r="J17" s="511"/>
      <c r="K17" s="512">
        <f t="shared" ref="K17:K22" si="1">+G17</f>
        <v>341200.03757960664</v>
      </c>
      <c r="L17" s="513">
        <f t="shared" ref="L17:L72" si="2">IF(K17&lt;&gt;0,+G17-K17,0)</f>
        <v>0</v>
      </c>
      <c r="M17" s="512">
        <f t="shared" ref="M17:M22" si="3">+H17</f>
        <v>341200.03757960664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5508000</v>
      </c>
      <c r="E18" s="630">
        <v>134341.46341463414</v>
      </c>
      <c r="F18" s="631">
        <v>5373658.5365853654</v>
      </c>
      <c r="G18" s="630">
        <v>825838.75669079332</v>
      </c>
      <c r="H18" s="639">
        <v>825838.75669079332</v>
      </c>
      <c r="I18" s="511">
        <f t="shared" si="0"/>
        <v>0</v>
      </c>
      <c r="J18" s="511"/>
      <c r="K18" s="518">
        <f t="shared" si="1"/>
        <v>825838.75669079332</v>
      </c>
      <c r="L18" s="519">
        <f t="shared" si="2"/>
        <v>0</v>
      </c>
      <c r="M18" s="518">
        <f t="shared" si="3"/>
        <v>825838.75669079332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5373658.5365853654</v>
      </c>
      <c r="E19" s="630">
        <v>134341.46341463414</v>
      </c>
      <c r="F19" s="631">
        <v>5239317.0731707308</v>
      </c>
      <c r="G19" s="630">
        <v>808764.74944940675</v>
      </c>
      <c r="H19" s="639">
        <v>808764.74944940675</v>
      </c>
      <c r="I19" s="511">
        <f t="shared" si="0"/>
        <v>0</v>
      </c>
      <c r="J19" s="511"/>
      <c r="K19" s="518">
        <f t="shared" si="1"/>
        <v>808764.74944940675</v>
      </c>
      <c r="L19" s="519">
        <f t="shared" ref="L19" si="6">IF(K19&lt;&gt;0,+G19-K19,0)</f>
        <v>0</v>
      </c>
      <c r="M19" s="518">
        <f t="shared" si="3"/>
        <v>808764.74944940675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4380853.0731707318</v>
      </c>
      <c r="E20" s="630">
        <v>113403.31707317074</v>
      </c>
      <c r="F20" s="631">
        <v>4267449.7560975607</v>
      </c>
      <c r="G20" s="630">
        <v>555917.3208188233</v>
      </c>
      <c r="H20" s="639">
        <v>555917.3208188233</v>
      </c>
      <c r="I20" s="511">
        <f t="shared" si="0"/>
        <v>0</v>
      </c>
      <c r="J20" s="511"/>
      <c r="K20" s="518">
        <f t="shared" si="1"/>
        <v>555917.3208188233</v>
      </c>
      <c r="L20" s="519">
        <f t="shared" ref="L20" si="8">IF(K20&lt;&gt;0,+G20-K20,0)</f>
        <v>0</v>
      </c>
      <c r="M20" s="518">
        <f t="shared" si="3"/>
        <v>555917.3208188233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4272933.1962563815</v>
      </c>
      <c r="E21" s="630">
        <v>110685.02380952382</v>
      </c>
      <c r="F21" s="631">
        <v>4162248.1724468577</v>
      </c>
      <c r="G21" s="630">
        <v>557768.80548021838</v>
      </c>
      <c r="H21" s="639">
        <v>557768.80548021838</v>
      </c>
      <c r="I21" s="511">
        <f t="shared" si="0"/>
        <v>0</v>
      </c>
      <c r="J21" s="511"/>
      <c r="K21" s="518">
        <f t="shared" si="1"/>
        <v>557768.80548021838</v>
      </c>
      <c r="L21" s="519">
        <f t="shared" ref="L21" si="9">IF(K21&lt;&gt;0,+G21-K21,0)</f>
        <v>0</v>
      </c>
      <c r="M21" s="518">
        <f t="shared" si="3"/>
        <v>557768.80548021838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4155999.7322880374</v>
      </c>
      <c r="E22" s="630">
        <v>110685.02380952382</v>
      </c>
      <c r="F22" s="631">
        <v>4045314.7084785136</v>
      </c>
      <c r="G22" s="630">
        <v>571779.72158256301</v>
      </c>
      <c r="H22" s="639">
        <v>571779.72158256301</v>
      </c>
      <c r="I22" s="511">
        <f t="shared" si="0"/>
        <v>0</v>
      </c>
      <c r="J22" s="511"/>
      <c r="K22" s="518">
        <f t="shared" si="1"/>
        <v>571779.72158256301</v>
      </c>
      <c r="L22" s="519">
        <f t="shared" ref="L22" si="10">IF(K22&lt;&gt;0,+G22-K22,0)</f>
        <v>0</v>
      </c>
      <c r="M22" s="518">
        <f t="shared" si="3"/>
        <v>571779.72158256301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523">
        <f>IF(F22+SUM(E$17:E22)=D$10,F22,D$10-SUM(E$17:E22))</f>
        <v>4045314.9984785132</v>
      </c>
      <c r="E23" s="522">
        <f>IF(+I14&lt;F22,I14,D23)</f>
        <v>110685.03071428572</v>
      </c>
      <c r="F23" s="523">
        <f t="shared" ref="F23:F72" si="11">+D23-E23</f>
        <v>3934629.9677642277</v>
      </c>
      <c r="G23" s="524">
        <f t="shared" ref="G23:G48" si="12">+I$12*((D23+F23)/2)+E23</f>
        <v>614725.43863410503</v>
      </c>
      <c r="H23" s="491">
        <f t="shared" ref="H23:H48" si="13">+I$13*((D23+F23)/2)+E23</f>
        <v>614725.43863410503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2024</v>
      </c>
      <c r="D24" s="523">
        <f>IF(F23+SUM(E$17:E23)=D$10,F23,D$10-SUM(E$17:E23))</f>
        <v>3934629.9677642277</v>
      </c>
      <c r="E24" s="522">
        <f>IF(+I14&lt;F23,I14,D24)</f>
        <v>110685.03071428572</v>
      </c>
      <c r="F24" s="523">
        <f t="shared" si="11"/>
        <v>3823944.9370499421</v>
      </c>
      <c r="G24" s="524">
        <f t="shared" si="12"/>
        <v>600742.95422654296</v>
      </c>
      <c r="H24" s="491">
        <f t="shared" si="13"/>
        <v>600742.95422654296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3823944.9370499421</v>
      </c>
      <c r="E25" s="522">
        <f>IF(+I14&lt;F24,I14,D25)</f>
        <v>110685.03071428572</v>
      </c>
      <c r="F25" s="523">
        <f t="shared" si="11"/>
        <v>3713259.9063356565</v>
      </c>
      <c r="G25" s="524">
        <f t="shared" si="12"/>
        <v>586760.4698189809</v>
      </c>
      <c r="H25" s="491">
        <f t="shared" si="13"/>
        <v>586760.4698189809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3713259.9063356565</v>
      </c>
      <c r="E26" s="522">
        <f>IF(+I14&lt;F25,I14,D26)</f>
        <v>110685.03071428572</v>
      </c>
      <c r="F26" s="523">
        <f t="shared" si="11"/>
        <v>3602574.875621371</v>
      </c>
      <c r="G26" s="524">
        <f t="shared" si="12"/>
        <v>572777.98541141883</v>
      </c>
      <c r="H26" s="491">
        <f t="shared" si="13"/>
        <v>572777.98541141883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3602574.875621371</v>
      </c>
      <c r="E27" s="522">
        <f>IF(+I14&lt;F26,I14,D27)</f>
        <v>110685.03071428572</v>
      </c>
      <c r="F27" s="523">
        <f t="shared" si="11"/>
        <v>3491889.8449070854</v>
      </c>
      <c r="G27" s="524">
        <f t="shared" si="12"/>
        <v>558795.50100385677</v>
      </c>
      <c r="H27" s="491">
        <f t="shared" si="13"/>
        <v>558795.50100385677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3491889.8449070854</v>
      </c>
      <c r="E28" s="522">
        <f>IF(+I14&lt;F27,I14,D28)</f>
        <v>110685.03071428572</v>
      </c>
      <c r="F28" s="523">
        <f t="shared" si="11"/>
        <v>3381204.8141927999</v>
      </c>
      <c r="G28" s="524">
        <f t="shared" si="12"/>
        <v>544813.01659629471</v>
      </c>
      <c r="H28" s="491">
        <f t="shared" si="13"/>
        <v>544813.01659629471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3381204.8141927999</v>
      </c>
      <c r="E29" s="522">
        <f>IF(+I14&lt;F28,I14,D29)</f>
        <v>110685.03071428572</v>
      </c>
      <c r="F29" s="523">
        <f t="shared" si="11"/>
        <v>3270519.7834785143</v>
      </c>
      <c r="G29" s="524">
        <f t="shared" si="12"/>
        <v>530830.53218873264</v>
      </c>
      <c r="H29" s="491">
        <f t="shared" si="13"/>
        <v>530830.53218873264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3270519.7834785143</v>
      </c>
      <c r="E30" s="522">
        <f>IF(+I14&lt;F29,I14,D30)</f>
        <v>110685.03071428572</v>
      </c>
      <c r="F30" s="523">
        <f t="shared" si="11"/>
        <v>3159834.7527642287</v>
      </c>
      <c r="G30" s="524">
        <f t="shared" si="12"/>
        <v>516848.04778117064</v>
      </c>
      <c r="H30" s="491">
        <f t="shared" si="13"/>
        <v>516848.04778117064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3159834.7527642287</v>
      </c>
      <c r="E31" s="522">
        <f>IF(+I14&lt;F30,I14,D31)</f>
        <v>110685.03071428572</v>
      </c>
      <c r="F31" s="523">
        <f t="shared" si="11"/>
        <v>3049149.7220499432</v>
      </c>
      <c r="G31" s="524">
        <f t="shared" si="12"/>
        <v>502865.56337360857</v>
      </c>
      <c r="H31" s="491">
        <f t="shared" si="13"/>
        <v>502865.56337360857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3049149.7220499432</v>
      </c>
      <c r="E32" s="522">
        <f>IF(+I14&lt;F31,I14,D32)</f>
        <v>110685.03071428572</v>
      </c>
      <c r="F32" s="523">
        <f t="shared" si="11"/>
        <v>2938464.6913356576</v>
      </c>
      <c r="G32" s="524">
        <f t="shared" si="12"/>
        <v>488883.07896604651</v>
      </c>
      <c r="H32" s="491">
        <f t="shared" si="13"/>
        <v>488883.07896604651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2938464.6913356576</v>
      </c>
      <c r="E33" s="522">
        <f>IF(+I14&lt;F32,I14,D33)</f>
        <v>110685.03071428572</v>
      </c>
      <c r="F33" s="523">
        <f t="shared" si="11"/>
        <v>2827779.6606213721</v>
      </c>
      <c r="G33" s="524">
        <f t="shared" si="12"/>
        <v>474900.59455848444</v>
      </c>
      <c r="H33" s="491">
        <f t="shared" si="13"/>
        <v>474900.59455848444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2827779.6606213721</v>
      </c>
      <c r="E34" s="522">
        <f>IF(+I14&lt;F33,I14,D34)</f>
        <v>110685.03071428572</v>
      </c>
      <c r="F34" s="523">
        <f t="shared" si="11"/>
        <v>2717094.6299070865</v>
      </c>
      <c r="G34" s="524">
        <f t="shared" si="12"/>
        <v>460918.11015092238</v>
      </c>
      <c r="H34" s="491">
        <f t="shared" si="13"/>
        <v>460918.11015092238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2717094.6299070865</v>
      </c>
      <c r="E35" s="522">
        <f>IF(+I14&lt;F34,I14,D35)</f>
        <v>110685.03071428572</v>
      </c>
      <c r="F35" s="523">
        <f t="shared" si="11"/>
        <v>2606409.5991928009</v>
      </c>
      <c r="G35" s="524">
        <f t="shared" si="12"/>
        <v>446935.62574336038</v>
      </c>
      <c r="H35" s="491">
        <f t="shared" si="13"/>
        <v>446935.62574336038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2606409.5991928009</v>
      </c>
      <c r="E36" s="522">
        <f>IF(+I14&lt;F35,I14,D36)</f>
        <v>110685.03071428572</v>
      </c>
      <c r="F36" s="523">
        <f t="shared" si="11"/>
        <v>2495724.5684785154</v>
      </c>
      <c r="G36" s="524">
        <f t="shared" si="12"/>
        <v>432953.14133579831</v>
      </c>
      <c r="H36" s="491">
        <f t="shared" si="13"/>
        <v>432953.14133579831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2495724.5684785154</v>
      </c>
      <c r="E37" s="522">
        <f>IF(+I14&lt;F36,I14,D37)</f>
        <v>110685.03071428572</v>
      </c>
      <c r="F37" s="523">
        <f t="shared" si="11"/>
        <v>2385039.5377642298</v>
      </c>
      <c r="G37" s="524">
        <f t="shared" si="12"/>
        <v>418970.65692823625</v>
      </c>
      <c r="H37" s="491">
        <f t="shared" si="13"/>
        <v>418970.65692823625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2385039.5377642298</v>
      </c>
      <c r="E38" s="522">
        <f>IF(+I14&lt;F37,I14,D38)</f>
        <v>110685.03071428572</v>
      </c>
      <c r="F38" s="523">
        <f t="shared" si="11"/>
        <v>2274354.5070499443</v>
      </c>
      <c r="G38" s="524">
        <f t="shared" si="12"/>
        <v>404988.17252067418</v>
      </c>
      <c r="H38" s="491">
        <f t="shared" si="13"/>
        <v>404988.17252067418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2274354.5070499443</v>
      </c>
      <c r="E39" s="522">
        <f>IF(+I14&lt;F38,I14,D39)</f>
        <v>110685.03071428572</v>
      </c>
      <c r="F39" s="523">
        <f t="shared" si="11"/>
        <v>2163669.4763356587</v>
      </c>
      <c r="G39" s="524">
        <f t="shared" si="12"/>
        <v>391005.68811311212</v>
      </c>
      <c r="H39" s="491">
        <f t="shared" si="13"/>
        <v>391005.68811311212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2163669.4763356587</v>
      </c>
      <c r="E40" s="522">
        <f>IF(+I14&lt;F39,I14,D40)</f>
        <v>110685.03071428572</v>
      </c>
      <c r="F40" s="523">
        <f t="shared" si="11"/>
        <v>2052984.4456213729</v>
      </c>
      <c r="G40" s="524">
        <f t="shared" si="12"/>
        <v>377023.20370555006</v>
      </c>
      <c r="H40" s="491">
        <f t="shared" si="13"/>
        <v>377023.20370555006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2052984.4456213729</v>
      </c>
      <c r="E41" s="522">
        <f>IF(+I14&lt;F40,I14,D41)</f>
        <v>110685.03071428572</v>
      </c>
      <c r="F41" s="523">
        <f t="shared" si="11"/>
        <v>1942299.4149070871</v>
      </c>
      <c r="G41" s="524">
        <f t="shared" si="12"/>
        <v>363040.71929798793</v>
      </c>
      <c r="H41" s="491">
        <f t="shared" si="13"/>
        <v>363040.71929798793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1942299.4149070871</v>
      </c>
      <c r="E42" s="522">
        <f>IF(+I14&lt;F41,I14,D42)</f>
        <v>110685.03071428572</v>
      </c>
      <c r="F42" s="523">
        <f t="shared" si="11"/>
        <v>1831614.3841928013</v>
      </c>
      <c r="G42" s="524">
        <f t="shared" si="12"/>
        <v>349058.23489042587</v>
      </c>
      <c r="H42" s="491">
        <f t="shared" si="13"/>
        <v>349058.23489042587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1831614.3841928013</v>
      </c>
      <c r="E43" s="522">
        <f>IF(+I14&lt;F42,I14,D43)</f>
        <v>110685.03071428572</v>
      </c>
      <c r="F43" s="523">
        <f t="shared" si="11"/>
        <v>1720929.3534785155</v>
      </c>
      <c r="G43" s="524">
        <f t="shared" si="12"/>
        <v>335075.75048286375</v>
      </c>
      <c r="H43" s="491">
        <f t="shared" si="13"/>
        <v>335075.75048286375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1720929.3534785155</v>
      </c>
      <c r="E44" s="522">
        <f>IF(+I14&lt;F43,I14,D44)</f>
        <v>110685.03071428572</v>
      </c>
      <c r="F44" s="523">
        <f t="shared" si="11"/>
        <v>1610244.3227642297</v>
      </c>
      <c r="G44" s="524">
        <f t="shared" si="12"/>
        <v>321093.26607530174</v>
      </c>
      <c r="H44" s="491">
        <f t="shared" si="13"/>
        <v>321093.26607530174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1610244.3227642297</v>
      </c>
      <c r="E45" s="522">
        <f>IF(+I14&lt;F44,I14,D45)</f>
        <v>110685.03071428572</v>
      </c>
      <c r="F45" s="523">
        <f t="shared" si="11"/>
        <v>1499559.2920499439</v>
      </c>
      <c r="G45" s="524">
        <f t="shared" si="12"/>
        <v>307110.78166773962</v>
      </c>
      <c r="H45" s="491">
        <f t="shared" si="13"/>
        <v>307110.78166773962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1499559.2920499439</v>
      </c>
      <c r="E46" s="522">
        <f>IF(+I14&lt;F45,I14,D46)</f>
        <v>110685.03071428572</v>
      </c>
      <c r="F46" s="523">
        <f t="shared" si="11"/>
        <v>1388874.2613356581</v>
      </c>
      <c r="G46" s="524">
        <f t="shared" si="12"/>
        <v>293128.29726017755</v>
      </c>
      <c r="H46" s="491">
        <f t="shared" si="13"/>
        <v>293128.29726017755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1388874.2613356581</v>
      </c>
      <c r="E47" s="522">
        <f>IF(+I14&lt;F46,I14,D47)</f>
        <v>110685.03071428572</v>
      </c>
      <c r="F47" s="523">
        <f t="shared" si="11"/>
        <v>1278189.2306213723</v>
      </c>
      <c r="G47" s="524">
        <f t="shared" si="12"/>
        <v>279145.81285261543</v>
      </c>
      <c r="H47" s="491">
        <f t="shared" si="13"/>
        <v>279145.81285261543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1278189.2306213723</v>
      </c>
      <c r="E48" s="522">
        <f>IF(+I14&lt;F47,I14,D48)</f>
        <v>110685.03071428572</v>
      </c>
      <c r="F48" s="523">
        <f t="shared" si="11"/>
        <v>1167504.1999070866</v>
      </c>
      <c r="G48" s="524">
        <f t="shared" si="12"/>
        <v>265163.32844505337</v>
      </c>
      <c r="H48" s="491">
        <f t="shared" si="13"/>
        <v>265163.32844505337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1167504.1999070866</v>
      </c>
      <c r="E49" s="522">
        <f>IF(+I14&lt;F48,I14,D49)</f>
        <v>110685.03071428572</v>
      </c>
      <c r="F49" s="523">
        <f t="shared" si="11"/>
        <v>1056819.1691928008</v>
      </c>
      <c r="G49" s="524">
        <f t="shared" ref="G49:G72" si="14">+I$12*((D49+F49)/2)+E49</f>
        <v>251180.84403749125</v>
      </c>
      <c r="H49" s="491">
        <f t="shared" ref="H49:H72" si="15">+I$13*((D49+F49)/2)+E49</f>
        <v>251180.84403749125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1056819.1691928008</v>
      </c>
      <c r="E50" s="522">
        <f>IF(+I14&lt;F49,I14,D50)</f>
        <v>110685.03071428572</v>
      </c>
      <c r="F50" s="523">
        <f t="shared" si="11"/>
        <v>946134.13847851509</v>
      </c>
      <c r="G50" s="524">
        <f t="shared" si="14"/>
        <v>237198.35962992918</v>
      </c>
      <c r="H50" s="491">
        <f t="shared" si="15"/>
        <v>237198.35962992918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946134.13847851509</v>
      </c>
      <c r="E51" s="522">
        <f>IF(+I14&lt;F50,I14,D51)</f>
        <v>110685.03071428572</v>
      </c>
      <c r="F51" s="523">
        <f t="shared" si="11"/>
        <v>835449.10776422941</v>
      </c>
      <c r="G51" s="524">
        <f t="shared" si="14"/>
        <v>223215.87522236712</v>
      </c>
      <c r="H51" s="491">
        <f t="shared" si="15"/>
        <v>223215.87522236712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835449.10776422941</v>
      </c>
      <c r="E52" s="522">
        <f>IF(+I14&lt;F51,I14,D52)</f>
        <v>110685.03071428572</v>
      </c>
      <c r="F52" s="523">
        <f t="shared" si="11"/>
        <v>724764.07704994373</v>
      </c>
      <c r="G52" s="524">
        <f t="shared" si="14"/>
        <v>209233.39081480505</v>
      </c>
      <c r="H52" s="491">
        <f t="shared" si="15"/>
        <v>209233.39081480505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724764.07704994373</v>
      </c>
      <c r="E53" s="522">
        <f>IF(+I14&lt;F52,I14,D53)</f>
        <v>110685.03071428572</v>
      </c>
      <c r="F53" s="523">
        <f t="shared" si="11"/>
        <v>614079.04633565806</v>
      </c>
      <c r="G53" s="524">
        <f t="shared" si="14"/>
        <v>195250.90640724299</v>
      </c>
      <c r="H53" s="491">
        <f t="shared" si="15"/>
        <v>195250.90640724299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614079.04633565806</v>
      </c>
      <c r="E54" s="522">
        <f>IF(+I14&lt;F53,I14,D54)</f>
        <v>110685.03071428572</v>
      </c>
      <c r="F54" s="523">
        <f t="shared" si="11"/>
        <v>503394.01562137232</v>
      </c>
      <c r="G54" s="524">
        <f t="shared" si="14"/>
        <v>181268.42199968093</v>
      </c>
      <c r="H54" s="491">
        <f t="shared" si="15"/>
        <v>181268.42199968093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503394.01562137232</v>
      </c>
      <c r="E55" s="522">
        <f>IF(+I14&lt;F54,I14,D55)</f>
        <v>110685.03071428572</v>
      </c>
      <c r="F55" s="523">
        <f t="shared" si="11"/>
        <v>392708.98490708659</v>
      </c>
      <c r="G55" s="524">
        <f t="shared" si="14"/>
        <v>167285.93759211883</v>
      </c>
      <c r="H55" s="491">
        <f t="shared" si="15"/>
        <v>167285.93759211883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392708.98490708659</v>
      </c>
      <c r="E56" s="522">
        <f>IF(+I14&lt;F55,I14,D56)</f>
        <v>110685.03071428572</v>
      </c>
      <c r="F56" s="523">
        <f t="shared" si="11"/>
        <v>282023.95419280085</v>
      </c>
      <c r="G56" s="524">
        <f t="shared" si="14"/>
        <v>153303.45318455674</v>
      </c>
      <c r="H56" s="491">
        <f t="shared" si="15"/>
        <v>153303.45318455674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282023.95419280085</v>
      </c>
      <c r="E57" s="522">
        <f>IF(+I14&lt;F56,I14,D57)</f>
        <v>110685.03071428572</v>
      </c>
      <c r="F57" s="523">
        <f t="shared" si="11"/>
        <v>171338.92347851512</v>
      </c>
      <c r="G57" s="524">
        <f t="shared" si="14"/>
        <v>139320.96877699468</v>
      </c>
      <c r="H57" s="491">
        <f t="shared" si="15"/>
        <v>139320.96877699468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171338.92347851512</v>
      </c>
      <c r="E58" s="522">
        <f>IF(+I14&lt;F57,I14,D58)</f>
        <v>110685.03071428572</v>
      </c>
      <c r="F58" s="523">
        <f t="shared" si="11"/>
        <v>60653.8927642294</v>
      </c>
      <c r="G58" s="524">
        <f t="shared" si="14"/>
        <v>125338.4843694326</v>
      </c>
      <c r="H58" s="491">
        <f t="shared" si="15"/>
        <v>125338.4843694326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60653.8927642294</v>
      </c>
      <c r="E59" s="522">
        <f>IF(+I14&lt;F58,I14,D59)</f>
        <v>60653.8927642294</v>
      </c>
      <c r="F59" s="523">
        <f t="shared" si="11"/>
        <v>0</v>
      </c>
      <c r="G59" s="524">
        <f t="shared" si="14"/>
        <v>64484.998489912323</v>
      </c>
      <c r="H59" s="491">
        <f t="shared" si="15"/>
        <v>64484.998489912323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1"/>
        <v>0</v>
      </c>
      <c r="G60" s="524">
        <f t="shared" si="14"/>
        <v>0</v>
      </c>
      <c r="H60" s="491">
        <f t="shared" si="15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1"/>
        <v>0</v>
      </c>
      <c r="G61" s="526">
        <f t="shared" si="14"/>
        <v>0</v>
      </c>
      <c r="H61" s="491">
        <f t="shared" si="15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1"/>
        <v>0</v>
      </c>
      <c r="G62" s="526">
        <f t="shared" si="14"/>
        <v>0</v>
      </c>
      <c r="H62" s="491">
        <f t="shared" si="15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1"/>
        <v>0</v>
      </c>
      <c r="G63" s="526">
        <f t="shared" si="14"/>
        <v>0</v>
      </c>
      <c r="H63" s="491">
        <f t="shared" si="15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1"/>
        <v>0</v>
      </c>
      <c r="G64" s="526">
        <f t="shared" si="14"/>
        <v>0</v>
      </c>
      <c r="H64" s="491">
        <f t="shared" si="15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1"/>
        <v>0</v>
      </c>
      <c r="G65" s="526">
        <f t="shared" si="14"/>
        <v>0</v>
      </c>
      <c r="H65" s="491">
        <f t="shared" si="15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1"/>
        <v>0</v>
      </c>
      <c r="G66" s="526">
        <f t="shared" si="14"/>
        <v>0</v>
      </c>
      <c r="H66" s="491">
        <f t="shared" si="15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1"/>
        <v>0</v>
      </c>
      <c r="G67" s="526">
        <f t="shared" si="14"/>
        <v>0</v>
      </c>
      <c r="H67" s="491">
        <f t="shared" si="15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1"/>
        <v>0</v>
      </c>
      <c r="G68" s="526">
        <f t="shared" si="14"/>
        <v>0</v>
      </c>
      <c r="H68" s="491">
        <f t="shared" si="15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1"/>
        <v>0</v>
      </c>
      <c r="G69" s="526">
        <f t="shared" si="14"/>
        <v>0</v>
      </c>
      <c r="H69" s="491">
        <f t="shared" si="15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1"/>
        <v>0</v>
      </c>
      <c r="G70" s="526">
        <f t="shared" si="14"/>
        <v>0</v>
      </c>
      <c r="H70" s="491">
        <f t="shared" si="15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1"/>
        <v>0</v>
      </c>
      <c r="G71" s="526">
        <f t="shared" si="14"/>
        <v>0</v>
      </c>
      <c r="H71" s="491">
        <f t="shared" si="15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1"/>
        <v>0</v>
      </c>
      <c r="G72" s="530">
        <f t="shared" si="14"/>
        <v>0</v>
      </c>
      <c r="H72" s="471">
        <f t="shared" si="15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4648771.2899999991</v>
      </c>
      <c r="F73" s="375"/>
      <c r="G73" s="375">
        <f>SUM(G17:G72)</f>
        <v>17046905.004155006</v>
      </c>
      <c r="H73" s="375">
        <f>SUM(H17:H72)</f>
        <v>17046905.004155006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63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557768.80548021838</v>
      </c>
      <c r="N87" s="546">
        <f>IF(J92&lt;D11,0,VLOOKUP(J92,C17:O72,11))</f>
        <v>557768.80548021838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597248.06775766809</v>
      </c>
      <c r="N88" s="550">
        <f>IF(J92&lt;D11,0,VLOOKUP(J92,C99:P154,7))</f>
        <v>597248.06775766809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Brooks Street - Edwards Street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39479.262277449714</v>
      </c>
      <c r="N89" s="555">
        <f>+N88-N87</f>
        <v>39479.262277449714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TP2014138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4648771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113384.65853658537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0</v>
      </c>
      <c r="F99" s="651">
        <v>3816677</v>
      </c>
      <c r="G99" s="652">
        <v>1908338.5</v>
      </c>
      <c r="H99" s="653">
        <v>231808.65934946379</v>
      </c>
      <c r="I99" s="654">
        <v>231808.65934946379</v>
      </c>
      <c r="J99" s="514">
        <f t="shared" ref="J99:J130" si="16">+I99-H99</f>
        <v>0</v>
      </c>
      <c r="K99" s="514"/>
      <c r="L99" s="512">
        <f>+H99</f>
        <v>231808.65934946379</v>
      </c>
      <c r="M99" s="513">
        <f t="shared" ref="M99:M130" si="17">IF(L99&lt;&gt;0,+H99-L99,0)</f>
        <v>0</v>
      </c>
      <c r="N99" s="512">
        <f>+I99</f>
        <v>231808.65934946379</v>
      </c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4649536</v>
      </c>
      <c r="E100" s="630">
        <v>110703.23809523809</v>
      </c>
      <c r="F100" s="631">
        <v>4538832.7619047621</v>
      </c>
      <c r="G100" s="631">
        <v>4594184.3809523806</v>
      </c>
      <c r="H100" s="633">
        <v>595870.17682545946</v>
      </c>
      <c r="I100" s="634">
        <v>595870.17682545946</v>
      </c>
      <c r="J100" s="514">
        <f t="shared" si="16"/>
        <v>0</v>
      </c>
      <c r="K100" s="514"/>
      <c r="L100" s="655">
        <f>+H100</f>
        <v>595870.17682545946</v>
      </c>
      <c r="M100" s="514">
        <f t="shared" si="17"/>
        <v>0</v>
      </c>
      <c r="N100" s="655">
        <f>+I100</f>
        <v>595870.17682545946</v>
      </c>
      <c r="O100" s="514">
        <f t="shared" si="18"/>
        <v>0</v>
      </c>
      <c r="P100" s="514">
        <f t="shared" si="19"/>
        <v>0</v>
      </c>
    </row>
    <row r="101" spans="1:16" ht="12.5">
      <c r="B101" s="195" t="str">
        <f t="shared" ref="B101:B154" si="20">IF(D101=F100,"","IU")</f>
        <v>IU</v>
      </c>
      <c r="C101" s="507">
        <f>IF(D93="","-",+C100+1)</f>
        <v>2019</v>
      </c>
      <c r="D101" s="629">
        <v>4538067.7619047621</v>
      </c>
      <c r="E101" s="630">
        <v>108110.95348837209</v>
      </c>
      <c r="F101" s="631">
        <v>4429956.8084163899</v>
      </c>
      <c r="G101" s="631">
        <v>4484012.285160576</v>
      </c>
      <c r="H101" s="633">
        <v>588082.07919327903</v>
      </c>
      <c r="I101" s="634">
        <v>588082.07919327903</v>
      </c>
      <c r="J101" s="514">
        <f t="shared" si="16"/>
        <v>0</v>
      </c>
      <c r="K101" s="514"/>
      <c r="L101" s="655">
        <f>+H101</f>
        <v>588082.07919327903</v>
      </c>
      <c r="M101" s="514">
        <f t="shared" ref="M101:M102" si="21">IF(L101&lt;&gt;0,+H101-L101,0)</f>
        <v>0</v>
      </c>
      <c r="N101" s="655">
        <f>+I101</f>
        <v>588082.07919327903</v>
      </c>
      <c r="O101" s="514">
        <f t="shared" si="18"/>
        <v>0</v>
      </c>
      <c r="P101" s="514">
        <f t="shared" si="19"/>
        <v>0</v>
      </c>
    </row>
    <row r="102" spans="1:16" ht="12.5">
      <c r="B102" s="195" t="str">
        <f t="shared" si="20"/>
        <v/>
      </c>
      <c r="C102" s="507">
        <f>IF(D93="","-",+C101+1)</f>
        <v>2020</v>
      </c>
      <c r="D102" s="629">
        <v>4429956.8084163899</v>
      </c>
      <c r="E102" s="630">
        <v>110685.02380952382</v>
      </c>
      <c r="F102" s="631">
        <v>4319271.7846068656</v>
      </c>
      <c r="G102" s="631">
        <v>4374614.2965116277</v>
      </c>
      <c r="H102" s="633">
        <v>581279.04939779744</v>
      </c>
      <c r="I102" s="634">
        <v>581279.04939779744</v>
      </c>
      <c r="J102" s="514">
        <f t="shared" si="16"/>
        <v>0</v>
      </c>
      <c r="K102" s="514"/>
      <c r="L102" s="655">
        <f>+H102</f>
        <v>581279.04939779744</v>
      </c>
      <c r="M102" s="514">
        <f t="shared" si="21"/>
        <v>0</v>
      </c>
      <c r="N102" s="655">
        <f>+I102</f>
        <v>581279.04939779744</v>
      </c>
      <c r="O102" s="514">
        <f t="shared" si="18"/>
        <v>0</v>
      </c>
      <c r="P102" s="514">
        <f t="shared" si="19"/>
        <v>0</v>
      </c>
    </row>
    <row r="103" spans="1:16" ht="12.5">
      <c r="B103" s="195" t="str">
        <f t="shared" si="20"/>
        <v/>
      </c>
      <c r="C103" s="507">
        <f>IF(D93="","-",+C102+1)</f>
        <v>2021</v>
      </c>
      <c r="D103" s="374">
        <f>IF(F102+SUM(E$99:E102)=D$92,F102,D$92-SUM(E$99:E102))</f>
        <v>4319271.7846068656</v>
      </c>
      <c r="E103" s="522">
        <f>IF(+J96&lt;F102,J96,D103)</f>
        <v>113384.65853658537</v>
      </c>
      <c r="F103" s="523">
        <f t="shared" ref="F103:F130" si="22">+D103-E103</f>
        <v>4205887.1260702806</v>
      </c>
      <c r="G103" s="523">
        <f t="shared" ref="G103:G130" si="23">+(F103+D103)/2</f>
        <v>4262579.4553385731</v>
      </c>
      <c r="H103" s="526">
        <f t="shared" ref="H103:H154" si="24">+J$94*G103+E103</f>
        <v>597248.06775766809</v>
      </c>
      <c r="I103" s="577">
        <f t="shared" ref="I103:I154" si="25">+J$95*G103+E103</f>
        <v>597248.06775766809</v>
      </c>
      <c r="J103" s="514">
        <f t="shared" si="16"/>
        <v>0</v>
      </c>
      <c r="K103" s="514"/>
      <c r="L103" s="525"/>
      <c r="M103" s="514">
        <f t="shared" si="17"/>
        <v>0</v>
      </c>
      <c r="N103" s="525"/>
      <c r="O103" s="514">
        <f t="shared" si="18"/>
        <v>0</v>
      </c>
      <c r="P103" s="514">
        <f t="shared" si="19"/>
        <v>0</v>
      </c>
    </row>
    <row r="104" spans="1:16" ht="12.5">
      <c r="B104" s="195" t="str">
        <f t="shared" si="20"/>
        <v/>
      </c>
      <c r="C104" s="507">
        <f>IF(D93="","-",+C103+1)</f>
        <v>2022</v>
      </c>
      <c r="D104" s="374">
        <f>IF(F103+SUM(E$99:E103)=D$92,F103,D$92-SUM(E$99:E103))</f>
        <v>4205887.1260702806</v>
      </c>
      <c r="E104" s="522">
        <f>IF(+J96&lt;F103,J96,D104)</f>
        <v>113384.65853658537</v>
      </c>
      <c r="F104" s="523">
        <f t="shared" si="22"/>
        <v>4092502.467533695</v>
      </c>
      <c r="G104" s="523">
        <f t="shared" si="23"/>
        <v>4149194.796801988</v>
      </c>
      <c r="H104" s="526">
        <f t="shared" si="24"/>
        <v>584377.29596145707</v>
      </c>
      <c r="I104" s="577">
        <f t="shared" si="25"/>
        <v>584377.29596145707</v>
      </c>
      <c r="J104" s="514">
        <f t="shared" si="16"/>
        <v>0</v>
      </c>
      <c r="K104" s="514"/>
      <c r="L104" s="525"/>
      <c r="M104" s="514">
        <f t="shared" si="17"/>
        <v>0</v>
      </c>
      <c r="N104" s="525"/>
      <c r="O104" s="514">
        <f t="shared" si="18"/>
        <v>0</v>
      </c>
      <c r="P104" s="514">
        <f t="shared" si="19"/>
        <v>0</v>
      </c>
    </row>
    <row r="105" spans="1:16" ht="12.5">
      <c r="B105" s="195" t="str">
        <f t="shared" si="20"/>
        <v/>
      </c>
      <c r="C105" s="507">
        <f>IF(D93="","-",+C104+1)</f>
        <v>2023</v>
      </c>
      <c r="D105" s="374">
        <f>IF(F104+SUM(E$99:E104)=D$92,F104,D$92-SUM(E$99:E104))</f>
        <v>4092502.467533695</v>
      </c>
      <c r="E105" s="522">
        <f>IF(+J96&lt;F104,J96,D105)</f>
        <v>113384.65853658537</v>
      </c>
      <c r="F105" s="523">
        <f t="shared" si="22"/>
        <v>3979117.8089971095</v>
      </c>
      <c r="G105" s="523">
        <f t="shared" si="23"/>
        <v>4035810.1382654021</v>
      </c>
      <c r="H105" s="526">
        <f t="shared" si="24"/>
        <v>571506.52416524594</v>
      </c>
      <c r="I105" s="577">
        <f t="shared" si="25"/>
        <v>571506.52416524594</v>
      </c>
      <c r="J105" s="514">
        <f t="shared" si="16"/>
        <v>0</v>
      </c>
      <c r="K105" s="514"/>
      <c r="L105" s="525"/>
      <c r="M105" s="514">
        <f t="shared" si="17"/>
        <v>0</v>
      </c>
      <c r="N105" s="525"/>
      <c r="O105" s="514">
        <f t="shared" si="18"/>
        <v>0</v>
      </c>
      <c r="P105" s="514">
        <f t="shared" si="19"/>
        <v>0</v>
      </c>
    </row>
    <row r="106" spans="1:16" ht="12.5">
      <c r="B106" s="195" t="str">
        <f t="shared" si="20"/>
        <v/>
      </c>
      <c r="C106" s="507">
        <f>IF(D93="","-",+C105+1)</f>
        <v>2024</v>
      </c>
      <c r="D106" s="374">
        <f>IF(F105+SUM(E$99:E105)=D$92,F105,D$92-SUM(E$99:E105))</f>
        <v>3979117.8089971095</v>
      </c>
      <c r="E106" s="522">
        <f>IF(+J96&lt;F105,J96,D106)</f>
        <v>113384.65853658537</v>
      </c>
      <c r="F106" s="523">
        <f t="shared" si="22"/>
        <v>3865733.150460524</v>
      </c>
      <c r="G106" s="523">
        <f t="shared" si="23"/>
        <v>3922425.479728817</v>
      </c>
      <c r="H106" s="526">
        <f t="shared" si="24"/>
        <v>558635.7523690348</v>
      </c>
      <c r="I106" s="577">
        <f t="shared" si="25"/>
        <v>558635.7523690348</v>
      </c>
      <c r="J106" s="514">
        <f t="shared" si="16"/>
        <v>0</v>
      </c>
      <c r="K106" s="514"/>
      <c r="L106" s="525"/>
      <c r="M106" s="514">
        <f t="shared" si="17"/>
        <v>0</v>
      </c>
      <c r="N106" s="525"/>
      <c r="O106" s="514">
        <f t="shared" si="18"/>
        <v>0</v>
      </c>
      <c r="P106" s="514">
        <f t="shared" si="19"/>
        <v>0</v>
      </c>
    </row>
    <row r="107" spans="1:16" ht="12.5">
      <c r="B107" s="195" t="str">
        <f t="shared" si="20"/>
        <v/>
      </c>
      <c r="C107" s="507">
        <f>IF(D93="","-",+C106+1)</f>
        <v>2025</v>
      </c>
      <c r="D107" s="374">
        <f>IF(F106+SUM(E$99:E106)=D$92,F106,D$92-SUM(E$99:E106))</f>
        <v>3865733.150460524</v>
      </c>
      <c r="E107" s="522">
        <f>IF(+J96&lt;F106,J96,D107)</f>
        <v>113384.65853658537</v>
      </c>
      <c r="F107" s="523">
        <f t="shared" si="22"/>
        <v>3752348.4919239385</v>
      </c>
      <c r="G107" s="523">
        <f t="shared" si="23"/>
        <v>3809040.821192231</v>
      </c>
      <c r="H107" s="526">
        <f t="shared" si="24"/>
        <v>545764.98057282367</v>
      </c>
      <c r="I107" s="577">
        <f t="shared" si="25"/>
        <v>545764.98057282367</v>
      </c>
      <c r="J107" s="514">
        <f t="shared" si="16"/>
        <v>0</v>
      </c>
      <c r="K107" s="514"/>
      <c r="L107" s="525"/>
      <c r="M107" s="514">
        <f t="shared" si="17"/>
        <v>0</v>
      </c>
      <c r="N107" s="525"/>
      <c r="O107" s="514">
        <f t="shared" si="18"/>
        <v>0</v>
      </c>
      <c r="P107" s="514">
        <f t="shared" si="19"/>
        <v>0</v>
      </c>
    </row>
    <row r="108" spans="1:16" ht="12.5">
      <c r="B108" s="195" t="str">
        <f t="shared" si="20"/>
        <v/>
      </c>
      <c r="C108" s="507">
        <f>IF(D93="","-",+C107+1)</f>
        <v>2026</v>
      </c>
      <c r="D108" s="374">
        <f>IF(F107+SUM(E$99:E107)=D$92,F107,D$92-SUM(E$99:E107))</f>
        <v>3752348.4919239385</v>
      </c>
      <c r="E108" s="522">
        <f>IF(+J96&lt;F107,J96,D108)</f>
        <v>113384.65853658537</v>
      </c>
      <c r="F108" s="523">
        <f t="shared" si="22"/>
        <v>3638963.833387353</v>
      </c>
      <c r="G108" s="523">
        <f t="shared" si="23"/>
        <v>3695656.162655646</v>
      </c>
      <c r="H108" s="526">
        <f t="shared" si="24"/>
        <v>532894.20877661265</v>
      </c>
      <c r="I108" s="577">
        <f t="shared" si="25"/>
        <v>532894.20877661265</v>
      </c>
      <c r="J108" s="514">
        <f t="shared" si="16"/>
        <v>0</v>
      </c>
      <c r="K108" s="514"/>
      <c r="L108" s="525"/>
      <c r="M108" s="514">
        <f t="shared" si="17"/>
        <v>0</v>
      </c>
      <c r="N108" s="525"/>
      <c r="O108" s="514">
        <f t="shared" si="18"/>
        <v>0</v>
      </c>
      <c r="P108" s="514">
        <f t="shared" si="19"/>
        <v>0</v>
      </c>
    </row>
    <row r="109" spans="1:16" ht="12.5">
      <c r="B109" s="195" t="str">
        <f t="shared" si="20"/>
        <v/>
      </c>
      <c r="C109" s="507">
        <f>IF(D93="","-",+C108+1)</f>
        <v>2027</v>
      </c>
      <c r="D109" s="374">
        <f>IF(F108+SUM(E$99:E108)=D$92,F108,D$92-SUM(E$99:E108))</f>
        <v>3638963.833387353</v>
      </c>
      <c r="E109" s="522">
        <f>IF(+J96&lt;F108,J96,D109)</f>
        <v>113384.65853658537</v>
      </c>
      <c r="F109" s="523">
        <f t="shared" si="22"/>
        <v>3525579.1748507675</v>
      </c>
      <c r="G109" s="523">
        <f t="shared" si="23"/>
        <v>3582271.50411906</v>
      </c>
      <c r="H109" s="526">
        <f t="shared" si="24"/>
        <v>520023.4369804014</v>
      </c>
      <c r="I109" s="577">
        <f t="shared" si="25"/>
        <v>520023.4369804014</v>
      </c>
      <c r="J109" s="514">
        <f t="shared" si="16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 ht="12.5">
      <c r="B110" s="195" t="str">
        <f t="shared" si="20"/>
        <v/>
      </c>
      <c r="C110" s="507">
        <f>IF(D93="","-",+C109+1)</f>
        <v>2028</v>
      </c>
      <c r="D110" s="374">
        <f>IF(F109+SUM(E$99:E109)=D$92,F109,D$92-SUM(E$99:E109))</f>
        <v>3525579.1748507675</v>
      </c>
      <c r="E110" s="522">
        <f>IF(+J96&lt;F109,J96,D110)</f>
        <v>113384.65853658537</v>
      </c>
      <c r="F110" s="523">
        <f t="shared" si="22"/>
        <v>3412194.516314182</v>
      </c>
      <c r="G110" s="523">
        <f t="shared" si="23"/>
        <v>3468886.845582475</v>
      </c>
      <c r="H110" s="526">
        <f t="shared" si="24"/>
        <v>507152.66518419038</v>
      </c>
      <c r="I110" s="577">
        <f t="shared" si="25"/>
        <v>507152.66518419038</v>
      </c>
      <c r="J110" s="514">
        <f t="shared" si="16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 ht="12.5">
      <c r="B111" s="195" t="str">
        <f t="shared" si="20"/>
        <v/>
      </c>
      <c r="C111" s="507">
        <f>IF(D93="","-",+C110+1)</f>
        <v>2029</v>
      </c>
      <c r="D111" s="374">
        <f>IF(F110+SUM(E$99:E110)=D$92,F110,D$92-SUM(E$99:E110))</f>
        <v>3412194.516314182</v>
      </c>
      <c r="E111" s="522">
        <f>IF(+J96&lt;F110,J96,D111)</f>
        <v>113384.65853658537</v>
      </c>
      <c r="F111" s="523">
        <f t="shared" si="22"/>
        <v>3298809.8577775965</v>
      </c>
      <c r="G111" s="523">
        <f t="shared" si="23"/>
        <v>3355502.187045889</v>
      </c>
      <c r="H111" s="526">
        <f t="shared" si="24"/>
        <v>494281.89338797925</v>
      </c>
      <c r="I111" s="577">
        <f t="shared" si="25"/>
        <v>494281.89338797925</v>
      </c>
      <c r="J111" s="514">
        <f t="shared" si="16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 ht="12.5">
      <c r="B112" s="195" t="str">
        <f t="shared" si="20"/>
        <v/>
      </c>
      <c r="C112" s="507">
        <f>IF(D93="","-",+C111+1)</f>
        <v>2030</v>
      </c>
      <c r="D112" s="374">
        <f>IF(F111+SUM(E$99:E111)=D$92,F111,D$92-SUM(E$99:E111))</f>
        <v>3298809.8577775965</v>
      </c>
      <c r="E112" s="522">
        <f>IF(+J96&lt;F111,J96,D112)</f>
        <v>113384.65853658537</v>
      </c>
      <c r="F112" s="523">
        <f t="shared" si="22"/>
        <v>3185425.1992410109</v>
      </c>
      <c r="G112" s="523">
        <f t="shared" si="23"/>
        <v>3242117.5285093039</v>
      </c>
      <c r="H112" s="526">
        <f t="shared" si="24"/>
        <v>481411.12159176823</v>
      </c>
      <c r="I112" s="577">
        <f t="shared" si="25"/>
        <v>481411.12159176823</v>
      </c>
      <c r="J112" s="514">
        <f t="shared" si="16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 ht="12.5">
      <c r="B113" s="195" t="str">
        <f t="shared" si="20"/>
        <v/>
      </c>
      <c r="C113" s="507">
        <f>IF(D93="","-",+C112+1)</f>
        <v>2031</v>
      </c>
      <c r="D113" s="374">
        <f>IF(F112+SUM(E$99:E112)=D$92,F112,D$92-SUM(E$99:E112))</f>
        <v>3185425.1992410109</v>
      </c>
      <c r="E113" s="522">
        <f>IF(+J96&lt;F112,J96,D113)</f>
        <v>113384.65853658537</v>
      </c>
      <c r="F113" s="523">
        <f t="shared" si="22"/>
        <v>3072040.5407044254</v>
      </c>
      <c r="G113" s="523">
        <f t="shared" si="23"/>
        <v>3128732.8699727179</v>
      </c>
      <c r="H113" s="526">
        <f t="shared" si="24"/>
        <v>468540.34979555698</v>
      </c>
      <c r="I113" s="577">
        <f t="shared" si="25"/>
        <v>468540.34979555698</v>
      </c>
      <c r="J113" s="514">
        <f t="shared" si="16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 ht="12.5">
      <c r="B114" s="195" t="str">
        <f t="shared" si="20"/>
        <v/>
      </c>
      <c r="C114" s="507">
        <f>IF(D93="","-",+C113+1)</f>
        <v>2032</v>
      </c>
      <c r="D114" s="374">
        <f>IF(F113+SUM(E$99:E113)=D$92,F113,D$92-SUM(E$99:E113))</f>
        <v>3072040.5407044254</v>
      </c>
      <c r="E114" s="522">
        <f>IF(+J96&lt;F113,J96,D114)</f>
        <v>113384.65853658537</v>
      </c>
      <c r="F114" s="523">
        <f t="shared" si="22"/>
        <v>2958655.8821678399</v>
      </c>
      <c r="G114" s="523">
        <f t="shared" si="23"/>
        <v>3015348.2114361329</v>
      </c>
      <c r="H114" s="526">
        <f t="shared" si="24"/>
        <v>455669.57799934596</v>
      </c>
      <c r="I114" s="577">
        <f t="shared" si="25"/>
        <v>455669.57799934596</v>
      </c>
      <c r="J114" s="514">
        <f t="shared" si="16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 ht="12.5">
      <c r="B115" s="195" t="str">
        <f t="shared" si="20"/>
        <v/>
      </c>
      <c r="C115" s="507">
        <f>IF(D93="","-",+C114+1)</f>
        <v>2033</v>
      </c>
      <c r="D115" s="374">
        <f>IF(F114+SUM(E$99:E114)=D$92,F114,D$92-SUM(E$99:E114))</f>
        <v>2958655.8821678399</v>
      </c>
      <c r="E115" s="522">
        <f>IF(+J96&lt;F114,J96,D115)</f>
        <v>113384.65853658537</v>
      </c>
      <c r="F115" s="523">
        <f t="shared" si="22"/>
        <v>2845271.2236312544</v>
      </c>
      <c r="G115" s="523">
        <f t="shared" si="23"/>
        <v>2901963.5528995469</v>
      </c>
      <c r="H115" s="526">
        <f t="shared" si="24"/>
        <v>442798.80620313482</v>
      </c>
      <c r="I115" s="577">
        <f t="shared" si="25"/>
        <v>442798.80620313482</v>
      </c>
      <c r="J115" s="514">
        <f t="shared" si="16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 ht="12.5">
      <c r="B116" s="195" t="str">
        <f t="shared" si="20"/>
        <v/>
      </c>
      <c r="C116" s="507">
        <f>IF(D93="","-",+C115+1)</f>
        <v>2034</v>
      </c>
      <c r="D116" s="374">
        <f>IF(F115+SUM(E$99:E115)=D$92,F115,D$92-SUM(E$99:E115))</f>
        <v>2845271.2236312544</v>
      </c>
      <c r="E116" s="522">
        <f>IF(+J96&lt;F115,J96,D116)</f>
        <v>113384.65853658537</v>
      </c>
      <c r="F116" s="523">
        <f t="shared" si="22"/>
        <v>2731886.5650946689</v>
      </c>
      <c r="G116" s="523">
        <f t="shared" si="23"/>
        <v>2788578.8943629619</v>
      </c>
      <c r="H116" s="526">
        <f t="shared" si="24"/>
        <v>429928.03440692381</v>
      </c>
      <c r="I116" s="577">
        <f t="shared" si="25"/>
        <v>429928.03440692381</v>
      </c>
      <c r="J116" s="514">
        <f t="shared" si="16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 ht="12.5">
      <c r="B117" s="195" t="str">
        <f t="shared" si="20"/>
        <v/>
      </c>
      <c r="C117" s="507">
        <f>IF(D93="","-",+C116+1)</f>
        <v>2035</v>
      </c>
      <c r="D117" s="374">
        <f>IF(F116+SUM(E$99:E116)=D$92,F116,D$92-SUM(E$99:E116))</f>
        <v>2731886.5650946689</v>
      </c>
      <c r="E117" s="522">
        <f>IF(+J96&lt;F116,J96,D117)</f>
        <v>113384.65853658537</v>
      </c>
      <c r="F117" s="523">
        <f t="shared" si="22"/>
        <v>2618501.9065580834</v>
      </c>
      <c r="G117" s="523">
        <f t="shared" si="23"/>
        <v>2675194.2358263759</v>
      </c>
      <c r="H117" s="526">
        <f t="shared" si="24"/>
        <v>417057.26261071255</v>
      </c>
      <c r="I117" s="577">
        <f t="shared" si="25"/>
        <v>417057.26261071255</v>
      </c>
      <c r="J117" s="514">
        <f t="shared" si="16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 ht="12.5">
      <c r="B118" s="195" t="str">
        <f t="shared" si="20"/>
        <v/>
      </c>
      <c r="C118" s="507">
        <f>IF(D93="","-",+C117+1)</f>
        <v>2036</v>
      </c>
      <c r="D118" s="374">
        <f>IF(F117+SUM(E$99:E117)=D$92,F117,D$92-SUM(E$99:E117))</f>
        <v>2618501.9065580834</v>
      </c>
      <c r="E118" s="522">
        <f>IF(+J96&lt;F117,J96,D118)</f>
        <v>113384.65853658537</v>
      </c>
      <c r="F118" s="523">
        <f t="shared" si="22"/>
        <v>2505117.2480214979</v>
      </c>
      <c r="G118" s="523">
        <f t="shared" si="23"/>
        <v>2561809.5772897908</v>
      </c>
      <c r="H118" s="526">
        <f t="shared" si="24"/>
        <v>404186.49081450154</v>
      </c>
      <c r="I118" s="577">
        <f t="shared" si="25"/>
        <v>404186.49081450154</v>
      </c>
      <c r="J118" s="514">
        <f t="shared" si="16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 ht="12.5">
      <c r="B119" s="195" t="str">
        <f t="shared" si="20"/>
        <v/>
      </c>
      <c r="C119" s="507">
        <f>IF(D93="","-",+C118+1)</f>
        <v>2037</v>
      </c>
      <c r="D119" s="374">
        <f>IF(F118+SUM(E$99:E118)=D$92,F118,D$92-SUM(E$99:E118))</f>
        <v>2505117.2480214979</v>
      </c>
      <c r="E119" s="522">
        <f>IF(+J96&lt;F118,J96,D119)</f>
        <v>113384.65853658537</v>
      </c>
      <c r="F119" s="523">
        <f t="shared" si="22"/>
        <v>2391732.5894849123</v>
      </c>
      <c r="G119" s="523">
        <f t="shared" si="23"/>
        <v>2448424.9187532049</v>
      </c>
      <c r="H119" s="526">
        <f t="shared" si="24"/>
        <v>391315.7190182904</v>
      </c>
      <c r="I119" s="577">
        <f t="shared" si="25"/>
        <v>391315.7190182904</v>
      </c>
      <c r="J119" s="514">
        <f t="shared" si="16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 ht="12.5">
      <c r="B120" s="195" t="str">
        <f t="shared" si="20"/>
        <v/>
      </c>
      <c r="C120" s="507">
        <f>IF(D93="","-",+C119+1)</f>
        <v>2038</v>
      </c>
      <c r="D120" s="374">
        <f>IF(F119+SUM(E$99:E119)=D$92,F119,D$92-SUM(E$99:E119))</f>
        <v>2391732.5894849123</v>
      </c>
      <c r="E120" s="522">
        <f>IF(+J96&lt;F119,J96,D120)</f>
        <v>113384.65853658537</v>
      </c>
      <c r="F120" s="523">
        <f t="shared" si="22"/>
        <v>2278347.9309483268</v>
      </c>
      <c r="G120" s="523">
        <f t="shared" si="23"/>
        <v>2335040.2602166198</v>
      </c>
      <c r="H120" s="526">
        <f t="shared" si="24"/>
        <v>378444.94722207938</v>
      </c>
      <c r="I120" s="577">
        <f t="shared" si="25"/>
        <v>378444.94722207938</v>
      </c>
      <c r="J120" s="514">
        <f t="shared" si="16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 ht="12.5">
      <c r="B121" s="195" t="str">
        <f t="shared" si="20"/>
        <v/>
      </c>
      <c r="C121" s="507">
        <f>IF(D93="","-",+C120+1)</f>
        <v>2039</v>
      </c>
      <c r="D121" s="374">
        <f>IF(F120+SUM(E$99:E120)=D$92,F120,D$92-SUM(E$99:E120))</f>
        <v>2278347.9309483268</v>
      </c>
      <c r="E121" s="522">
        <f>IF(+J96&lt;F120,J96,D121)</f>
        <v>113384.65853658537</v>
      </c>
      <c r="F121" s="523">
        <f t="shared" si="22"/>
        <v>2164963.2724117413</v>
      </c>
      <c r="G121" s="523">
        <f t="shared" si="23"/>
        <v>2221655.6016800338</v>
      </c>
      <c r="H121" s="526">
        <f t="shared" si="24"/>
        <v>365574.17542586813</v>
      </c>
      <c r="I121" s="577">
        <f t="shared" si="25"/>
        <v>365574.17542586813</v>
      </c>
      <c r="J121" s="514">
        <f t="shared" si="16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 ht="12.5">
      <c r="B122" s="195" t="str">
        <f t="shared" si="20"/>
        <v/>
      </c>
      <c r="C122" s="507">
        <f>IF(D93="","-",+C121+1)</f>
        <v>2040</v>
      </c>
      <c r="D122" s="374">
        <f>IF(F121+SUM(E$99:E121)=D$92,F121,D$92-SUM(E$99:E121))</f>
        <v>2164963.2724117413</v>
      </c>
      <c r="E122" s="522">
        <f>IF(+J96&lt;F121,J96,D122)</f>
        <v>113384.65853658537</v>
      </c>
      <c r="F122" s="523">
        <f t="shared" si="22"/>
        <v>2051578.613875156</v>
      </c>
      <c r="G122" s="523">
        <f t="shared" si="23"/>
        <v>2108270.9431434488</v>
      </c>
      <c r="H122" s="526">
        <f t="shared" si="24"/>
        <v>352703.40362965711</v>
      </c>
      <c r="I122" s="577">
        <f t="shared" si="25"/>
        <v>352703.40362965711</v>
      </c>
      <c r="J122" s="514">
        <f t="shared" si="16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 ht="12.5">
      <c r="B123" s="195" t="str">
        <f t="shared" si="20"/>
        <v/>
      </c>
      <c r="C123" s="507">
        <f>IF(D93="","-",+C122+1)</f>
        <v>2041</v>
      </c>
      <c r="D123" s="374">
        <f>IF(F122+SUM(E$99:E122)=D$92,F122,D$92-SUM(E$99:E122))</f>
        <v>2051578.613875156</v>
      </c>
      <c r="E123" s="522">
        <f>IF(+J96&lt;F122,J96,D123)</f>
        <v>113384.65853658537</v>
      </c>
      <c r="F123" s="523">
        <f t="shared" si="22"/>
        <v>1938193.9553385708</v>
      </c>
      <c r="G123" s="523">
        <f t="shared" si="23"/>
        <v>1994886.2846068633</v>
      </c>
      <c r="H123" s="526">
        <f t="shared" si="24"/>
        <v>339832.63183344598</v>
      </c>
      <c r="I123" s="577">
        <f t="shared" si="25"/>
        <v>339832.63183344598</v>
      </c>
      <c r="J123" s="514">
        <f t="shared" si="16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 ht="12.5">
      <c r="B124" s="195" t="str">
        <f t="shared" si="20"/>
        <v/>
      </c>
      <c r="C124" s="507">
        <f>IF(D93="","-",+C123+1)</f>
        <v>2042</v>
      </c>
      <c r="D124" s="374">
        <f>IF(F123+SUM(E$99:E123)=D$92,F123,D$92-SUM(E$99:E123))</f>
        <v>1938193.9553385708</v>
      </c>
      <c r="E124" s="522">
        <f>IF(+J96&lt;F123,J96,D124)</f>
        <v>113384.65853658537</v>
      </c>
      <c r="F124" s="523">
        <f t="shared" si="22"/>
        <v>1824809.2968019855</v>
      </c>
      <c r="G124" s="523">
        <f t="shared" si="23"/>
        <v>1881501.6260702782</v>
      </c>
      <c r="H124" s="526">
        <f t="shared" si="24"/>
        <v>326961.86003723496</v>
      </c>
      <c r="I124" s="577">
        <f t="shared" si="25"/>
        <v>326961.86003723496</v>
      </c>
      <c r="J124" s="514">
        <f t="shared" si="16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 ht="12.5">
      <c r="B125" s="195" t="str">
        <f t="shared" si="20"/>
        <v/>
      </c>
      <c r="C125" s="507">
        <f>IF(D93="","-",+C124+1)</f>
        <v>2043</v>
      </c>
      <c r="D125" s="374">
        <f>IF(F124+SUM(E$99:E124)=D$92,F124,D$92-SUM(E$99:E124))</f>
        <v>1824809.2968019855</v>
      </c>
      <c r="E125" s="522">
        <f>IF(+J96&lt;F124,J96,D125)</f>
        <v>113384.65853658537</v>
      </c>
      <c r="F125" s="523">
        <f t="shared" si="22"/>
        <v>1711424.6382654002</v>
      </c>
      <c r="G125" s="523">
        <f t="shared" si="23"/>
        <v>1768116.9675336927</v>
      </c>
      <c r="H125" s="526">
        <f t="shared" si="24"/>
        <v>314091.08824102383</v>
      </c>
      <c r="I125" s="577">
        <f t="shared" si="25"/>
        <v>314091.08824102383</v>
      </c>
      <c r="J125" s="514">
        <f t="shared" si="16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 ht="12.5">
      <c r="B126" s="195" t="str">
        <f t="shared" si="20"/>
        <v/>
      </c>
      <c r="C126" s="507">
        <f>IF(D93="","-",+C125+1)</f>
        <v>2044</v>
      </c>
      <c r="D126" s="374">
        <f>IF(F125+SUM(E$99:E125)=D$92,F125,D$92-SUM(E$99:E125))</f>
        <v>1711424.6382654002</v>
      </c>
      <c r="E126" s="522">
        <f>IF(+J96&lt;F125,J96,D126)</f>
        <v>113384.65853658537</v>
      </c>
      <c r="F126" s="523">
        <f t="shared" si="22"/>
        <v>1598039.9797288149</v>
      </c>
      <c r="G126" s="523">
        <f t="shared" si="23"/>
        <v>1654732.3089971077</v>
      </c>
      <c r="H126" s="526">
        <f t="shared" si="24"/>
        <v>301220.31644481281</v>
      </c>
      <c r="I126" s="577">
        <f t="shared" si="25"/>
        <v>301220.31644481281</v>
      </c>
      <c r="J126" s="514">
        <f t="shared" si="16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 ht="12.5">
      <c r="B127" s="195" t="str">
        <f t="shared" si="20"/>
        <v/>
      </c>
      <c r="C127" s="507">
        <f>IF(D93="","-",+C126+1)</f>
        <v>2045</v>
      </c>
      <c r="D127" s="374">
        <f>IF(F126+SUM(E$99:E126)=D$92,F126,D$92-SUM(E$99:E126))</f>
        <v>1598039.9797288149</v>
      </c>
      <c r="E127" s="522">
        <f>IF(+J96&lt;F126,J96,D127)</f>
        <v>113384.65853658537</v>
      </c>
      <c r="F127" s="523">
        <f t="shared" si="22"/>
        <v>1484655.3211922296</v>
      </c>
      <c r="G127" s="523">
        <f t="shared" si="23"/>
        <v>1541347.6504605222</v>
      </c>
      <c r="H127" s="526">
        <f t="shared" si="24"/>
        <v>288349.54464860167</v>
      </c>
      <c r="I127" s="577">
        <f t="shared" si="25"/>
        <v>288349.54464860167</v>
      </c>
      <c r="J127" s="514">
        <f t="shared" si="16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 ht="12.5">
      <c r="B128" s="195" t="str">
        <f t="shared" si="20"/>
        <v/>
      </c>
      <c r="C128" s="507">
        <f>IF(D93="","-",+C127+1)</f>
        <v>2046</v>
      </c>
      <c r="D128" s="374">
        <f>IF(F127+SUM(E$99:E127)=D$92,F127,D$92-SUM(E$99:E127))</f>
        <v>1484655.3211922296</v>
      </c>
      <c r="E128" s="522">
        <f>IF(+J96&lt;F127,J96,D128)</f>
        <v>113384.65853658537</v>
      </c>
      <c r="F128" s="523">
        <f t="shared" si="22"/>
        <v>1371270.6626556444</v>
      </c>
      <c r="G128" s="523">
        <f t="shared" si="23"/>
        <v>1427962.9919239371</v>
      </c>
      <c r="H128" s="526">
        <f t="shared" si="24"/>
        <v>275478.77285239066</v>
      </c>
      <c r="I128" s="577">
        <f t="shared" si="25"/>
        <v>275478.77285239066</v>
      </c>
      <c r="J128" s="514">
        <f t="shared" si="16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 ht="12.5">
      <c r="B129" s="195" t="str">
        <f t="shared" si="20"/>
        <v/>
      </c>
      <c r="C129" s="507">
        <f>IF(D93="","-",+C128+1)</f>
        <v>2047</v>
      </c>
      <c r="D129" s="374">
        <f>IF(F128+SUM(E$99:E128)=D$92,F128,D$92-SUM(E$99:E128))</f>
        <v>1371270.6626556444</v>
      </c>
      <c r="E129" s="522">
        <f>IF(+J96&lt;F128,J96,D129)</f>
        <v>113384.65853658537</v>
      </c>
      <c r="F129" s="523">
        <f t="shared" si="22"/>
        <v>1257886.0041190591</v>
      </c>
      <c r="G129" s="523">
        <f t="shared" si="23"/>
        <v>1314578.3333873516</v>
      </c>
      <c r="H129" s="526">
        <f t="shared" si="24"/>
        <v>262608.00105617952</v>
      </c>
      <c r="I129" s="577">
        <f t="shared" si="25"/>
        <v>262608.00105617952</v>
      </c>
      <c r="J129" s="514">
        <f t="shared" si="16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 ht="12.5">
      <c r="B130" s="195" t="str">
        <f t="shared" si="20"/>
        <v/>
      </c>
      <c r="C130" s="507">
        <f>IF(D93="","-",+C129+1)</f>
        <v>2048</v>
      </c>
      <c r="D130" s="374">
        <f>IF(F129+SUM(E$99:E129)=D$92,F129,D$92-SUM(E$99:E129))</f>
        <v>1257886.0041190591</v>
      </c>
      <c r="E130" s="522">
        <f>IF(+J96&lt;F129,J96,D130)</f>
        <v>113384.65853658537</v>
      </c>
      <c r="F130" s="523">
        <f t="shared" si="22"/>
        <v>1144501.3455824738</v>
      </c>
      <c r="G130" s="523">
        <f t="shared" si="23"/>
        <v>1201193.6748507665</v>
      </c>
      <c r="H130" s="526">
        <f t="shared" si="24"/>
        <v>249737.22925996847</v>
      </c>
      <c r="I130" s="577">
        <f t="shared" si="25"/>
        <v>249737.22925996847</v>
      </c>
      <c r="J130" s="514">
        <f t="shared" si="16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 ht="12.5">
      <c r="B131" s="195" t="str">
        <f t="shared" si="20"/>
        <v/>
      </c>
      <c r="C131" s="507">
        <f>IF(D93="","-",+C130+1)</f>
        <v>2049</v>
      </c>
      <c r="D131" s="374">
        <f>IF(F130+SUM(E$99:E130)=D$92,F130,D$92-SUM(E$99:E130))</f>
        <v>1144501.3455824738</v>
      </c>
      <c r="E131" s="522">
        <f>IF(+J96&lt;F130,J96,D131)</f>
        <v>113384.65853658537</v>
      </c>
      <c r="F131" s="523">
        <f t="shared" ref="F131:F154" si="26">+D131-E131</f>
        <v>1031116.6870458884</v>
      </c>
      <c r="G131" s="523">
        <f t="shared" ref="G131:G154" si="27">+(F131+D131)/2</f>
        <v>1087809.016314181</v>
      </c>
      <c r="H131" s="526">
        <f t="shared" si="24"/>
        <v>236866.45746375737</v>
      </c>
      <c r="I131" s="577">
        <f t="shared" si="25"/>
        <v>236866.45746375737</v>
      </c>
      <c r="J131" s="514">
        <f t="shared" ref="J131:J154" si="28">+I541-H541</f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 ht="12.5">
      <c r="B132" s="195" t="str">
        <f t="shared" si="20"/>
        <v/>
      </c>
      <c r="C132" s="507">
        <f>IF(D93="","-",+C131+1)</f>
        <v>2050</v>
      </c>
      <c r="D132" s="374">
        <f>IF(F131+SUM(E$99:E131)=D$92,F131,D$92-SUM(E$99:E131))</f>
        <v>1031116.6870458884</v>
      </c>
      <c r="E132" s="522">
        <f>IF(+J96&lt;F131,J96,D132)</f>
        <v>113384.65853658537</v>
      </c>
      <c r="F132" s="523">
        <f t="shared" si="26"/>
        <v>917732.028509303</v>
      </c>
      <c r="G132" s="523">
        <f t="shared" si="27"/>
        <v>974424.35777759575</v>
      </c>
      <c r="H132" s="526">
        <f t="shared" si="24"/>
        <v>223995.68566754629</v>
      </c>
      <c r="I132" s="577">
        <f t="shared" si="25"/>
        <v>223995.68566754629</v>
      </c>
      <c r="J132" s="514">
        <f t="shared" si="28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 ht="12.5">
      <c r="B133" s="195" t="str">
        <f t="shared" si="20"/>
        <v/>
      </c>
      <c r="C133" s="507">
        <f>IF(D93="","-",+C132+1)</f>
        <v>2051</v>
      </c>
      <c r="D133" s="374">
        <f>IF(F132+SUM(E$99:E132)=D$92,F132,D$92-SUM(E$99:E132))</f>
        <v>917732.028509303</v>
      </c>
      <c r="E133" s="522">
        <f>IF(+J96&lt;F132,J96,D133)</f>
        <v>113384.65853658537</v>
      </c>
      <c r="F133" s="523">
        <f t="shared" si="26"/>
        <v>804347.3699727176</v>
      </c>
      <c r="G133" s="523">
        <f t="shared" si="27"/>
        <v>861039.69924101024</v>
      </c>
      <c r="H133" s="526">
        <f t="shared" si="24"/>
        <v>211124.91387133519</v>
      </c>
      <c r="I133" s="577">
        <f t="shared" si="25"/>
        <v>211124.91387133519</v>
      </c>
      <c r="J133" s="514">
        <f t="shared" si="28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 ht="12.5">
      <c r="B134" s="195" t="str">
        <f t="shared" si="20"/>
        <v/>
      </c>
      <c r="C134" s="507">
        <f>IF(D93="","-",+C133+1)</f>
        <v>2052</v>
      </c>
      <c r="D134" s="374">
        <f>IF(F133+SUM(E$99:E133)=D$92,F133,D$92-SUM(E$99:E133))</f>
        <v>804347.3699727176</v>
      </c>
      <c r="E134" s="522">
        <f>IF(+J96&lt;F133,J96,D134)</f>
        <v>113384.65853658537</v>
      </c>
      <c r="F134" s="523">
        <f t="shared" si="26"/>
        <v>690962.7114361322</v>
      </c>
      <c r="G134" s="523">
        <f t="shared" si="27"/>
        <v>747655.04070442496</v>
      </c>
      <c r="H134" s="526">
        <f t="shared" si="24"/>
        <v>198254.14207512411</v>
      </c>
      <c r="I134" s="577">
        <f t="shared" si="25"/>
        <v>198254.14207512411</v>
      </c>
      <c r="J134" s="514">
        <f t="shared" si="28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 ht="12.5">
      <c r="B135" s="195" t="str">
        <f t="shared" si="20"/>
        <v/>
      </c>
      <c r="C135" s="507">
        <f>IF(D93="","-",+C134+1)</f>
        <v>2053</v>
      </c>
      <c r="D135" s="374">
        <f>IF(F134+SUM(E$99:E134)=D$92,F134,D$92-SUM(E$99:E134))</f>
        <v>690962.7114361322</v>
      </c>
      <c r="E135" s="522">
        <f>IF(+J96&lt;F134,J96,D135)</f>
        <v>113384.65853658537</v>
      </c>
      <c r="F135" s="523">
        <f t="shared" si="26"/>
        <v>577578.0528995468</v>
      </c>
      <c r="G135" s="523">
        <f t="shared" si="27"/>
        <v>634270.38216783945</v>
      </c>
      <c r="H135" s="526">
        <f t="shared" si="24"/>
        <v>185383.370278913</v>
      </c>
      <c r="I135" s="577">
        <f t="shared" si="25"/>
        <v>185383.370278913</v>
      </c>
      <c r="J135" s="514">
        <f t="shared" si="28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 ht="12.5">
      <c r="B136" s="195" t="str">
        <f t="shared" si="20"/>
        <v/>
      </c>
      <c r="C136" s="507">
        <f>IF(D93="","-",+C135+1)</f>
        <v>2054</v>
      </c>
      <c r="D136" s="374">
        <f>IF(F135+SUM(E$99:E135)=D$92,F135,D$92-SUM(E$99:E135))</f>
        <v>577578.0528995468</v>
      </c>
      <c r="E136" s="522">
        <f>IF(+J96&lt;F135,J96,D136)</f>
        <v>113384.65853658537</v>
      </c>
      <c r="F136" s="523">
        <f t="shared" si="26"/>
        <v>464193.39436296141</v>
      </c>
      <c r="G136" s="523">
        <f t="shared" si="27"/>
        <v>520885.72363125411</v>
      </c>
      <c r="H136" s="526">
        <f t="shared" si="24"/>
        <v>172512.59848270193</v>
      </c>
      <c r="I136" s="577">
        <f t="shared" si="25"/>
        <v>172512.59848270193</v>
      </c>
      <c r="J136" s="514">
        <f t="shared" si="28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 ht="12.5">
      <c r="B137" s="195" t="str">
        <f t="shared" si="20"/>
        <v/>
      </c>
      <c r="C137" s="507">
        <f>IF(D93="","-",+C136+1)</f>
        <v>2055</v>
      </c>
      <c r="D137" s="374">
        <f>IF(F136+SUM(E$99:E136)=D$92,F136,D$92-SUM(E$99:E136))</f>
        <v>464193.39436296141</v>
      </c>
      <c r="E137" s="522">
        <f>IF(+J96&lt;F136,J96,D137)</f>
        <v>113384.65853658537</v>
      </c>
      <c r="F137" s="523">
        <f t="shared" si="26"/>
        <v>350808.73582637601</v>
      </c>
      <c r="G137" s="523">
        <f t="shared" si="27"/>
        <v>407501.06509466871</v>
      </c>
      <c r="H137" s="526">
        <f t="shared" si="24"/>
        <v>159641.82668649082</v>
      </c>
      <c r="I137" s="577">
        <f t="shared" si="25"/>
        <v>159641.82668649082</v>
      </c>
      <c r="J137" s="514">
        <f t="shared" si="28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 ht="12.5">
      <c r="B138" s="195" t="str">
        <f t="shared" si="20"/>
        <v/>
      </c>
      <c r="C138" s="507">
        <f>IF(D93="","-",+C137+1)</f>
        <v>2056</v>
      </c>
      <c r="D138" s="374">
        <f>IF(F137+SUM(E$99:E137)=D$92,F137,D$92-SUM(E$99:E137))</f>
        <v>350808.73582637601</v>
      </c>
      <c r="E138" s="522">
        <f>IF(+J96&lt;F137,J96,D138)</f>
        <v>113384.65853658537</v>
      </c>
      <c r="F138" s="523">
        <f t="shared" si="26"/>
        <v>237424.07728979064</v>
      </c>
      <c r="G138" s="523">
        <f t="shared" si="27"/>
        <v>294116.40655808331</v>
      </c>
      <c r="H138" s="526">
        <f t="shared" si="24"/>
        <v>146771.05489027972</v>
      </c>
      <c r="I138" s="577">
        <f t="shared" si="25"/>
        <v>146771.05489027972</v>
      </c>
      <c r="J138" s="514">
        <f t="shared" si="28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 ht="12.5">
      <c r="B139" s="195" t="str">
        <f t="shared" si="20"/>
        <v/>
      </c>
      <c r="C139" s="507">
        <f>IF(D93="","-",+C138+1)</f>
        <v>2057</v>
      </c>
      <c r="D139" s="374">
        <f>IF(F138+SUM(E$99:E138)=D$92,F138,D$92-SUM(E$99:E138))</f>
        <v>237424.07728979064</v>
      </c>
      <c r="E139" s="522">
        <f>IF(+J96&lt;F138,J96,D139)</f>
        <v>113384.65853658537</v>
      </c>
      <c r="F139" s="523">
        <f t="shared" si="26"/>
        <v>124039.41875320527</v>
      </c>
      <c r="G139" s="523">
        <f t="shared" si="27"/>
        <v>180731.74802149797</v>
      </c>
      <c r="H139" s="526">
        <f t="shared" si="24"/>
        <v>133900.28309406864</v>
      </c>
      <c r="I139" s="577">
        <f t="shared" si="25"/>
        <v>133900.28309406864</v>
      </c>
      <c r="J139" s="514">
        <f t="shared" si="28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 ht="12.5">
      <c r="B140" s="195" t="str">
        <f t="shared" si="20"/>
        <v/>
      </c>
      <c r="C140" s="507">
        <f>IF(D93="","-",+C139+1)</f>
        <v>2058</v>
      </c>
      <c r="D140" s="374">
        <f>IF(F139+SUM(E$99:E139)=D$92,F139,D$92-SUM(E$99:E139))</f>
        <v>124039.41875320527</v>
      </c>
      <c r="E140" s="522">
        <f>IF(+J96&lt;F139,J96,D140)</f>
        <v>113384.65853658537</v>
      </c>
      <c r="F140" s="523">
        <f t="shared" si="26"/>
        <v>10654.760216619907</v>
      </c>
      <c r="G140" s="523">
        <f t="shared" si="27"/>
        <v>67347.089484912591</v>
      </c>
      <c r="H140" s="526">
        <f t="shared" si="24"/>
        <v>121029.51129785755</v>
      </c>
      <c r="I140" s="577">
        <f t="shared" si="25"/>
        <v>121029.51129785755</v>
      </c>
      <c r="J140" s="514">
        <f t="shared" si="28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 ht="12.5">
      <c r="B141" s="195" t="str">
        <f t="shared" si="20"/>
        <v/>
      </c>
      <c r="C141" s="507">
        <f>IF(D93="","-",+C140+1)</f>
        <v>2059</v>
      </c>
      <c r="D141" s="374">
        <f>IF(F140+SUM(E$99:E140)=D$92,F140,D$92-SUM(E$99:E140))</f>
        <v>10654.760216619907</v>
      </c>
      <c r="E141" s="522">
        <f>IF(+J96&lt;F140,J96,D141)</f>
        <v>10654.760216619907</v>
      </c>
      <c r="F141" s="523">
        <f t="shared" si="26"/>
        <v>0</v>
      </c>
      <c r="G141" s="523">
        <f t="shared" si="27"/>
        <v>5327.3801083099534</v>
      </c>
      <c r="H141" s="526">
        <f t="shared" si="24"/>
        <v>11259.493648203223</v>
      </c>
      <c r="I141" s="577">
        <f t="shared" si="25"/>
        <v>11259.493648203223</v>
      </c>
      <c r="J141" s="514">
        <f t="shared" si="28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 ht="12.5">
      <c r="B142" s="195" t="str">
        <f t="shared" si="20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6"/>
        <v>0</v>
      </c>
      <c r="G142" s="523">
        <f t="shared" si="27"/>
        <v>0</v>
      </c>
      <c r="H142" s="526">
        <f t="shared" si="24"/>
        <v>0</v>
      </c>
      <c r="I142" s="577">
        <f t="shared" si="25"/>
        <v>0</v>
      </c>
      <c r="J142" s="514">
        <f t="shared" si="28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 ht="12.5">
      <c r="B143" s="195" t="str">
        <f t="shared" si="20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6"/>
        <v>0</v>
      </c>
      <c r="G143" s="523">
        <f t="shared" si="27"/>
        <v>0</v>
      </c>
      <c r="H143" s="526">
        <f t="shared" si="24"/>
        <v>0</v>
      </c>
      <c r="I143" s="577">
        <f t="shared" si="25"/>
        <v>0</v>
      </c>
      <c r="J143" s="514">
        <f t="shared" si="28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 ht="12.5">
      <c r="B144" s="195" t="str">
        <f t="shared" si="2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6"/>
        <v>0</v>
      </c>
      <c r="G144" s="523">
        <f t="shared" si="27"/>
        <v>0</v>
      </c>
      <c r="H144" s="526">
        <f t="shared" si="24"/>
        <v>0</v>
      </c>
      <c r="I144" s="577">
        <f t="shared" si="25"/>
        <v>0</v>
      </c>
      <c r="J144" s="514">
        <f t="shared" si="28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 ht="12.5">
      <c r="B145" s="195" t="str">
        <f t="shared" si="2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6"/>
        <v>0</v>
      </c>
      <c r="G145" s="523">
        <f t="shared" si="27"/>
        <v>0</v>
      </c>
      <c r="H145" s="526">
        <f t="shared" si="24"/>
        <v>0</v>
      </c>
      <c r="I145" s="577">
        <f t="shared" si="25"/>
        <v>0</v>
      </c>
      <c r="J145" s="514">
        <f t="shared" si="28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 ht="12.5">
      <c r="B146" s="195" t="str">
        <f t="shared" si="2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6"/>
        <v>0</v>
      </c>
      <c r="G146" s="523">
        <f t="shared" si="27"/>
        <v>0</v>
      </c>
      <c r="H146" s="526">
        <f t="shared" si="24"/>
        <v>0</v>
      </c>
      <c r="I146" s="577">
        <f t="shared" si="25"/>
        <v>0</v>
      </c>
      <c r="J146" s="514">
        <f t="shared" si="28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 ht="12.5">
      <c r="B147" s="195" t="str">
        <f t="shared" si="2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6"/>
        <v>0</v>
      </c>
      <c r="G147" s="523">
        <f t="shared" si="27"/>
        <v>0</v>
      </c>
      <c r="H147" s="526">
        <f t="shared" si="24"/>
        <v>0</v>
      </c>
      <c r="I147" s="577">
        <f t="shared" si="25"/>
        <v>0</v>
      </c>
      <c r="J147" s="514">
        <f t="shared" si="28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 ht="12.5">
      <c r="B148" s="195" t="str">
        <f t="shared" si="2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6"/>
        <v>0</v>
      </c>
      <c r="G148" s="523">
        <f t="shared" si="27"/>
        <v>0</v>
      </c>
      <c r="H148" s="526">
        <f t="shared" si="24"/>
        <v>0</v>
      </c>
      <c r="I148" s="577">
        <f t="shared" si="25"/>
        <v>0</v>
      </c>
      <c r="J148" s="514">
        <f t="shared" si="28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 ht="12.5">
      <c r="B149" s="195" t="str">
        <f t="shared" si="2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6"/>
        <v>0</v>
      </c>
      <c r="G149" s="523">
        <f t="shared" si="27"/>
        <v>0</v>
      </c>
      <c r="H149" s="526">
        <f t="shared" si="24"/>
        <v>0</v>
      </c>
      <c r="I149" s="577">
        <f t="shared" si="25"/>
        <v>0</v>
      </c>
      <c r="J149" s="514">
        <f t="shared" si="28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 ht="12.5">
      <c r="B150" s="195" t="str">
        <f t="shared" si="2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6"/>
        <v>0</v>
      </c>
      <c r="G150" s="523">
        <f t="shared" si="27"/>
        <v>0</v>
      </c>
      <c r="H150" s="526">
        <f t="shared" si="24"/>
        <v>0</v>
      </c>
      <c r="I150" s="577">
        <f t="shared" si="25"/>
        <v>0</v>
      </c>
      <c r="J150" s="514">
        <f t="shared" si="28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 ht="12.5">
      <c r="B151" s="195" t="str">
        <f t="shared" si="2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6"/>
        <v>0</v>
      </c>
      <c r="G151" s="523">
        <f t="shared" si="27"/>
        <v>0</v>
      </c>
      <c r="H151" s="526">
        <f t="shared" si="24"/>
        <v>0</v>
      </c>
      <c r="I151" s="577">
        <f t="shared" si="25"/>
        <v>0</v>
      </c>
      <c r="J151" s="514">
        <f t="shared" si="28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 ht="12.5">
      <c r="B152" s="195" t="str">
        <f t="shared" si="2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6"/>
        <v>0</v>
      </c>
      <c r="G152" s="523">
        <f t="shared" si="27"/>
        <v>0</v>
      </c>
      <c r="H152" s="526">
        <f t="shared" si="24"/>
        <v>0</v>
      </c>
      <c r="I152" s="577">
        <f t="shared" si="25"/>
        <v>0</v>
      </c>
      <c r="J152" s="514">
        <f t="shared" si="28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 ht="12.5">
      <c r="B153" s="195" t="str">
        <f t="shared" si="2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6"/>
        <v>0</v>
      </c>
      <c r="G153" s="523">
        <f t="shared" si="27"/>
        <v>0</v>
      </c>
      <c r="H153" s="526">
        <f t="shared" si="24"/>
        <v>0</v>
      </c>
      <c r="I153" s="577">
        <f t="shared" si="25"/>
        <v>0</v>
      </c>
      <c r="J153" s="514">
        <f t="shared" si="28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" thickBot="1">
      <c r="B154" s="195" t="str">
        <f t="shared" si="2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6"/>
        <v>0</v>
      </c>
      <c r="G154" s="528">
        <f t="shared" si="27"/>
        <v>0</v>
      </c>
      <c r="H154" s="530">
        <f t="shared" si="24"/>
        <v>0</v>
      </c>
      <c r="I154" s="579">
        <f t="shared" si="25"/>
        <v>0</v>
      </c>
      <c r="J154" s="533">
        <f t="shared" si="28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 ht="12.5">
      <c r="C155" s="374" t="s">
        <v>78</v>
      </c>
      <c r="D155" s="375"/>
      <c r="E155" s="375">
        <f>SUM(E99:E154)</f>
        <v>4648770.9999999991</v>
      </c>
      <c r="F155" s="375"/>
      <c r="G155" s="375"/>
      <c r="H155" s="375">
        <f>SUM(H99:H154)</f>
        <v>15655573.460469186</v>
      </c>
      <c r="I155" s="375">
        <f>SUM(I99:I154)</f>
        <v>15655573.460469186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30" priority="2" stopIfTrue="1" operator="equal">
      <formula>$I$10</formula>
    </cfRule>
  </conditionalFormatting>
  <conditionalFormatting sqref="C99:C154">
    <cfRule type="cellIs" dxfId="29" priority="3" stopIfTrue="1" operator="equal">
      <formula>$J$92</formula>
    </cfRule>
  </conditionalFormatting>
  <conditionalFormatting sqref="C17">
    <cfRule type="cellIs" dxfId="28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3"/>
  <dimension ref="A1:P162"/>
  <sheetViews>
    <sheetView view="pageBreakPreview" zoomScale="80" zoomScaleNormal="100" zoomScaleSheetLayoutView="80" workbookViewId="0"/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64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2296505.9863365302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2296505.9863365302</v>
      </c>
      <c r="O6" s="269"/>
      <c r="P6" s="269"/>
    </row>
    <row r="7" spans="1:16" ht="13.5" thickBot="1">
      <c r="C7" s="467" t="s">
        <v>48</v>
      </c>
      <c r="D7" s="624" t="s">
        <v>384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411</v>
      </c>
      <c r="E9" s="637" t="s">
        <v>412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17159057.350000001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408548.98452380957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 t="s">
        <v>435</v>
      </c>
      <c r="E17" s="658" t="s">
        <v>435</v>
      </c>
      <c r="F17" s="651">
        <v>12938000</v>
      </c>
      <c r="G17" s="659">
        <v>801461</v>
      </c>
      <c r="H17" s="657">
        <v>801461</v>
      </c>
      <c r="I17" s="511">
        <f t="shared" ref="I17:I72" si="0">H17-G17</f>
        <v>0</v>
      </c>
      <c r="J17" s="511"/>
      <c r="K17" s="512">
        <f t="shared" ref="K17:K22" si="1">+G17</f>
        <v>801461</v>
      </c>
      <c r="L17" s="513">
        <f t="shared" ref="L17:L72" si="2">IF(K17&lt;&gt;0,+G17-K17,0)</f>
        <v>0</v>
      </c>
      <c r="M17" s="512">
        <f t="shared" ref="M17:M22" si="3">+H17</f>
        <v>801461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2018</v>
      </c>
      <c r="D18" s="631">
        <v>15870000</v>
      </c>
      <c r="E18" s="630">
        <v>387073.1707317073</v>
      </c>
      <c r="F18" s="631">
        <v>15482926.829268293</v>
      </c>
      <c r="G18" s="630">
        <v>2379459.1627964582</v>
      </c>
      <c r="H18" s="639">
        <v>2379459.1627964582</v>
      </c>
      <c r="I18" s="511">
        <f t="shared" si="0"/>
        <v>0</v>
      </c>
      <c r="J18" s="511"/>
      <c r="K18" s="518">
        <f t="shared" si="1"/>
        <v>2379459.1627964582</v>
      </c>
      <c r="L18" s="519">
        <f t="shared" si="2"/>
        <v>0</v>
      </c>
      <c r="M18" s="518">
        <f t="shared" si="3"/>
        <v>2379459.1627964582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15482926.829268293</v>
      </c>
      <c r="E19" s="630">
        <v>387073.1707317073</v>
      </c>
      <c r="F19" s="631">
        <v>15095853.658536587</v>
      </c>
      <c r="G19" s="630">
        <v>2330264.4469430079</v>
      </c>
      <c r="H19" s="639">
        <v>2330264.4469430079</v>
      </c>
      <c r="I19" s="511">
        <f t="shared" si="0"/>
        <v>0</v>
      </c>
      <c r="J19" s="511"/>
      <c r="K19" s="518">
        <f t="shared" si="1"/>
        <v>2330264.4469430079</v>
      </c>
      <c r="L19" s="519">
        <f t="shared" ref="L19" si="6">IF(K19&lt;&gt;0,+G19-K19,0)</f>
        <v>0</v>
      </c>
      <c r="M19" s="518">
        <f t="shared" si="3"/>
        <v>2330264.4469430079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16384910.658536585</v>
      </c>
      <c r="E20" s="630">
        <v>418513.58536585368</v>
      </c>
      <c r="F20" s="631">
        <v>15966397.073170731</v>
      </c>
      <c r="G20" s="630">
        <v>2073856.4882897006</v>
      </c>
      <c r="H20" s="639">
        <v>2073856.4882897006</v>
      </c>
      <c r="I20" s="511">
        <f t="shared" si="0"/>
        <v>0</v>
      </c>
      <c r="J20" s="511"/>
      <c r="K20" s="518">
        <f t="shared" si="1"/>
        <v>2073856.4882897006</v>
      </c>
      <c r="L20" s="519">
        <f t="shared" ref="L20" si="8">IF(K20&lt;&gt;0,+G20-K20,0)</f>
        <v>0</v>
      </c>
      <c r="M20" s="518">
        <f t="shared" si="3"/>
        <v>2073856.4882897006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15984400.476460578</v>
      </c>
      <c r="E21" s="630">
        <v>408548.97619047621</v>
      </c>
      <c r="F21" s="631">
        <v>15575851.500270102</v>
      </c>
      <c r="G21" s="630">
        <v>2081314.0523024015</v>
      </c>
      <c r="H21" s="639">
        <v>2081314.0523024015</v>
      </c>
      <c r="I21" s="511">
        <f t="shared" si="0"/>
        <v>0</v>
      </c>
      <c r="J21" s="511"/>
      <c r="K21" s="518">
        <f t="shared" si="1"/>
        <v>2081314.0523024015</v>
      </c>
      <c r="L21" s="519">
        <f t="shared" ref="L21" si="9">IF(K21&lt;&gt;0,+G21-K21,0)</f>
        <v>0</v>
      </c>
      <c r="M21" s="518">
        <f t="shared" si="3"/>
        <v>2081314.0523024015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15557848.096980255</v>
      </c>
      <c r="E22" s="630">
        <v>408548.97619047621</v>
      </c>
      <c r="F22" s="631">
        <v>15149299.120789779</v>
      </c>
      <c r="G22" s="630">
        <v>2134967.6945692962</v>
      </c>
      <c r="H22" s="639">
        <v>2134967.6945692962</v>
      </c>
      <c r="I22" s="511">
        <f t="shared" si="0"/>
        <v>0</v>
      </c>
      <c r="J22" s="511"/>
      <c r="K22" s="518">
        <f t="shared" si="1"/>
        <v>2134967.6945692962</v>
      </c>
      <c r="L22" s="519">
        <f t="shared" ref="L22" si="10">IF(K22&lt;&gt;0,+G22-K22,0)</f>
        <v>0</v>
      </c>
      <c r="M22" s="518">
        <f t="shared" si="3"/>
        <v>2134967.6945692962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523">
        <f>IF(F22+SUM(E$17:E22)=D$10,F22,D$10-SUM(E$17:E22))</f>
        <v>15149299.470789781</v>
      </c>
      <c r="E23" s="522">
        <f>IF(+I14&lt;F22,I14,D23)</f>
        <v>408548.98452380957</v>
      </c>
      <c r="F23" s="523">
        <f t="shared" ref="F23:F72" si="11">+D23-E23</f>
        <v>14740750.48626597</v>
      </c>
      <c r="G23" s="524">
        <f t="shared" ref="G23:G48" si="12">+I$12*((D23+F23)/2)+E23</f>
        <v>2296505.9863365302</v>
      </c>
      <c r="H23" s="491">
        <f t="shared" ref="H23:H48" si="13">+I$13*((D23+F23)/2)+E23</f>
        <v>2296505.9863365302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2024</v>
      </c>
      <c r="D24" s="523">
        <f>IF(F23+SUM(E$17:E23)=D$10,F23,D$10-SUM(E$17:E23))</f>
        <v>14740750.48626597</v>
      </c>
      <c r="E24" s="522">
        <f>IF(+I14&lt;F23,I14,D24)</f>
        <v>408548.98452380957</v>
      </c>
      <c r="F24" s="523">
        <f t="shared" si="11"/>
        <v>14332201.50174216</v>
      </c>
      <c r="G24" s="524">
        <f t="shared" si="12"/>
        <v>2244895.3053892991</v>
      </c>
      <c r="H24" s="491">
        <f t="shared" si="13"/>
        <v>2244895.3053892991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14332201.50174216</v>
      </c>
      <c r="E25" s="522">
        <f>IF(+I14&lt;F24,I14,D25)</f>
        <v>408548.98452380957</v>
      </c>
      <c r="F25" s="523">
        <f t="shared" si="11"/>
        <v>13923652.51721835</v>
      </c>
      <c r="G25" s="524">
        <f t="shared" si="12"/>
        <v>2193284.6244420679</v>
      </c>
      <c r="H25" s="491">
        <f t="shared" si="13"/>
        <v>2193284.6244420679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13923652.51721835</v>
      </c>
      <c r="E26" s="522">
        <f>IF(+I14&lt;F25,I14,D26)</f>
        <v>408548.98452380957</v>
      </c>
      <c r="F26" s="523">
        <f t="shared" si="11"/>
        <v>13515103.532694539</v>
      </c>
      <c r="G26" s="524">
        <f t="shared" si="12"/>
        <v>2141673.9434948363</v>
      </c>
      <c r="H26" s="491">
        <f t="shared" si="13"/>
        <v>2141673.9434948363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13515103.532694539</v>
      </c>
      <c r="E27" s="522">
        <f>IF(+I14&lt;F26,I14,D27)</f>
        <v>408548.98452380957</v>
      </c>
      <c r="F27" s="523">
        <f t="shared" si="11"/>
        <v>13106554.548170729</v>
      </c>
      <c r="G27" s="524">
        <f t="shared" si="12"/>
        <v>2090063.262547605</v>
      </c>
      <c r="H27" s="491">
        <f t="shared" si="13"/>
        <v>2090063.262547605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13106554.548170729</v>
      </c>
      <c r="E28" s="522">
        <f>IF(+I14&lt;F27,I14,D28)</f>
        <v>408548.98452380957</v>
      </c>
      <c r="F28" s="523">
        <f t="shared" si="11"/>
        <v>12698005.563646918</v>
      </c>
      <c r="G28" s="524">
        <f t="shared" si="12"/>
        <v>2038452.5816003736</v>
      </c>
      <c r="H28" s="491">
        <f t="shared" si="13"/>
        <v>2038452.5816003736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12698005.563646918</v>
      </c>
      <c r="E29" s="522">
        <f>IF(+I14&lt;F28,I14,D29)</f>
        <v>408548.98452380957</v>
      </c>
      <c r="F29" s="523">
        <f t="shared" si="11"/>
        <v>12289456.579123108</v>
      </c>
      <c r="G29" s="524">
        <f t="shared" si="12"/>
        <v>1986841.9006531422</v>
      </c>
      <c r="H29" s="491">
        <f t="shared" si="13"/>
        <v>1986841.9006531422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12289456.579123108</v>
      </c>
      <c r="E30" s="522">
        <f>IF(+I14&lt;F29,I14,D30)</f>
        <v>408548.98452380957</v>
      </c>
      <c r="F30" s="523">
        <f t="shared" si="11"/>
        <v>11880907.594599297</v>
      </c>
      <c r="G30" s="524">
        <f t="shared" si="12"/>
        <v>1935231.2197059109</v>
      </c>
      <c r="H30" s="491">
        <f t="shared" si="13"/>
        <v>1935231.2197059109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11880907.594599297</v>
      </c>
      <c r="E31" s="522">
        <f>IF(+I14&lt;F30,I14,D31)</f>
        <v>408548.98452380957</v>
      </c>
      <c r="F31" s="523">
        <f t="shared" si="11"/>
        <v>11472358.610075487</v>
      </c>
      <c r="G31" s="524">
        <f t="shared" si="12"/>
        <v>1883620.5387586798</v>
      </c>
      <c r="H31" s="491">
        <f t="shared" si="13"/>
        <v>1883620.5387586798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11472358.610075487</v>
      </c>
      <c r="E32" s="522">
        <f>IF(+I14&lt;F31,I14,D32)</f>
        <v>408548.98452380957</v>
      </c>
      <c r="F32" s="523">
        <f t="shared" si="11"/>
        <v>11063809.625551676</v>
      </c>
      <c r="G32" s="524">
        <f t="shared" si="12"/>
        <v>1832009.8578114484</v>
      </c>
      <c r="H32" s="491">
        <f t="shared" si="13"/>
        <v>1832009.8578114484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11063809.625551676</v>
      </c>
      <c r="E33" s="522">
        <f>IF(+I14&lt;F32,I14,D33)</f>
        <v>408548.98452380957</v>
      </c>
      <c r="F33" s="523">
        <f t="shared" si="11"/>
        <v>10655260.641027866</v>
      </c>
      <c r="G33" s="524">
        <f t="shared" si="12"/>
        <v>1780399.176864217</v>
      </c>
      <c r="H33" s="491">
        <f t="shared" si="13"/>
        <v>1780399.176864217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10655260.641027866</v>
      </c>
      <c r="E34" s="522">
        <f>IF(+I14&lt;F33,I14,D34)</f>
        <v>408548.98452380957</v>
      </c>
      <c r="F34" s="523">
        <f t="shared" si="11"/>
        <v>10246711.656504055</v>
      </c>
      <c r="G34" s="524">
        <f t="shared" si="12"/>
        <v>1728788.4959169857</v>
      </c>
      <c r="H34" s="491">
        <f t="shared" si="13"/>
        <v>1728788.4959169857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10246711.656504055</v>
      </c>
      <c r="E35" s="522">
        <f>IF(+I14&lt;F34,I14,D35)</f>
        <v>408548.98452380957</v>
      </c>
      <c r="F35" s="523">
        <f t="shared" si="11"/>
        <v>9838162.671980245</v>
      </c>
      <c r="G35" s="524">
        <f t="shared" si="12"/>
        <v>1677177.8149697543</v>
      </c>
      <c r="H35" s="491">
        <f t="shared" si="13"/>
        <v>1677177.8149697543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9838162.671980245</v>
      </c>
      <c r="E36" s="522">
        <f>IF(+I14&lt;F35,I14,D36)</f>
        <v>408548.98452380957</v>
      </c>
      <c r="F36" s="523">
        <f t="shared" si="11"/>
        <v>9429613.6874564346</v>
      </c>
      <c r="G36" s="524">
        <f t="shared" si="12"/>
        <v>1625567.134022523</v>
      </c>
      <c r="H36" s="491">
        <f t="shared" si="13"/>
        <v>1625567.134022523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9429613.6874564346</v>
      </c>
      <c r="E37" s="522">
        <f>IF(+I14&lt;F36,I14,D37)</f>
        <v>408548.98452380957</v>
      </c>
      <c r="F37" s="523">
        <f t="shared" si="11"/>
        <v>9021064.7029326241</v>
      </c>
      <c r="G37" s="524">
        <f t="shared" si="12"/>
        <v>1573956.4530752918</v>
      </c>
      <c r="H37" s="491">
        <f t="shared" si="13"/>
        <v>1573956.4530752918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9021064.7029326241</v>
      </c>
      <c r="E38" s="522">
        <f>IF(+I14&lt;F37,I14,D38)</f>
        <v>408548.98452380957</v>
      </c>
      <c r="F38" s="523">
        <f t="shared" si="11"/>
        <v>8612515.7184088137</v>
      </c>
      <c r="G38" s="524">
        <f t="shared" si="12"/>
        <v>1522345.7721280605</v>
      </c>
      <c r="H38" s="491">
        <f t="shared" si="13"/>
        <v>1522345.7721280605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8612515.7184088137</v>
      </c>
      <c r="E39" s="522">
        <f>IF(+I14&lt;F38,I14,D39)</f>
        <v>408548.98452380957</v>
      </c>
      <c r="F39" s="523">
        <f t="shared" si="11"/>
        <v>8203966.7338850042</v>
      </c>
      <c r="G39" s="524">
        <f t="shared" si="12"/>
        <v>1470735.0911808291</v>
      </c>
      <c r="H39" s="491">
        <f t="shared" si="13"/>
        <v>1470735.0911808291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8203966.7338850042</v>
      </c>
      <c r="E40" s="522">
        <f>IF(+I14&lt;F39,I14,D40)</f>
        <v>408548.98452380957</v>
      </c>
      <c r="F40" s="523">
        <f t="shared" si="11"/>
        <v>7795417.7493611947</v>
      </c>
      <c r="G40" s="524">
        <f t="shared" si="12"/>
        <v>1419124.410233598</v>
      </c>
      <c r="H40" s="491">
        <f t="shared" si="13"/>
        <v>1419124.410233598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7795417.7493611947</v>
      </c>
      <c r="E41" s="522">
        <f>IF(+I14&lt;F40,I14,D41)</f>
        <v>408548.98452380957</v>
      </c>
      <c r="F41" s="523">
        <f t="shared" si="11"/>
        <v>7386868.7648373852</v>
      </c>
      <c r="G41" s="524">
        <f t="shared" si="12"/>
        <v>1367513.7292863668</v>
      </c>
      <c r="H41" s="491">
        <f t="shared" si="13"/>
        <v>1367513.7292863668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7386868.7648373852</v>
      </c>
      <c r="E42" s="522">
        <f>IF(+I14&lt;F41,I14,D42)</f>
        <v>408548.98452380957</v>
      </c>
      <c r="F42" s="523">
        <f t="shared" si="11"/>
        <v>6978319.7803135756</v>
      </c>
      <c r="G42" s="524">
        <f t="shared" si="12"/>
        <v>1315903.0483391357</v>
      </c>
      <c r="H42" s="491">
        <f t="shared" si="13"/>
        <v>1315903.0483391357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6978319.7803135756</v>
      </c>
      <c r="E43" s="522">
        <f>IF(+I14&lt;F42,I14,D43)</f>
        <v>408548.98452380957</v>
      </c>
      <c r="F43" s="523">
        <f t="shared" si="11"/>
        <v>6569770.7957897661</v>
      </c>
      <c r="G43" s="524">
        <f t="shared" si="12"/>
        <v>1264292.3673919044</v>
      </c>
      <c r="H43" s="491">
        <f t="shared" si="13"/>
        <v>1264292.3673919044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6569770.7957897661</v>
      </c>
      <c r="E44" s="522">
        <f>IF(+I14&lt;F43,I14,D44)</f>
        <v>408548.98452380957</v>
      </c>
      <c r="F44" s="523">
        <f t="shared" si="11"/>
        <v>6161221.8112659566</v>
      </c>
      <c r="G44" s="524">
        <f t="shared" si="12"/>
        <v>1212681.6864446732</v>
      </c>
      <c r="H44" s="491">
        <f t="shared" si="13"/>
        <v>1212681.6864446732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6161221.8112659566</v>
      </c>
      <c r="E45" s="522">
        <f>IF(+I14&lt;F44,I14,D45)</f>
        <v>408548.98452380957</v>
      </c>
      <c r="F45" s="523">
        <f t="shared" si="11"/>
        <v>5752672.8267421471</v>
      </c>
      <c r="G45" s="524">
        <f t="shared" si="12"/>
        <v>1161071.0054974419</v>
      </c>
      <c r="H45" s="491">
        <f t="shared" si="13"/>
        <v>1161071.0054974419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5752672.8267421471</v>
      </c>
      <c r="E46" s="522">
        <f>IF(+I14&lt;F45,I14,D46)</f>
        <v>408548.98452380957</v>
      </c>
      <c r="F46" s="523">
        <f t="shared" si="11"/>
        <v>5344123.8422183376</v>
      </c>
      <c r="G46" s="524">
        <f t="shared" si="12"/>
        <v>1109460.324550211</v>
      </c>
      <c r="H46" s="491">
        <f t="shared" si="13"/>
        <v>1109460.324550211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5344123.8422183376</v>
      </c>
      <c r="E47" s="522">
        <f>IF(+I14&lt;F46,I14,D47)</f>
        <v>408548.98452380957</v>
      </c>
      <c r="F47" s="523">
        <f t="shared" si="11"/>
        <v>4935574.8576945281</v>
      </c>
      <c r="G47" s="524">
        <f t="shared" si="12"/>
        <v>1057849.6436029796</v>
      </c>
      <c r="H47" s="491">
        <f t="shared" si="13"/>
        <v>1057849.6436029796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4935574.8576945281</v>
      </c>
      <c r="E48" s="522">
        <f>IF(+I14&lt;F47,I14,D48)</f>
        <v>408548.98452380957</v>
      </c>
      <c r="F48" s="523">
        <f t="shared" si="11"/>
        <v>4527025.8731707186</v>
      </c>
      <c r="G48" s="524">
        <f t="shared" si="12"/>
        <v>1006238.9626557485</v>
      </c>
      <c r="H48" s="491">
        <f t="shared" si="13"/>
        <v>1006238.9626557485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4527025.8731707186</v>
      </c>
      <c r="E49" s="522">
        <f>IF(+I14&lt;F48,I14,D49)</f>
        <v>408548.98452380957</v>
      </c>
      <c r="F49" s="523">
        <f t="shared" si="11"/>
        <v>4118476.888646909</v>
      </c>
      <c r="G49" s="524">
        <f t="shared" ref="G49:G72" si="14">+I$12*((D49+F49)/2)+E49</f>
        <v>954628.28170851711</v>
      </c>
      <c r="H49" s="491">
        <f t="shared" ref="H49:H72" si="15">+I$13*((D49+F49)/2)+E49</f>
        <v>954628.28170851711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4118476.888646909</v>
      </c>
      <c r="E50" s="522">
        <f>IF(+I14&lt;F49,I14,D50)</f>
        <v>408548.98452380957</v>
      </c>
      <c r="F50" s="523">
        <f t="shared" si="11"/>
        <v>3709927.9041230995</v>
      </c>
      <c r="G50" s="524">
        <f t="shared" si="14"/>
        <v>903017.60076128598</v>
      </c>
      <c r="H50" s="491">
        <f t="shared" si="15"/>
        <v>903017.60076128598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3709927.9041230995</v>
      </c>
      <c r="E51" s="522">
        <f>IF(+I14&lt;F50,I14,D51)</f>
        <v>408548.98452380957</v>
      </c>
      <c r="F51" s="523">
        <f t="shared" si="11"/>
        <v>3301378.91959929</v>
      </c>
      <c r="G51" s="524">
        <f t="shared" si="14"/>
        <v>851406.91981405485</v>
      </c>
      <c r="H51" s="491">
        <f t="shared" si="15"/>
        <v>851406.91981405485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3301378.91959929</v>
      </c>
      <c r="E52" s="522">
        <f>IF(+I14&lt;F51,I14,D52)</f>
        <v>408548.98452380957</v>
      </c>
      <c r="F52" s="523">
        <f t="shared" si="11"/>
        <v>2892829.9350754805</v>
      </c>
      <c r="G52" s="524">
        <f t="shared" si="14"/>
        <v>799796.23886682349</v>
      </c>
      <c r="H52" s="491">
        <f t="shared" si="15"/>
        <v>799796.23886682349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2892829.9350754805</v>
      </c>
      <c r="E53" s="522">
        <f>IF(+I14&lt;F52,I14,D53)</f>
        <v>408548.98452380957</v>
      </c>
      <c r="F53" s="523">
        <f t="shared" si="11"/>
        <v>2484280.950551671</v>
      </c>
      <c r="G53" s="524">
        <f t="shared" si="14"/>
        <v>748185.55791959236</v>
      </c>
      <c r="H53" s="491">
        <f t="shared" si="15"/>
        <v>748185.55791959236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2484280.950551671</v>
      </c>
      <c r="E54" s="522">
        <f>IF(+I14&lt;F53,I14,D54)</f>
        <v>408548.98452380957</v>
      </c>
      <c r="F54" s="523">
        <f t="shared" si="11"/>
        <v>2075731.9660278615</v>
      </c>
      <c r="G54" s="524">
        <f t="shared" si="14"/>
        <v>696574.87697236123</v>
      </c>
      <c r="H54" s="491">
        <f t="shared" si="15"/>
        <v>696574.87697236123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2075731.9660278615</v>
      </c>
      <c r="E55" s="522">
        <f>IF(+I14&lt;F54,I14,D55)</f>
        <v>408548.98452380957</v>
      </c>
      <c r="F55" s="523">
        <f t="shared" si="11"/>
        <v>1667182.9815040519</v>
      </c>
      <c r="G55" s="524">
        <f t="shared" si="14"/>
        <v>644964.19602512999</v>
      </c>
      <c r="H55" s="491">
        <f t="shared" si="15"/>
        <v>644964.19602512999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1667182.9815040519</v>
      </c>
      <c r="E56" s="522">
        <f>IF(+I14&lt;F55,I14,D56)</f>
        <v>408548.98452380957</v>
      </c>
      <c r="F56" s="523">
        <f t="shared" si="11"/>
        <v>1258633.9969802424</v>
      </c>
      <c r="G56" s="524">
        <f t="shared" si="14"/>
        <v>593353.51507789874</v>
      </c>
      <c r="H56" s="491">
        <f t="shared" si="15"/>
        <v>593353.51507789874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1258633.9969802424</v>
      </c>
      <c r="E57" s="522">
        <f>IF(+I14&lt;F56,I14,D57)</f>
        <v>408548.98452380957</v>
      </c>
      <c r="F57" s="523">
        <f t="shared" si="11"/>
        <v>850085.01245643292</v>
      </c>
      <c r="G57" s="524">
        <f t="shared" si="14"/>
        <v>541742.83413066762</v>
      </c>
      <c r="H57" s="491">
        <f t="shared" si="15"/>
        <v>541742.83413066762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850085.01245643292</v>
      </c>
      <c r="E58" s="522">
        <f>IF(+I14&lt;F57,I14,D58)</f>
        <v>408548.98452380957</v>
      </c>
      <c r="F58" s="523">
        <f t="shared" si="11"/>
        <v>441536.02793262334</v>
      </c>
      <c r="G58" s="524">
        <f t="shared" si="14"/>
        <v>490132.15318343637</v>
      </c>
      <c r="H58" s="491">
        <f t="shared" si="15"/>
        <v>490132.15318343637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441536.02793262334</v>
      </c>
      <c r="E59" s="522">
        <f>IF(+I14&lt;F58,I14,D59)</f>
        <v>408548.98452380957</v>
      </c>
      <c r="F59" s="523">
        <f t="shared" si="11"/>
        <v>32987.04340881377</v>
      </c>
      <c r="G59" s="524">
        <f t="shared" si="14"/>
        <v>438521.47223620513</v>
      </c>
      <c r="H59" s="491">
        <f t="shared" si="15"/>
        <v>438521.47223620513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32987.04340881377</v>
      </c>
      <c r="E60" s="522">
        <f>IF(+I14&lt;F59,I14,D60)</f>
        <v>32987.04340881377</v>
      </c>
      <c r="F60" s="523">
        <f t="shared" si="11"/>
        <v>0</v>
      </c>
      <c r="G60" s="524">
        <f t="shared" si="14"/>
        <v>35070.617028203756</v>
      </c>
      <c r="H60" s="491">
        <f t="shared" si="15"/>
        <v>35070.617028203756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1"/>
        <v>0</v>
      </c>
      <c r="G61" s="526">
        <f t="shared" si="14"/>
        <v>0</v>
      </c>
      <c r="H61" s="491">
        <f t="shared" si="15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1"/>
        <v>0</v>
      </c>
      <c r="G62" s="526">
        <f t="shared" si="14"/>
        <v>0</v>
      </c>
      <c r="H62" s="491">
        <f t="shared" si="15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1"/>
        <v>0</v>
      </c>
      <c r="G63" s="526">
        <f t="shared" si="14"/>
        <v>0</v>
      </c>
      <c r="H63" s="491">
        <f t="shared" si="15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1"/>
        <v>0</v>
      </c>
      <c r="G64" s="526">
        <f t="shared" si="14"/>
        <v>0</v>
      </c>
      <c r="H64" s="491">
        <f t="shared" si="15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1"/>
        <v>0</v>
      </c>
      <c r="G65" s="526">
        <f t="shared" si="14"/>
        <v>0</v>
      </c>
      <c r="H65" s="491">
        <f t="shared" si="15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1"/>
        <v>0</v>
      </c>
      <c r="G66" s="526">
        <f t="shared" si="14"/>
        <v>0</v>
      </c>
      <c r="H66" s="491">
        <f t="shared" si="15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1"/>
        <v>0</v>
      </c>
      <c r="G67" s="526">
        <f t="shared" si="14"/>
        <v>0</v>
      </c>
      <c r="H67" s="491">
        <f t="shared" si="15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1"/>
        <v>0</v>
      </c>
      <c r="G68" s="526">
        <f t="shared" si="14"/>
        <v>0</v>
      </c>
      <c r="H68" s="491">
        <f t="shared" si="15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1"/>
        <v>0</v>
      </c>
      <c r="G69" s="526">
        <f t="shared" si="14"/>
        <v>0</v>
      </c>
      <c r="H69" s="491">
        <f t="shared" si="15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1"/>
        <v>0</v>
      </c>
      <c r="G70" s="526">
        <f t="shared" si="14"/>
        <v>0</v>
      </c>
      <c r="H70" s="491">
        <f t="shared" si="15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1"/>
        <v>0</v>
      </c>
      <c r="G71" s="526">
        <f t="shared" si="14"/>
        <v>0</v>
      </c>
      <c r="H71" s="491">
        <f t="shared" si="15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1"/>
        <v>0</v>
      </c>
      <c r="G72" s="530">
        <f t="shared" si="14"/>
        <v>0</v>
      </c>
      <c r="H72" s="471">
        <f t="shared" si="15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17159057.350000005</v>
      </c>
      <c r="F73" s="375"/>
      <c r="G73" s="375">
        <f>SUM(G17:G72)</f>
        <v>62434401.445524655</v>
      </c>
      <c r="H73" s="375">
        <f>SUM(H17:H72)</f>
        <v>62434401.445524655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64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2081314.0523024015</v>
      </c>
      <c r="N87" s="546">
        <f>IF(J92&lt;D11,0,VLOOKUP(J92,C17:O72,11))</f>
        <v>2081314.0523024015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2181406.6643911372</v>
      </c>
      <c r="N88" s="550">
        <f>IF(J92&lt;D11,0,VLOOKUP(J92,C99:P154,7))</f>
        <v>2181406.6643911372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Hallsville - Marshall New 69 kV Circuit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100092.61208873568</v>
      </c>
      <c r="N89" s="555">
        <f>+N88-N87</f>
        <v>100092.61208873568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17159057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418513.58536585368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203503.39285714287</v>
      </c>
      <c r="F99" s="651">
        <v>16890781.607142858</v>
      </c>
      <c r="G99" s="652">
        <v>8445390.8035714291</v>
      </c>
      <c r="H99" s="653">
        <v>1229377.3244778609</v>
      </c>
      <c r="I99" s="654">
        <v>1229377.3244778609</v>
      </c>
      <c r="J99" s="514">
        <f t="shared" ref="J99:J130" si="16">+I99-H99</f>
        <v>0</v>
      </c>
      <c r="K99" s="514"/>
      <c r="L99" s="512">
        <f>+H99</f>
        <v>1229377.3244778609</v>
      </c>
      <c r="M99" s="513">
        <f t="shared" ref="M99:M130" si="17">IF(L99&lt;&gt;0,+H99-L99,0)</f>
        <v>0</v>
      </c>
      <c r="N99" s="512">
        <f>+I99</f>
        <v>1229377.3244778609</v>
      </c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16955553.607142858</v>
      </c>
      <c r="E100" s="630">
        <v>408548.97619047621</v>
      </c>
      <c r="F100" s="631">
        <v>16547004.630952382</v>
      </c>
      <c r="G100" s="631">
        <v>16751279.119047619</v>
      </c>
      <c r="H100" s="633">
        <v>2177560.8695091857</v>
      </c>
      <c r="I100" s="634">
        <v>2177560.8695091857</v>
      </c>
      <c r="J100" s="514">
        <f t="shared" si="16"/>
        <v>0</v>
      </c>
      <c r="K100" s="514"/>
      <c r="L100" s="655">
        <f>+H100</f>
        <v>2177560.8695091857</v>
      </c>
      <c r="M100" s="514">
        <f t="shared" si="17"/>
        <v>0</v>
      </c>
      <c r="N100" s="655">
        <f>+I100</f>
        <v>2177560.8695091857</v>
      </c>
      <c r="O100" s="514">
        <f t="shared" si="18"/>
        <v>0</v>
      </c>
      <c r="P100" s="514">
        <f t="shared" si="19"/>
        <v>0</v>
      </c>
    </row>
    <row r="101" spans="1:16" ht="12.5">
      <c r="B101" s="195" t="str">
        <f t="shared" ref="B101:B154" si="20">IF(D101=F100,"","IU")</f>
        <v/>
      </c>
      <c r="C101" s="507">
        <f>IF(D93="","-",+C100+1)</f>
        <v>2019</v>
      </c>
      <c r="D101" s="629">
        <v>16547004.630952382</v>
      </c>
      <c r="E101" s="630">
        <v>399047.83720930235</v>
      </c>
      <c r="F101" s="631">
        <v>16147956.79374308</v>
      </c>
      <c r="G101" s="631">
        <v>16347480.712347731</v>
      </c>
      <c r="H101" s="633">
        <v>2148891.1072448152</v>
      </c>
      <c r="I101" s="634">
        <v>2148891.1072448152</v>
      </c>
      <c r="J101" s="514">
        <f t="shared" si="16"/>
        <v>0</v>
      </c>
      <c r="K101" s="514"/>
      <c r="L101" s="655">
        <f>+H101</f>
        <v>2148891.1072448152</v>
      </c>
      <c r="M101" s="514">
        <f t="shared" ref="M101:M102" si="21">IF(L101&lt;&gt;0,+H101-L101,0)</f>
        <v>0</v>
      </c>
      <c r="N101" s="655">
        <f>+I101</f>
        <v>2148891.1072448152</v>
      </c>
      <c r="O101" s="514">
        <f t="shared" si="18"/>
        <v>0</v>
      </c>
      <c r="P101" s="514">
        <f t="shared" si="19"/>
        <v>0</v>
      </c>
    </row>
    <row r="102" spans="1:16" ht="12.5">
      <c r="B102" s="195" t="str">
        <f t="shared" si="20"/>
        <v/>
      </c>
      <c r="C102" s="507">
        <f>IF(D93="","-",+C101+1)</f>
        <v>2020</v>
      </c>
      <c r="D102" s="629">
        <v>16147956.79374308</v>
      </c>
      <c r="E102" s="630">
        <v>408548.97619047621</v>
      </c>
      <c r="F102" s="631">
        <v>15739407.817552604</v>
      </c>
      <c r="G102" s="631">
        <v>15943682.305647843</v>
      </c>
      <c r="H102" s="633">
        <v>2123671.9859832102</v>
      </c>
      <c r="I102" s="634">
        <v>2123671.9859832102</v>
      </c>
      <c r="J102" s="514">
        <f t="shared" si="16"/>
        <v>0</v>
      </c>
      <c r="K102" s="514"/>
      <c r="L102" s="655">
        <f>+H102</f>
        <v>2123671.9859832102</v>
      </c>
      <c r="M102" s="514">
        <f t="shared" si="21"/>
        <v>0</v>
      </c>
      <c r="N102" s="655">
        <f>+I102</f>
        <v>2123671.9859832102</v>
      </c>
      <c r="O102" s="514">
        <f t="shared" si="18"/>
        <v>0</v>
      </c>
      <c r="P102" s="514">
        <f t="shared" si="19"/>
        <v>0</v>
      </c>
    </row>
    <row r="103" spans="1:16" ht="12.5">
      <c r="B103" s="195" t="str">
        <f t="shared" si="20"/>
        <v/>
      </c>
      <c r="C103" s="507">
        <f>IF(D93="","-",+C102+1)</f>
        <v>2021</v>
      </c>
      <c r="D103" s="374">
        <f>IF(F102+SUM(E$99:E102)=D$92,F102,D$92-SUM(E$99:E102))</f>
        <v>15739407.817552604</v>
      </c>
      <c r="E103" s="522">
        <f>IF(+J96&lt;F102,J96,D103)</f>
        <v>418513.58536585368</v>
      </c>
      <c r="F103" s="523">
        <f t="shared" ref="F103:F130" si="22">+D103-E103</f>
        <v>15320894.23218675</v>
      </c>
      <c r="G103" s="523">
        <f t="shared" ref="G103:G130" si="23">+(F103+D103)/2</f>
        <v>15530151.024869677</v>
      </c>
      <c r="H103" s="526">
        <f t="shared" ref="H103:H154" si="24">+J$94*G103+E103</f>
        <v>2181406.6643911372</v>
      </c>
      <c r="I103" s="577">
        <f t="shared" ref="I103:I154" si="25">+J$95*G103+E103</f>
        <v>2181406.6643911372</v>
      </c>
      <c r="J103" s="514">
        <f t="shared" si="16"/>
        <v>0</v>
      </c>
      <c r="K103" s="514"/>
      <c r="L103" s="525"/>
      <c r="M103" s="514">
        <f t="shared" si="17"/>
        <v>0</v>
      </c>
      <c r="N103" s="525"/>
      <c r="O103" s="514">
        <f t="shared" si="18"/>
        <v>0</v>
      </c>
      <c r="P103" s="514">
        <f t="shared" si="19"/>
        <v>0</v>
      </c>
    </row>
    <row r="104" spans="1:16" ht="12.5">
      <c r="B104" s="195" t="str">
        <f t="shared" si="20"/>
        <v/>
      </c>
      <c r="C104" s="507">
        <f>IF(D93="","-",+C103+1)</f>
        <v>2022</v>
      </c>
      <c r="D104" s="374">
        <f>IF(F103+SUM(E$99:E103)=D$92,F103,D$92-SUM(E$99:E103))</f>
        <v>15320894.23218675</v>
      </c>
      <c r="E104" s="522">
        <f>IF(+J96&lt;F103,J96,D104)</f>
        <v>418513.58536585368</v>
      </c>
      <c r="F104" s="523">
        <f t="shared" si="22"/>
        <v>14902380.646820895</v>
      </c>
      <c r="G104" s="523">
        <f t="shared" si="23"/>
        <v>15111637.439503822</v>
      </c>
      <c r="H104" s="526">
        <f t="shared" si="24"/>
        <v>2133899.4185222443</v>
      </c>
      <c r="I104" s="577">
        <f t="shared" si="25"/>
        <v>2133899.4185222443</v>
      </c>
      <c r="J104" s="514">
        <f t="shared" si="16"/>
        <v>0</v>
      </c>
      <c r="K104" s="514"/>
      <c r="L104" s="525"/>
      <c r="M104" s="514">
        <f t="shared" si="17"/>
        <v>0</v>
      </c>
      <c r="N104" s="525"/>
      <c r="O104" s="514">
        <f t="shared" si="18"/>
        <v>0</v>
      </c>
      <c r="P104" s="514">
        <f t="shared" si="19"/>
        <v>0</v>
      </c>
    </row>
    <row r="105" spans="1:16" ht="12.5">
      <c r="B105" s="195" t="str">
        <f t="shared" si="20"/>
        <v/>
      </c>
      <c r="C105" s="507">
        <f>IF(D93="","-",+C104+1)</f>
        <v>2023</v>
      </c>
      <c r="D105" s="374">
        <f>IF(F104+SUM(E$99:E104)=D$92,F104,D$92-SUM(E$99:E104))</f>
        <v>14902380.646820895</v>
      </c>
      <c r="E105" s="522">
        <f>IF(+J96&lt;F104,J96,D105)</f>
        <v>418513.58536585368</v>
      </c>
      <c r="F105" s="523">
        <f t="shared" si="22"/>
        <v>14483867.061455041</v>
      </c>
      <c r="G105" s="523">
        <f t="shared" si="23"/>
        <v>14693123.854137968</v>
      </c>
      <c r="H105" s="526">
        <f t="shared" si="24"/>
        <v>2086392.1726533517</v>
      </c>
      <c r="I105" s="577">
        <f t="shared" si="25"/>
        <v>2086392.1726533517</v>
      </c>
      <c r="J105" s="514">
        <f t="shared" si="16"/>
        <v>0</v>
      </c>
      <c r="K105" s="514"/>
      <c r="L105" s="525"/>
      <c r="M105" s="514">
        <f t="shared" si="17"/>
        <v>0</v>
      </c>
      <c r="N105" s="525"/>
      <c r="O105" s="514">
        <f t="shared" si="18"/>
        <v>0</v>
      </c>
      <c r="P105" s="514">
        <f t="shared" si="19"/>
        <v>0</v>
      </c>
    </row>
    <row r="106" spans="1:16" ht="12.5">
      <c r="B106" s="195" t="str">
        <f t="shared" si="20"/>
        <v/>
      </c>
      <c r="C106" s="507">
        <f>IF(D93="","-",+C105+1)</f>
        <v>2024</v>
      </c>
      <c r="D106" s="374">
        <f>IF(F105+SUM(E$99:E105)=D$92,F105,D$92-SUM(E$99:E105))</f>
        <v>14483867.061455041</v>
      </c>
      <c r="E106" s="522">
        <f>IF(+J96&lt;F105,J96,D106)</f>
        <v>418513.58536585368</v>
      </c>
      <c r="F106" s="523">
        <f t="shared" si="22"/>
        <v>14065353.476089187</v>
      </c>
      <c r="G106" s="523">
        <f t="shared" si="23"/>
        <v>14274610.268772114</v>
      </c>
      <c r="H106" s="526">
        <f t="shared" si="24"/>
        <v>2038884.9267844588</v>
      </c>
      <c r="I106" s="577">
        <f t="shared" si="25"/>
        <v>2038884.9267844588</v>
      </c>
      <c r="J106" s="514">
        <f t="shared" si="16"/>
        <v>0</v>
      </c>
      <c r="K106" s="514"/>
      <c r="L106" s="525"/>
      <c r="M106" s="514">
        <f t="shared" si="17"/>
        <v>0</v>
      </c>
      <c r="N106" s="525"/>
      <c r="O106" s="514">
        <f t="shared" si="18"/>
        <v>0</v>
      </c>
      <c r="P106" s="514">
        <f t="shared" si="19"/>
        <v>0</v>
      </c>
    </row>
    <row r="107" spans="1:16" ht="12.5">
      <c r="B107" s="195" t="str">
        <f t="shared" si="20"/>
        <v/>
      </c>
      <c r="C107" s="507">
        <f>IF(D93="","-",+C106+1)</f>
        <v>2025</v>
      </c>
      <c r="D107" s="374">
        <f>IF(F106+SUM(E$99:E106)=D$92,F106,D$92-SUM(E$99:E106))</f>
        <v>14065353.476089187</v>
      </c>
      <c r="E107" s="522">
        <f>IF(+J96&lt;F106,J96,D107)</f>
        <v>418513.58536585368</v>
      </c>
      <c r="F107" s="523">
        <f t="shared" si="22"/>
        <v>13646839.890723333</v>
      </c>
      <c r="G107" s="523">
        <f t="shared" si="23"/>
        <v>13856096.68340626</v>
      </c>
      <c r="H107" s="526">
        <f t="shared" si="24"/>
        <v>1991377.6809155662</v>
      </c>
      <c r="I107" s="577">
        <f t="shared" si="25"/>
        <v>1991377.6809155662</v>
      </c>
      <c r="J107" s="514">
        <f t="shared" si="16"/>
        <v>0</v>
      </c>
      <c r="K107" s="514"/>
      <c r="L107" s="525"/>
      <c r="M107" s="514">
        <f t="shared" si="17"/>
        <v>0</v>
      </c>
      <c r="N107" s="525"/>
      <c r="O107" s="514">
        <f t="shared" si="18"/>
        <v>0</v>
      </c>
      <c r="P107" s="514">
        <f t="shared" si="19"/>
        <v>0</v>
      </c>
    </row>
    <row r="108" spans="1:16" ht="12.5">
      <c r="B108" s="195" t="str">
        <f t="shared" si="20"/>
        <v/>
      </c>
      <c r="C108" s="507">
        <f>IF(D93="","-",+C107+1)</f>
        <v>2026</v>
      </c>
      <c r="D108" s="374">
        <f>IF(F107+SUM(E$99:E107)=D$92,F107,D$92-SUM(E$99:E107))</f>
        <v>13646839.890723333</v>
      </c>
      <c r="E108" s="522">
        <f>IF(+J96&lt;F107,J96,D108)</f>
        <v>418513.58536585368</v>
      </c>
      <c r="F108" s="523">
        <f t="shared" si="22"/>
        <v>13228326.305357479</v>
      </c>
      <c r="G108" s="523">
        <f t="shared" si="23"/>
        <v>13437583.098040406</v>
      </c>
      <c r="H108" s="526">
        <f t="shared" si="24"/>
        <v>1943870.4350466733</v>
      </c>
      <c r="I108" s="577">
        <f t="shared" si="25"/>
        <v>1943870.4350466733</v>
      </c>
      <c r="J108" s="514">
        <f t="shared" si="16"/>
        <v>0</v>
      </c>
      <c r="K108" s="514"/>
      <c r="L108" s="525"/>
      <c r="M108" s="514">
        <f t="shared" si="17"/>
        <v>0</v>
      </c>
      <c r="N108" s="525"/>
      <c r="O108" s="514">
        <f t="shared" si="18"/>
        <v>0</v>
      </c>
      <c r="P108" s="514">
        <f t="shared" si="19"/>
        <v>0</v>
      </c>
    </row>
    <row r="109" spans="1:16" ht="12.5">
      <c r="B109" s="195" t="str">
        <f t="shared" si="20"/>
        <v/>
      </c>
      <c r="C109" s="507">
        <f>IF(D93="","-",+C108+1)</f>
        <v>2027</v>
      </c>
      <c r="D109" s="374">
        <f>IF(F108+SUM(E$99:E108)=D$92,F108,D$92-SUM(E$99:E108))</f>
        <v>13228326.305357479</v>
      </c>
      <c r="E109" s="522">
        <f>IF(+J96&lt;F108,J96,D109)</f>
        <v>418513.58536585368</v>
      </c>
      <c r="F109" s="523">
        <f t="shared" si="22"/>
        <v>12809812.719991624</v>
      </c>
      <c r="G109" s="523">
        <f t="shared" si="23"/>
        <v>13019069.512674551</v>
      </c>
      <c r="H109" s="526">
        <f t="shared" si="24"/>
        <v>1896363.1891777804</v>
      </c>
      <c r="I109" s="577">
        <f t="shared" si="25"/>
        <v>1896363.1891777804</v>
      </c>
      <c r="J109" s="514">
        <f t="shared" si="16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 ht="12.5">
      <c r="B110" s="195" t="str">
        <f t="shared" si="20"/>
        <v/>
      </c>
      <c r="C110" s="507">
        <f>IF(D93="","-",+C109+1)</f>
        <v>2028</v>
      </c>
      <c r="D110" s="374">
        <f>IF(F109+SUM(E$99:E109)=D$92,F109,D$92-SUM(E$99:E109))</f>
        <v>12809812.719991624</v>
      </c>
      <c r="E110" s="522">
        <f>IF(+J96&lt;F109,J96,D110)</f>
        <v>418513.58536585368</v>
      </c>
      <c r="F110" s="523">
        <f t="shared" si="22"/>
        <v>12391299.13462577</v>
      </c>
      <c r="G110" s="523">
        <f t="shared" si="23"/>
        <v>12600555.927308697</v>
      </c>
      <c r="H110" s="526">
        <f t="shared" si="24"/>
        <v>1848855.9433088875</v>
      </c>
      <c r="I110" s="577">
        <f t="shared" si="25"/>
        <v>1848855.9433088875</v>
      </c>
      <c r="J110" s="514">
        <f t="shared" si="16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 ht="12.5">
      <c r="B111" s="195" t="str">
        <f t="shared" si="20"/>
        <v/>
      </c>
      <c r="C111" s="507">
        <f>IF(D93="","-",+C110+1)</f>
        <v>2029</v>
      </c>
      <c r="D111" s="374">
        <f>IF(F110+SUM(E$99:E110)=D$92,F110,D$92-SUM(E$99:E110))</f>
        <v>12391299.13462577</v>
      </c>
      <c r="E111" s="522">
        <f>IF(+J96&lt;F110,J96,D111)</f>
        <v>418513.58536585368</v>
      </c>
      <c r="F111" s="523">
        <f t="shared" si="22"/>
        <v>11972785.549259916</v>
      </c>
      <c r="G111" s="523">
        <f t="shared" si="23"/>
        <v>12182042.341942843</v>
      </c>
      <c r="H111" s="526">
        <f t="shared" si="24"/>
        <v>1801348.6974399949</v>
      </c>
      <c r="I111" s="577">
        <f t="shared" si="25"/>
        <v>1801348.6974399949</v>
      </c>
      <c r="J111" s="514">
        <f t="shared" si="16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 ht="12.5">
      <c r="B112" s="195" t="str">
        <f t="shared" si="20"/>
        <v/>
      </c>
      <c r="C112" s="507">
        <f>IF(D93="","-",+C111+1)</f>
        <v>2030</v>
      </c>
      <c r="D112" s="374">
        <f>IF(F111+SUM(E$99:E111)=D$92,F111,D$92-SUM(E$99:E111))</f>
        <v>11972785.549259916</v>
      </c>
      <c r="E112" s="522">
        <f>IF(+J96&lt;F111,J96,D112)</f>
        <v>418513.58536585368</v>
      </c>
      <c r="F112" s="523">
        <f t="shared" si="22"/>
        <v>11554271.963894062</v>
      </c>
      <c r="G112" s="523">
        <f t="shared" si="23"/>
        <v>11763528.756576989</v>
      </c>
      <c r="H112" s="526">
        <f t="shared" si="24"/>
        <v>1753841.451571102</v>
      </c>
      <c r="I112" s="577">
        <f t="shared" si="25"/>
        <v>1753841.451571102</v>
      </c>
      <c r="J112" s="514">
        <f t="shared" si="16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 ht="12.5">
      <c r="B113" s="195" t="str">
        <f t="shared" si="20"/>
        <v/>
      </c>
      <c r="C113" s="507">
        <f>IF(D93="","-",+C112+1)</f>
        <v>2031</v>
      </c>
      <c r="D113" s="374">
        <f>IF(F112+SUM(E$99:E112)=D$92,F112,D$92-SUM(E$99:E112))</f>
        <v>11554271.963894062</v>
      </c>
      <c r="E113" s="522">
        <f>IF(+J96&lt;F112,J96,D113)</f>
        <v>418513.58536585368</v>
      </c>
      <c r="F113" s="523">
        <f t="shared" si="22"/>
        <v>11135758.378528208</v>
      </c>
      <c r="G113" s="523">
        <f t="shared" si="23"/>
        <v>11345015.171211135</v>
      </c>
      <c r="H113" s="526">
        <f t="shared" si="24"/>
        <v>1706334.2057022091</v>
      </c>
      <c r="I113" s="577">
        <f t="shared" si="25"/>
        <v>1706334.2057022091</v>
      </c>
      <c r="J113" s="514">
        <f t="shared" si="16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 ht="12.5">
      <c r="B114" s="195" t="str">
        <f t="shared" si="20"/>
        <v/>
      </c>
      <c r="C114" s="507">
        <f>IF(D93="","-",+C113+1)</f>
        <v>2032</v>
      </c>
      <c r="D114" s="374">
        <f>IF(F113+SUM(E$99:E113)=D$92,F113,D$92-SUM(E$99:E113))</f>
        <v>11135758.378528208</v>
      </c>
      <c r="E114" s="522">
        <f>IF(+J96&lt;F113,J96,D114)</f>
        <v>418513.58536585368</v>
      </c>
      <c r="F114" s="523">
        <f t="shared" si="22"/>
        <v>10717244.793162353</v>
      </c>
      <c r="G114" s="523">
        <f t="shared" si="23"/>
        <v>10926501.58584528</v>
      </c>
      <c r="H114" s="526">
        <f t="shared" si="24"/>
        <v>1658826.9598333163</v>
      </c>
      <c r="I114" s="577">
        <f t="shared" si="25"/>
        <v>1658826.9598333163</v>
      </c>
      <c r="J114" s="514">
        <f t="shared" si="16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 ht="12.5">
      <c r="B115" s="195" t="str">
        <f t="shared" si="20"/>
        <v/>
      </c>
      <c r="C115" s="507">
        <f>IF(D93="","-",+C114+1)</f>
        <v>2033</v>
      </c>
      <c r="D115" s="374">
        <f>IF(F114+SUM(E$99:E114)=D$92,F114,D$92-SUM(E$99:E114))</f>
        <v>10717244.793162353</v>
      </c>
      <c r="E115" s="522">
        <f>IF(+J96&lt;F114,J96,D115)</f>
        <v>418513.58536585368</v>
      </c>
      <c r="F115" s="523">
        <f t="shared" si="22"/>
        <v>10298731.207796499</v>
      </c>
      <c r="G115" s="523">
        <f t="shared" si="23"/>
        <v>10507988.000479426</v>
      </c>
      <c r="H115" s="526">
        <f t="shared" si="24"/>
        <v>1611319.7139644234</v>
      </c>
      <c r="I115" s="577">
        <f t="shared" si="25"/>
        <v>1611319.7139644234</v>
      </c>
      <c r="J115" s="514">
        <f t="shared" si="16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 ht="12.5">
      <c r="B116" s="195" t="str">
        <f t="shared" si="20"/>
        <v/>
      </c>
      <c r="C116" s="507">
        <f>IF(D93="","-",+C115+1)</f>
        <v>2034</v>
      </c>
      <c r="D116" s="374">
        <f>IF(F115+SUM(E$99:E115)=D$92,F115,D$92-SUM(E$99:E115))</f>
        <v>10298731.207796499</v>
      </c>
      <c r="E116" s="522">
        <f>IF(+J96&lt;F115,J96,D116)</f>
        <v>418513.58536585368</v>
      </c>
      <c r="F116" s="523">
        <f t="shared" si="22"/>
        <v>9880217.6224306449</v>
      </c>
      <c r="G116" s="523">
        <f t="shared" si="23"/>
        <v>10089474.415113572</v>
      </c>
      <c r="H116" s="526">
        <f t="shared" si="24"/>
        <v>1563812.4680955308</v>
      </c>
      <c r="I116" s="577">
        <f t="shared" si="25"/>
        <v>1563812.4680955308</v>
      </c>
      <c r="J116" s="514">
        <f t="shared" si="16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 ht="12.5">
      <c r="B117" s="195" t="str">
        <f t="shared" si="20"/>
        <v/>
      </c>
      <c r="C117" s="507">
        <f>IF(D93="","-",+C116+1)</f>
        <v>2035</v>
      </c>
      <c r="D117" s="374">
        <f>IF(F116+SUM(E$99:E116)=D$92,F116,D$92-SUM(E$99:E116))</f>
        <v>9880217.6224306449</v>
      </c>
      <c r="E117" s="522">
        <f>IF(+J96&lt;F116,J96,D117)</f>
        <v>418513.58536585368</v>
      </c>
      <c r="F117" s="523">
        <f t="shared" si="22"/>
        <v>9461704.0370647907</v>
      </c>
      <c r="G117" s="523">
        <f t="shared" si="23"/>
        <v>9670960.8297477178</v>
      </c>
      <c r="H117" s="526">
        <f t="shared" si="24"/>
        <v>1516305.2222266379</v>
      </c>
      <c r="I117" s="577">
        <f t="shared" si="25"/>
        <v>1516305.2222266379</v>
      </c>
      <c r="J117" s="514">
        <f t="shared" si="16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 ht="12.5">
      <c r="B118" s="195" t="str">
        <f t="shared" si="20"/>
        <v/>
      </c>
      <c r="C118" s="507">
        <f>IF(D93="","-",+C117+1)</f>
        <v>2036</v>
      </c>
      <c r="D118" s="374">
        <f>IF(F117+SUM(E$99:E117)=D$92,F117,D$92-SUM(E$99:E117))</f>
        <v>9461704.0370647907</v>
      </c>
      <c r="E118" s="522">
        <f>IF(+J96&lt;F117,J96,D118)</f>
        <v>418513.58536585368</v>
      </c>
      <c r="F118" s="523">
        <f t="shared" si="22"/>
        <v>9043190.4516989365</v>
      </c>
      <c r="G118" s="523">
        <f t="shared" si="23"/>
        <v>9252447.2443818636</v>
      </c>
      <c r="H118" s="526">
        <f t="shared" si="24"/>
        <v>1468797.976357745</v>
      </c>
      <c r="I118" s="577">
        <f t="shared" si="25"/>
        <v>1468797.976357745</v>
      </c>
      <c r="J118" s="514">
        <f t="shared" si="16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 ht="12.5">
      <c r="B119" s="195" t="str">
        <f t="shared" si="20"/>
        <v/>
      </c>
      <c r="C119" s="507">
        <f>IF(D93="","-",+C118+1)</f>
        <v>2037</v>
      </c>
      <c r="D119" s="374">
        <f>IF(F118+SUM(E$99:E118)=D$92,F118,D$92-SUM(E$99:E118))</f>
        <v>9043190.4516989365</v>
      </c>
      <c r="E119" s="522">
        <f>IF(+J96&lt;F118,J96,D119)</f>
        <v>418513.58536585368</v>
      </c>
      <c r="F119" s="523">
        <f t="shared" si="22"/>
        <v>8624676.8663330823</v>
      </c>
      <c r="G119" s="523">
        <f t="shared" si="23"/>
        <v>8833933.6590160094</v>
      </c>
      <c r="H119" s="526">
        <f t="shared" si="24"/>
        <v>1421290.7304888521</v>
      </c>
      <c r="I119" s="577">
        <f t="shared" si="25"/>
        <v>1421290.7304888521</v>
      </c>
      <c r="J119" s="514">
        <f t="shared" si="16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 ht="12.5">
      <c r="B120" s="195" t="str">
        <f t="shared" si="20"/>
        <v/>
      </c>
      <c r="C120" s="507">
        <f>IF(D93="","-",+C119+1)</f>
        <v>2038</v>
      </c>
      <c r="D120" s="374">
        <f>IF(F119+SUM(E$99:E119)=D$92,F119,D$92-SUM(E$99:E119))</f>
        <v>8624676.8663330823</v>
      </c>
      <c r="E120" s="522">
        <f>IF(+J96&lt;F119,J96,D120)</f>
        <v>418513.58536585368</v>
      </c>
      <c r="F120" s="523">
        <f t="shared" si="22"/>
        <v>8206163.280967229</v>
      </c>
      <c r="G120" s="523">
        <f t="shared" si="23"/>
        <v>8415420.0736501552</v>
      </c>
      <c r="H120" s="526">
        <f t="shared" si="24"/>
        <v>1373783.4846199593</v>
      </c>
      <c r="I120" s="577">
        <f t="shared" si="25"/>
        <v>1373783.4846199593</v>
      </c>
      <c r="J120" s="514">
        <f t="shared" si="16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 ht="12.5">
      <c r="B121" s="195" t="str">
        <f t="shared" si="20"/>
        <v/>
      </c>
      <c r="C121" s="507">
        <f>IF(D93="","-",+C120+1)</f>
        <v>2039</v>
      </c>
      <c r="D121" s="374">
        <f>IF(F120+SUM(E$99:E120)=D$92,F120,D$92-SUM(E$99:E120))</f>
        <v>8206163.280967229</v>
      </c>
      <c r="E121" s="522">
        <f>IF(+J96&lt;F120,J96,D121)</f>
        <v>418513.58536585368</v>
      </c>
      <c r="F121" s="523">
        <f t="shared" si="22"/>
        <v>7787649.6956013758</v>
      </c>
      <c r="G121" s="523">
        <f t="shared" si="23"/>
        <v>7996906.4882843029</v>
      </c>
      <c r="H121" s="526">
        <f t="shared" si="24"/>
        <v>1326276.2387510666</v>
      </c>
      <c r="I121" s="577">
        <f t="shared" si="25"/>
        <v>1326276.2387510666</v>
      </c>
      <c r="J121" s="514">
        <f t="shared" si="16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 ht="12.5">
      <c r="B122" s="195" t="str">
        <f t="shared" si="20"/>
        <v/>
      </c>
      <c r="C122" s="507">
        <f>IF(D93="","-",+C121+1)</f>
        <v>2040</v>
      </c>
      <c r="D122" s="374">
        <f>IF(F121+SUM(E$99:E121)=D$92,F121,D$92-SUM(E$99:E121))</f>
        <v>7787649.6956013758</v>
      </c>
      <c r="E122" s="522">
        <f>IF(+J96&lt;F121,J96,D122)</f>
        <v>418513.58536585368</v>
      </c>
      <c r="F122" s="523">
        <f t="shared" si="22"/>
        <v>7369136.1102355225</v>
      </c>
      <c r="G122" s="523">
        <f t="shared" si="23"/>
        <v>7578392.9029184487</v>
      </c>
      <c r="H122" s="526">
        <f t="shared" si="24"/>
        <v>1278768.992882174</v>
      </c>
      <c r="I122" s="577">
        <f t="shared" si="25"/>
        <v>1278768.992882174</v>
      </c>
      <c r="J122" s="514">
        <f t="shared" si="16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 ht="12.5">
      <c r="B123" s="195" t="str">
        <f t="shared" si="20"/>
        <v/>
      </c>
      <c r="C123" s="507">
        <f>IF(D93="","-",+C122+1)</f>
        <v>2041</v>
      </c>
      <c r="D123" s="374">
        <f>IF(F122+SUM(E$99:E122)=D$92,F122,D$92-SUM(E$99:E122))</f>
        <v>7369136.1102355225</v>
      </c>
      <c r="E123" s="522">
        <f>IF(+J96&lt;F122,J96,D123)</f>
        <v>418513.58536585368</v>
      </c>
      <c r="F123" s="523">
        <f t="shared" si="22"/>
        <v>6950622.5248696692</v>
      </c>
      <c r="G123" s="523">
        <f t="shared" si="23"/>
        <v>7159879.3175525963</v>
      </c>
      <c r="H123" s="526">
        <f t="shared" si="24"/>
        <v>1231261.7470132813</v>
      </c>
      <c r="I123" s="577">
        <f t="shared" si="25"/>
        <v>1231261.7470132813</v>
      </c>
      <c r="J123" s="514">
        <f t="shared" si="16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 ht="12.5">
      <c r="B124" s="195" t="str">
        <f t="shared" si="20"/>
        <v/>
      </c>
      <c r="C124" s="507">
        <f>IF(D93="","-",+C123+1)</f>
        <v>2042</v>
      </c>
      <c r="D124" s="374">
        <f>IF(F123+SUM(E$99:E123)=D$92,F123,D$92-SUM(E$99:E123))</f>
        <v>6950622.5248696692</v>
      </c>
      <c r="E124" s="522">
        <f>IF(+J96&lt;F123,J96,D124)</f>
        <v>418513.58536585368</v>
      </c>
      <c r="F124" s="523">
        <f t="shared" si="22"/>
        <v>6532108.939503816</v>
      </c>
      <c r="G124" s="523">
        <f t="shared" si="23"/>
        <v>6741365.7321867421</v>
      </c>
      <c r="H124" s="526">
        <f t="shared" si="24"/>
        <v>1183754.5011443885</v>
      </c>
      <c r="I124" s="577">
        <f t="shared" si="25"/>
        <v>1183754.5011443885</v>
      </c>
      <c r="J124" s="514">
        <f t="shared" si="16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 ht="12.5">
      <c r="B125" s="195" t="str">
        <f t="shared" si="20"/>
        <v/>
      </c>
      <c r="C125" s="507">
        <f>IF(D93="","-",+C124+1)</f>
        <v>2043</v>
      </c>
      <c r="D125" s="374">
        <f>IF(F124+SUM(E$99:E124)=D$92,F124,D$92-SUM(E$99:E124))</f>
        <v>6532108.939503816</v>
      </c>
      <c r="E125" s="522">
        <f>IF(+J96&lt;F124,J96,D125)</f>
        <v>418513.58536585368</v>
      </c>
      <c r="F125" s="523">
        <f t="shared" si="22"/>
        <v>6113595.3541379627</v>
      </c>
      <c r="G125" s="523">
        <f t="shared" si="23"/>
        <v>6322852.1468208898</v>
      </c>
      <c r="H125" s="526">
        <f t="shared" si="24"/>
        <v>1136247.2552754958</v>
      </c>
      <c r="I125" s="577">
        <f t="shared" si="25"/>
        <v>1136247.2552754958</v>
      </c>
      <c r="J125" s="514">
        <f t="shared" si="16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 ht="12.5">
      <c r="B126" s="195" t="str">
        <f t="shared" si="20"/>
        <v/>
      </c>
      <c r="C126" s="507">
        <f>IF(D93="","-",+C125+1)</f>
        <v>2044</v>
      </c>
      <c r="D126" s="374">
        <f>IF(F125+SUM(E$99:E125)=D$92,F125,D$92-SUM(E$99:E125))</f>
        <v>6113595.3541379627</v>
      </c>
      <c r="E126" s="522">
        <f>IF(+J96&lt;F125,J96,D126)</f>
        <v>418513.58536585368</v>
      </c>
      <c r="F126" s="523">
        <f t="shared" si="22"/>
        <v>5695081.7687721094</v>
      </c>
      <c r="G126" s="523">
        <f t="shared" si="23"/>
        <v>5904338.5614550356</v>
      </c>
      <c r="H126" s="526">
        <f t="shared" si="24"/>
        <v>1088740.0094066029</v>
      </c>
      <c r="I126" s="577">
        <f t="shared" si="25"/>
        <v>1088740.0094066029</v>
      </c>
      <c r="J126" s="514">
        <f t="shared" si="16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 ht="12.5">
      <c r="B127" s="195" t="str">
        <f t="shared" si="20"/>
        <v/>
      </c>
      <c r="C127" s="507">
        <f>IF(D93="","-",+C126+1)</f>
        <v>2045</v>
      </c>
      <c r="D127" s="374">
        <f>IF(F126+SUM(E$99:E126)=D$92,F126,D$92-SUM(E$99:E126))</f>
        <v>5695081.7687721094</v>
      </c>
      <c r="E127" s="522">
        <f>IF(+J96&lt;F126,J96,D127)</f>
        <v>418513.58536585368</v>
      </c>
      <c r="F127" s="523">
        <f t="shared" si="22"/>
        <v>5276568.1834062561</v>
      </c>
      <c r="G127" s="523">
        <f t="shared" si="23"/>
        <v>5485824.9760891832</v>
      </c>
      <c r="H127" s="526">
        <f t="shared" si="24"/>
        <v>1041232.7635377103</v>
      </c>
      <c r="I127" s="577">
        <f t="shared" si="25"/>
        <v>1041232.7635377103</v>
      </c>
      <c r="J127" s="514">
        <f t="shared" si="16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 ht="12.5">
      <c r="B128" s="195" t="str">
        <f t="shared" si="20"/>
        <v/>
      </c>
      <c r="C128" s="507">
        <f>IF(D93="","-",+C127+1)</f>
        <v>2046</v>
      </c>
      <c r="D128" s="374">
        <f>IF(F127+SUM(E$99:E127)=D$92,F127,D$92-SUM(E$99:E127))</f>
        <v>5276568.1834062561</v>
      </c>
      <c r="E128" s="522">
        <f>IF(+J96&lt;F127,J96,D128)</f>
        <v>418513.58536585368</v>
      </c>
      <c r="F128" s="523">
        <f t="shared" si="22"/>
        <v>4858054.5980404029</v>
      </c>
      <c r="G128" s="523">
        <f t="shared" si="23"/>
        <v>5067311.390723329</v>
      </c>
      <c r="H128" s="526">
        <f t="shared" si="24"/>
        <v>993725.51766881766</v>
      </c>
      <c r="I128" s="577">
        <f t="shared" si="25"/>
        <v>993725.51766881766</v>
      </c>
      <c r="J128" s="514">
        <f t="shared" si="16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 ht="12.5">
      <c r="B129" s="195" t="str">
        <f t="shared" si="20"/>
        <v/>
      </c>
      <c r="C129" s="507">
        <f>IF(D93="","-",+C128+1)</f>
        <v>2047</v>
      </c>
      <c r="D129" s="374">
        <f>IF(F128+SUM(E$99:E128)=D$92,F128,D$92-SUM(E$99:E128))</f>
        <v>4858054.5980404029</v>
      </c>
      <c r="E129" s="522">
        <f>IF(+J96&lt;F128,J96,D129)</f>
        <v>418513.58536585368</v>
      </c>
      <c r="F129" s="523">
        <f t="shared" si="22"/>
        <v>4439541.0126745496</v>
      </c>
      <c r="G129" s="523">
        <f t="shared" si="23"/>
        <v>4648797.8053574767</v>
      </c>
      <c r="H129" s="526">
        <f t="shared" si="24"/>
        <v>946218.27179992502</v>
      </c>
      <c r="I129" s="577">
        <f t="shared" si="25"/>
        <v>946218.27179992502</v>
      </c>
      <c r="J129" s="514">
        <f t="shared" si="16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 ht="12.5">
      <c r="B130" s="195" t="str">
        <f t="shared" si="20"/>
        <v/>
      </c>
      <c r="C130" s="507">
        <f>IF(D93="","-",+C129+1)</f>
        <v>2048</v>
      </c>
      <c r="D130" s="374">
        <f>IF(F129+SUM(E$99:E129)=D$92,F129,D$92-SUM(E$99:E129))</f>
        <v>4439541.0126745496</v>
      </c>
      <c r="E130" s="522">
        <f>IF(+J96&lt;F129,J96,D130)</f>
        <v>418513.58536585368</v>
      </c>
      <c r="F130" s="523">
        <f t="shared" si="22"/>
        <v>4021027.4273086959</v>
      </c>
      <c r="G130" s="523">
        <f t="shared" si="23"/>
        <v>4230284.2199916225</v>
      </c>
      <c r="H130" s="526">
        <f t="shared" si="24"/>
        <v>898711.02593103214</v>
      </c>
      <c r="I130" s="577">
        <f t="shared" si="25"/>
        <v>898711.02593103214</v>
      </c>
      <c r="J130" s="514">
        <f t="shared" si="16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 ht="12.5">
      <c r="B131" s="195" t="str">
        <f t="shared" si="20"/>
        <v/>
      </c>
      <c r="C131" s="507">
        <f>IF(D93="","-",+C130+1)</f>
        <v>2049</v>
      </c>
      <c r="D131" s="374">
        <f>IF(F130+SUM(E$99:E130)=D$92,F130,D$92-SUM(E$99:E130))</f>
        <v>4021027.4273086959</v>
      </c>
      <c r="E131" s="522">
        <f>IF(+J96&lt;F130,J96,D131)</f>
        <v>418513.58536585368</v>
      </c>
      <c r="F131" s="523">
        <f t="shared" ref="F131:F154" si="26">+D131-E131</f>
        <v>3602513.8419428421</v>
      </c>
      <c r="G131" s="523">
        <f t="shared" ref="G131:G154" si="27">+(F131+D131)/2</f>
        <v>3811770.6346257692</v>
      </c>
      <c r="H131" s="526">
        <f t="shared" si="24"/>
        <v>851203.78006213938</v>
      </c>
      <c r="I131" s="577">
        <f t="shared" si="25"/>
        <v>851203.78006213938</v>
      </c>
      <c r="J131" s="514">
        <f t="shared" ref="J131:J154" si="28">+I541-H541</f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 ht="12.5">
      <c r="B132" s="195" t="str">
        <f t="shared" si="20"/>
        <v/>
      </c>
      <c r="C132" s="507">
        <f>IF(D93="","-",+C131+1)</f>
        <v>2050</v>
      </c>
      <c r="D132" s="374">
        <f>IF(F131+SUM(E$99:E131)=D$92,F131,D$92-SUM(E$99:E131))</f>
        <v>3602513.8419428421</v>
      </c>
      <c r="E132" s="522">
        <f>IF(+J96&lt;F131,J96,D132)</f>
        <v>418513.58536585368</v>
      </c>
      <c r="F132" s="523">
        <f t="shared" si="26"/>
        <v>3184000.2565769884</v>
      </c>
      <c r="G132" s="523">
        <f t="shared" si="27"/>
        <v>3393257.049259915</v>
      </c>
      <c r="H132" s="526">
        <f t="shared" si="24"/>
        <v>803696.53419324663</v>
      </c>
      <c r="I132" s="577">
        <f t="shared" si="25"/>
        <v>803696.53419324663</v>
      </c>
      <c r="J132" s="514">
        <f t="shared" si="28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 ht="12.5">
      <c r="B133" s="195" t="str">
        <f t="shared" si="20"/>
        <v/>
      </c>
      <c r="C133" s="507">
        <f>IF(D93="","-",+C132+1)</f>
        <v>2051</v>
      </c>
      <c r="D133" s="374">
        <f>IF(F132+SUM(E$99:E132)=D$92,F132,D$92-SUM(E$99:E132))</f>
        <v>3184000.2565769884</v>
      </c>
      <c r="E133" s="522">
        <f>IF(+J96&lt;F132,J96,D133)</f>
        <v>418513.58536585368</v>
      </c>
      <c r="F133" s="523">
        <f t="shared" si="26"/>
        <v>2765486.6712111346</v>
      </c>
      <c r="G133" s="523">
        <f t="shared" si="27"/>
        <v>2974743.4638940617</v>
      </c>
      <c r="H133" s="526">
        <f t="shared" si="24"/>
        <v>756189.28832435387</v>
      </c>
      <c r="I133" s="577">
        <f t="shared" si="25"/>
        <v>756189.28832435387</v>
      </c>
      <c r="J133" s="514">
        <f t="shared" si="28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 ht="12.5">
      <c r="B134" s="195" t="str">
        <f t="shared" si="20"/>
        <v/>
      </c>
      <c r="C134" s="507">
        <f>IF(D93="","-",+C133+1)</f>
        <v>2052</v>
      </c>
      <c r="D134" s="374">
        <f>IF(F133+SUM(E$99:E133)=D$92,F133,D$92-SUM(E$99:E133))</f>
        <v>2765486.6712111346</v>
      </c>
      <c r="E134" s="522">
        <f>IF(+J96&lt;F133,J96,D134)</f>
        <v>418513.58536585368</v>
      </c>
      <c r="F134" s="523">
        <f t="shared" si="26"/>
        <v>2346973.0858452809</v>
      </c>
      <c r="G134" s="523">
        <f t="shared" si="27"/>
        <v>2556229.8785282075</v>
      </c>
      <c r="H134" s="526">
        <f t="shared" si="24"/>
        <v>708682.04245546111</v>
      </c>
      <c r="I134" s="577">
        <f t="shared" si="25"/>
        <v>708682.04245546111</v>
      </c>
      <c r="J134" s="514">
        <f t="shared" si="28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 ht="12.5">
      <c r="B135" s="195" t="str">
        <f t="shared" si="20"/>
        <v/>
      </c>
      <c r="C135" s="507">
        <f>IF(D93="","-",+C134+1)</f>
        <v>2053</v>
      </c>
      <c r="D135" s="374">
        <f>IF(F134+SUM(E$99:E134)=D$92,F134,D$92-SUM(E$99:E134))</f>
        <v>2346973.0858452809</v>
      </c>
      <c r="E135" s="522">
        <f>IF(+J96&lt;F134,J96,D135)</f>
        <v>418513.58536585368</v>
      </c>
      <c r="F135" s="523">
        <f t="shared" si="26"/>
        <v>1928459.5004794272</v>
      </c>
      <c r="G135" s="523">
        <f t="shared" si="27"/>
        <v>2137716.2931623543</v>
      </c>
      <c r="H135" s="526">
        <f t="shared" si="24"/>
        <v>661174.79658656835</v>
      </c>
      <c r="I135" s="577">
        <f t="shared" si="25"/>
        <v>661174.79658656835</v>
      </c>
      <c r="J135" s="514">
        <f t="shared" si="28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 ht="12.5">
      <c r="B136" s="195" t="str">
        <f t="shared" si="20"/>
        <v/>
      </c>
      <c r="C136" s="507">
        <f>IF(D93="","-",+C135+1)</f>
        <v>2054</v>
      </c>
      <c r="D136" s="374">
        <f>IF(F135+SUM(E$99:E135)=D$92,F135,D$92-SUM(E$99:E135))</f>
        <v>1928459.5004794272</v>
      </c>
      <c r="E136" s="522">
        <f>IF(+J96&lt;F135,J96,D136)</f>
        <v>418513.58536585368</v>
      </c>
      <c r="F136" s="523">
        <f t="shared" si="26"/>
        <v>1509945.9151135734</v>
      </c>
      <c r="G136" s="523">
        <f t="shared" si="27"/>
        <v>1719202.7077965003</v>
      </c>
      <c r="H136" s="526">
        <f t="shared" si="24"/>
        <v>613667.55071767559</v>
      </c>
      <c r="I136" s="577">
        <f t="shared" si="25"/>
        <v>613667.55071767559</v>
      </c>
      <c r="J136" s="514">
        <f t="shared" si="28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 ht="12.5">
      <c r="B137" s="195" t="str">
        <f t="shared" si="20"/>
        <v/>
      </c>
      <c r="C137" s="507">
        <f>IF(D93="","-",+C136+1)</f>
        <v>2055</v>
      </c>
      <c r="D137" s="374">
        <f>IF(F136+SUM(E$99:E136)=D$92,F136,D$92-SUM(E$99:E136))</f>
        <v>1509945.9151135734</v>
      </c>
      <c r="E137" s="522">
        <f>IF(+J96&lt;F136,J96,D137)</f>
        <v>418513.58536585368</v>
      </c>
      <c r="F137" s="523">
        <f t="shared" si="26"/>
        <v>1091432.3297477197</v>
      </c>
      <c r="G137" s="523">
        <f t="shared" si="27"/>
        <v>1300689.1224306466</v>
      </c>
      <c r="H137" s="526">
        <f t="shared" si="24"/>
        <v>566160.30484878272</v>
      </c>
      <c r="I137" s="577">
        <f t="shared" si="25"/>
        <v>566160.30484878272</v>
      </c>
      <c r="J137" s="514">
        <f t="shared" si="28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 ht="12.5">
      <c r="B138" s="195" t="str">
        <f t="shared" si="20"/>
        <v/>
      </c>
      <c r="C138" s="507">
        <f>IF(D93="","-",+C137+1)</f>
        <v>2056</v>
      </c>
      <c r="D138" s="374">
        <f>IF(F137+SUM(E$99:E137)=D$92,F137,D$92-SUM(E$99:E137))</f>
        <v>1091432.3297477197</v>
      </c>
      <c r="E138" s="522">
        <f>IF(+J96&lt;F137,J96,D138)</f>
        <v>418513.58536585368</v>
      </c>
      <c r="F138" s="523">
        <f t="shared" si="26"/>
        <v>672918.74438186595</v>
      </c>
      <c r="G138" s="523">
        <f t="shared" si="27"/>
        <v>882175.53706479282</v>
      </c>
      <c r="H138" s="526">
        <f t="shared" si="24"/>
        <v>518653.05897988996</v>
      </c>
      <c r="I138" s="577">
        <f t="shared" si="25"/>
        <v>518653.05897988996</v>
      </c>
      <c r="J138" s="514">
        <f t="shared" si="28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 ht="12.5">
      <c r="B139" s="195" t="str">
        <f t="shared" si="20"/>
        <v/>
      </c>
      <c r="C139" s="507">
        <f>IF(D93="","-",+C138+1)</f>
        <v>2057</v>
      </c>
      <c r="D139" s="374">
        <f>IF(F138+SUM(E$99:E138)=D$92,F138,D$92-SUM(E$99:E138))</f>
        <v>672918.74438186595</v>
      </c>
      <c r="E139" s="522">
        <f>IF(+J96&lt;F138,J96,D139)</f>
        <v>418513.58536585368</v>
      </c>
      <c r="F139" s="523">
        <f t="shared" si="26"/>
        <v>254405.15901601227</v>
      </c>
      <c r="G139" s="523">
        <f t="shared" si="27"/>
        <v>463661.95169893908</v>
      </c>
      <c r="H139" s="526">
        <f t="shared" si="24"/>
        <v>471145.8131109972</v>
      </c>
      <c r="I139" s="577">
        <f t="shared" si="25"/>
        <v>471145.8131109972</v>
      </c>
      <c r="J139" s="514">
        <f t="shared" si="28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 ht="12.5">
      <c r="B140" s="195" t="str">
        <f t="shared" si="20"/>
        <v/>
      </c>
      <c r="C140" s="507">
        <f>IF(D93="","-",+C139+1)</f>
        <v>2058</v>
      </c>
      <c r="D140" s="374">
        <f>IF(F139+SUM(E$99:E139)=D$92,F139,D$92-SUM(E$99:E139))</f>
        <v>254405.15901601227</v>
      </c>
      <c r="E140" s="522">
        <f>IF(+J96&lt;F139,J96,D140)</f>
        <v>254405.15901601227</v>
      </c>
      <c r="F140" s="523">
        <f t="shared" si="26"/>
        <v>0</v>
      </c>
      <c r="G140" s="523">
        <f t="shared" si="27"/>
        <v>127202.57950800614</v>
      </c>
      <c r="H140" s="526">
        <f t="shared" si="24"/>
        <v>268844.46142136084</v>
      </c>
      <c r="I140" s="577">
        <f t="shared" si="25"/>
        <v>268844.46142136084</v>
      </c>
      <c r="J140" s="514">
        <f t="shared" si="28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 ht="12.5">
      <c r="B141" s="195" t="str">
        <f t="shared" si="20"/>
        <v/>
      </c>
      <c r="C141" s="507">
        <f>IF(D93="","-",+C140+1)</f>
        <v>2059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6"/>
        <v>0</v>
      </c>
      <c r="G141" s="523">
        <f t="shared" si="27"/>
        <v>0</v>
      </c>
      <c r="H141" s="526">
        <f t="shared" si="24"/>
        <v>0</v>
      </c>
      <c r="I141" s="577">
        <f t="shared" si="25"/>
        <v>0</v>
      </c>
      <c r="J141" s="514">
        <f t="shared" si="28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 ht="12.5">
      <c r="B142" s="195" t="str">
        <f t="shared" si="20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6"/>
        <v>0</v>
      </c>
      <c r="G142" s="523">
        <f t="shared" si="27"/>
        <v>0</v>
      </c>
      <c r="H142" s="526">
        <f t="shared" si="24"/>
        <v>0</v>
      </c>
      <c r="I142" s="577">
        <f t="shared" si="25"/>
        <v>0</v>
      </c>
      <c r="J142" s="514">
        <f t="shared" si="28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 ht="12.5">
      <c r="B143" s="195" t="str">
        <f t="shared" si="20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6"/>
        <v>0</v>
      </c>
      <c r="G143" s="523">
        <f t="shared" si="27"/>
        <v>0</v>
      </c>
      <c r="H143" s="526">
        <f t="shared" si="24"/>
        <v>0</v>
      </c>
      <c r="I143" s="577">
        <f t="shared" si="25"/>
        <v>0</v>
      </c>
      <c r="J143" s="514">
        <f t="shared" si="28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 ht="12.5">
      <c r="B144" s="195" t="str">
        <f t="shared" si="2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6"/>
        <v>0</v>
      </c>
      <c r="G144" s="523">
        <f t="shared" si="27"/>
        <v>0</v>
      </c>
      <c r="H144" s="526">
        <f t="shared" si="24"/>
        <v>0</v>
      </c>
      <c r="I144" s="577">
        <f t="shared" si="25"/>
        <v>0</v>
      </c>
      <c r="J144" s="514">
        <f t="shared" si="28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 ht="12.5">
      <c r="B145" s="195" t="str">
        <f t="shared" si="2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6"/>
        <v>0</v>
      </c>
      <c r="G145" s="523">
        <f t="shared" si="27"/>
        <v>0</v>
      </c>
      <c r="H145" s="526">
        <f t="shared" si="24"/>
        <v>0</v>
      </c>
      <c r="I145" s="577">
        <f t="shared" si="25"/>
        <v>0</v>
      </c>
      <c r="J145" s="514">
        <f t="shared" si="28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 ht="12.5">
      <c r="B146" s="195" t="str">
        <f t="shared" si="2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6"/>
        <v>0</v>
      </c>
      <c r="G146" s="523">
        <f t="shared" si="27"/>
        <v>0</v>
      </c>
      <c r="H146" s="526">
        <f t="shared" si="24"/>
        <v>0</v>
      </c>
      <c r="I146" s="577">
        <f t="shared" si="25"/>
        <v>0</v>
      </c>
      <c r="J146" s="514">
        <f t="shared" si="28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 ht="12.5">
      <c r="B147" s="195" t="str">
        <f t="shared" si="2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6"/>
        <v>0</v>
      </c>
      <c r="G147" s="523">
        <f t="shared" si="27"/>
        <v>0</v>
      </c>
      <c r="H147" s="526">
        <f t="shared" si="24"/>
        <v>0</v>
      </c>
      <c r="I147" s="577">
        <f t="shared" si="25"/>
        <v>0</v>
      </c>
      <c r="J147" s="514">
        <f t="shared" si="28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 ht="12.5">
      <c r="B148" s="195" t="str">
        <f t="shared" si="2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6"/>
        <v>0</v>
      </c>
      <c r="G148" s="523">
        <f t="shared" si="27"/>
        <v>0</v>
      </c>
      <c r="H148" s="526">
        <f t="shared" si="24"/>
        <v>0</v>
      </c>
      <c r="I148" s="577">
        <f t="shared" si="25"/>
        <v>0</v>
      </c>
      <c r="J148" s="514">
        <f t="shared" si="28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 ht="12.5">
      <c r="B149" s="195" t="str">
        <f t="shared" si="2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6"/>
        <v>0</v>
      </c>
      <c r="G149" s="523">
        <f t="shared" si="27"/>
        <v>0</v>
      </c>
      <c r="H149" s="526">
        <f t="shared" si="24"/>
        <v>0</v>
      </c>
      <c r="I149" s="577">
        <f t="shared" si="25"/>
        <v>0</v>
      </c>
      <c r="J149" s="514">
        <f t="shared" si="28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 ht="12.5">
      <c r="B150" s="195" t="str">
        <f t="shared" si="2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6"/>
        <v>0</v>
      </c>
      <c r="G150" s="523">
        <f t="shared" si="27"/>
        <v>0</v>
      </c>
      <c r="H150" s="526">
        <f t="shared" si="24"/>
        <v>0</v>
      </c>
      <c r="I150" s="577">
        <f t="shared" si="25"/>
        <v>0</v>
      </c>
      <c r="J150" s="514">
        <f t="shared" si="28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 ht="12.5">
      <c r="B151" s="195" t="str">
        <f t="shared" si="2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6"/>
        <v>0</v>
      </c>
      <c r="G151" s="523">
        <f t="shared" si="27"/>
        <v>0</v>
      </c>
      <c r="H151" s="526">
        <f t="shared" si="24"/>
        <v>0</v>
      </c>
      <c r="I151" s="577">
        <f t="shared" si="25"/>
        <v>0</v>
      </c>
      <c r="J151" s="514">
        <f t="shared" si="28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 ht="12.5">
      <c r="B152" s="195" t="str">
        <f t="shared" si="2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6"/>
        <v>0</v>
      </c>
      <c r="G152" s="523">
        <f t="shared" si="27"/>
        <v>0</v>
      </c>
      <c r="H152" s="526">
        <f t="shared" si="24"/>
        <v>0</v>
      </c>
      <c r="I152" s="577">
        <f t="shared" si="25"/>
        <v>0</v>
      </c>
      <c r="J152" s="514">
        <f t="shared" si="28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 ht="12.5">
      <c r="B153" s="195" t="str">
        <f t="shared" si="2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6"/>
        <v>0</v>
      </c>
      <c r="G153" s="523">
        <f t="shared" si="27"/>
        <v>0</v>
      </c>
      <c r="H153" s="526">
        <f t="shared" si="24"/>
        <v>0</v>
      </c>
      <c r="I153" s="577">
        <f t="shared" si="25"/>
        <v>0</v>
      </c>
      <c r="J153" s="514">
        <f t="shared" si="28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" thickBot="1">
      <c r="B154" s="195" t="str">
        <f t="shared" si="2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6"/>
        <v>0</v>
      </c>
      <c r="G154" s="528">
        <f t="shared" si="27"/>
        <v>0</v>
      </c>
      <c r="H154" s="530">
        <f t="shared" si="24"/>
        <v>0</v>
      </c>
      <c r="I154" s="579">
        <f t="shared" si="25"/>
        <v>0</v>
      </c>
      <c r="J154" s="533">
        <f t="shared" si="28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 ht="12.5">
      <c r="C155" s="374" t="s">
        <v>78</v>
      </c>
      <c r="D155" s="375"/>
      <c r="E155" s="375">
        <f>SUM(E99:E154)</f>
        <v>17159057.000000004</v>
      </c>
      <c r="F155" s="375"/>
      <c r="G155" s="375"/>
      <c r="H155" s="375">
        <f>SUM(H99:H154)</f>
        <v>57020566.582425915</v>
      </c>
      <c r="I155" s="375">
        <f>SUM(I99:I154)</f>
        <v>57020566.582425915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7" priority="2" stopIfTrue="1" operator="equal">
      <formula>$I$10</formula>
    </cfRule>
  </conditionalFormatting>
  <conditionalFormatting sqref="C99:C154">
    <cfRule type="cellIs" dxfId="26" priority="3" stopIfTrue="1" operator="equal">
      <formula>$J$92</formula>
    </cfRule>
  </conditionalFormatting>
  <conditionalFormatting sqref="C17">
    <cfRule type="cellIs" dxfId="25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14"/>
  <dimension ref="A1:P162"/>
  <sheetViews>
    <sheetView view="pageBreakPreview" zoomScale="80" zoomScaleNormal="100" zoomScaleSheetLayoutView="80" workbookViewId="0"/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65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321515.02646129701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321515.02646129701</v>
      </c>
      <c r="O6" s="269"/>
      <c r="P6" s="269"/>
    </row>
    <row r="7" spans="1:16" ht="13.5" thickBot="1">
      <c r="C7" s="467" t="s">
        <v>48</v>
      </c>
      <c r="D7" s="624" t="s">
        <v>385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413</v>
      </c>
      <c r="E9" s="637" t="s">
        <v>414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2385215.9000000004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11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56790.854761904768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 t="s">
        <v>435</v>
      </c>
      <c r="E17" s="658" t="s">
        <v>435</v>
      </c>
      <c r="F17" s="651">
        <v>1835000</v>
      </c>
      <c r="G17" s="659">
        <v>113671</v>
      </c>
      <c r="H17" s="657">
        <v>113671</v>
      </c>
      <c r="I17" s="511">
        <f t="shared" ref="I17:I72" si="0">H17-G17</f>
        <v>0</v>
      </c>
      <c r="J17" s="511"/>
      <c r="K17" s="512">
        <f t="shared" ref="K17:K22" si="1">+G17</f>
        <v>113671</v>
      </c>
      <c r="L17" s="513">
        <f t="shared" ref="L17:L72" si="2">IF(K17&lt;&gt;0,+G17-K17,0)</f>
        <v>0</v>
      </c>
      <c r="M17" s="512">
        <f t="shared" ref="M17:M22" si="3">+H17</f>
        <v>113671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1835000</v>
      </c>
      <c r="E18" s="630">
        <v>44756.097560975613</v>
      </c>
      <c r="F18" s="631">
        <v>1790243.9024390243</v>
      </c>
      <c r="G18" s="630">
        <v>275129.65114880283</v>
      </c>
      <c r="H18" s="639">
        <v>275129.65114880283</v>
      </c>
      <c r="I18" s="511">
        <f t="shared" si="0"/>
        <v>0</v>
      </c>
      <c r="J18" s="511"/>
      <c r="K18" s="518">
        <f t="shared" si="1"/>
        <v>275129.65114880283</v>
      </c>
      <c r="L18" s="519">
        <f t="shared" si="2"/>
        <v>0</v>
      </c>
      <c r="M18" s="518">
        <f t="shared" si="3"/>
        <v>275129.65114880283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1790243.9024390243</v>
      </c>
      <c r="E19" s="630">
        <v>44756.097560975613</v>
      </c>
      <c r="F19" s="631">
        <v>1745487.8048780486</v>
      </c>
      <c r="G19" s="630">
        <v>269441.41525774536</v>
      </c>
      <c r="H19" s="639">
        <v>269441.41525774536</v>
      </c>
      <c r="I19" s="511">
        <f t="shared" si="0"/>
        <v>0</v>
      </c>
      <c r="J19" s="511"/>
      <c r="K19" s="518">
        <f t="shared" si="1"/>
        <v>269441.41525774536</v>
      </c>
      <c r="L19" s="519">
        <f t="shared" ref="L19" si="6">IF(K19&lt;&gt;0,+G19-K19,0)</f>
        <v>0</v>
      </c>
      <c r="M19" s="518">
        <f t="shared" si="3"/>
        <v>269441.41525774536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2295703.8048780486</v>
      </c>
      <c r="E20" s="630">
        <v>58176</v>
      </c>
      <c r="F20" s="631">
        <v>2237527.8048780486</v>
      </c>
      <c r="G20" s="630">
        <v>290131.16035245545</v>
      </c>
      <c r="H20" s="639">
        <v>290131.16035245545</v>
      </c>
      <c r="I20" s="511">
        <f t="shared" si="0"/>
        <v>0</v>
      </c>
      <c r="J20" s="511"/>
      <c r="K20" s="518">
        <f t="shared" si="1"/>
        <v>290131.16035245545</v>
      </c>
      <c r="L20" s="519">
        <f t="shared" ref="L20" si="8">IF(K20&lt;&gt;0,+G20-K20,0)</f>
        <v>0</v>
      </c>
      <c r="M20" s="518">
        <f t="shared" si="3"/>
        <v>290131.16035245545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2239609.4838343733</v>
      </c>
      <c r="E21" s="630">
        <v>56790.857142857145</v>
      </c>
      <c r="F21" s="631">
        <v>2182818.626691516</v>
      </c>
      <c r="G21" s="630">
        <v>291189.59706285701</v>
      </c>
      <c r="H21" s="639">
        <v>291189.59706285701</v>
      </c>
      <c r="I21" s="511">
        <f t="shared" si="0"/>
        <v>0</v>
      </c>
      <c r="J21" s="511"/>
      <c r="K21" s="518">
        <f t="shared" si="1"/>
        <v>291189.59706285701</v>
      </c>
      <c r="L21" s="519">
        <f t="shared" ref="L21" si="9">IF(K21&lt;&gt;0,+G21-K21,0)</f>
        <v>0</v>
      </c>
      <c r="M21" s="518">
        <f t="shared" si="3"/>
        <v>291189.59706285701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2180736.9477351918</v>
      </c>
      <c r="E22" s="630">
        <v>56790.857142857145</v>
      </c>
      <c r="F22" s="631">
        <v>2123946.0905923345</v>
      </c>
      <c r="G22" s="630">
        <v>298808.95544916228</v>
      </c>
      <c r="H22" s="639">
        <v>298808.95544916228</v>
      </c>
      <c r="I22" s="511">
        <f t="shared" si="0"/>
        <v>0</v>
      </c>
      <c r="J22" s="511"/>
      <c r="K22" s="518">
        <f t="shared" si="1"/>
        <v>298808.95544916228</v>
      </c>
      <c r="L22" s="519">
        <f t="shared" ref="L22" si="10">IF(K22&lt;&gt;0,+G22-K22,0)</f>
        <v>0</v>
      </c>
      <c r="M22" s="518">
        <f t="shared" si="3"/>
        <v>298808.95544916228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523">
        <f>IF(F22+SUM(E$17:E22)=D$10,F22,D$10-SUM(E$17:E22))</f>
        <v>2123945.9905923349</v>
      </c>
      <c r="E23" s="522">
        <f>IF(+I14&lt;F22,I14,D23)</f>
        <v>56790.854761904768</v>
      </c>
      <c r="F23" s="523">
        <f t="shared" ref="F23:F72" si="11">+D23-E23</f>
        <v>2067155.1358304301</v>
      </c>
      <c r="G23" s="524">
        <f t="shared" ref="G23:G48" si="12">+I$12*((D23+F23)/2)+E23</f>
        <v>321515.02646129701</v>
      </c>
      <c r="H23" s="491">
        <f t="shared" ref="H23:H48" si="13">+I$13*((D23+F23)/2)+E23</f>
        <v>321515.02646129701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2024</v>
      </c>
      <c r="D24" s="523">
        <f>IF(F23+SUM(E$17:E23)=D$10,F23,D$10-SUM(E$17:E23))</f>
        <v>2067155.1358304301</v>
      </c>
      <c r="E24" s="522">
        <f>IF(+I14&lt;F23,I14,D24)</f>
        <v>56790.854761904768</v>
      </c>
      <c r="F24" s="523">
        <f t="shared" si="11"/>
        <v>2010364.2810685253</v>
      </c>
      <c r="G24" s="524">
        <f t="shared" si="12"/>
        <v>314340.82019260811</v>
      </c>
      <c r="H24" s="491">
        <f t="shared" si="13"/>
        <v>314340.82019260811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2010364.2810685253</v>
      </c>
      <c r="E25" s="522">
        <f>IF(+I14&lt;F24,I14,D25)</f>
        <v>56790.854761904768</v>
      </c>
      <c r="F25" s="523">
        <f t="shared" si="11"/>
        <v>1953573.4263066205</v>
      </c>
      <c r="G25" s="524">
        <f t="shared" si="12"/>
        <v>307166.61392391915</v>
      </c>
      <c r="H25" s="491">
        <f t="shared" si="13"/>
        <v>307166.61392391915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1953573.4263066205</v>
      </c>
      <c r="E26" s="522">
        <f>IF(+I14&lt;F25,I14,D26)</f>
        <v>56790.854761904768</v>
      </c>
      <c r="F26" s="523">
        <f t="shared" si="11"/>
        <v>1896782.5715447157</v>
      </c>
      <c r="G26" s="524">
        <f t="shared" si="12"/>
        <v>299992.40765523026</v>
      </c>
      <c r="H26" s="491">
        <f t="shared" si="13"/>
        <v>299992.40765523026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1896782.5715447157</v>
      </c>
      <c r="E27" s="522">
        <f>IF(+I14&lt;F26,I14,D27)</f>
        <v>56790.854761904768</v>
      </c>
      <c r="F27" s="523">
        <f t="shared" si="11"/>
        <v>1839991.7167828109</v>
      </c>
      <c r="G27" s="524">
        <f t="shared" si="12"/>
        <v>292818.2013865413</v>
      </c>
      <c r="H27" s="491">
        <f t="shared" si="13"/>
        <v>292818.2013865413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1839991.7167828109</v>
      </c>
      <c r="E28" s="522">
        <f>IF(+I14&lt;F27,I14,D28)</f>
        <v>56790.854761904768</v>
      </c>
      <c r="F28" s="523">
        <f t="shared" si="11"/>
        <v>1783200.8620209061</v>
      </c>
      <c r="G28" s="524">
        <f t="shared" si="12"/>
        <v>285643.99511785235</v>
      </c>
      <c r="H28" s="491">
        <f t="shared" si="13"/>
        <v>285643.99511785235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1783200.8620209061</v>
      </c>
      <c r="E29" s="522">
        <f>IF(+I14&lt;F28,I14,D29)</f>
        <v>56790.854761904768</v>
      </c>
      <c r="F29" s="523">
        <f t="shared" si="11"/>
        <v>1726410.0072590013</v>
      </c>
      <c r="G29" s="524">
        <f t="shared" si="12"/>
        <v>278469.78884916339</v>
      </c>
      <c r="H29" s="491">
        <f t="shared" si="13"/>
        <v>278469.78884916339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1726410.0072590013</v>
      </c>
      <c r="E30" s="522">
        <f>IF(+I14&lt;F29,I14,D30)</f>
        <v>56790.854761904768</v>
      </c>
      <c r="F30" s="523">
        <f t="shared" si="11"/>
        <v>1669619.1524970965</v>
      </c>
      <c r="G30" s="524">
        <f t="shared" si="12"/>
        <v>271295.5825804745</v>
      </c>
      <c r="H30" s="491">
        <f t="shared" si="13"/>
        <v>271295.5825804745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1669619.1524970965</v>
      </c>
      <c r="E31" s="522">
        <f>IF(+I14&lt;F30,I14,D31)</f>
        <v>56790.854761904768</v>
      </c>
      <c r="F31" s="523">
        <f t="shared" si="11"/>
        <v>1612828.2977351916</v>
      </c>
      <c r="G31" s="524">
        <f t="shared" si="12"/>
        <v>264121.37631178554</v>
      </c>
      <c r="H31" s="491">
        <f t="shared" si="13"/>
        <v>264121.37631178554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1612828.2977351916</v>
      </c>
      <c r="E32" s="522">
        <f>IF(+I14&lt;F31,I14,D32)</f>
        <v>56790.854761904768</v>
      </c>
      <c r="F32" s="523">
        <f t="shared" si="11"/>
        <v>1556037.4429732868</v>
      </c>
      <c r="G32" s="524">
        <f t="shared" si="12"/>
        <v>256947.17004309662</v>
      </c>
      <c r="H32" s="491">
        <f t="shared" si="13"/>
        <v>256947.17004309662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1556037.4429732868</v>
      </c>
      <c r="E33" s="522">
        <f>IF(+I14&lt;F32,I14,D33)</f>
        <v>56790.854761904768</v>
      </c>
      <c r="F33" s="523">
        <f t="shared" si="11"/>
        <v>1499246.588211382</v>
      </c>
      <c r="G33" s="524">
        <f t="shared" si="12"/>
        <v>249772.96377440766</v>
      </c>
      <c r="H33" s="491">
        <f t="shared" si="13"/>
        <v>249772.96377440766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1499246.588211382</v>
      </c>
      <c r="E34" s="522">
        <f>IF(+I14&lt;F33,I14,D34)</f>
        <v>56790.854761904768</v>
      </c>
      <c r="F34" s="523">
        <f t="shared" si="11"/>
        <v>1442455.7334494772</v>
      </c>
      <c r="G34" s="524">
        <f t="shared" si="12"/>
        <v>242598.75750571874</v>
      </c>
      <c r="H34" s="491">
        <f t="shared" si="13"/>
        <v>242598.75750571874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1442455.7334494772</v>
      </c>
      <c r="E35" s="522">
        <f>IF(+I14&lt;F34,I14,D35)</f>
        <v>56790.854761904768</v>
      </c>
      <c r="F35" s="523">
        <f t="shared" si="11"/>
        <v>1385664.8786875724</v>
      </c>
      <c r="G35" s="524">
        <f t="shared" si="12"/>
        <v>235424.55123702978</v>
      </c>
      <c r="H35" s="491">
        <f t="shared" si="13"/>
        <v>235424.55123702978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1385664.8786875724</v>
      </c>
      <c r="E36" s="522">
        <f>IF(+I14&lt;F35,I14,D36)</f>
        <v>56790.854761904768</v>
      </c>
      <c r="F36" s="523">
        <f t="shared" si="11"/>
        <v>1328874.0239256676</v>
      </c>
      <c r="G36" s="524">
        <f t="shared" si="12"/>
        <v>228250.34496834088</v>
      </c>
      <c r="H36" s="491">
        <f t="shared" si="13"/>
        <v>228250.34496834088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1328874.0239256676</v>
      </c>
      <c r="E37" s="522">
        <f>IF(+I14&lt;F36,I14,D37)</f>
        <v>56790.854761904768</v>
      </c>
      <c r="F37" s="523">
        <f t="shared" si="11"/>
        <v>1272083.1691637628</v>
      </c>
      <c r="G37" s="524">
        <f t="shared" si="12"/>
        <v>221076.1386996519</v>
      </c>
      <c r="H37" s="491">
        <f t="shared" si="13"/>
        <v>221076.1386996519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1272083.1691637628</v>
      </c>
      <c r="E38" s="522">
        <f>IF(+I14&lt;F37,I14,D38)</f>
        <v>56790.854761904768</v>
      </c>
      <c r="F38" s="523">
        <f t="shared" si="11"/>
        <v>1215292.314401858</v>
      </c>
      <c r="G38" s="524">
        <f t="shared" si="12"/>
        <v>213901.932430963</v>
      </c>
      <c r="H38" s="491">
        <f t="shared" si="13"/>
        <v>213901.932430963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1215292.314401858</v>
      </c>
      <c r="E39" s="522">
        <f>IF(+I14&lt;F38,I14,D39)</f>
        <v>56790.854761904768</v>
      </c>
      <c r="F39" s="523">
        <f t="shared" si="11"/>
        <v>1158501.4596399532</v>
      </c>
      <c r="G39" s="524">
        <f t="shared" si="12"/>
        <v>206727.72616227402</v>
      </c>
      <c r="H39" s="491">
        <f t="shared" si="13"/>
        <v>206727.72616227402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1158501.4596399532</v>
      </c>
      <c r="E40" s="522">
        <f>IF(+I14&lt;F39,I14,D40)</f>
        <v>56790.854761904768</v>
      </c>
      <c r="F40" s="523">
        <f t="shared" si="11"/>
        <v>1101710.6048780484</v>
      </c>
      <c r="G40" s="524">
        <f t="shared" si="12"/>
        <v>199553.51989358512</v>
      </c>
      <c r="H40" s="491">
        <f t="shared" si="13"/>
        <v>199553.51989358512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1101710.6048780484</v>
      </c>
      <c r="E41" s="522">
        <f>IF(+I14&lt;F40,I14,D41)</f>
        <v>56790.854761904768</v>
      </c>
      <c r="F41" s="523">
        <f t="shared" si="11"/>
        <v>1044919.7501161436</v>
      </c>
      <c r="G41" s="524">
        <f t="shared" si="12"/>
        <v>192379.31362489614</v>
      </c>
      <c r="H41" s="491">
        <f t="shared" si="13"/>
        <v>192379.31362489614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1044919.7501161436</v>
      </c>
      <c r="E42" s="522">
        <f>IF(+I14&lt;F41,I14,D42)</f>
        <v>56790.854761904768</v>
      </c>
      <c r="F42" s="523">
        <f t="shared" si="11"/>
        <v>988128.8953542388</v>
      </c>
      <c r="G42" s="524">
        <f t="shared" si="12"/>
        <v>185205.10735620721</v>
      </c>
      <c r="H42" s="491">
        <f t="shared" si="13"/>
        <v>185205.10735620721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988128.8953542388</v>
      </c>
      <c r="E43" s="522">
        <f>IF(+I14&lt;F42,I14,D43)</f>
        <v>56790.854761904768</v>
      </c>
      <c r="F43" s="523">
        <f t="shared" si="11"/>
        <v>931338.040592334</v>
      </c>
      <c r="G43" s="524">
        <f t="shared" si="12"/>
        <v>178030.90108751829</v>
      </c>
      <c r="H43" s="491">
        <f t="shared" si="13"/>
        <v>178030.90108751829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931338.040592334</v>
      </c>
      <c r="E44" s="522">
        <f>IF(+I14&lt;F43,I14,D44)</f>
        <v>56790.854761904768</v>
      </c>
      <c r="F44" s="523">
        <f t="shared" si="11"/>
        <v>874547.1858304292</v>
      </c>
      <c r="G44" s="524">
        <f t="shared" si="12"/>
        <v>170856.69481882933</v>
      </c>
      <c r="H44" s="491">
        <f t="shared" si="13"/>
        <v>170856.69481882933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874547.1858304292</v>
      </c>
      <c r="E45" s="522">
        <f>IF(+I14&lt;F44,I14,D45)</f>
        <v>56790.854761904768</v>
      </c>
      <c r="F45" s="523">
        <f t="shared" si="11"/>
        <v>817756.33106852439</v>
      </c>
      <c r="G45" s="524">
        <f t="shared" si="12"/>
        <v>163682.48855014041</v>
      </c>
      <c r="H45" s="491">
        <f t="shared" si="13"/>
        <v>163682.48855014041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817756.33106852439</v>
      </c>
      <c r="E46" s="522">
        <f>IF(+I14&lt;F45,I14,D46)</f>
        <v>56790.854761904768</v>
      </c>
      <c r="F46" s="523">
        <f t="shared" si="11"/>
        <v>760965.47630661959</v>
      </c>
      <c r="G46" s="524">
        <f t="shared" si="12"/>
        <v>156508.28228145145</v>
      </c>
      <c r="H46" s="491">
        <f t="shared" si="13"/>
        <v>156508.28228145145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760965.47630661959</v>
      </c>
      <c r="E47" s="522">
        <f>IF(+I14&lt;F46,I14,D47)</f>
        <v>56790.854761904768</v>
      </c>
      <c r="F47" s="523">
        <f t="shared" si="11"/>
        <v>704174.62154471478</v>
      </c>
      <c r="G47" s="524">
        <f t="shared" si="12"/>
        <v>149334.07601276253</v>
      </c>
      <c r="H47" s="491">
        <f t="shared" si="13"/>
        <v>149334.07601276253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704174.62154471478</v>
      </c>
      <c r="E48" s="522">
        <f>IF(+I14&lt;F47,I14,D48)</f>
        <v>56790.854761904768</v>
      </c>
      <c r="F48" s="523">
        <f t="shared" si="11"/>
        <v>647383.76678280998</v>
      </c>
      <c r="G48" s="524">
        <f t="shared" si="12"/>
        <v>142159.86974407357</v>
      </c>
      <c r="H48" s="491">
        <f t="shared" si="13"/>
        <v>142159.86974407357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647383.76678280998</v>
      </c>
      <c r="E49" s="522">
        <f>IF(+I14&lt;F48,I14,D49)</f>
        <v>56790.854761904768</v>
      </c>
      <c r="F49" s="523">
        <f t="shared" si="11"/>
        <v>590592.91202090518</v>
      </c>
      <c r="G49" s="524">
        <f t="shared" ref="G49:G72" si="14">+I$12*((D49+F49)/2)+E49</f>
        <v>134985.66347538464</v>
      </c>
      <c r="H49" s="491">
        <f t="shared" ref="H49:H72" si="15">+I$13*((D49+F49)/2)+E49</f>
        <v>134985.66347538464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590592.91202090518</v>
      </c>
      <c r="E50" s="522">
        <f>IF(+I14&lt;F49,I14,D50)</f>
        <v>56790.854761904768</v>
      </c>
      <c r="F50" s="523">
        <f t="shared" si="11"/>
        <v>533802.05725900037</v>
      </c>
      <c r="G50" s="524">
        <f t="shared" si="14"/>
        <v>127811.45720669569</v>
      </c>
      <c r="H50" s="491">
        <f t="shared" si="15"/>
        <v>127811.45720669569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533802.05725900037</v>
      </c>
      <c r="E51" s="522">
        <f>IF(+I14&lt;F50,I14,D51)</f>
        <v>56790.854761904768</v>
      </c>
      <c r="F51" s="523">
        <f t="shared" si="11"/>
        <v>477011.20249709563</v>
      </c>
      <c r="G51" s="524">
        <f t="shared" si="14"/>
        <v>120637.25093800676</v>
      </c>
      <c r="H51" s="491">
        <f t="shared" si="15"/>
        <v>120637.25093800676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477011.20249709563</v>
      </c>
      <c r="E52" s="522">
        <f>IF(+I14&lt;F51,I14,D52)</f>
        <v>56790.854761904768</v>
      </c>
      <c r="F52" s="523">
        <f t="shared" si="11"/>
        <v>420220.34773519088</v>
      </c>
      <c r="G52" s="524">
        <f t="shared" si="14"/>
        <v>113463.04466931784</v>
      </c>
      <c r="H52" s="491">
        <f t="shared" si="15"/>
        <v>113463.04466931784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420220.34773519088</v>
      </c>
      <c r="E53" s="522">
        <f>IF(+I14&lt;F52,I14,D53)</f>
        <v>56790.854761904768</v>
      </c>
      <c r="F53" s="523">
        <f t="shared" si="11"/>
        <v>363429.49297328613</v>
      </c>
      <c r="G53" s="524">
        <f t="shared" si="14"/>
        <v>106288.83840062888</v>
      </c>
      <c r="H53" s="491">
        <f t="shared" si="15"/>
        <v>106288.83840062888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363429.49297328613</v>
      </c>
      <c r="E54" s="522">
        <f>IF(+I14&lt;F53,I14,D54)</f>
        <v>56790.854761904768</v>
      </c>
      <c r="F54" s="523">
        <f t="shared" si="11"/>
        <v>306638.63821138139</v>
      </c>
      <c r="G54" s="524">
        <f t="shared" si="14"/>
        <v>99114.632131939972</v>
      </c>
      <c r="H54" s="491">
        <f t="shared" si="15"/>
        <v>99114.632131939972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306638.63821138139</v>
      </c>
      <c r="E55" s="522">
        <f>IF(+I14&lt;F54,I14,D55)</f>
        <v>56790.854761904768</v>
      </c>
      <c r="F55" s="523">
        <f t="shared" si="11"/>
        <v>249847.78344947661</v>
      </c>
      <c r="G55" s="524">
        <f t="shared" si="14"/>
        <v>91940.425863251032</v>
      </c>
      <c r="H55" s="491">
        <f t="shared" si="15"/>
        <v>91940.425863251032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249847.78344947661</v>
      </c>
      <c r="E56" s="522">
        <f>IF(+I14&lt;F55,I14,D56)</f>
        <v>56790.854761904768</v>
      </c>
      <c r="F56" s="523">
        <f t="shared" si="11"/>
        <v>193056.92868757184</v>
      </c>
      <c r="G56" s="524">
        <f t="shared" si="14"/>
        <v>84766.219594562106</v>
      </c>
      <c r="H56" s="491">
        <f t="shared" si="15"/>
        <v>84766.219594562106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193056.92868757184</v>
      </c>
      <c r="E57" s="522">
        <f>IF(+I14&lt;F56,I14,D57)</f>
        <v>56790.854761904768</v>
      </c>
      <c r="F57" s="523">
        <f t="shared" si="11"/>
        <v>136266.07392566706</v>
      </c>
      <c r="G57" s="524">
        <f t="shared" si="14"/>
        <v>77592.013325873151</v>
      </c>
      <c r="H57" s="491">
        <f t="shared" si="15"/>
        <v>77592.013325873151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136266.07392566706</v>
      </c>
      <c r="E58" s="522">
        <f>IF(+I14&lt;F57,I14,D58)</f>
        <v>56790.854761904768</v>
      </c>
      <c r="F58" s="523">
        <f t="shared" si="11"/>
        <v>79475.219163762289</v>
      </c>
      <c r="G58" s="524">
        <f t="shared" si="14"/>
        <v>70417.807057184225</v>
      </c>
      <c r="H58" s="491">
        <f t="shared" si="15"/>
        <v>70417.807057184225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79475.219163762289</v>
      </c>
      <c r="E59" s="522">
        <f>IF(+I14&lt;F58,I14,D59)</f>
        <v>56790.854761904768</v>
      </c>
      <c r="F59" s="523">
        <f t="shared" si="11"/>
        <v>22684.364401857521</v>
      </c>
      <c r="G59" s="524">
        <f t="shared" si="14"/>
        <v>63243.600788495285</v>
      </c>
      <c r="H59" s="491">
        <f t="shared" si="15"/>
        <v>63243.600788495285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22684.364401857521</v>
      </c>
      <c r="E60" s="522">
        <f>IF(+I14&lt;F59,I14,D60)</f>
        <v>22684.364401857521</v>
      </c>
      <c r="F60" s="523">
        <f t="shared" si="11"/>
        <v>0</v>
      </c>
      <c r="G60" s="524">
        <f t="shared" si="14"/>
        <v>24117.185847980549</v>
      </c>
      <c r="H60" s="491">
        <f t="shared" si="15"/>
        <v>24117.185847980549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1"/>
        <v>0</v>
      </c>
      <c r="G61" s="526">
        <f t="shared" si="14"/>
        <v>0</v>
      </c>
      <c r="H61" s="491">
        <f t="shared" si="15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1"/>
        <v>0</v>
      </c>
      <c r="G62" s="526">
        <f t="shared" si="14"/>
        <v>0</v>
      </c>
      <c r="H62" s="491">
        <f t="shared" si="15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1"/>
        <v>0</v>
      </c>
      <c r="G63" s="526">
        <f t="shared" si="14"/>
        <v>0</v>
      </c>
      <c r="H63" s="491">
        <f t="shared" si="15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1"/>
        <v>0</v>
      </c>
      <c r="G64" s="526">
        <f t="shared" si="14"/>
        <v>0</v>
      </c>
      <c r="H64" s="491">
        <f t="shared" si="15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1"/>
        <v>0</v>
      </c>
      <c r="G65" s="526">
        <f t="shared" si="14"/>
        <v>0</v>
      </c>
      <c r="H65" s="491">
        <f t="shared" si="15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1"/>
        <v>0</v>
      </c>
      <c r="G66" s="526">
        <f t="shared" si="14"/>
        <v>0</v>
      </c>
      <c r="H66" s="491">
        <f t="shared" si="15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1"/>
        <v>0</v>
      </c>
      <c r="G67" s="526">
        <f t="shared" si="14"/>
        <v>0</v>
      </c>
      <c r="H67" s="491">
        <f t="shared" si="15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1"/>
        <v>0</v>
      </c>
      <c r="G68" s="526">
        <f t="shared" si="14"/>
        <v>0</v>
      </c>
      <c r="H68" s="491">
        <f t="shared" si="15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1"/>
        <v>0</v>
      </c>
      <c r="G69" s="526">
        <f t="shared" si="14"/>
        <v>0</v>
      </c>
      <c r="H69" s="491">
        <f t="shared" si="15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1"/>
        <v>0</v>
      </c>
      <c r="G70" s="526">
        <f t="shared" si="14"/>
        <v>0</v>
      </c>
      <c r="H70" s="491">
        <f t="shared" si="15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1"/>
        <v>0</v>
      </c>
      <c r="G71" s="526">
        <f t="shared" si="14"/>
        <v>0</v>
      </c>
      <c r="H71" s="491">
        <f t="shared" si="15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1"/>
        <v>0</v>
      </c>
      <c r="G72" s="530">
        <f t="shared" si="14"/>
        <v>0</v>
      </c>
      <c r="H72" s="471">
        <f t="shared" si="15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2385215.8999999994</v>
      </c>
      <c r="F73" s="375"/>
      <c r="G73" s="375">
        <f>SUM(G17:G72)</f>
        <v>8680523.5692401621</v>
      </c>
      <c r="H73" s="375">
        <f>SUM(H17:H72)</f>
        <v>8680523.5692401621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65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291189.59706285701</v>
      </c>
      <c r="N87" s="546">
        <f>IF(J92&lt;D11,0,VLOOKUP(J92,C17:O72,11))</f>
        <v>291189.59706285701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305906.71353430621</v>
      </c>
      <c r="N88" s="550">
        <f>IF(J92&lt;D11,0,VLOOKUP(J92,C99:P154,7))</f>
        <v>305906.71353430621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Daingerfield - Jenkins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14717.116471449204</v>
      </c>
      <c r="N89" s="555">
        <f>+N88-N87</f>
        <v>14717.116471449204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2385216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11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58176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4700.2321428571431</v>
      </c>
      <c r="F99" s="651">
        <v>2364216.7678571427</v>
      </c>
      <c r="G99" s="652">
        <v>1182108.3839285714</v>
      </c>
      <c r="H99" s="653">
        <v>148292.66067911699</v>
      </c>
      <c r="I99" s="654">
        <v>148292.66067911699</v>
      </c>
      <c r="J99" s="514">
        <f t="shared" ref="J99:J130" si="16">+I99-H99</f>
        <v>0</v>
      </c>
      <c r="K99" s="514"/>
      <c r="L99" s="512">
        <f>+H99</f>
        <v>148292.66067911699</v>
      </c>
      <c r="M99" s="513">
        <f t="shared" ref="M99:M130" si="17">IF(L99&lt;&gt;0,+H99-L99,0)</f>
        <v>0</v>
      </c>
      <c r="N99" s="512">
        <f>+I99</f>
        <v>148292.66067911699</v>
      </c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2380515.7678571427</v>
      </c>
      <c r="E100" s="630">
        <v>56790.857142857145</v>
      </c>
      <c r="F100" s="631">
        <v>2323724.9107142854</v>
      </c>
      <c r="G100" s="631">
        <v>2352120.3392857141</v>
      </c>
      <c r="H100" s="633">
        <v>305185.55137142731</v>
      </c>
      <c r="I100" s="634">
        <v>305185.55137142731</v>
      </c>
      <c r="J100" s="514">
        <f t="shared" si="16"/>
        <v>0</v>
      </c>
      <c r="K100" s="514"/>
      <c r="L100" s="655">
        <f>+H100</f>
        <v>305185.55137142731</v>
      </c>
      <c r="M100" s="514">
        <f t="shared" si="17"/>
        <v>0</v>
      </c>
      <c r="N100" s="655">
        <f>+I100</f>
        <v>305185.55137142731</v>
      </c>
      <c r="O100" s="514">
        <f t="shared" si="18"/>
        <v>0</v>
      </c>
      <c r="P100" s="514">
        <f t="shared" si="19"/>
        <v>0</v>
      </c>
    </row>
    <row r="101" spans="1:16" ht="12.5">
      <c r="B101" s="195" t="str">
        <f t="shared" ref="B101:B154" si="20">IF(D101=F100,"","IU")</f>
        <v/>
      </c>
      <c r="C101" s="507">
        <f>IF(D93="","-",+C100+1)</f>
        <v>2019</v>
      </c>
      <c r="D101" s="629">
        <v>2323724.9107142854</v>
      </c>
      <c r="E101" s="630">
        <v>55470.139534883718</v>
      </c>
      <c r="F101" s="631">
        <v>2268254.7711794018</v>
      </c>
      <c r="G101" s="631">
        <v>2295989.8409468438</v>
      </c>
      <c r="H101" s="633">
        <v>301234.14696485514</v>
      </c>
      <c r="I101" s="634">
        <v>301234.14696485514</v>
      </c>
      <c r="J101" s="514">
        <f t="shared" si="16"/>
        <v>0</v>
      </c>
      <c r="K101" s="514"/>
      <c r="L101" s="655">
        <f>+H101</f>
        <v>301234.14696485514</v>
      </c>
      <c r="M101" s="514">
        <f t="shared" ref="M101:M102" si="21">IF(L101&lt;&gt;0,+H101-L101,0)</f>
        <v>0</v>
      </c>
      <c r="N101" s="655">
        <f>+I101</f>
        <v>301234.14696485514</v>
      </c>
      <c r="O101" s="514">
        <f t="shared" si="18"/>
        <v>0</v>
      </c>
      <c r="P101" s="514">
        <f t="shared" si="19"/>
        <v>0</v>
      </c>
    </row>
    <row r="102" spans="1:16" ht="12.5">
      <c r="B102" s="195" t="str">
        <f t="shared" si="20"/>
        <v/>
      </c>
      <c r="C102" s="507">
        <f>IF(D93="","-",+C101+1)</f>
        <v>2020</v>
      </c>
      <c r="D102" s="629">
        <v>2268254.7711794018</v>
      </c>
      <c r="E102" s="630">
        <v>56790.857142857145</v>
      </c>
      <c r="F102" s="631">
        <v>2211463.9140365445</v>
      </c>
      <c r="G102" s="631">
        <v>2239859.3426079731</v>
      </c>
      <c r="H102" s="633">
        <v>297741.11088977935</v>
      </c>
      <c r="I102" s="634">
        <v>297741.11088977935</v>
      </c>
      <c r="J102" s="514">
        <f t="shared" si="16"/>
        <v>0</v>
      </c>
      <c r="K102" s="514"/>
      <c r="L102" s="655">
        <f>+H102</f>
        <v>297741.11088977935</v>
      </c>
      <c r="M102" s="514">
        <f t="shared" si="21"/>
        <v>0</v>
      </c>
      <c r="N102" s="655">
        <f>+I102</f>
        <v>297741.11088977935</v>
      </c>
      <c r="O102" s="514">
        <f t="shared" si="18"/>
        <v>0</v>
      </c>
      <c r="P102" s="514">
        <f t="shared" si="19"/>
        <v>0</v>
      </c>
    </row>
    <row r="103" spans="1:16" ht="12.5">
      <c r="B103" s="195" t="str">
        <f t="shared" si="20"/>
        <v/>
      </c>
      <c r="C103" s="507">
        <f>IF(D93="","-",+C102+1)</f>
        <v>2021</v>
      </c>
      <c r="D103" s="374">
        <f>IF(F102+SUM(E$99:E102)=D$92,F102,D$92-SUM(E$99:E102))</f>
        <v>2211463.9140365445</v>
      </c>
      <c r="E103" s="522">
        <f>IF(+J96&lt;F102,J96,D103)</f>
        <v>58176</v>
      </c>
      <c r="F103" s="523">
        <f t="shared" ref="F103:F130" si="22">+D103-E103</f>
        <v>2153287.9140365445</v>
      </c>
      <c r="G103" s="523">
        <f t="shared" ref="G103:G130" si="23">+(F103+D103)/2</f>
        <v>2182375.9140365445</v>
      </c>
      <c r="H103" s="526">
        <f t="shared" ref="H103:H154" si="24">+J$94*G103+E103</f>
        <v>305906.71353430621</v>
      </c>
      <c r="I103" s="577">
        <f t="shared" ref="I103:I154" si="25">+J$95*G103+E103</f>
        <v>305906.71353430621</v>
      </c>
      <c r="J103" s="514">
        <f t="shared" si="16"/>
        <v>0</v>
      </c>
      <c r="K103" s="514"/>
      <c r="L103" s="525"/>
      <c r="M103" s="514">
        <f t="shared" si="17"/>
        <v>0</v>
      </c>
      <c r="N103" s="525"/>
      <c r="O103" s="514">
        <f t="shared" si="18"/>
        <v>0</v>
      </c>
      <c r="P103" s="514">
        <f t="shared" si="19"/>
        <v>0</v>
      </c>
    </row>
    <row r="104" spans="1:16" ht="12.5">
      <c r="B104" s="195" t="str">
        <f t="shared" si="20"/>
        <v/>
      </c>
      <c r="C104" s="507">
        <f>IF(D93="","-",+C103+1)</f>
        <v>2022</v>
      </c>
      <c r="D104" s="374">
        <f>IF(F103+SUM(E$99:E103)=D$92,F103,D$92-SUM(E$99:E103))</f>
        <v>2153287.9140365445</v>
      </c>
      <c r="E104" s="522">
        <f>IF(+J96&lt;F103,J96,D104)</f>
        <v>58176</v>
      </c>
      <c r="F104" s="523">
        <f t="shared" si="22"/>
        <v>2095111.9140365445</v>
      </c>
      <c r="G104" s="523">
        <f t="shared" si="23"/>
        <v>2124199.9140365445</v>
      </c>
      <c r="H104" s="526">
        <f t="shared" si="24"/>
        <v>299302.90990090044</v>
      </c>
      <c r="I104" s="577">
        <f t="shared" si="25"/>
        <v>299302.90990090044</v>
      </c>
      <c r="J104" s="514">
        <f t="shared" si="16"/>
        <v>0</v>
      </c>
      <c r="K104" s="514"/>
      <c r="L104" s="525"/>
      <c r="M104" s="514">
        <f t="shared" si="17"/>
        <v>0</v>
      </c>
      <c r="N104" s="525"/>
      <c r="O104" s="514">
        <f t="shared" si="18"/>
        <v>0</v>
      </c>
      <c r="P104" s="514">
        <f t="shared" si="19"/>
        <v>0</v>
      </c>
    </row>
    <row r="105" spans="1:16" ht="12.5">
      <c r="B105" s="195" t="str">
        <f t="shared" si="20"/>
        <v/>
      </c>
      <c r="C105" s="507">
        <f>IF(D93="","-",+C104+1)</f>
        <v>2023</v>
      </c>
      <c r="D105" s="374">
        <f>IF(F104+SUM(E$99:E104)=D$92,F104,D$92-SUM(E$99:E104))</f>
        <v>2095111.9140365445</v>
      </c>
      <c r="E105" s="522">
        <f>IF(+J96&lt;F104,J96,D105)</f>
        <v>58176</v>
      </c>
      <c r="F105" s="523">
        <f t="shared" si="22"/>
        <v>2036935.9140365445</v>
      </c>
      <c r="G105" s="523">
        <f t="shared" si="23"/>
        <v>2066023.9140365445</v>
      </c>
      <c r="H105" s="526">
        <f t="shared" si="24"/>
        <v>292699.10626749462</v>
      </c>
      <c r="I105" s="577">
        <f t="shared" si="25"/>
        <v>292699.10626749462</v>
      </c>
      <c r="J105" s="514">
        <f t="shared" si="16"/>
        <v>0</v>
      </c>
      <c r="K105" s="514"/>
      <c r="L105" s="525"/>
      <c r="M105" s="514">
        <f t="shared" si="17"/>
        <v>0</v>
      </c>
      <c r="N105" s="525"/>
      <c r="O105" s="514">
        <f t="shared" si="18"/>
        <v>0</v>
      </c>
      <c r="P105" s="514">
        <f t="shared" si="19"/>
        <v>0</v>
      </c>
    </row>
    <row r="106" spans="1:16" ht="12.5">
      <c r="B106" s="195" t="str">
        <f t="shared" si="20"/>
        <v/>
      </c>
      <c r="C106" s="507">
        <f>IF(D93="","-",+C105+1)</f>
        <v>2024</v>
      </c>
      <c r="D106" s="374">
        <f>IF(F105+SUM(E$99:E105)=D$92,F105,D$92-SUM(E$99:E105))</f>
        <v>2036935.9140365445</v>
      </c>
      <c r="E106" s="522">
        <f>IF(+J96&lt;F105,J96,D106)</f>
        <v>58176</v>
      </c>
      <c r="F106" s="523">
        <f t="shared" si="22"/>
        <v>1978759.9140365445</v>
      </c>
      <c r="G106" s="523">
        <f t="shared" si="23"/>
        <v>2007847.9140365445</v>
      </c>
      <c r="H106" s="526">
        <f t="shared" si="24"/>
        <v>286095.30263408885</v>
      </c>
      <c r="I106" s="577">
        <f t="shared" si="25"/>
        <v>286095.30263408885</v>
      </c>
      <c r="J106" s="514">
        <f t="shared" si="16"/>
        <v>0</v>
      </c>
      <c r="K106" s="514"/>
      <c r="L106" s="525"/>
      <c r="M106" s="514">
        <f t="shared" si="17"/>
        <v>0</v>
      </c>
      <c r="N106" s="525"/>
      <c r="O106" s="514">
        <f t="shared" si="18"/>
        <v>0</v>
      </c>
      <c r="P106" s="514">
        <f t="shared" si="19"/>
        <v>0</v>
      </c>
    </row>
    <row r="107" spans="1:16" ht="12.5">
      <c r="B107" s="195" t="str">
        <f t="shared" si="20"/>
        <v/>
      </c>
      <c r="C107" s="507">
        <f>IF(D93="","-",+C106+1)</f>
        <v>2025</v>
      </c>
      <c r="D107" s="374">
        <f>IF(F106+SUM(E$99:E106)=D$92,F106,D$92-SUM(E$99:E106))</f>
        <v>1978759.9140365445</v>
      </c>
      <c r="E107" s="522">
        <f>IF(+J96&lt;F106,J96,D107)</f>
        <v>58176</v>
      </c>
      <c r="F107" s="523">
        <f t="shared" si="22"/>
        <v>1920583.9140365445</v>
      </c>
      <c r="G107" s="523">
        <f t="shared" si="23"/>
        <v>1949671.9140365445</v>
      </c>
      <c r="H107" s="526">
        <f t="shared" si="24"/>
        <v>279491.49900068308</v>
      </c>
      <c r="I107" s="577">
        <f t="shared" si="25"/>
        <v>279491.49900068308</v>
      </c>
      <c r="J107" s="514">
        <f t="shared" si="16"/>
        <v>0</v>
      </c>
      <c r="K107" s="514"/>
      <c r="L107" s="525"/>
      <c r="M107" s="514">
        <f t="shared" si="17"/>
        <v>0</v>
      </c>
      <c r="N107" s="525"/>
      <c r="O107" s="514">
        <f t="shared" si="18"/>
        <v>0</v>
      </c>
      <c r="P107" s="514">
        <f t="shared" si="19"/>
        <v>0</v>
      </c>
    </row>
    <row r="108" spans="1:16" ht="12.5">
      <c r="B108" s="195" t="str">
        <f t="shared" si="20"/>
        <v/>
      </c>
      <c r="C108" s="507">
        <f>IF(D93="","-",+C107+1)</f>
        <v>2026</v>
      </c>
      <c r="D108" s="374">
        <f>IF(F107+SUM(E$99:E107)=D$92,F107,D$92-SUM(E$99:E107))</f>
        <v>1920583.9140365445</v>
      </c>
      <c r="E108" s="522">
        <f>IF(+J96&lt;F107,J96,D108)</f>
        <v>58176</v>
      </c>
      <c r="F108" s="523">
        <f t="shared" si="22"/>
        <v>1862407.9140365445</v>
      </c>
      <c r="G108" s="523">
        <f t="shared" si="23"/>
        <v>1891495.9140365445</v>
      </c>
      <c r="H108" s="526">
        <f t="shared" si="24"/>
        <v>272887.69536727725</v>
      </c>
      <c r="I108" s="577">
        <f t="shared" si="25"/>
        <v>272887.69536727725</v>
      </c>
      <c r="J108" s="514">
        <f t="shared" si="16"/>
        <v>0</v>
      </c>
      <c r="K108" s="514"/>
      <c r="L108" s="525"/>
      <c r="M108" s="514">
        <f t="shared" si="17"/>
        <v>0</v>
      </c>
      <c r="N108" s="525"/>
      <c r="O108" s="514">
        <f t="shared" si="18"/>
        <v>0</v>
      </c>
      <c r="P108" s="514">
        <f t="shared" si="19"/>
        <v>0</v>
      </c>
    </row>
    <row r="109" spans="1:16" ht="12.5">
      <c r="B109" s="195" t="str">
        <f t="shared" si="20"/>
        <v/>
      </c>
      <c r="C109" s="507">
        <f>IF(D93="","-",+C108+1)</f>
        <v>2027</v>
      </c>
      <c r="D109" s="374">
        <f>IF(F108+SUM(E$99:E108)=D$92,F108,D$92-SUM(E$99:E108))</f>
        <v>1862407.9140365445</v>
      </c>
      <c r="E109" s="522">
        <f>IF(+J96&lt;F108,J96,D109)</f>
        <v>58176</v>
      </c>
      <c r="F109" s="523">
        <f t="shared" si="22"/>
        <v>1804231.9140365445</v>
      </c>
      <c r="G109" s="523">
        <f t="shared" si="23"/>
        <v>1833319.9140365445</v>
      </c>
      <c r="H109" s="526">
        <f t="shared" si="24"/>
        <v>266283.89173387154</v>
      </c>
      <c r="I109" s="577">
        <f t="shared" si="25"/>
        <v>266283.89173387154</v>
      </c>
      <c r="J109" s="514">
        <f t="shared" si="16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 ht="12.5">
      <c r="B110" s="195" t="str">
        <f t="shared" si="20"/>
        <v/>
      </c>
      <c r="C110" s="507">
        <f>IF(D93="","-",+C109+1)</f>
        <v>2028</v>
      </c>
      <c r="D110" s="374">
        <f>IF(F109+SUM(E$99:E109)=D$92,F109,D$92-SUM(E$99:E109))</f>
        <v>1804231.9140365445</v>
      </c>
      <c r="E110" s="522">
        <f>IF(+J96&lt;F109,J96,D110)</f>
        <v>58176</v>
      </c>
      <c r="F110" s="523">
        <f t="shared" si="22"/>
        <v>1746055.9140365445</v>
      </c>
      <c r="G110" s="523">
        <f t="shared" si="23"/>
        <v>1775143.9140365445</v>
      </c>
      <c r="H110" s="526">
        <f t="shared" si="24"/>
        <v>259680.08810046571</v>
      </c>
      <c r="I110" s="577">
        <f t="shared" si="25"/>
        <v>259680.08810046571</v>
      </c>
      <c r="J110" s="514">
        <f t="shared" si="16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 ht="12.5">
      <c r="B111" s="195" t="str">
        <f t="shared" si="20"/>
        <v/>
      </c>
      <c r="C111" s="507">
        <f>IF(D93="","-",+C110+1)</f>
        <v>2029</v>
      </c>
      <c r="D111" s="374">
        <f>IF(F110+SUM(E$99:E110)=D$92,F110,D$92-SUM(E$99:E110))</f>
        <v>1746055.9140365445</v>
      </c>
      <c r="E111" s="522">
        <f>IF(+J96&lt;F110,J96,D111)</f>
        <v>58176</v>
      </c>
      <c r="F111" s="523">
        <f t="shared" si="22"/>
        <v>1687879.9140365445</v>
      </c>
      <c r="G111" s="523">
        <f t="shared" si="23"/>
        <v>1716967.9140365445</v>
      </c>
      <c r="H111" s="526">
        <f t="shared" si="24"/>
        <v>253076.28446705994</v>
      </c>
      <c r="I111" s="577">
        <f t="shared" si="25"/>
        <v>253076.28446705994</v>
      </c>
      <c r="J111" s="514">
        <f t="shared" si="16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 ht="12.5">
      <c r="B112" s="195" t="str">
        <f t="shared" si="20"/>
        <v/>
      </c>
      <c r="C112" s="507">
        <f>IF(D93="","-",+C111+1)</f>
        <v>2030</v>
      </c>
      <c r="D112" s="374">
        <f>IF(F111+SUM(E$99:E111)=D$92,F111,D$92-SUM(E$99:E111))</f>
        <v>1687879.9140365445</v>
      </c>
      <c r="E112" s="522">
        <f>IF(+J96&lt;F111,J96,D112)</f>
        <v>58176</v>
      </c>
      <c r="F112" s="523">
        <f t="shared" si="22"/>
        <v>1629703.9140365445</v>
      </c>
      <c r="G112" s="523">
        <f t="shared" si="23"/>
        <v>1658791.9140365445</v>
      </c>
      <c r="H112" s="526">
        <f t="shared" si="24"/>
        <v>246472.48083365415</v>
      </c>
      <c r="I112" s="577">
        <f t="shared" si="25"/>
        <v>246472.48083365415</v>
      </c>
      <c r="J112" s="514">
        <f t="shared" si="16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 ht="12.5">
      <c r="B113" s="195" t="str">
        <f t="shared" si="20"/>
        <v/>
      </c>
      <c r="C113" s="507">
        <f>IF(D93="","-",+C112+1)</f>
        <v>2031</v>
      </c>
      <c r="D113" s="374">
        <f>IF(F112+SUM(E$99:E112)=D$92,F112,D$92-SUM(E$99:E112))</f>
        <v>1629703.9140365445</v>
      </c>
      <c r="E113" s="522">
        <f>IF(+J96&lt;F112,J96,D113)</f>
        <v>58176</v>
      </c>
      <c r="F113" s="523">
        <f t="shared" si="22"/>
        <v>1571527.9140365445</v>
      </c>
      <c r="G113" s="523">
        <f t="shared" si="23"/>
        <v>1600615.9140365445</v>
      </c>
      <c r="H113" s="526">
        <f t="shared" si="24"/>
        <v>239868.67720024838</v>
      </c>
      <c r="I113" s="577">
        <f t="shared" si="25"/>
        <v>239868.67720024838</v>
      </c>
      <c r="J113" s="514">
        <f t="shared" si="16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 ht="12.5">
      <c r="B114" s="195" t="str">
        <f t="shared" si="20"/>
        <v/>
      </c>
      <c r="C114" s="507">
        <f>IF(D93="","-",+C113+1)</f>
        <v>2032</v>
      </c>
      <c r="D114" s="374">
        <f>IF(F113+SUM(E$99:E113)=D$92,F113,D$92-SUM(E$99:E113))</f>
        <v>1571527.9140365445</v>
      </c>
      <c r="E114" s="522">
        <f>IF(+J96&lt;F113,J96,D114)</f>
        <v>58176</v>
      </c>
      <c r="F114" s="523">
        <f t="shared" si="22"/>
        <v>1513351.9140365445</v>
      </c>
      <c r="G114" s="523">
        <f t="shared" si="23"/>
        <v>1542439.9140365445</v>
      </c>
      <c r="H114" s="526">
        <f t="shared" si="24"/>
        <v>233264.87356684261</v>
      </c>
      <c r="I114" s="577">
        <f t="shared" si="25"/>
        <v>233264.87356684261</v>
      </c>
      <c r="J114" s="514">
        <f t="shared" si="16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 ht="12.5">
      <c r="B115" s="195" t="str">
        <f t="shared" si="20"/>
        <v/>
      </c>
      <c r="C115" s="507">
        <f>IF(D93="","-",+C114+1)</f>
        <v>2033</v>
      </c>
      <c r="D115" s="374">
        <f>IF(F114+SUM(E$99:E114)=D$92,F114,D$92-SUM(E$99:E114))</f>
        <v>1513351.9140365445</v>
      </c>
      <c r="E115" s="522">
        <f>IF(+J96&lt;F114,J96,D115)</f>
        <v>58176</v>
      </c>
      <c r="F115" s="523">
        <f t="shared" si="22"/>
        <v>1455175.9140365445</v>
      </c>
      <c r="G115" s="523">
        <f t="shared" si="23"/>
        <v>1484263.9140365445</v>
      </c>
      <c r="H115" s="526">
        <f t="shared" si="24"/>
        <v>226661.06993343681</v>
      </c>
      <c r="I115" s="577">
        <f t="shared" si="25"/>
        <v>226661.06993343681</v>
      </c>
      <c r="J115" s="514">
        <f t="shared" si="16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 ht="12.5">
      <c r="B116" s="195" t="str">
        <f t="shared" si="20"/>
        <v/>
      </c>
      <c r="C116" s="507">
        <f>IF(D93="","-",+C115+1)</f>
        <v>2034</v>
      </c>
      <c r="D116" s="374">
        <f>IF(F115+SUM(E$99:E115)=D$92,F115,D$92-SUM(E$99:E115))</f>
        <v>1455175.9140365445</v>
      </c>
      <c r="E116" s="522">
        <f>IF(+J96&lt;F115,J96,D116)</f>
        <v>58176</v>
      </c>
      <c r="F116" s="523">
        <f t="shared" si="22"/>
        <v>1396999.9140365445</v>
      </c>
      <c r="G116" s="523">
        <f t="shared" si="23"/>
        <v>1426087.9140365445</v>
      </c>
      <c r="H116" s="526">
        <f t="shared" si="24"/>
        <v>220057.26630003104</v>
      </c>
      <c r="I116" s="577">
        <f t="shared" si="25"/>
        <v>220057.26630003104</v>
      </c>
      <c r="J116" s="514">
        <f t="shared" si="16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 ht="12.5">
      <c r="B117" s="195" t="str">
        <f t="shared" si="20"/>
        <v/>
      </c>
      <c r="C117" s="507">
        <f>IF(D93="","-",+C116+1)</f>
        <v>2035</v>
      </c>
      <c r="D117" s="374">
        <f>IF(F116+SUM(E$99:E116)=D$92,F116,D$92-SUM(E$99:E116))</f>
        <v>1396999.9140365445</v>
      </c>
      <c r="E117" s="522">
        <f>IF(+J96&lt;F116,J96,D117)</f>
        <v>58176</v>
      </c>
      <c r="F117" s="523">
        <f t="shared" si="22"/>
        <v>1338823.9140365445</v>
      </c>
      <c r="G117" s="523">
        <f t="shared" si="23"/>
        <v>1367911.9140365445</v>
      </c>
      <c r="H117" s="526">
        <f t="shared" si="24"/>
        <v>213453.46266662524</v>
      </c>
      <c r="I117" s="577">
        <f t="shared" si="25"/>
        <v>213453.46266662524</v>
      </c>
      <c r="J117" s="514">
        <f t="shared" si="16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 ht="12.5">
      <c r="B118" s="195" t="str">
        <f t="shared" si="20"/>
        <v/>
      </c>
      <c r="C118" s="507">
        <f>IF(D93="","-",+C117+1)</f>
        <v>2036</v>
      </c>
      <c r="D118" s="374">
        <f>IF(F117+SUM(E$99:E117)=D$92,F117,D$92-SUM(E$99:E117))</f>
        <v>1338823.9140365445</v>
      </c>
      <c r="E118" s="522">
        <f>IF(+J96&lt;F117,J96,D118)</f>
        <v>58176</v>
      </c>
      <c r="F118" s="523">
        <f t="shared" si="22"/>
        <v>1280647.9140365445</v>
      </c>
      <c r="G118" s="523">
        <f t="shared" si="23"/>
        <v>1309735.9140365445</v>
      </c>
      <c r="H118" s="526">
        <f t="shared" si="24"/>
        <v>206849.65903321948</v>
      </c>
      <c r="I118" s="577">
        <f t="shared" si="25"/>
        <v>206849.65903321948</v>
      </c>
      <c r="J118" s="514">
        <f t="shared" si="16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 ht="12.5">
      <c r="B119" s="195" t="str">
        <f t="shared" si="20"/>
        <v/>
      </c>
      <c r="C119" s="507">
        <f>IF(D93="","-",+C118+1)</f>
        <v>2037</v>
      </c>
      <c r="D119" s="374">
        <f>IF(F118+SUM(E$99:E118)=D$92,F118,D$92-SUM(E$99:E118))</f>
        <v>1280647.9140365445</v>
      </c>
      <c r="E119" s="522">
        <f>IF(+J96&lt;F118,J96,D119)</f>
        <v>58176</v>
      </c>
      <c r="F119" s="523">
        <f t="shared" si="22"/>
        <v>1222471.9140365445</v>
      </c>
      <c r="G119" s="523">
        <f t="shared" si="23"/>
        <v>1251559.9140365445</v>
      </c>
      <c r="H119" s="526">
        <f t="shared" si="24"/>
        <v>200245.85539981368</v>
      </c>
      <c r="I119" s="577">
        <f t="shared" si="25"/>
        <v>200245.85539981368</v>
      </c>
      <c r="J119" s="514">
        <f t="shared" si="16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 ht="12.5">
      <c r="B120" s="195" t="str">
        <f t="shared" si="20"/>
        <v/>
      </c>
      <c r="C120" s="507">
        <f>IF(D93="","-",+C119+1)</f>
        <v>2038</v>
      </c>
      <c r="D120" s="374">
        <f>IF(F119+SUM(E$99:E119)=D$92,F119,D$92-SUM(E$99:E119))</f>
        <v>1222471.9140365445</v>
      </c>
      <c r="E120" s="522">
        <f>IF(+J96&lt;F119,J96,D120)</f>
        <v>58176</v>
      </c>
      <c r="F120" s="523">
        <f t="shared" si="22"/>
        <v>1164295.9140365445</v>
      </c>
      <c r="G120" s="523">
        <f t="shared" si="23"/>
        <v>1193383.9140365445</v>
      </c>
      <c r="H120" s="526">
        <f t="shared" si="24"/>
        <v>193642.05176640791</v>
      </c>
      <c r="I120" s="577">
        <f t="shared" si="25"/>
        <v>193642.05176640791</v>
      </c>
      <c r="J120" s="514">
        <f t="shared" si="16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 ht="12.5">
      <c r="B121" s="195" t="str">
        <f t="shared" si="20"/>
        <v/>
      </c>
      <c r="C121" s="507">
        <f>IF(D93="","-",+C120+1)</f>
        <v>2039</v>
      </c>
      <c r="D121" s="374">
        <f>IF(F120+SUM(E$99:E120)=D$92,F120,D$92-SUM(E$99:E120))</f>
        <v>1164295.9140365445</v>
      </c>
      <c r="E121" s="522">
        <f>IF(+J96&lt;F120,J96,D121)</f>
        <v>58176</v>
      </c>
      <c r="F121" s="523">
        <f t="shared" si="22"/>
        <v>1106119.9140365445</v>
      </c>
      <c r="G121" s="523">
        <f t="shared" si="23"/>
        <v>1135207.9140365445</v>
      </c>
      <c r="H121" s="526">
        <f t="shared" si="24"/>
        <v>187038.24813300214</v>
      </c>
      <c r="I121" s="577">
        <f t="shared" si="25"/>
        <v>187038.24813300214</v>
      </c>
      <c r="J121" s="514">
        <f t="shared" si="16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 ht="12.5">
      <c r="B122" s="195" t="str">
        <f t="shared" si="20"/>
        <v/>
      </c>
      <c r="C122" s="507">
        <f>IF(D93="","-",+C121+1)</f>
        <v>2040</v>
      </c>
      <c r="D122" s="374">
        <f>IF(F121+SUM(E$99:E121)=D$92,F121,D$92-SUM(E$99:E121))</f>
        <v>1106119.9140365445</v>
      </c>
      <c r="E122" s="522">
        <f>IF(+J96&lt;F121,J96,D122)</f>
        <v>58176</v>
      </c>
      <c r="F122" s="523">
        <f t="shared" si="22"/>
        <v>1047943.9140365445</v>
      </c>
      <c r="G122" s="523">
        <f t="shared" si="23"/>
        <v>1077031.9140365445</v>
      </c>
      <c r="H122" s="526">
        <f t="shared" si="24"/>
        <v>180434.44449959634</v>
      </c>
      <c r="I122" s="577">
        <f t="shared" si="25"/>
        <v>180434.44449959634</v>
      </c>
      <c r="J122" s="514">
        <f t="shared" si="16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 ht="12.5">
      <c r="B123" s="195" t="str">
        <f t="shared" si="20"/>
        <v/>
      </c>
      <c r="C123" s="507">
        <f>IF(D93="","-",+C122+1)</f>
        <v>2041</v>
      </c>
      <c r="D123" s="374">
        <f>IF(F122+SUM(E$99:E122)=D$92,F122,D$92-SUM(E$99:E122))</f>
        <v>1047943.9140365445</v>
      </c>
      <c r="E123" s="522">
        <f>IF(+J96&lt;F122,J96,D123)</f>
        <v>58176</v>
      </c>
      <c r="F123" s="523">
        <f t="shared" si="22"/>
        <v>989767.91403654451</v>
      </c>
      <c r="G123" s="523">
        <f t="shared" si="23"/>
        <v>1018855.9140365445</v>
      </c>
      <c r="H123" s="526">
        <f t="shared" si="24"/>
        <v>173830.64086619054</v>
      </c>
      <c r="I123" s="577">
        <f t="shared" si="25"/>
        <v>173830.64086619054</v>
      </c>
      <c r="J123" s="514">
        <f t="shared" si="16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 ht="12.5">
      <c r="B124" s="195" t="str">
        <f t="shared" si="20"/>
        <v/>
      </c>
      <c r="C124" s="507">
        <f>IF(D93="","-",+C123+1)</f>
        <v>2042</v>
      </c>
      <c r="D124" s="374">
        <f>IF(F123+SUM(E$99:E123)=D$92,F123,D$92-SUM(E$99:E123))</f>
        <v>989767.91403654451</v>
      </c>
      <c r="E124" s="522">
        <f>IF(+J96&lt;F123,J96,D124)</f>
        <v>58176</v>
      </c>
      <c r="F124" s="523">
        <f t="shared" si="22"/>
        <v>931591.91403654451</v>
      </c>
      <c r="G124" s="523">
        <f t="shared" si="23"/>
        <v>960679.91403654451</v>
      </c>
      <c r="H124" s="526">
        <f t="shared" si="24"/>
        <v>167226.83723278478</v>
      </c>
      <c r="I124" s="577">
        <f t="shared" si="25"/>
        <v>167226.83723278478</v>
      </c>
      <c r="J124" s="514">
        <f t="shared" si="16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 ht="12.5">
      <c r="B125" s="195" t="str">
        <f t="shared" si="20"/>
        <v/>
      </c>
      <c r="C125" s="507">
        <f>IF(D93="","-",+C124+1)</f>
        <v>2043</v>
      </c>
      <c r="D125" s="374">
        <f>IF(F124+SUM(E$99:E124)=D$92,F124,D$92-SUM(E$99:E124))</f>
        <v>931591.91403654451</v>
      </c>
      <c r="E125" s="522">
        <f>IF(+J96&lt;F124,J96,D125)</f>
        <v>58176</v>
      </c>
      <c r="F125" s="523">
        <f t="shared" si="22"/>
        <v>873415.91403654451</v>
      </c>
      <c r="G125" s="523">
        <f t="shared" si="23"/>
        <v>902503.91403654451</v>
      </c>
      <c r="H125" s="526">
        <f t="shared" si="24"/>
        <v>160623.03359937901</v>
      </c>
      <c r="I125" s="577">
        <f t="shared" si="25"/>
        <v>160623.03359937901</v>
      </c>
      <c r="J125" s="514">
        <f t="shared" si="16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 ht="12.5">
      <c r="B126" s="195" t="str">
        <f t="shared" si="20"/>
        <v/>
      </c>
      <c r="C126" s="507">
        <f>IF(D93="","-",+C125+1)</f>
        <v>2044</v>
      </c>
      <c r="D126" s="374">
        <f>IF(F125+SUM(E$99:E125)=D$92,F125,D$92-SUM(E$99:E125))</f>
        <v>873415.91403654451</v>
      </c>
      <c r="E126" s="522">
        <f>IF(+J96&lt;F125,J96,D126)</f>
        <v>58176</v>
      </c>
      <c r="F126" s="523">
        <f t="shared" si="22"/>
        <v>815239.91403654451</v>
      </c>
      <c r="G126" s="523">
        <f t="shared" si="23"/>
        <v>844327.91403654451</v>
      </c>
      <c r="H126" s="526">
        <f t="shared" si="24"/>
        <v>154019.22996597321</v>
      </c>
      <c r="I126" s="577">
        <f t="shared" si="25"/>
        <v>154019.22996597321</v>
      </c>
      <c r="J126" s="514">
        <f t="shared" si="16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 ht="12.5">
      <c r="B127" s="195" t="str">
        <f t="shared" si="20"/>
        <v/>
      </c>
      <c r="C127" s="507">
        <f>IF(D93="","-",+C126+1)</f>
        <v>2045</v>
      </c>
      <c r="D127" s="374">
        <f>IF(F126+SUM(E$99:E126)=D$92,F126,D$92-SUM(E$99:E126))</f>
        <v>815239.91403654451</v>
      </c>
      <c r="E127" s="522">
        <f>IF(+J96&lt;F126,J96,D127)</f>
        <v>58176</v>
      </c>
      <c r="F127" s="523">
        <f t="shared" si="22"/>
        <v>757063.91403654451</v>
      </c>
      <c r="G127" s="523">
        <f t="shared" si="23"/>
        <v>786151.91403654451</v>
      </c>
      <c r="H127" s="526">
        <f t="shared" si="24"/>
        <v>147415.42633256741</v>
      </c>
      <c r="I127" s="577">
        <f t="shared" si="25"/>
        <v>147415.42633256741</v>
      </c>
      <c r="J127" s="514">
        <f t="shared" si="16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 ht="12.5">
      <c r="B128" s="195" t="str">
        <f t="shared" si="20"/>
        <v/>
      </c>
      <c r="C128" s="507">
        <f>IF(D93="","-",+C127+1)</f>
        <v>2046</v>
      </c>
      <c r="D128" s="374">
        <f>IF(F127+SUM(E$99:E127)=D$92,F127,D$92-SUM(E$99:E127))</f>
        <v>757063.91403654451</v>
      </c>
      <c r="E128" s="522">
        <f>IF(+J96&lt;F127,J96,D128)</f>
        <v>58176</v>
      </c>
      <c r="F128" s="523">
        <f t="shared" si="22"/>
        <v>698887.91403654451</v>
      </c>
      <c r="G128" s="523">
        <f t="shared" si="23"/>
        <v>727975.91403654451</v>
      </c>
      <c r="H128" s="526">
        <f t="shared" si="24"/>
        <v>140811.62269916164</v>
      </c>
      <c r="I128" s="577">
        <f t="shared" si="25"/>
        <v>140811.62269916164</v>
      </c>
      <c r="J128" s="514">
        <f t="shared" si="16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 ht="12.5">
      <c r="B129" s="195" t="str">
        <f t="shared" si="20"/>
        <v/>
      </c>
      <c r="C129" s="507">
        <f>IF(D93="","-",+C128+1)</f>
        <v>2047</v>
      </c>
      <c r="D129" s="374">
        <f>IF(F128+SUM(E$99:E128)=D$92,F128,D$92-SUM(E$99:E128))</f>
        <v>698887.91403654451</v>
      </c>
      <c r="E129" s="522">
        <f>IF(+J96&lt;F128,J96,D129)</f>
        <v>58176</v>
      </c>
      <c r="F129" s="523">
        <f t="shared" si="22"/>
        <v>640711.91403654451</v>
      </c>
      <c r="G129" s="523">
        <f t="shared" si="23"/>
        <v>669799.91403654451</v>
      </c>
      <c r="H129" s="526">
        <f t="shared" si="24"/>
        <v>134207.81906575587</v>
      </c>
      <c r="I129" s="577">
        <f t="shared" si="25"/>
        <v>134207.81906575587</v>
      </c>
      <c r="J129" s="514">
        <f t="shared" si="16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 ht="12.5">
      <c r="B130" s="195" t="str">
        <f t="shared" si="20"/>
        <v/>
      </c>
      <c r="C130" s="507">
        <f>IF(D93="","-",+C129+1)</f>
        <v>2048</v>
      </c>
      <c r="D130" s="374">
        <f>IF(F129+SUM(E$99:E129)=D$92,F129,D$92-SUM(E$99:E129))</f>
        <v>640711.91403654451</v>
      </c>
      <c r="E130" s="522">
        <f>IF(+J96&lt;F129,J96,D130)</f>
        <v>58176</v>
      </c>
      <c r="F130" s="523">
        <f t="shared" si="22"/>
        <v>582535.91403654451</v>
      </c>
      <c r="G130" s="523">
        <f t="shared" si="23"/>
        <v>611623.91403654451</v>
      </c>
      <c r="H130" s="526">
        <f t="shared" si="24"/>
        <v>127604.01543235008</v>
      </c>
      <c r="I130" s="577">
        <f t="shared" si="25"/>
        <v>127604.01543235008</v>
      </c>
      <c r="J130" s="514">
        <f t="shared" si="16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 ht="12.5">
      <c r="B131" s="195" t="str">
        <f t="shared" si="20"/>
        <v/>
      </c>
      <c r="C131" s="507">
        <f>IF(D93="","-",+C130+1)</f>
        <v>2049</v>
      </c>
      <c r="D131" s="374">
        <f>IF(F130+SUM(E$99:E130)=D$92,F130,D$92-SUM(E$99:E130))</f>
        <v>582535.91403654451</v>
      </c>
      <c r="E131" s="522">
        <f>IF(+J96&lt;F130,J96,D131)</f>
        <v>58176</v>
      </c>
      <c r="F131" s="523">
        <f t="shared" ref="F131:F154" si="26">+D131-E131</f>
        <v>524359.91403654451</v>
      </c>
      <c r="G131" s="523">
        <f t="shared" ref="G131:G154" si="27">+(F131+D131)/2</f>
        <v>553447.91403654451</v>
      </c>
      <c r="H131" s="526">
        <f t="shared" si="24"/>
        <v>121000.21179894431</v>
      </c>
      <c r="I131" s="577">
        <f t="shared" si="25"/>
        <v>121000.21179894431</v>
      </c>
      <c r="J131" s="514">
        <f t="shared" ref="J131:J154" si="28">+I541-H541</f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 ht="12.5">
      <c r="B132" s="195" t="str">
        <f t="shared" si="20"/>
        <v/>
      </c>
      <c r="C132" s="507">
        <f>IF(D93="","-",+C131+1)</f>
        <v>2050</v>
      </c>
      <c r="D132" s="374">
        <f>IF(F131+SUM(E$99:E131)=D$92,F131,D$92-SUM(E$99:E131))</f>
        <v>524359.91403654451</v>
      </c>
      <c r="E132" s="522">
        <f>IF(+J96&lt;F131,J96,D132)</f>
        <v>58176</v>
      </c>
      <c r="F132" s="523">
        <f t="shared" si="26"/>
        <v>466183.91403654451</v>
      </c>
      <c r="G132" s="523">
        <f t="shared" si="27"/>
        <v>495271.91403654451</v>
      </c>
      <c r="H132" s="526">
        <f t="shared" si="24"/>
        <v>114396.40816553851</v>
      </c>
      <c r="I132" s="577">
        <f t="shared" si="25"/>
        <v>114396.40816553851</v>
      </c>
      <c r="J132" s="514">
        <f t="shared" si="28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 ht="12.5">
      <c r="B133" s="195" t="str">
        <f t="shared" si="20"/>
        <v/>
      </c>
      <c r="C133" s="507">
        <f>IF(D93="","-",+C132+1)</f>
        <v>2051</v>
      </c>
      <c r="D133" s="374">
        <f>IF(F132+SUM(E$99:E132)=D$92,F132,D$92-SUM(E$99:E132))</f>
        <v>466183.91403654451</v>
      </c>
      <c r="E133" s="522">
        <f>IF(+J96&lt;F132,J96,D133)</f>
        <v>58176</v>
      </c>
      <c r="F133" s="523">
        <f t="shared" si="26"/>
        <v>408007.91403654451</v>
      </c>
      <c r="G133" s="523">
        <f t="shared" si="27"/>
        <v>437095.91403654451</v>
      </c>
      <c r="H133" s="526">
        <f t="shared" si="24"/>
        <v>107792.60453213274</v>
      </c>
      <c r="I133" s="577">
        <f t="shared" si="25"/>
        <v>107792.60453213274</v>
      </c>
      <c r="J133" s="514">
        <f t="shared" si="28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 ht="12.5">
      <c r="B134" s="195" t="str">
        <f t="shared" si="20"/>
        <v/>
      </c>
      <c r="C134" s="507">
        <f>IF(D93="","-",+C133+1)</f>
        <v>2052</v>
      </c>
      <c r="D134" s="374">
        <f>IF(F133+SUM(E$99:E133)=D$92,F133,D$92-SUM(E$99:E133))</f>
        <v>408007.91403654451</v>
      </c>
      <c r="E134" s="522">
        <f>IF(+J96&lt;F133,J96,D134)</f>
        <v>58176</v>
      </c>
      <c r="F134" s="523">
        <f t="shared" si="26"/>
        <v>349831.91403654451</v>
      </c>
      <c r="G134" s="523">
        <f t="shared" si="27"/>
        <v>378919.91403654451</v>
      </c>
      <c r="H134" s="526">
        <f t="shared" si="24"/>
        <v>101188.80089872694</v>
      </c>
      <c r="I134" s="577">
        <f t="shared" si="25"/>
        <v>101188.80089872694</v>
      </c>
      <c r="J134" s="514">
        <f t="shared" si="28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 ht="12.5">
      <c r="B135" s="195" t="str">
        <f t="shared" si="20"/>
        <v/>
      </c>
      <c r="C135" s="507">
        <f>IF(D93="","-",+C134+1)</f>
        <v>2053</v>
      </c>
      <c r="D135" s="374">
        <f>IF(F134+SUM(E$99:E134)=D$92,F134,D$92-SUM(E$99:E134))</f>
        <v>349831.91403654451</v>
      </c>
      <c r="E135" s="522">
        <f>IF(+J96&lt;F134,J96,D135)</f>
        <v>58176</v>
      </c>
      <c r="F135" s="523">
        <f t="shared" si="26"/>
        <v>291655.91403654451</v>
      </c>
      <c r="G135" s="523">
        <f t="shared" si="27"/>
        <v>320743.91403654451</v>
      </c>
      <c r="H135" s="526">
        <f t="shared" si="24"/>
        <v>94584.997265321173</v>
      </c>
      <c r="I135" s="577">
        <f t="shared" si="25"/>
        <v>94584.997265321173</v>
      </c>
      <c r="J135" s="514">
        <f t="shared" si="28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 ht="12.5">
      <c r="B136" s="195" t="str">
        <f t="shared" si="20"/>
        <v/>
      </c>
      <c r="C136" s="507">
        <f>IF(D93="","-",+C135+1)</f>
        <v>2054</v>
      </c>
      <c r="D136" s="374">
        <f>IF(F135+SUM(E$99:E135)=D$92,F135,D$92-SUM(E$99:E135))</f>
        <v>291655.91403654451</v>
      </c>
      <c r="E136" s="522">
        <f>IF(+J96&lt;F135,J96,D136)</f>
        <v>58176</v>
      </c>
      <c r="F136" s="523">
        <f t="shared" si="26"/>
        <v>233479.91403654451</v>
      </c>
      <c r="G136" s="523">
        <f t="shared" si="27"/>
        <v>262567.91403654451</v>
      </c>
      <c r="H136" s="526">
        <f t="shared" si="24"/>
        <v>87981.19363191539</v>
      </c>
      <c r="I136" s="577">
        <f t="shared" si="25"/>
        <v>87981.19363191539</v>
      </c>
      <c r="J136" s="514">
        <f t="shared" si="28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 ht="12.5">
      <c r="B137" s="195" t="str">
        <f t="shared" si="20"/>
        <v/>
      </c>
      <c r="C137" s="507">
        <f>IF(D93="","-",+C136+1)</f>
        <v>2055</v>
      </c>
      <c r="D137" s="374">
        <f>IF(F136+SUM(E$99:E136)=D$92,F136,D$92-SUM(E$99:E136))</f>
        <v>233479.91403654451</v>
      </c>
      <c r="E137" s="522">
        <f>IF(+J96&lt;F136,J96,D137)</f>
        <v>58176</v>
      </c>
      <c r="F137" s="523">
        <f t="shared" si="26"/>
        <v>175303.91403654451</v>
      </c>
      <c r="G137" s="523">
        <f t="shared" si="27"/>
        <v>204391.91403654451</v>
      </c>
      <c r="H137" s="526">
        <f t="shared" si="24"/>
        <v>81377.389998509607</v>
      </c>
      <c r="I137" s="577">
        <f t="shared" si="25"/>
        <v>81377.389998509607</v>
      </c>
      <c r="J137" s="514">
        <f t="shared" si="28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 ht="12.5">
      <c r="B138" s="195" t="str">
        <f t="shared" si="20"/>
        <v/>
      </c>
      <c r="C138" s="507">
        <f>IF(D93="","-",+C137+1)</f>
        <v>2056</v>
      </c>
      <c r="D138" s="374">
        <f>IF(F137+SUM(E$99:E137)=D$92,F137,D$92-SUM(E$99:E137))</f>
        <v>175303.91403654451</v>
      </c>
      <c r="E138" s="522">
        <f>IF(+J96&lt;F137,J96,D138)</f>
        <v>58176</v>
      </c>
      <c r="F138" s="523">
        <f t="shared" si="26"/>
        <v>117127.91403654451</v>
      </c>
      <c r="G138" s="523">
        <f t="shared" si="27"/>
        <v>146215.91403654451</v>
      </c>
      <c r="H138" s="526">
        <f t="shared" si="24"/>
        <v>74773.586365103823</v>
      </c>
      <c r="I138" s="577">
        <f t="shared" si="25"/>
        <v>74773.586365103823</v>
      </c>
      <c r="J138" s="514">
        <f t="shared" si="28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 ht="12.5">
      <c r="B139" s="195" t="str">
        <f t="shared" si="20"/>
        <v/>
      </c>
      <c r="C139" s="507">
        <f>IF(D93="","-",+C138+1)</f>
        <v>2057</v>
      </c>
      <c r="D139" s="374">
        <f>IF(F138+SUM(E$99:E138)=D$92,F138,D$92-SUM(E$99:E138))</f>
        <v>117127.91403654451</v>
      </c>
      <c r="E139" s="522">
        <f>IF(+J96&lt;F138,J96,D139)</f>
        <v>58176</v>
      </c>
      <c r="F139" s="523">
        <f t="shared" si="26"/>
        <v>58951.914036544506</v>
      </c>
      <c r="G139" s="523">
        <f t="shared" si="27"/>
        <v>88039.914036544506</v>
      </c>
      <c r="H139" s="526">
        <f t="shared" si="24"/>
        <v>68169.78273169804</v>
      </c>
      <c r="I139" s="577">
        <f t="shared" si="25"/>
        <v>68169.78273169804</v>
      </c>
      <c r="J139" s="514">
        <f t="shared" si="28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 ht="12.5">
      <c r="B140" s="195" t="str">
        <f t="shared" si="20"/>
        <v/>
      </c>
      <c r="C140" s="507">
        <f>IF(D93="","-",+C139+1)</f>
        <v>2058</v>
      </c>
      <c r="D140" s="374">
        <f>IF(F139+SUM(E$99:E139)=D$92,F139,D$92-SUM(E$99:E139))</f>
        <v>58951.914036544506</v>
      </c>
      <c r="E140" s="522">
        <f>IF(+J96&lt;F139,J96,D140)</f>
        <v>58176</v>
      </c>
      <c r="F140" s="523">
        <f t="shared" si="26"/>
        <v>775.91403654450551</v>
      </c>
      <c r="G140" s="523">
        <f t="shared" si="27"/>
        <v>29863.914036544506</v>
      </c>
      <c r="H140" s="526">
        <f t="shared" si="24"/>
        <v>61565.979098292257</v>
      </c>
      <c r="I140" s="577">
        <f t="shared" si="25"/>
        <v>61565.979098292257</v>
      </c>
      <c r="J140" s="514">
        <f t="shared" si="28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 ht="12.5">
      <c r="B141" s="195" t="str">
        <f t="shared" si="20"/>
        <v/>
      </c>
      <c r="C141" s="507">
        <f>IF(D93="","-",+C140+1)</f>
        <v>2059</v>
      </c>
      <c r="D141" s="374">
        <f>IF(F140+SUM(E$99:E140)=D$92,F140,D$92-SUM(E$99:E140))</f>
        <v>775.91403654450551</v>
      </c>
      <c r="E141" s="522">
        <f>IF(+J96&lt;F140,J96,D141)</f>
        <v>775.91403654450551</v>
      </c>
      <c r="F141" s="523">
        <f t="shared" si="26"/>
        <v>0</v>
      </c>
      <c r="G141" s="523">
        <f t="shared" si="27"/>
        <v>387.95701827225275</v>
      </c>
      <c r="H141" s="526">
        <f t="shared" si="24"/>
        <v>819.95267733919013</v>
      </c>
      <c r="I141" s="577">
        <f t="shared" si="25"/>
        <v>819.95267733919013</v>
      </c>
      <c r="J141" s="514">
        <f t="shared" si="28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 ht="12.5">
      <c r="B142" s="195" t="str">
        <f t="shared" si="20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6"/>
        <v>0</v>
      </c>
      <c r="G142" s="523">
        <f t="shared" si="27"/>
        <v>0</v>
      </c>
      <c r="H142" s="526">
        <f t="shared" si="24"/>
        <v>0</v>
      </c>
      <c r="I142" s="577">
        <f t="shared" si="25"/>
        <v>0</v>
      </c>
      <c r="J142" s="514">
        <f t="shared" si="28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 ht="12.5">
      <c r="B143" s="195" t="str">
        <f t="shared" si="20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6"/>
        <v>0</v>
      </c>
      <c r="G143" s="523">
        <f t="shared" si="27"/>
        <v>0</v>
      </c>
      <c r="H143" s="526">
        <f t="shared" si="24"/>
        <v>0</v>
      </c>
      <c r="I143" s="577">
        <f t="shared" si="25"/>
        <v>0</v>
      </c>
      <c r="J143" s="514">
        <f t="shared" si="28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 ht="12.5">
      <c r="B144" s="195" t="str">
        <f t="shared" si="2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6"/>
        <v>0</v>
      </c>
      <c r="G144" s="523">
        <f t="shared" si="27"/>
        <v>0</v>
      </c>
      <c r="H144" s="526">
        <f t="shared" si="24"/>
        <v>0</v>
      </c>
      <c r="I144" s="577">
        <f t="shared" si="25"/>
        <v>0</v>
      </c>
      <c r="J144" s="514">
        <f t="shared" si="28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 ht="12.5">
      <c r="B145" s="195" t="str">
        <f t="shared" si="2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6"/>
        <v>0</v>
      </c>
      <c r="G145" s="523">
        <f t="shared" si="27"/>
        <v>0</v>
      </c>
      <c r="H145" s="526">
        <f t="shared" si="24"/>
        <v>0</v>
      </c>
      <c r="I145" s="577">
        <f t="shared" si="25"/>
        <v>0</v>
      </c>
      <c r="J145" s="514">
        <f t="shared" si="28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 ht="12.5">
      <c r="B146" s="195" t="str">
        <f t="shared" si="2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6"/>
        <v>0</v>
      </c>
      <c r="G146" s="523">
        <f t="shared" si="27"/>
        <v>0</v>
      </c>
      <c r="H146" s="526">
        <f t="shared" si="24"/>
        <v>0</v>
      </c>
      <c r="I146" s="577">
        <f t="shared" si="25"/>
        <v>0</v>
      </c>
      <c r="J146" s="514">
        <f t="shared" si="28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 ht="12.5">
      <c r="B147" s="195" t="str">
        <f t="shared" si="2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6"/>
        <v>0</v>
      </c>
      <c r="G147" s="523">
        <f t="shared" si="27"/>
        <v>0</v>
      </c>
      <c r="H147" s="526">
        <f t="shared" si="24"/>
        <v>0</v>
      </c>
      <c r="I147" s="577">
        <f t="shared" si="25"/>
        <v>0</v>
      </c>
      <c r="J147" s="514">
        <f t="shared" si="28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 ht="12.5">
      <c r="B148" s="195" t="str">
        <f t="shared" si="2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6"/>
        <v>0</v>
      </c>
      <c r="G148" s="523">
        <f t="shared" si="27"/>
        <v>0</v>
      </c>
      <c r="H148" s="526">
        <f t="shared" si="24"/>
        <v>0</v>
      </c>
      <c r="I148" s="577">
        <f t="shared" si="25"/>
        <v>0</v>
      </c>
      <c r="J148" s="514">
        <f t="shared" si="28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 ht="12.5">
      <c r="B149" s="195" t="str">
        <f t="shared" si="2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6"/>
        <v>0</v>
      </c>
      <c r="G149" s="523">
        <f t="shared" si="27"/>
        <v>0</v>
      </c>
      <c r="H149" s="526">
        <f t="shared" si="24"/>
        <v>0</v>
      </c>
      <c r="I149" s="577">
        <f t="shared" si="25"/>
        <v>0</v>
      </c>
      <c r="J149" s="514">
        <f t="shared" si="28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 ht="12.5">
      <c r="B150" s="195" t="str">
        <f t="shared" si="2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6"/>
        <v>0</v>
      </c>
      <c r="G150" s="523">
        <f t="shared" si="27"/>
        <v>0</v>
      </c>
      <c r="H150" s="526">
        <f t="shared" si="24"/>
        <v>0</v>
      </c>
      <c r="I150" s="577">
        <f t="shared" si="25"/>
        <v>0</v>
      </c>
      <c r="J150" s="514">
        <f t="shared" si="28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 ht="12.5">
      <c r="B151" s="195" t="str">
        <f t="shared" si="2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6"/>
        <v>0</v>
      </c>
      <c r="G151" s="523">
        <f t="shared" si="27"/>
        <v>0</v>
      </c>
      <c r="H151" s="526">
        <f t="shared" si="24"/>
        <v>0</v>
      </c>
      <c r="I151" s="577">
        <f t="shared" si="25"/>
        <v>0</v>
      </c>
      <c r="J151" s="514">
        <f t="shared" si="28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 ht="12.5">
      <c r="B152" s="195" t="str">
        <f t="shared" si="2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6"/>
        <v>0</v>
      </c>
      <c r="G152" s="523">
        <f t="shared" si="27"/>
        <v>0</v>
      </c>
      <c r="H152" s="526">
        <f t="shared" si="24"/>
        <v>0</v>
      </c>
      <c r="I152" s="577">
        <f t="shared" si="25"/>
        <v>0</v>
      </c>
      <c r="J152" s="514">
        <f t="shared" si="28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 ht="12.5">
      <c r="B153" s="195" t="str">
        <f t="shared" si="2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6"/>
        <v>0</v>
      </c>
      <c r="G153" s="523">
        <f t="shared" si="27"/>
        <v>0</v>
      </c>
      <c r="H153" s="526">
        <f t="shared" si="24"/>
        <v>0</v>
      </c>
      <c r="I153" s="577">
        <f t="shared" si="25"/>
        <v>0</v>
      </c>
      <c r="J153" s="514">
        <f t="shared" si="28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" thickBot="1">
      <c r="B154" s="195" t="str">
        <f t="shared" si="2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6"/>
        <v>0</v>
      </c>
      <c r="G154" s="528">
        <f t="shared" si="27"/>
        <v>0</v>
      </c>
      <c r="H154" s="530">
        <f t="shared" si="24"/>
        <v>0</v>
      </c>
      <c r="I154" s="579">
        <f t="shared" si="25"/>
        <v>0</v>
      </c>
      <c r="J154" s="533">
        <f t="shared" si="28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 ht="12.5">
      <c r="C155" s="374" t="s">
        <v>78</v>
      </c>
      <c r="D155" s="375"/>
      <c r="E155" s="375">
        <f>SUM(E99:E154)</f>
        <v>2385215.9999999995</v>
      </c>
      <c r="F155" s="375"/>
      <c r="G155" s="375"/>
      <c r="H155" s="375">
        <f>SUM(H99:H154)</f>
        <v>8035254.582601889</v>
      </c>
      <c r="I155" s="375">
        <f>SUM(I99:I154)</f>
        <v>8035254.582601889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4" priority="2" stopIfTrue="1" operator="equal">
      <formula>$I$10</formula>
    </cfRule>
  </conditionalFormatting>
  <conditionalFormatting sqref="C99:C154">
    <cfRule type="cellIs" dxfId="23" priority="3" stopIfTrue="1" operator="equal">
      <formula>$J$92</formula>
    </cfRule>
  </conditionalFormatting>
  <conditionalFormatting sqref="C17">
    <cfRule type="cellIs" dxfId="22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15"/>
  <dimension ref="A1:P162"/>
  <sheetViews>
    <sheetView view="pageBreakPreview" zoomScale="80" zoomScaleNormal="100" zoomScaleSheetLayoutView="80" workbookViewId="0"/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66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869679.3831822155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869679.3831822155</v>
      </c>
      <c r="O6" s="269"/>
      <c r="P6" s="269"/>
    </row>
    <row r="7" spans="1:16" ht="13.5" thickBot="1">
      <c r="C7" s="467" t="s">
        <v>48</v>
      </c>
      <c r="D7" s="624" t="s">
        <v>386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415</v>
      </c>
      <c r="E9" s="637" t="s">
        <v>416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6516183.7100000009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7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155147.23119047622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49" t="s">
        <v>435</v>
      </c>
      <c r="E17" s="658" t="s">
        <v>435</v>
      </c>
      <c r="F17" s="651">
        <v>6425000</v>
      </c>
      <c r="G17" s="659">
        <v>398005</v>
      </c>
      <c r="H17" s="657">
        <v>398005</v>
      </c>
      <c r="I17" s="511">
        <f t="shared" ref="I17:I72" si="0">H17-G17</f>
        <v>0</v>
      </c>
      <c r="J17" s="511"/>
      <c r="K17" s="512">
        <f t="shared" ref="K17:K22" si="1">+G17</f>
        <v>398005</v>
      </c>
      <c r="L17" s="513">
        <f t="shared" ref="L17:L72" si="2">IF(K17&lt;&gt;0,+G17-K17,0)</f>
        <v>0</v>
      </c>
      <c r="M17" s="512">
        <f t="shared" ref="M17:M22" si="3">+H17</f>
        <v>398005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6425000</v>
      </c>
      <c r="E18" s="630">
        <v>156707.31707317074</v>
      </c>
      <c r="F18" s="631">
        <v>6268292.682926829</v>
      </c>
      <c r="G18" s="630">
        <v>963328.6150577974</v>
      </c>
      <c r="H18" s="639">
        <v>963328.6150577974</v>
      </c>
      <c r="I18" s="511">
        <f t="shared" si="0"/>
        <v>0</v>
      </c>
      <c r="J18" s="511"/>
      <c r="K18" s="518">
        <f t="shared" si="1"/>
        <v>963328.6150577974</v>
      </c>
      <c r="L18" s="519">
        <f t="shared" si="2"/>
        <v>0</v>
      </c>
      <c r="M18" s="518">
        <f t="shared" si="3"/>
        <v>963328.6150577974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6268292.682926829</v>
      </c>
      <c r="E19" s="630">
        <v>156707.31707317074</v>
      </c>
      <c r="F19" s="631">
        <v>6111585.3658536579</v>
      </c>
      <c r="G19" s="630">
        <v>943412.03979891748</v>
      </c>
      <c r="H19" s="639">
        <v>943412.03979891748</v>
      </c>
      <c r="I19" s="511">
        <f t="shared" si="0"/>
        <v>0</v>
      </c>
      <c r="J19" s="511"/>
      <c r="K19" s="518">
        <f t="shared" si="1"/>
        <v>943412.03979891748</v>
      </c>
      <c r="L19" s="519">
        <f t="shared" ref="L19" si="6">IF(K19&lt;&gt;0,+G19-K19,0)</f>
        <v>0</v>
      </c>
      <c r="M19" s="518">
        <f t="shared" si="3"/>
        <v>943412.03979891748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6192490.3658536589</v>
      </c>
      <c r="E20" s="630">
        <v>158680.60975609755</v>
      </c>
      <c r="F20" s="631">
        <v>6033809.7560975617</v>
      </c>
      <c r="G20" s="630">
        <v>784272.60448257579</v>
      </c>
      <c r="H20" s="639">
        <v>784272.60448257579</v>
      </c>
      <c r="I20" s="511">
        <f t="shared" si="0"/>
        <v>0</v>
      </c>
      <c r="J20" s="511"/>
      <c r="K20" s="518">
        <f t="shared" si="1"/>
        <v>784272.60448257579</v>
      </c>
      <c r="L20" s="519">
        <f t="shared" ref="L20" si="8">IF(K20&lt;&gt;0,+G20-K20,0)</f>
        <v>0</v>
      </c>
      <c r="M20" s="518">
        <f t="shared" si="3"/>
        <v>784272.60448257579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6051377.4685195684</v>
      </c>
      <c r="E21" s="630">
        <v>155147.23809523811</v>
      </c>
      <c r="F21" s="631">
        <v>5896230.2304243306</v>
      </c>
      <c r="G21" s="630">
        <v>788397.59733237652</v>
      </c>
      <c r="H21" s="639">
        <v>788397.59733237652</v>
      </c>
      <c r="I21" s="511">
        <f t="shared" si="0"/>
        <v>0</v>
      </c>
      <c r="J21" s="511"/>
      <c r="K21" s="518">
        <f t="shared" si="1"/>
        <v>788397.59733237652</v>
      </c>
      <c r="L21" s="519">
        <f t="shared" ref="L21" si="9">IF(K21&lt;&gt;0,+G21-K21,0)</f>
        <v>0</v>
      </c>
      <c r="M21" s="518">
        <f t="shared" si="3"/>
        <v>788397.59733237652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5888941.5180023229</v>
      </c>
      <c r="E22" s="630">
        <v>155147.23809523811</v>
      </c>
      <c r="F22" s="631">
        <v>5733794.279907085</v>
      </c>
      <c r="G22" s="630">
        <v>808601.25314846623</v>
      </c>
      <c r="H22" s="639">
        <v>808601.25314846623</v>
      </c>
      <c r="I22" s="511">
        <f t="shared" si="0"/>
        <v>0</v>
      </c>
      <c r="J22" s="511"/>
      <c r="K22" s="518">
        <f t="shared" si="1"/>
        <v>808601.25314846623</v>
      </c>
      <c r="L22" s="519">
        <f t="shared" ref="L22" si="10">IF(K22&lt;&gt;0,+G22-K22,0)</f>
        <v>0</v>
      </c>
      <c r="M22" s="518">
        <f t="shared" si="3"/>
        <v>808601.25314846623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523">
        <f>IF(F22+SUM(E$17:E22)=D$10,F22,D$10-SUM(E$17:E22))</f>
        <v>5733793.9899070859</v>
      </c>
      <c r="E23" s="522">
        <f>IF(+I14&lt;F22,I14,D23)</f>
        <v>155147.23119047622</v>
      </c>
      <c r="F23" s="523">
        <f t="shared" ref="F23:F72" si="11">+D23-E23</f>
        <v>5578646.7587166093</v>
      </c>
      <c r="G23" s="524">
        <f t="shared" ref="G23:G48" si="12">+I$12*((D23+F23)/2)+E23</f>
        <v>869679.3831822155</v>
      </c>
      <c r="H23" s="491">
        <f t="shared" ref="H23:H48" si="13">+I$13*((D23+F23)/2)+E23</f>
        <v>869679.3831822155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2024</v>
      </c>
      <c r="D24" s="523">
        <f>IF(F23+SUM(E$17:E23)=D$10,F23,D$10-SUM(E$17:E23))</f>
        <v>5578646.7587166093</v>
      </c>
      <c r="E24" s="522">
        <f>IF(+I14&lt;F23,I14,D24)</f>
        <v>155147.23119047622</v>
      </c>
      <c r="F24" s="523">
        <f t="shared" si="11"/>
        <v>5423499.5275261328</v>
      </c>
      <c r="G24" s="524">
        <f t="shared" si="12"/>
        <v>850080.13180198998</v>
      </c>
      <c r="H24" s="491">
        <f t="shared" si="13"/>
        <v>850080.13180198998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5423499.5275261328</v>
      </c>
      <c r="E25" s="522">
        <f>IF(+I14&lt;F24,I14,D25)</f>
        <v>155147.23119047622</v>
      </c>
      <c r="F25" s="523">
        <f t="shared" si="11"/>
        <v>5268352.2963356562</v>
      </c>
      <c r="G25" s="524">
        <f t="shared" si="12"/>
        <v>830480.88042176457</v>
      </c>
      <c r="H25" s="491">
        <f t="shared" si="13"/>
        <v>830480.88042176457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5268352.2963356562</v>
      </c>
      <c r="E26" s="522">
        <f>IF(+I14&lt;F25,I14,D26)</f>
        <v>155147.23119047622</v>
      </c>
      <c r="F26" s="523">
        <f t="shared" si="11"/>
        <v>5113205.0651451796</v>
      </c>
      <c r="G26" s="524">
        <f t="shared" si="12"/>
        <v>810881.62904153904</v>
      </c>
      <c r="H26" s="491">
        <f t="shared" si="13"/>
        <v>810881.62904153904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5113205.0651451796</v>
      </c>
      <c r="E27" s="522">
        <f>IF(+I14&lt;F26,I14,D27)</f>
        <v>155147.23119047622</v>
      </c>
      <c r="F27" s="523">
        <f t="shared" si="11"/>
        <v>4958057.8339547031</v>
      </c>
      <c r="G27" s="524">
        <f t="shared" si="12"/>
        <v>791282.37766131351</v>
      </c>
      <c r="H27" s="491">
        <f t="shared" si="13"/>
        <v>791282.37766131351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4958057.8339547031</v>
      </c>
      <c r="E28" s="522">
        <f>IF(+I14&lt;F27,I14,D28)</f>
        <v>155147.23119047622</v>
      </c>
      <c r="F28" s="523">
        <f t="shared" si="11"/>
        <v>4802910.6027642265</v>
      </c>
      <c r="G28" s="524">
        <f t="shared" si="12"/>
        <v>771683.12628108799</v>
      </c>
      <c r="H28" s="491">
        <f t="shared" si="13"/>
        <v>771683.12628108799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4802910.6027642265</v>
      </c>
      <c r="E29" s="522">
        <f>IF(+I14&lt;F28,I14,D29)</f>
        <v>155147.23119047622</v>
      </c>
      <c r="F29" s="523">
        <f t="shared" si="11"/>
        <v>4647763.3715737499</v>
      </c>
      <c r="G29" s="524">
        <f t="shared" si="12"/>
        <v>752083.87490086246</v>
      </c>
      <c r="H29" s="491">
        <f t="shared" si="13"/>
        <v>752083.87490086246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4647763.3715737499</v>
      </c>
      <c r="E30" s="522">
        <f>IF(+I14&lt;F29,I14,D30)</f>
        <v>155147.23119047622</v>
      </c>
      <c r="F30" s="523">
        <f t="shared" si="11"/>
        <v>4492616.1403832734</v>
      </c>
      <c r="G30" s="524">
        <f t="shared" si="12"/>
        <v>732484.62352063693</v>
      </c>
      <c r="H30" s="491">
        <f t="shared" si="13"/>
        <v>732484.62352063693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4492616.1403832734</v>
      </c>
      <c r="E31" s="522">
        <f>IF(+I14&lt;F30,I14,D31)</f>
        <v>155147.23119047622</v>
      </c>
      <c r="F31" s="523">
        <f t="shared" si="11"/>
        <v>4337468.9091927968</v>
      </c>
      <c r="G31" s="524">
        <f t="shared" si="12"/>
        <v>712885.37214041152</v>
      </c>
      <c r="H31" s="491">
        <f t="shared" si="13"/>
        <v>712885.37214041152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4337468.9091927968</v>
      </c>
      <c r="E32" s="522">
        <f>IF(+I14&lt;F31,I14,D32)</f>
        <v>155147.23119047622</v>
      </c>
      <c r="F32" s="523">
        <f t="shared" si="11"/>
        <v>4182321.6780023207</v>
      </c>
      <c r="G32" s="524">
        <f t="shared" si="12"/>
        <v>693286.12076018599</v>
      </c>
      <c r="H32" s="491">
        <f t="shared" si="13"/>
        <v>693286.12076018599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4182321.6780023207</v>
      </c>
      <c r="E33" s="522">
        <f>IF(+I14&lt;F32,I14,D33)</f>
        <v>155147.23119047622</v>
      </c>
      <c r="F33" s="523">
        <f t="shared" si="11"/>
        <v>4027174.4468118446</v>
      </c>
      <c r="G33" s="524">
        <f t="shared" si="12"/>
        <v>673686.86937996058</v>
      </c>
      <c r="H33" s="491">
        <f t="shared" si="13"/>
        <v>673686.86937996058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4027174.4468118446</v>
      </c>
      <c r="E34" s="522">
        <f>IF(+I14&lt;F33,I14,D34)</f>
        <v>155147.23119047622</v>
      </c>
      <c r="F34" s="523">
        <f t="shared" si="11"/>
        <v>3872027.2156213685</v>
      </c>
      <c r="G34" s="524">
        <f t="shared" si="12"/>
        <v>654087.61799973506</v>
      </c>
      <c r="H34" s="491">
        <f t="shared" si="13"/>
        <v>654087.61799973506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3872027.2156213685</v>
      </c>
      <c r="E35" s="522">
        <f>IF(+I14&lt;F34,I14,D35)</f>
        <v>155147.23119047622</v>
      </c>
      <c r="F35" s="523">
        <f t="shared" si="11"/>
        <v>3716879.9844308924</v>
      </c>
      <c r="G35" s="524">
        <f t="shared" si="12"/>
        <v>634488.36661950964</v>
      </c>
      <c r="H35" s="491">
        <f t="shared" si="13"/>
        <v>634488.36661950964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3716879.9844308924</v>
      </c>
      <c r="E36" s="522">
        <f>IF(+I14&lt;F35,I14,D36)</f>
        <v>155147.23119047622</v>
      </c>
      <c r="F36" s="523">
        <f t="shared" si="11"/>
        <v>3561732.7532404163</v>
      </c>
      <c r="G36" s="524">
        <f t="shared" si="12"/>
        <v>614889.11523928423</v>
      </c>
      <c r="H36" s="491">
        <f t="shared" si="13"/>
        <v>614889.11523928423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3561732.7532404163</v>
      </c>
      <c r="E37" s="522">
        <f>IF(+I14&lt;F36,I14,D37)</f>
        <v>155147.23119047622</v>
      </c>
      <c r="F37" s="523">
        <f t="shared" si="11"/>
        <v>3406585.5220499402</v>
      </c>
      <c r="G37" s="524">
        <f t="shared" si="12"/>
        <v>595289.86385905882</v>
      </c>
      <c r="H37" s="491">
        <f t="shared" si="13"/>
        <v>595289.86385905882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3406585.5220499402</v>
      </c>
      <c r="E38" s="522">
        <f>IF(+I14&lt;F37,I14,D38)</f>
        <v>155147.23119047622</v>
      </c>
      <c r="F38" s="523">
        <f t="shared" si="11"/>
        <v>3251438.2908594641</v>
      </c>
      <c r="G38" s="524">
        <f t="shared" si="12"/>
        <v>575690.61247883318</v>
      </c>
      <c r="H38" s="491">
        <f t="shared" si="13"/>
        <v>575690.61247883318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3251438.2908594641</v>
      </c>
      <c r="E39" s="522">
        <f>IF(+I14&lt;F38,I14,D39)</f>
        <v>155147.23119047622</v>
      </c>
      <c r="F39" s="523">
        <f t="shared" si="11"/>
        <v>3096291.059668988</v>
      </c>
      <c r="G39" s="524">
        <f t="shared" si="12"/>
        <v>556091.36109860789</v>
      </c>
      <c r="H39" s="491">
        <f t="shared" si="13"/>
        <v>556091.36109860789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3096291.059668988</v>
      </c>
      <c r="E40" s="522">
        <f>IF(+I14&lt;F39,I14,D40)</f>
        <v>155147.23119047622</v>
      </c>
      <c r="F40" s="523">
        <f t="shared" si="11"/>
        <v>2941143.8284785119</v>
      </c>
      <c r="G40" s="524">
        <f t="shared" si="12"/>
        <v>536492.10971838236</v>
      </c>
      <c r="H40" s="491">
        <f t="shared" si="13"/>
        <v>536492.10971838236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2941143.8284785119</v>
      </c>
      <c r="E41" s="522">
        <f>IF(+I14&lt;F40,I14,D41)</f>
        <v>155147.23119047622</v>
      </c>
      <c r="F41" s="523">
        <f t="shared" si="11"/>
        <v>2785996.5972880358</v>
      </c>
      <c r="G41" s="524">
        <f t="shared" si="12"/>
        <v>516892.85833815695</v>
      </c>
      <c r="H41" s="491">
        <f t="shared" si="13"/>
        <v>516892.85833815695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2785996.5972880358</v>
      </c>
      <c r="E42" s="522">
        <f>IF(+I14&lt;F41,I14,D42)</f>
        <v>155147.23119047622</v>
      </c>
      <c r="F42" s="523">
        <f t="shared" si="11"/>
        <v>2630849.3660975597</v>
      </c>
      <c r="G42" s="524">
        <f t="shared" si="12"/>
        <v>497293.60695793148</v>
      </c>
      <c r="H42" s="491">
        <f t="shared" si="13"/>
        <v>497293.60695793148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2630849.3660975597</v>
      </c>
      <c r="E43" s="522">
        <f>IF(+I14&lt;F42,I14,D43)</f>
        <v>155147.23119047622</v>
      </c>
      <c r="F43" s="523">
        <f t="shared" si="11"/>
        <v>2475702.1349070836</v>
      </c>
      <c r="G43" s="524">
        <f t="shared" si="12"/>
        <v>477694.35557770607</v>
      </c>
      <c r="H43" s="491">
        <f t="shared" si="13"/>
        <v>477694.35557770607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2475702.1349070836</v>
      </c>
      <c r="E44" s="522">
        <f>IF(+I14&lt;F43,I14,D44)</f>
        <v>155147.23119047622</v>
      </c>
      <c r="F44" s="523">
        <f t="shared" si="11"/>
        <v>2320554.9037166075</v>
      </c>
      <c r="G44" s="524">
        <f t="shared" si="12"/>
        <v>458095.10419748054</v>
      </c>
      <c r="H44" s="491">
        <f t="shared" si="13"/>
        <v>458095.10419748054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2320554.9037166075</v>
      </c>
      <c r="E45" s="522">
        <f>IF(+I14&lt;F44,I14,D45)</f>
        <v>155147.23119047622</v>
      </c>
      <c r="F45" s="523">
        <f t="shared" si="11"/>
        <v>2165407.6725261314</v>
      </c>
      <c r="G45" s="524">
        <f t="shared" si="12"/>
        <v>438495.85281725519</v>
      </c>
      <c r="H45" s="491">
        <f t="shared" si="13"/>
        <v>438495.85281725519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2165407.6725261314</v>
      </c>
      <c r="E46" s="522">
        <f>IF(+I14&lt;F45,I14,D46)</f>
        <v>155147.23119047622</v>
      </c>
      <c r="F46" s="523">
        <f t="shared" si="11"/>
        <v>2010260.4413356553</v>
      </c>
      <c r="G46" s="524">
        <f t="shared" si="12"/>
        <v>418896.60143702972</v>
      </c>
      <c r="H46" s="491">
        <f t="shared" si="13"/>
        <v>418896.60143702972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2010260.4413356553</v>
      </c>
      <c r="E47" s="522">
        <f>IF(+I14&lt;F46,I14,D47)</f>
        <v>155147.23119047622</v>
      </c>
      <c r="F47" s="523">
        <f t="shared" si="11"/>
        <v>1855113.2101451792</v>
      </c>
      <c r="G47" s="524">
        <f t="shared" si="12"/>
        <v>399297.35005680425</v>
      </c>
      <c r="H47" s="491">
        <f t="shared" si="13"/>
        <v>399297.35005680425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1855113.2101451792</v>
      </c>
      <c r="E48" s="522">
        <f>IF(+I14&lt;F47,I14,D48)</f>
        <v>155147.23119047622</v>
      </c>
      <c r="F48" s="523">
        <f t="shared" si="11"/>
        <v>1699965.9789547031</v>
      </c>
      <c r="G48" s="524">
        <f t="shared" si="12"/>
        <v>379698.09867657884</v>
      </c>
      <c r="H48" s="491">
        <f t="shared" si="13"/>
        <v>379698.09867657884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1699965.9789547031</v>
      </c>
      <c r="E49" s="522">
        <f>IF(+I14&lt;F48,I14,D49)</f>
        <v>155147.23119047622</v>
      </c>
      <c r="F49" s="523">
        <f t="shared" si="11"/>
        <v>1544818.747764227</v>
      </c>
      <c r="G49" s="524">
        <f t="shared" ref="G49:G72" si="14">+I$12*((D49+F49)/2)+E49</f>
        <v>360098.84729635331</v>
      </c>
      <c r="H49" s="491">
        <f t="shared" ref="H49:H72" si="15">+I$13*((D49+F49)/2)+E49</f>
        <v>360098.84729635331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1544818.747764227</v>
      </c>
      <c r="E50" s="522">
        <f>IF(+I14&lt;F49,I14,D50)</f>
        <v>155147.23119047622</v>
      </c>
      <c r="F50" s="523">
        <f t="shared" si="11"/>
        <v>1389671.5165737509</v>
      </c>
      <c r="G50" s="524">
        <f t="shared" si="14"/>
        <v>340499.5959161279</v>
      </c>
      <c r="H50" s="491">
        <f t="shared" si="15"/>
        <v>340499.5959161279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1389671.5165737509</v>
      </c>
      <c r="E51" s="522">
        <f>IF(+I14&lt;F50,I14,D51)</f>
        <v>155147.23119047622</v>
      </c>
      <c r="F51" s="523">
        <f t="shared" si="11"/>
        <v>1234524.2853832748</v>
      </c>
      <c r="G51" s="524">
        <f t="shared" si="14"/>
        <v>320900.34453590249</v>
      </c>
      <c r="H51" s="491">
        <f t="shared" si="15"/>
        <v>320900.34453590249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1234524.2853832748</v>
      </c>
      <c r="E52" s="522">
        <f>IF(+I14&lt;F51,I14,D52)</f>
        <v>155147.23119047622</v>
      </c>
      <c r="F52" s="523">
        <f t="shared" si="11"/>
        <v>1079377.0541927987</v>
      </c>
      <c r="G52" s="524">
        <f t="shared" si="14"/>
        <v>301301.09315567696</v>
      </c>
      <c r="H52" s="491">
        <f t="shared" si="15"/>
        <v>301301.09315567696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1079377.0541927987</v>
      </c>
      <c r="E53" s="522">
        <f>IF(+I14&lt;F52,I14,D53)</f>
        <v>155147.23119047622</v>
      </c>
      <c r="F53" s="523">
        <f t="shared" si="11"/>
        <v>924229.82300232246</v>
      </c>
      <c r="G53" s="524">
        <f t="shared" si="14"/>
        <v>281701.84177545155</v>
      </c>
      <c r="H53" s="491">
        <f t="shared" si="15"/>
        <v>281701.84177545155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924229.82300232246</v>
      </c>
      <c r="E54" s="522">
        <f>IF(+I14&lt;F53,I14,D54)</f>
        <v>155147.23119047622</v>
      </c>
      <c r="F54" s="523">
        <f t="shared" si="11"/>
        <v>769082.59181184624</v>
      </c>
      <c r="G54" s="524">
        <f t="shared" si="14"/>
        <v>262102.59039522609</v>
      </c>
      <c r="H54" s="491">
        <f t="shared" si="15"/>
        <v>262102.59039522609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769082.59181184624</v>
      </c>
      <c r="E55" s="522">
        <f>IF(+I14&lt;F54,I14,D55)</f>
        <v>155147.23119047622</v>
      </c>
      <c r="F55" s="523">
        <f t="shared" si="11"/>
        <v>613935.36062137003</v>
      </c>
      <c r="G55" s="524">
        <f t="shared" si="14"/>
        <v>242503.33901500062</v>
      </c>
      <c r="H55" s="491">
        <f t="shared" si="15"/>
        <v>242503.33901500062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613935.36062137003</v>
      </c>
      <c r="E56" s="522">
        <f>IF(+I14&lt;F55,I14,D56)</f>
        <v>155147.23119047622</v>
      </c>
      <c r="F56" s="523">
        <f t="shared" si="11"/>
        <v>458788.12943089381</v>
      </c>
      <c r="G56" s="524">
        <f t="shared" si="14"/>
        <v>222904.08763477515</v>
      </c>
      <c r="H56" s="491">
        <f t="shared" si="15"/>
        <v>222904.08763477515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458788.12943089381</v>
      </c>
      <c r="E57" s="522">
        <f>IF(+I14&lt;F56,I14,D57)</f>
        <v>155147.23119047622</v>
      </c>
      <c r="F57" s="523">
        <f t="shared" si="11"/>
        <v>303640.89824041759</v>
      </c>
      <c r="G57" s="524">
        <f t="shared" si="14"/>
        <v>203304.83625454968</v>
      </c>
      <c r="H57" s="491">
        <f t="shared" si="15"/>
        <v>203304.83625454968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303640.89824041759</v>
      </c>
      <c r="E58" s="522">
        <f>IF(+I14&lt;F57,I14,D58)</f>
        <v>155147.23119047622</v>
      </c>
      <c r="F58" s="523">
        <f t="shared" si="11"/>
        <v>148493.66704994137</v>
      </c>
      <c r="G58" s="524">
        <f t="shared" si="14"/>
        <v>183705.58487432421</v>
      </c>
      <c r="H58" s="491">
        <f t="shared" si="15"/>
        <v>183705.58487432421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148493.66704994137</v>
      </c>
      <c r="E59" s="522">
        <f>IF(+I14&lt;F58,I14,D59)</f>
        <v>148493.66704994137</v>
      </c>
      <c r="F59" s="523">
        <f t="shared" si="11"/>
        <v>0</v>
      </c>
      <c r="G59" s="524">
        <f t="shared" si="14"/>
        <v>157873.03104680902</v>
      </c>
      <c r="H59" s="491">
        <f t="shared" si="15"/>
        <v>157873.03104680902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1"/>
        <v>0</v>
      </c>
      <c r="G60" s="524">
        <f t="shared" si="14"/>
        <v>0</v>
      </c>
      <c r="H60" s="491">
        <f t="shared" si="15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1"/>
        <v>0</v>
      </c>
      <c r="G61" s="526">
        <f t="shared" si="14"/>
        <v>0</v>
      </c>
      <c r="H61" s="491">
        <f t="shared" si="15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1"/>
        <v>0</v>
      </c>
      <c r="G62" s="526">
        <f t="shared" si="14"/>
        <v>0</v>
      </c>
      <c r="H62" s="491">
        <f t="shared" si="15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1"/>
        <v>0</v>
      </c>
      <c r="G63" s="526">
        <f t="shared" si="14"/>
        <v>0</v>
      </c>
      <c r="H63" s="491">
        <f t="shared" si="15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1"/>
        <v>0</v>
      </c>
      <c r="G64" s="526">
        <f t="shared" si="14"/>
        <v>0</v>
      </c>
      <c r="H64" s="491">
        <f t="shared" si="15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1"/>
        <v>0</v>
      </c>
      <c r="G65" s="526">
        <f t="shared" si="14"/>
        <v>0</v>
      </c>
      <c r="H65" s="491">
        <f t="shared" si="15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1"/>
        <v>0</v>
      </c>
      <c r="G66" s="526">
        <f t="shared" si="14"/>
        <v>0</v>
      </c>
      <c r="H66" s="491">
        <f t="shared" si="15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1"/>
        <v>0</v>
      </c>
      <c r="G67" s="526">
        <f t="shared" si="14"/>
        <v>0</v>
      </c>
      <c r="H67" s="491">
        <f t="shared" si="15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1"/>
        <v>0</v>
      </c>
      <c r="G68" s="526">
        <f t="shared" si="14"/>
        <v>0</v>
      </c>
      <c r="H68" s="491">
        <f t="shared" si="15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1"/>
        <v>0</v>
      </c>
      <c r="G69" s="526">
        <f t="shared" si="14"/>
        <v>0</v>
      </c>
      <c r="H69" s="491">
        <f t="shared" si="15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1"/>
        <v>0</v>
      </c>
      <c r="G70" s="526">
        <f t="shared" si="14"/>
        <v>0</v>
      </c>
      <c r="H70" s="491">
        <f t="shared" si="15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1"/>
        <v>0</v>
      </c>
      <c r="G71" s="526">
        <f t="shared" si="14"/>
        <v>0</v>
      </c>
      <c r="H71" s="491">
        <f t="shared" si="15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1"/>
        <v>0</v>
      </c>
      <c r="G72" s="530">
        <f t="shared" si="14"/>
        <v>0</v>
      </c>
      <c r="H72" s="471">
        <f t="shared" si="15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6516183.7100000037</v>
      </c>
      <c r="F73" s="375"/>
      <c r="G73" s="375">
        <f>SUM(G17:G72)</f>
        <v>23804819.565884653</v>
      </c>
      <c r="H73" s="375">
        <f>SUM(H17:H72)</f>
        <v>23804819.565884653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66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788397.59733237652</v>
      </c>
      <c r="N87" s="546">
        <f>IF(J92&lt;D11,0,VLOOKUP(J92,C17:O72,11))</f>
        <v>788397.59733237652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828436.1620504267</v>
      </c>
      <c r="N88" s="550">
        <f>IF(J92&lt;D11,0,VLOOKUP(J92,C99:P154,7))</f>
        <v>828436.1620504267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Broadmoor - Fort Humbug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40038.564718050184</v>
      </c>
      <c r="N89" s="555">
        <f>+N88-N87</f>
        <v>40038.564718050184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TP2013165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6516184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7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158931.31707317074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49">
        <v>0</v>
      </c>
      <c r="E99" s="650">
        <v>77147.607142857145</v>
      </c>
      <c r="F99" s="651">
        <v>6403251.3928571427</v>
      </c>
      <c r="G99" s="652">
        <v>3201625.6964285714</v>
      </c>
      <c r="H99" s="653">
        <v>466053.74744652997</v>
      </c>
      <c r="I99" s="654">
        <v>466053.74744652997</v>
      </c>
      <c r="J99" s="514">
        <f t="shared" ref="J99:J130" si="16">+I99-H99</f>
        <v>0</v>
      </c>
      <c r="K99" s="514"/>
      <c r="L99" s="512">
        <f>+H99</f>
        <v>466053.74744652997</v>
      </c>
      <c r="M99" s="513">
        <f t="shared" ref="M99:M130" si="17">IF(L99&lt;&gt;0,+H99-L99,0)</f>
        <v>0</v>
      </c>
      <c r="N99" s="512">
        <f>+I99</f>
        <v>466053.74744652997</v>
      </c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6428757.3928571427</v>
      </c>
      <c r="E100" s="630">
        <v>154902.5</v>
      </c>
      <c r="F100" s="631">
        <v>6273854.8928571427</v>
      </c>
      <c r="G100" s="631">
        <v>6351306.1428571427</v>
      </c>
      <c r="H100" s="633">
        <v>825629.55463111226</v>
      </c>
      <c r="I100" s="634">
        <v>825629.55463111226</v>
      </c>
      <c r="J100" s="514">
        <f t="shared" si="16"/>
        <v>0</v>
      </c>
      <c r="K100" s="514"/>
      <c r="L100" s="655">
        <f>+H100</f>
        <v>825629.55463111226</v>
      </c>
      <c r="M100" s="514">
        <f t="shared" si="17"/>
        <v>0</v>
      </c>
      <c r="N100" s="655">
        <f>+I100</f>
        <v>825629.55463111226</v>
      </c>
      <c r="O100" s="514">
        <f t="shared" si="18"/>
        <v>0</v>
      </c>
      <c r="P100" s="514">
        <f t="shared" si="19"/>
        <v>0</v>
      </c>
    </row>
    <row r="101" spans="1:16" ht="12.5">
      <c r="B101" s="195" t="str">
        <f t="shared" ref="B101:B154" si="20">IF(D101=F100,"","IU")</f>
        <v>IU</v>
      </c>
      <c r="C101" s="507">
        <f>IF(D93="","-",+C100+1)</f>
        <v>2019</v>
      </c>
      <c r="D101" s="629">
        <v>6284133.8928571427</v>
      </c>
      <c r="E101" s="630">
        <v>151539.16279069768</v>
      </c>
      <c r="F101" s="631">
        <v>6132594.7300664447</v>
      </c>
      <c r="G101" s="631">
        <v>6208364.3114617933</v>
      </c>
      <c r="H101" s="633">
        <v>816085.87182179838</v>
      </c>
      <c r="I101" s="634">
        <v>816085.87182179838</v>
      </c>
      <c r="J101" s="514">
        <f t="shared" si="16"/>
        <v>0</v>
      </c>
      <c r="K101" s="514"/>
      <c r="L101" s="655">
        <f>+H101</f>
        <v>816085.87182179838</v>
      </c>
      <c r="M101" s="514">
        <f t="shared" ref="M101:M102" si="21">IF(L101&lt;&gt;0,+H101-L101,0)</f>
        <v>0</v>
      </c>
      <c r="N101" s="655">
        <f>+I101</f>
        <v>816085.87182179838</v>
      </c>
      <c r="O101" s="514">
        <f t="shared" si="18"/>
        <v>0</v>
      </c>
      <c r="P101" s="514">
        <f t="shared" si="19"/>
        <v>0</v>
      </c>
    </row>
    <row r="102" spans="1:16" ht="12.5">
      <c r="B102" s="195" t="str">
        <f t="shared" si="20"/>
        <v/>
      </c>
      <c r="C102" s="507">
        <f>IF(D93="","-",+C101+1)</f>
        <v>2020</v>
      </c>
      <c r="D102" s="629">
        <v>6132594.7300664447</v>
      </c>
      <c r="E102" s="630">
        <v>155147.23809523811</v>
      </c>
      <c r="F102" s="631">
        <v>5977447.4919712069</v>
      </c>
      <c r="G102" s="631">
        <v>6055021.1110188253</v>
      </c>
      <c r="H102" s="633">
        <v>806509.06488040695</v>
      </c>
      <c r="I102" s="634">
        <v>806509.06488040695</v>
      </c>
      <c r="J102" s="514">
        <f t="shared" si="16"/>
        <v>0</v>
      </c>
      <c r="K102" s="514"/>
      <c r="L102" s="655">
        <f>+H102</f>
        <v>806509.06488040695</v>
      </c>
      <c r="M102" s="514">
        <f t="shared" si="21"/>
        <v>0</v>
      </c>
      <c r="N102" s="655">
        <f>+I102</f>
        <v>806509.06488040695</v>
      </c>
      <c r="O102" s="514">
        <f t="shared" si="18"/>
        <v>0</v>
      </c>
      <c r="P102" s="514">
        <f t="shared" si="19"/>
        <v>0</v>
      </c>
    </row>
    <row r="103" spans="1:16" ht="12.5">
      <c r="B103" s="195" t="str">
        <f t="shared" si="20"/>
        <v/>
      </c>
      <c r="C103" s="507">
        <f>IF(D93="","-",+C102+1)</f>
        <v>2021</v>
      </c>
      <c r="D103" s="374">
        <f>IF(F102+SUM(E$99:E102)=D$92,F102,D$92-SUM(E$99:E102))</f>
        <v>5977447.4919712069</v>
      </c>
      <c r="E103" s="522">
        <f>IF(+J96&lt;F102,J96,D103)</f>
        <v>158931.31707317074</v>
      </c>
      <c r="F103" s="523">
        <f t="shared" ref="F103:F130" si="22">+D103-E103</f>
        <v>5818516.1748980358</v>
      </c>
      <c r="G103" s="523">
        <f t="shared" ref="G103:G130" si="23">+(F103+D103)/2</f>
        <v>5897981.8334346209</v>
      </c>
      <c r="H103" s="526">
        <f t="shared" ref="H103:H154" si="24">+J$94*G103+E103</f>
        <v>828436.1620504267</v>
      </c>
      <c r="I103" s="577">
        <f t="shared" ref="I103:I154" si="25">+J$95*G103+E103</f>
        <v>828436.1620504267</v>
      </c>
      <c r="J103" s="514">
        <f t="shared" si="16"/>
        <v>0</v>
      </c>
      <c r="K103" s="514"/>
      <c r="L103" s="525"/>
      <c r="M103" s="514">
        <f t="shared" si="17"/>
        <v>0</v>
      </c>
      <c r="N103" s="525"/>
      <c r="O103" s="514">
        <f t="shared" si="18"/>
        <v>0</v>
      </c>
      <c r="P103" s="514">
        <f t="shared" si="19"/>
        <v>0</v>
      </c>
    </row>
    <row r="104" spans="1:16" ht="12.5">
      <c r="B104" s="195" t="str">
        <f t="shared" si="20"/>
        <v/>
      </c>
      <c r="C104" s="507">
        <f>IF(D93="","-",+C103+1)</f>
        <v>2022</v>
      </c>
      <c r="D104" s="374">
        <f>IF(F103+SUM(E$99:E103)=D$92,F103,D$92-SUM(E$99:E103))</f>
        <v>5818516.1748980358</v>
      </c>
      <c r="E104" s="522">
        <f>IF(+J96&lt;F103,J96,D104)</f>
        <v>158931.31707317074</v>
      </c>
      <c r="F104" s="523">
        <f t="shared" si="22"/>
        <v>5659584.8578248648</v>
      </c>
      <c r="G104" s="523">
        <f t="shared" si="23"/>
        <v>5739050.5163614508</v>
      </c>
      <c r="H104" s="526">
        <f t="shared" si="24"/>
        <v>810395.19654661464</v>
      </c>
      <c r="I104" s="577">
        <f t="shared" si="25"/>
        <v>810395.19654661464</v>
      </c>
      <c r="J104" s="514">
        <f t="shared" si="16"/>
        <v>0</v>
      </c>
      <c r="K104" s="514"/>
      <c r="L104" s="525"/>
      <c r="M104" s="514">
        <f t="shared" si="17"/>
        <v>0</v>
      </c>
      <c r="N104" s="525"/>
      <c r="O104" s="514">
        <f t="shared" si="18"/>
        <v>0</v>
      </c>
      <c r="P104" s="514">
        <f t="shared" si="19"/>
        <v>0</v>
      </c>
    </row>
    <row r="105" spans="1:16" ht="12.5">
      <c r="B105" s="195" t="str">
        <f t="shared" si="20"/>
        <v/>
      </c>
      <c r="C105" s="507">
        <f>IF(D93="","-",+C104+1)</f>
        <v>2023</v>
      </c>
      <c r="D105" s="374">
        <f>IF(F104+SUM(E$99:E104)=D$92,F104,D$92-SUM(E$99:E104))</f>
        <v>5659584.8578248648</v>
      </c>
      <c r="E105" s="522">
        <f>IF(+J96&lt;F104,J96,D105)</f>
        <v>158931.31707317074</v>
      </c>
      <c r="F105" s="523">
        <f t="shared" si="22"/>
        <v>5500653.5407516938</v>
      </c>
      <c r="G105" s="523">
        <f t="shared" si="23"/>
        <v>5580119.1992882788</v>
      </c>
      <c r="H105" s="526">
        <f t="shared" si="24"/>
        <v>792354.23104280257</v>
      </c>
      <c r="I105" s="577">
        <f t="shared" si="25"/>
        <v>792354.23104280257</v>
      </c>
      <c r="J105" s="514">
        <f t="shared" si="16"/>
        <v>0</v>
      </c>
      <c r="K105" s="514"/>
      <c r="L105" s="525"/>
      <c r="M105" s="514">
        <f t="shared" si="17"/>
        <v>0</v>
      </c>
      <c r="N105" s="525"/>
      <c r="O105" s="514">
        <f t="shared" si="18"/>
        <v>0</v>
      </c>
      <c r="P105" s="514">
        <f t="shared" si="19"/>
        <v>0</v>
      </c>
    </row>
    <row r="106" spans="1:16" ht="12.5">
      <c r="B106" s="195" t="str">
        <f t="shared" si="20"/>
        <v/>
      </c>
      <c r="C106" s="507">
        <f>IF(D93="","-",+C105+1)</f>
        <v>2024</v>
      </c>
      <c r="D106" s="374">
        <f>IF(F105+SUM(E$99:E105)=D$92,F105,D$92-SUM(E$99:E105))</f>
        <v>5500653.5407516938</v>
      </c>
      <c r="E106" s="522">
        <f>IF(+J96&lt;F105,J96,D106)</f>
        <v>158931.31707317074</v>
      </c>
      <c r="F106" s="523">
        <f t="shared" si="22"/>
        <v>5341722.2236785227</v>
      </c>
      <c r="G106" s="523">
        <f t="shared" si="23"/>
        <v>5421187.8822151087</v>
      </c>
      <c r="H106" s="526">
        <f t="shared" si="24"/>
        <v>774313.2655389905</v>
      </c>
      <c r="I106" s="577">
        <f t="shared" si="25"/>
        <v>774313.2655389905</v>
      </c>
      <c r="J106" s="514">
        <f t="shared" si="16"/>
        <v>0</v>
      </c>
      <c r="K106" s="514"/>
      <c r="L106" s="525"/>
      <c r="M106" s="514">
        <f t="shared" si="17"/>
        <v>0</v>
      </c>
      <c r="N106" s="525"/>
      <c r="O106" s="514">
        <f t="shared" si="18"/>
        <v>0</v>
      </c>
      <c r="P106" s="514">
        <f t="shared" si="19"/>
        <v>0</v>
      </c>
    </row>
    <row r="107" spans="1:16" ht="12.5">
      <c r="B107" s="195" t="str">
        <f t="shared" si="20"/>
        <v/>
      </c>
      <c r="C107" s="507">
        <f>IF(D93="","-",+C106+1)</f>
        <v>2025</v>
      </c>
      <c r="D107" s="374">
        <f>IF(F106+SUM(E$99:E106)=D$92,F106,D$92-SUM(E$99:E106))</f>
        <v>5341722.2236785227</v>
      </c>
      <c r="E107" s="522">
        <f>IF(+J96&lt;F106,J96,D107)</f>
        <v>158931.31707317074</v>
      </c>
      <c r="F107" s="523">
        <f t="shared" si="22"/>
        <v>5182790.9066053517</v>
      </c>
      <c r="G107" s="523">
        <f t="shared" si="23"/>
        <v>5262256.5651419368</v>
      </c>
      <c r="H107" s="526">
        <f t="shared" si="24"/>
        <v>756272.3000351782</v>
      </c>
      <c r="I107" s="577">
        <f t="shared" si="25"/>
        <v>756272.3000351782</v>
      </c>
      <c r="J107" s="514">
        <f t="shared" si="16"/>
        <v>0</v>
      </c>
      <c r="K107" s="514"/>
      <c r="L107" s="525"/>
      <c r="M107" s="514">
        <f t="shared" si="17"/>
        <v>0</v>
      </c>
      <c r="N107" s="525"/>
      <c r="O107" s="514">
        <f t="shared" si="18"/>
        <v>0</v>
      </c>
      <c r="P107" s="514">
        <f t="shared" si="19"/>
        <v>0</v>
      </c>
    </row>
    <row r="108" spans="1:16" ht="12.5">
      <c r="B108" s="195" t="str">
        <f t="shared" si="20"/>
        <v/>
      </c>
      <c r="C108" s="507">
        <f>IF(D93="","-",+C107+1)</f>
        <v>2026</v>
      </c>
      <c r="D108" s="374">
        <f>IF(F107+SUM(E$99:E107)=D$92,F107,D$92-SUM(E$99:E107))</f>
        <v>5182790.9066053517</v>
      </c>
      <c r="E108" s="522">
        <f>IF(+J96&lt;F107,J96,D108)</f>
        <v>158931.31707317074</v>
      </c>
      <c r="F108" s="523">
        <f t="shared" si="22"/>
        <v>5023859.5895321807</v>
      </c>
      <c r="G108" s="523">
        <f t="shared" si="23"/>
        <v>5103325.2480687667</v>
      </c>
      <c r="H108" s="526">
        <f t="shared" si="24"/>
        <v>738231.33453136636</v>
      </c>
      <c r="I108" s="577">
        <f t="shared" si="25"/>
        <v>738231.33453136636</v>
      </c>
      <c r="J108" s="514">
        <f t="shared" si="16"/>
        <v>0</v>
      </c>
      <c r="K108" s="514"/>
      <c r="L108" s="525"/>
      <c r="M108" s="514">
        <f t="shared" si="17"/>
        <v>0</v>
      </c>
      <c r="N108" s="525"/>
      <c r="O108" s="514">
        <f t="shared" si="18"/>
        <v>0</v>
      </c>
      <c r="P108" s="514">
        <f t="shared" si="19"/>
        <v>0</v>
      </c>
    </row>
    <row r="109" spans="1:16" ht="12.5">
      <c r="B109" s="195" t="str">
        <f t="shared" si="20"/>
        <v/>
      </c>
      <c r="C109" s="507">
        <f>IF(D93="","-",+C108+1)</f>
        <v>2027</v>
      </c>
      <c r="D109" s="374">
        <f>IF(F108+SUM(E$99:E108)=D$92,F108,D$92-SUM(E$99:E108))</f>
        <v>5023859.5895321807</v>
      </c>
      <c r="E109" s="522">
        <f>IF(+J96&lt;F108,J96,D109)</f>
        <v>158931.31707317074</v>
      </c>
      <c r="F109" s="523">
        <f t="shared" si="22"/>
        <v>4864928.2724590097</v>
      </c>
      <c r="G109" s="523">
        <f t="shared" si="23"/>
        <v>4944393.9309955947</v>
      </c>
      <c r="H109" s="526">
        <f t="shared" si="24"/>
        <v>720190.36902755406</v>
      </c>
      <c r="I109" s="577">
        <f t="shared" si="25"/>
        <v>720190.36902755406</v>
      </c>
      <c r="J109" s="514">
        <f t="shared" si="16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 ht="12.5">
      <c r="B110" s="195" t="str">
        <f t="shared" si="20"/>
        <v/>
      </c>
      <c r="C110" s="507">
        <f>IF(D93="","-",+C109+1)</f>
        <v>2028</v>
      </c>
      <c r="D110" s="374">
        <f>IF(F109+SUM(E$99:E109)=D$92,F109,D$92-SUM(E$99:E109))</f>
        <v>4864928.2724590097</v>
      </c>
      <c r="E110" s="522">
        <f>IF(+J96&lt;F109,J96,D110)</f>
        <v>158931.31707317074</v>
      </c>
      <c r="F110" s="523">
        <f t="shared" si="22"/>
        <v>4705996.9553858386</v>
      </c>
      <c r="G110" s="523">
        <f t="shared" si="23"/>
        <v>4785462.6139224246</v>
      </c>
      <c r="H110" s="526">
        <f t="shared" si="24"/>
        <v>702149.40352374199</v>
      </c>
      <c r="I110" s="577">
        <f t="shared" si="25"/>
        <v>702149.40352374199</v>
      </c>
      <c r="J110" s="514">
        <f t="shared" si="16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 ht="12.5">
      <c r="B111" s="195" t="str">
        <f t="shared" si="20"/>
        <v/>
      </c>
      <c r="C111" s="507">
        <f>IF(D93="","-",+C110+1)</f>
        <v>2029</v>
      </c>
      <c r="D111" s="374">
        <f>IF(F110+SUM(E$99:E110)=D$92,F110,D$92-SUM(E$99:E110))</f>
        <v>4705996.9553858386</v>
      </c>
      <c r="E111" s="522">
        <f>IF(+J96&lt;F110,J96,D111)</f>
        <v>158931.31707317074</v>
      </c>
      <c r="F111" s="523">
        <f t="shared" si="22"/>
        <v>4547065.6383126676</v>
      </c>
      <c r="G111" s="523">
        <f t="shared" si="23"/>
        <v>4626531.2968492527</v>
      </c>
      <c r="H111" s="526">
        <f t="shared" si="24"/>
        <v>684108.43801992992</v>
      </c>
      <c r="I111" s="577">
        <f t="shared" si="25"/>
        <v>684108.43801992992</v>
      </c>
      <c r="J111" s="514">
        <f t="shared" si="16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 ht="12.5">
      <c r="B112" s="195" t="str">
        <f t="shared" si="20"/>
        <v/>
      </c>
      <c r="C112" s="507">
        <f>IF(D93="","-",+C111+1)</f>
        <v>2030</v>
      </c>
      <c r="D112" s="374">
        <f>IF(F111+SUM(E$99:E111)=D$92,F111,D$92-SUM(E$99:E111))</f>
        <v>4547065.6383126676</v>
      </c>
      <c r="E112" s="522">
        <f>IF(+J96&lt;F111,J96,D112)</f>
        <v>158931.31707317074</v>
      </c>
      <c r="F112" s="523">
        <f t="shared" si="22"/>
        <v>4388134.3212394966</v>
      </c>
      <c r="G112" s="523">
        <f t="shared" si="23"/>
        <v>4467599.9797760826</v>
      </c>
      <c r="H112" s="526">
        <f t="shared" si="24"/>
        <v>666067.47251611785</v>
      </c>
      <c r="I112" s="577">
        <f t="shared" si="25"/>
        <v>666067.47251611785</v>
      </c>
      <c r="J112" s="514">
        <f t="shared" si="16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 ht="12.5">
      <c r="B113" s="195" t="str">
        <f t="shared" si="20"/>
        <v/>
      </c>
      <c r="C113" s="507">
        <f>IF(D93="","-",+C112+1)</f>
        <v>2031</v>
      </c>
      <c r="D113" s="374">
        <f>IF(F112+SUM(E$99:E112)=D$92,F112,D$92-SUM(E$99:E112))</f>
        <v>4388134.3212394966</v>
      </c>
      <c r="E113" s="522">
        <f>IF(+J96&lt;F112,J96,D113)</f>
        <v>158931.31707317074</v>
      </c>
      <c r="F113" s="523">
        <f t="shared" si="22"/>
        <v>4229203.0041663256</v>
      </c>
      <c r="G113" s="523">
        <f t="shared" si="23"/>
        <v>4308668.6627029106</v>
      </c>
      <c r="H113" s="526">
        <f t="shared" si="24"/>
        <v>648026.50701230566</v>
      </c>
      <c r="I113" s="577">
        <f t="shared" si="25"/>
        <v>648026.50701230566</v>
      </c>
      <c r="J113" s="514">
        <f t="shared" si="16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 ht="12.5">
      <c r="B114" s="195" t="str">
        <f t="shared" si="20"/>
        <v/>
      </c>
      <c r="C114" s="507">
        <f>IF(D93="","-",+C113+1)</f>
        <v>2032</v>
      </c>
      <c r="D114" s="374">
        <f>IF(F113+SUM(E$99:E113)=D$92,F113,D$92-SUM(E$99:E113))</f>
        <v>4229203.0041663256</v>
      </c>
      <c r="E114" s="522">
        <f>IF(+J96&lt;F113,J96,D114)</f>
        <v>158931.31707317074</v>
      </c>
      <c r="F114" s="523">
        <f t="shared" si="22"/>
        <v>4070271.687093155</v>
      </c>
      <c r="G114" s="523">
        <f t="shared" si="23"/>
        <v>4149737.3456297405</v>
      </c>
      <c r="H114" s="526">
        <f t="shared" si="24"/>
        <v>629985.54150849371</v>
      </c>
      <c r="I114" s="577">
        <f t="shared" si="25"/>
        <v>629985.54150849371</v>
      </c>
      <c r="J114" s="514">
        <f t="shared" si="16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 ht="12.5">
      <c r="B115" s="195" t="str">
        <f t="shared" si="20"/>
        <v/>
      </c>
      <c r="C115" s="507">
        <f>IF(D93="","-",+C114+1)</f>
        <v>2033</v>
      </c>
      <c r="D115" s="374">
        <f>IF(F114+SUM(E$99:E114)=D$92,F114,D$92-SUM(E$99:E114))</f>
        <v>4070271.687093155</v>
      </c>
      <c r="E115" s="522">
        <f>IF(+J96&lt;F114,J96,D115)</f>
        <v>158931.31707317074</v>
      </c>
      <c r="F115" s="523">
        <f t="shared" si="22"/>
        <v>3911340.3700199844</v>
      </c>
      <c r="G115" s="523">
        <f t="shared" si="23"/>
        <v>3990806.0285565695</v>
      </c>
      <c r="H115" s="526">
        <f t="shared" si="24"/>
        <v>611944.57600468153</v>
      </c>
      <c r="I115" s="577">
        <f t="shared" si="25"/>
        <v>611944.57600468153</v>
      </c>
      <c r="J115" s="514">
        <f t="shared" si="16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 ht="12.5">
      <c r="B116" s="195" t="str">
        <f t="shared" si="20"/>
        <v/>
      </c>
      <c r="C116" s="507">
        <f>IF(D93="","-",+C115+1)</f>
        <v>2034</v>
      </c>
      <c r="D116" s="374">
        <f>IF(F115+SUM(E$99:E115)=D$92,F115,D$92-SUM(E$99:E115))</f>
        <v>3911340.3700199844</v>
      </c>
      <c r="E116" s="522">
        <f>IF(+J96&lt;F115,J96,D116)</f>
        <v>158931.31707317074</v>
      </c>
      <c r="F116" s="523">
        <f t="shared" si="22"/>
        <v>3752409.0529468139</v>
      </c>
      <c r="G116" s="523">
        <f t="shared" si="23"/>
        <v>3831874.7114833994</v>
      </c>
      <c r="H116" s="526">
        <f t="shared" si="24"/>
        <v>593903.61050086957</v>
      </c>
      <c r="I116" s="577">
        <f t="shared" si="25"/>
        <v>593903.61050086957</v>
      </c>
      <c r="J116" s="514">
        <f t="shared" si="16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 ht="12.5">
      <c r="B117" s="195" t="str">
        <f t="shared" si="20"/>
        <v/>
      </c>
      <c r="C117" s="507">
        <f>IF(D93="","-",+C116+1)</f>
        <v>2035</v>
      </c>
      <c r="D117" s="374">
        <f>IF(F116+SUM(E$99:E116)=D$92,F116,D$92-SUM(E$99:E116))</f>
        <v>3752409.0529468139</v>
      </c>
      <c r="E117" s="522">
        <f>IF(+J96&lt;F116,J96,D117)</f>
        <v>158931.31707317074</v>
      </c>
      <c r="F117" s="523">
        <f t="shared" si="22"/>
        <v>3593477.7358736433</v>
      </c>
      <c r="G117" s="523">
        <f t="shared" si="23"/>
        <v>3672943.3944102284</v>
      </c>
      <c r="H117" s="526">
        <f t="shared" si="24"/>
        <v>575862.6449970575</v>
      </c>
      <c r="I117" s="577">
        <f t="shared" si="25"/>
        <v>575862.6449970575</v>
      </c>
      <c r="J117" s="514">
        <f t="shared" si="16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 ht="12.5">
      <c r="B118" s="195" t="str">
        <f t="shared" si="20"/>
        <v/>
      </c>
      <c r="C118" s="507">
        <f>IF(D93="","-",+C117+1)</f>
        <v>2036</v>
      </c>
      <c r="D118" s="374">
        <f>IF(F117+SUM(E$99:E117)=D$92,F117,D$92-SUM(E$99:E117))</f>
        <v>3593477.7358736433</v>
      </c>
      <c r="E118" s="522">
        <f>IF(+J96&lt;F117,J96,D118)</f>
        <v>158931.31707317074</v>
      </c>
      <c r="F118" s="523">
        <f t="shared" si="22"/>
        <v>3434546.4188004727</v>
      </c>
      <c r="G118" s="523">
        <f t="shared" si="23"/>
        <v>3514012.0773370583</v>
      </c>
      <c r="H118" s="526">
        <f t="shared" si="24"/>
        <v>557821.67949324544</v>
      </c>
      <c r="I118" s="577">
        <f t="shared" si="25"/>
        <v>557821.67949324544</v>
      </c>
      <c r="J118" s="514">
        <f t="shared" si="16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 ht="12.5">
      <c r="B119" s="195" t="str">
        <f t="shared" si="20"/>
        <v/>
      </c>
      <c r="C119" s="507">
        <f>IF(D93="","-",+C118+1)</f>
        <v>2037</v>
      </c>
      <c r="D119" s="374">
        <f>IF(F118+SUM(E$99:E118)=D$92,F118,D$92-SUM(E$99:E118))</f>
        <v>3434546.4188004727</v>
      </c>
      <c r="E119" s="522">
        <f>IF(+J96&lt;F118,J96,D119)</f>
        <v>158931.31707317074</v>
      </c>
      <c r="F119" s="523">
        <f t="shared" si="22"/>
        <v>3275615.1017273022</v>
      </c>
      <c r="G119" s="523">
        <f t="shared" si="23"/>
        <v>3355080.7602638872</v>
      </c>
      <c r="H119" s="526">
        <f t="shared" si="24"/>
        <v>539780.71398943337</v>
      </c>
      <c r="I119" s="577">
        <f t="shared" si="25"/>
        <v>539780.71398943337</v>
      </c>
      <c r="J119" s="514">
        <f t="shared" si="16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 ht="12.5">
      <c r="B120" s="195" t="str">
        <f t="shared" si="20"/>
        <v/>
      </c>
      <c r="C120" s="507">
        <f>IF(D93="","-",+C119+1)</f>
        <v>2038</v>
      </c>
      <c r="D120" s="374">
        <f>IF(F119+SUM(E$99:E119)=D$92,F119,D$92-SUM(E$99:E119))</f>
        <v>3275615.1017273022</v>
      </c>
      <c r="E120" s="522">
        <f>IF(+J96&lt;F119,J96,D120)</f>
        <v>158931.31707317074</v>
      </c>
      <c r="F120" s="523">
        <f t="shared" si="22"/>
        <v>3116683.7846541316</v>
      </c>
      <c r="G120" s="523">
        <f t="shared" si="23"/>
        <v>3196149.4431907171</v>
      </c>
      <c r="H120" s="526">
        <f t="shared" si="24"/>
        <v>521739.7484856213</v>
      </c>
      <c r="I120" s="577">
        <f t="shared" si="25"/>
        <v>521739.7484856213</v>
      </c>
      <c r="J120" s="514">
        <f t="shared" si="16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 ht="12.5">
      <c r="B121" s="195" t="str">
        <f t="shared" si="20"/>
        <v/>
      </c>
      <c r="C121" s="507">
        <f>IF(D93="","-",+C120+1)</f>
        <v>2039</v>
      </c>
      <c r="D121" s="374">
        <f>IF(F120+SUM(E$99:E120)=D$92,F120,D$92-SUM(E$99:E120))</f>
        <v>3116683.7846541316</v>
      </c>
      <c r="E121" s="522">
        <f>IF(+J96&lt;F120,J96,D121)</f>
        <v>158931.31707317074</v>
      </c>
      <c r="F121" s="523">
        <f t="shared" si="22"/>
        <v>2957752.4675809611</v>
      </c>
      <c r="G121" s="523">
        <f t="shared" si="23"/>
        <v>3037218.1261175461</v>
      </c>
      <c r="H121" s="526">
        <f t="shared" si="24"/>
        <v>503698.78298180923</v>
      </c>
      <c r="I121" s="577">
        <f t="shared" si="25"/>
        <v>503698.78298180923</v>
      </c>
      <c r="J121" s="514">
        <f t="shared" si="16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 ht="12.5">
      <c r="B122" s="195" t="str">
        <f t="shared" si="20"/>
        <v/>
      </c>
      <c r="C122" s="507">
        <f>IF(D93="","-",+C121+1)</f>
        <v>2040</v>
      </c>
      <c r="D122" s="374">
        <f>IF(F121+SUM(E$99:E121)=D$92,F121,D$92-SUM(E$99:E121))</f>
        <v>2957752.4675809611</v>
      </c>
      <c r="E122" s="522">
        <f>IF(+J96&lt;F121,J96,D122)</f>
        <v>158931.31707317074</v>
      </c>
      <c r="F122" s="523">
        <f t="shared" si="22"/>
        <v>2798821.1505077905</v>
      </c>
      <c r="G122" s="523">
        <f t="shared" si="23"/>
        <v>2878286.809044376</v>
      </c>
      <c r="H122" s="526">
        <f t="shared" si="24"/>
        <v>485657.81747799722</v>
      </c>
      <c r="I122" s="577">
        <f t="shared" si="25"/>
        <v>485657.81747799722</v>
      </c>
      <c r="J122" s="514">
        <f t="shared" si="16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 ht="12.5">
      <c r="B123" s="195" t="str">
        <f t="shared" si="20"/>
        <v/>
      </c>
      <c r="C123" s="507">
        <f>IF(D93="","-",+C122+1)</f>
        <v>2041</v>
      </c>
      <c r="D123" s="374">
        <f>IF(F122+SUM(E$99:E122)=D$92,F122,D$92-SUM(E$99:E122))</f>
        <v>2798821.1505077905</v>
      </c>
      <c r="E123" s="522">
        <f>IF(+J96&lt;F122,J96,D123)</f>
        <v>158931.31707317074</v>
      </c>
      <c r="F123" s="523">
        <f t="shared" si="22"/>
        <v>2639889.8334346199</v>
      </c>
      <c r="G123" s="523">
        <f t="shared" si="23"/>
        <v>2719355.491971205</v>
      </c>
      <c r="H123" s="526">
        <f t="shared" si="24"/>
        <v>467616.85197418509</v>
      </c>
      <c r="I123" s="577">
        <f t="shared" si="25"/>
        <v>467616.85197418509</v>
      </c>
      <c r="J123" s="514">
        <f t="shared" si="16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 ht="12.5">
      <c r="B124" s="195" t="str">
        <f t="shared" si="20"/>
        <v/>
      </c>
      <c r="C124" s="507">
        <f>IF(D93="","-",+C123+1)</f>
        <v>2042</v>
      </c>
      <c r="D124" s="374">
        <f>IF(F123+SUM(E$99:E123)=D$92,F123,D$92-SUM(E$99:E123))</f>
        <v>2639889.8334346199</v>
      </c>
      <c r="E124" s="522">
        <f>IF(+J96&lt;F123,J96,D124)</f>
        <v>158931.31707317074</v>
      </c>
      <c r="F124" s="523">
        <f t="shared" si="22"/>
        <v>2480958.5163614494</v>
      </c>
      <c r="G124" s="523">
        <f t="shared" si="23"/>
        <v>2560424.1748980349</v>
      </c>
      <c r="H124" s="526">
        <f t="shared" si="24"/>
        <v>449575.88647037308</v>
      </c>
      <c r="I124" s="577">
        <f t="shared" si="25"/>
        <v>449575.88647037308</v>
      </c>
      <c r="J124" s="514">
        <f t="shared" si="16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 ht="12.5">
      <c r="B125" s="195" t="str">
        <f t="shared" si="20"/>
        <v/>
      </c>
      <c r="C125" s="507">
        <f>IF(D93="","-",+C124+1)</f>
        <v>2043</v>
      </c>
      <c r="D125" s="374">
        <f>IF(F124+SUM(E$99:E124)=D$92,F124,D$92-SUM(E$99:E124))</f>
        <v>2480958.5163614494</v>
      </c>
      <c r="E125" s="522">
        <f>IF(+J96&lt;F124,J96,D125)</f>
        <v>158931.31707317074</v>
      </c>
      <c r="F125" s="523">
        <f t="shared" si="22"/>
        <v>2322027.1992882788</v>
      </c>
      <c r="G125" s="523">
        <f t="shared" si="23"/>
        <v>2401492.8578248639</v>
      </c>
      <c r="H125" s="526">
        <f t="shared" si="24"/>
        <v>431534.92096656101</v>
      </c>
      <c r="I125" s="577">
        <f t="shared" si="25"/>
        <v>431534.92096656101</v>
      </c>
      <c r="J125" s="514">
        <f t="shared" si="16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 ht="12.5">
      <c r="B126" s="195" t="str">
        <f t="shared" si="20"/>
        <v/>
      </c>
      <c r="C126" s="507">
        <f>IF(D93="","-",+C125+1)</f>
        <v>2044</v>
      </c>
      <c r="D126" s="374">
        <f>IF(F125+SUM(E$99:E125)=D$92,F125,D$92-SUM(E$99:E125))</f>
        <v>2322027.1992882788</v>
      </c>
      <c r="E126" s="522">
        <f>IF(+J96&lt;F125,J96,D126)</f>
        <v>158931.31707317074</v>
      </c>
      <c r="F126" s="523">
        <f t="shared" si="22"/>
        <v>2163095.8822151083</v>
      </c>
      <c r="G126" s="523">
        <f t="shared" si="23"/>
        <v>2242561.5407516938</v>
      </c>
      <c r="H126" s="526">
        <f t="shared" si="24"/>
        <v>413493.955462749</v>
      </c>
      <c r="I126" s="577">
        <f t="shared" si="25"/>
        <v>413493.955462749</v>
      </c>
      <c r="J126" s="514">
        <f t="shared" si="16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 ht="12.5">
      <c r="B127" s="195" t="str">
        <f t="shared" si="20"/>
        <v/>
      </c>
      <c r="C127" s="507">
        <f>IF(D93="","-",+C126+1)</f>
        <v>2045</v>
      </c>
      <c r="D127" s="374">
        <f>IF(F126+SUM(E$99:E126)=D$92,F126,D$92-SUM(E$99:E126))</f>
        <v>2163095.8822151083</v>
      </c>
      <c r="E127" s="522">
        <f>IF(+J96&lt;F126,J96,D127)</f>
        <v>158931.31707317074</v>
      </c>
      <c r="F127" s="523">
        <f t="shared" si="22"/>
        <v>2004164.5651419375</v>
      </c>
      <c r="G127" s="523">
        <f t="shared" si="23"/>
        <v>2083630.2236785227</v>
      </c>
      <c r="H127" s="526">
        <f t="shared" si="24"/>
        <v>395452.98995893687</v>
      </c>
      <c r="I127" s="577">
        <f t="shared" si="25"/>
        <v>395452.98995893687</v>
      </c>
      <c r="J127" s="514">
        <f t="shared" si="16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 ht="12.5">
      <c r="B128" s="195" t="str">
        <f t="shared" si="20"/>
        <v/>
      </c>
      <c r="C128" s="507">
        <f>IF(D93="","-",+C127+1)</f>
        <v>2046</v>
      </c>
      <c r="D128" s="374">
        <f>IF(F127+SUM(E$99:E127)=D$92,F127,D$92-SUM(E$99:E127))</f>
        <v>2004164.5651419375</v>
      </c>
      <c r="E128" s="522">
        <f>IF(+J96&lt;F127,J96,D128)</f>
        <v>158931.31707317074</v>
      </c>
      <c r="F128" s="523">
        <f t="shared" si="22"/>
        <v>1845233.2480687667</v>
      </c>
      <c r="G128" s="523">
        <f t="shared" si="23"/>
        <v>1924698.9066053522</v>
      </c>
      <c r="H128" s="526">
        <f t="shared" si="24"/>
        <v>377412.02445512486</v>
      </c>
      <c r="I128" s="577">
        <f t="shared" si="25"/>
        <v>377412.02445512486</v>
      </c>
      <c r="J128" s="514">
        <f t="shared" si="16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 ht="12.5">
      <c r="B129" s="195" t="str">
        <f t="shared" si="20"/>
        <v/>
      </c>
      <c r="C129" s="507">
        <f>IF(D93="","-",+C128+1)</f>
        <v>2047</v>
      </c>
      <c r="D129" s="374">
        <f>IF(F128+SUM(E$99:E128)=D$92,F128,D$92-SUM(E$99:E128))</f>
        <v>1845233.2480687667</v>
      </c>
      <c r="E129" s="522">
        <f>IF(+J96&lt;F128,J96,D129)</f>
        <v>158931.31707317074</v>
      </c>
      <c r="F129" s="523">
        <f t="shared" si="22"/>
        <v>1686301.9309955959</v>
      </c>
      <c r="G129" s="523">
        <f t="shared" si="23"/>
        <v>1765767.5895321812</v>
      </c>
      <c r="H129" s="526">
        <f t="shared" si="24"/>
        <v>359371.05895131268</v>
      </c>
      <c r="I129" s="577">
        <f t="shared" si="25"/>
        <v>359371.05895131268</v>
      </c>
      <c r="J129" s="514">
        <f t="shared" si="16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 ht="12.5">
      <c r="B130" s="195" t="str">
        <f t="shared" si="20"/>
        <v/>
      </c>
      <c r="C130" s="507">
        <f>IF(D93="","-",+C129+1)</f>
        <v>2048</v>
      </c>
      <c r="D130" s="374">
        <f>IF(F129+SUM(E$99:E129)=D$92,F129,D$92-SUM(E$99:E129))</f>
        <v>1686301.9309955959</v>
      </c>
      <c r="E130" s="522">
        <f>IF(+J96&lt;F129,J96,D130)</f>
        <v>158931.31707317074</v>
      </c>
      <c r="F130" s="523">
        <f t="shared" si="22"/>
        <v>1527370.6139224251</v>
      </c>
      <c r="G130" s="523">
        <f t="shared" si="23"/>
        <v>1606836.2724590106</v>
      </c>
      <c r="H130" s="526">
        <f t="shared" si="24"/>
        <v>341330.09344750067</v>
      </c>
      <c r="I130" s="577">
        <f t="shared" si="25"/>
        <v>341330.09344750067</v>
      </c>
      <c r="J130" s="514">
        <f t="shared" si="16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 ht="12.5">
      <c r="B131" s="195" t="str">
        <f t="shared" si="20"/>
        <v/>
      </c>
      <c r="C131" s="507">
        <f>IF(D93="","-",+C130+1)</f>
        <v>2049</v>
      </c>
      <c r="D131" s="374">
        <f>IF(F130+SUM(E$99:E130)=D$92,F130,D$92-SUM(E$99:E130))</f>
        <v>1527370.6139224251</v>
      </c>
      <c r="E131" s="522">
        <f>IF(+J96&lt;F130,J96,D131)</f>
        <v>158931.31707317074</v>
      </c>
      <c r="F131" s="523">
        <f t="shared" ref="F131:F154" si="26">+D131-E131</f>
        <v>1368439.2968492543</v>
      </c>
      <c r="G131" s="523">
        <f t="shared" ref="G131:G154" si="27">+(F131+D131)/2</f>
        <v>1447904.9553858396</v>
      </c>
      <c r="H131" s="526">
        <f t="shared" si="24"/>
        <v>323289.12794368854</v>
      </c>
      <c r="I131" s="577">
        <f t="shared" si="25"/>
        <v>323289.12794368854</v>
      </c>
      <c r="J131" s="514">
        <f t="shared" ref="J131:J154" si="28">+I541-H541</f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 ht="12.5">
      <c r="B132" s="195" t="str">
        <f t="shared" si="20"/>
        <v/>
      </c>
      <c r="C132" s="507">
        <f>IF(D93="","-",+C131+1)</f>
        <v>2050</v>
      </c>
      <c r="D132" s="374">
        <f>IF(F131+SUM(E$99:E131)=D$92,F131,D$92-SUM(E$99:E131))</f>
        <v>1368439.2968492543</v>
      </c>
      <c r="E132" s="522">
        <f>IF(+J96&lt;F131,J96,D132)</f>
        <v>158931.31707317074</v>
      </c>
      <c r="F132" s="523">
        <f t="shared" si="26"/>
        <v>1209507.9797760835</v>
      </c>
      <c r="G132" s="523">
        <f t="shared" si="27"/>
        <v>1288973.638312669</v>
      </c>
      <c r="H132" s="526">
        <f t="shared" si="24"/>
        <v>305248.16243987647</v>
      </c>
      <c r="I132" s="577">
        <f t="shared" si="25"/>
        <v>305248.16243987647</v>
      </c>
      <c r="J132" s="514">
        <f t="shared" si="28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 ht="12.5">
      <c r="B133" s="195" t="str">
        <f t="shared" si="20"/>
        <v/>
      </c>
      <c r="C133" s="507">
        <f>IF(D93="","-",+C132+1)</f>
        <v>2051</v>
      </c>
      <c r="D133" s="374">
        <f>IF(F132+SUM(E$99:E132)=D$92,F132,D$92-SUM(E$99:E132))</f>
        <v>1209507.9797760835</v>
      </c>
      <c r="E133" s="522">
        <f>IF(+J96&lt;F132,J96,D133)</f>
        <v>158931.31707317074</v>
      </c>
      <c r="F133" s="523">
        <f t="shared" si="26"/>
        <v>1050576.6627029127</v>
      </c>
      <c r="G133" s="523">
        <f t="shared" si="27"/>
        <v>1130042.321239498</v>
      </c>
      <c r="H133" s="526">
        <f t="shared" si="24"/>
        <v>287207.1969360644</v>
      </c>
      <c r="I133" s="577">
        <f t="shared" si="25"/>
        <v>287207.1969360644</v>
      </c>
      <c r="J133" s="514">
        <f t="shared" si="28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 ht="12.5">
      <c r="B134" s="195" t="str">
        <f t="shared" si="20"/>
        <v/>
      </c>
      <c r="C134" s="507">
        <f>IF(D93="","-",+C133+1)</f>
        <v>2052</v>
      </c>
      <c r="D134" s="374">
        <f>IF(F133+SUM(E$99:E133)=D$92,F133,D$92-SUM(E$99:E133))</f>
        <v>1050576.6627029127</v>
      </c>
      <c r="E134" s="522">
        <f>IF(+J96&lt;F133,J96,D134)</f>
        <v>158931.31707317074</v>
      </c>
      <c r="F134" s="523">
        <f t="shared" si="26"/>
        <v>891645.3456297419</v>
      </c>
      <c r="G134" s="523">
        <f t="shared" si="27"/>
        <v>971111.0041663273</v>
      </c>
      <c r="H134" s="526">
        <f t="shared" si="24"/>
        <v>269166.23143225233</v>
      </c>
      <c r="I134" s="577">
        <f t="shared" si="25"/>
        <v>269166.23143225233</v>
      </c>
      <c r="J134" s="514">
        <f t="shared" si="28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 ht="12.5">
      <c r="B135" s="195" t="str">
        <f t="shared" si="20"/>
        <v/>
      </c>
      <c r="C135" s="507">
        <f>IF(D93="","-",+C134+1)</f>
        <v>2053</v>
      </c>
      <c r="D135" s="374">
        <f>IF(F134+SUM(E$99:E134)=D$92,F134,D$92-SUM(E$99:E134))</f>
        <v>891645.3456297419</v>
      </c>
      <c r="E135" s="522">
        <f>IF(+J96&lt;F134,J96,D135)</f>
        <v>158931.31707317074</v>
      </c>
      <c r="F135" s="523">
        <f t="shared" si="26"/>
        <v>732714.02855657111</v>
      </c>
      <c r="G135" s="523">
        <f t="shared" si="27"/>
        <v>812179.68709315651</v>
      </c>
      <c r="H135" s="526">
        <f t="shared" si="24"/>
        <v>251125.26592844023</v>
      </c>
      <c r="I135" s="577">
        <f t="shared" si="25"/>
        <v>251125.26592844023</v>
      </c>
      <c r="J135" s="514">
        <f t="shared" si="28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 ht="12.5">
      <c r="B136" s="195" t="str">
        <f t="shared" si="20"/>
        <v/>
      </c>
      <c r="C136" s="507">
        <f>IF(D93="","-",+C135+1)</f>
        <v>2054</v>
      </c>
      <c r="D136" s="374">
        <f>IF(F135+SUM(E$99:E135)=D$92,F135,D$92-SUM(E$99:E135))</f>
        <v>732714.02855657111</v>
      </c>
      <c r="E136" s="522">
        <f>IF(+J96&lt;F135,J96,D136)</f>
        <v>158931.31707317074</v>
      </c>
      <c r="F136" s="523">
        <f t="shared" si="26"/>
        <v>573782.71148340032</v>
      </c>
      <c r="G136" s="523">
        <f t="shared" si="27"/>
        <v>653248.37001998571</v>
      </c>
      <c r="H136" s="526">
        <f t="shared" si="24"/>
        <v>233084.30042462813</v>
      </c>
      <c r="I136" s="577">
        <f t="shared" si="25"/>
        <v>233084.30042462813</v>
      </c>
      <c r="J136" s="514">
        <f t="shared" si="28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 ht="12.5">
      <c r="B137" s="195" t="str">
        <f t="shared" si="20"/>
        <v/>
      </c>
      <c r="C137" s="507">
        <f>IF(D93="","-",+C136+1)</f>
        <v>2055</v>
      </c>
      <c r="D137" s="374">
        <f>IF(F136+SUM(E$99:E136)=D$92,F136,D$92-SUM(E$99:E136))</f>
        <v>573782.71148340032</v>
      </c>
      <c r="E137" s="522">
        <f>IF(+J96&lt;F136,J96,D137)</f>
        <v>158931.31707317074</v>
      </c>
      <c r="F137" s="523">
        <f t="shared" si="26"/>
        <v>414851.39441022958</v>
      </c>
      <c r="G137" s="523">
        <f t="shared" si="27"/>
        <v>494317.05294681492</v>
      </c>
      <c r="H137" s="526">
        <f t="shared" si="24"/>
        <v>215043.33492081607</v>
      </c>
      <c r="I137" s="577">
        <f t="shared" si="25"/>
        <v>215043.33492081607</v>
      </c>
      <c r="J137" s="514">
        <f t="shared" si="28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 ht="12.5">
      <c r="B138" s="195" t="str">
        <f t="shared" si="20"/>
        <v/>
      </c>
      <c r="C138" s="507">
        <f>IF(D93="","-",+C137+1)</f>
        <v>2056</v>
      </c>
      <c r="D138" s="374">
        <f>IF(F137+SUM(E$99:E137)=D$92,F137,D$92-SUM(E$99:E137))</f>
        <v>414851.39441022958</v>
      </c>
      <c r="E138" s="522">
        <f>IF(+J96&lt;F137,J96,D138)</f>
        <v>158931.31707317074</v>
      </c>
      <c r="F138" s="523">
        <f t="shared" si="26"/>
        <v>255920.07733705884</v>
      </c>
      <c r="G138" s="523">
        <f t="shared" si="27"/>
        <v>335385.73587364424</v>
      </c>
      <c r="H138" s="526">
        <f t="shared" si="24"/>
        <v>197002.369417004</v>
      </c>
      <c r="I138" s="577">
        <f t="shared" si="25"/>
        <v>197002.369417004</v>
      </c>
      <c r="J138" s="514">
        <f t="shared" si="28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 ht="12.5">
      <c r="B139" s="195" t="str">
        <f t="shared" si="20"/>
        <v/>
      </c>
      <c r="C139" s="507">
        <f>IF(D93="","-",+C138+1)</f>
        <v>2057</v>
      </c>
      <c r="D139" s="374">
        <f>IF(F138+SUM(E$99:E138)=D$92,F138,D$92-SUM(E$99:E138))</f>
        <v>255920.07733705884</v>
      </c>
      <c r="E139" s="522">
        <f>IF(+J96&lt;F138,J96,D139)</f>
        <v>158931.31707317074</v>
      </c>
      <c r="F139" s="523">
        <f t="shared" si="26"/>
        <v>96988.760263888107</v>
      </c>
      <c r="G139" s="523">
        <f t="shared" si="27"/>
        <v>176454.41880047348</v>
      </c>
      <c r="H139" s="526">
        <f t="shared" si="24"/>
        <v>178961.40391319193</v>
      </c>
      <c r="I139" s="577">
        <f t="shared" si="25"/>
        <v>178961.40391319193</v>
      </c>
      <c r="J139" s="514">
        <f t="shared" si="28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 ht="12.5">
      <c r="B140" s="195" t="str">
        <f t="shared" si="20"/>
        <v/>
      </c>
      <c r="C140" s="507">
        <f>IF(D93="","-",+C139+1)</f>
        <v>2058</v>
      </c>
      <c r="D140" s="374">
        <f>IF(F139+SUM(E$99:E139)=D$92,F139,D$92-SUM(E$99:E139))</f>
        <v>96988.760263888107</v>
      </c>
      <c r="E140" s="522">
        <f>IF(+J96&lt;F139,J96,D140)</f>
        <v>96988.760263888107</v>
      </c>
      <c r="F140" s="523">
        <f t="shared" si="26"/>
        <v>0</v>
      </c>
      <c r="G140" s="523">
        <f t="shared" si="27"/>
        <v>48494.380131944054</v>
      </c>
      <c r="H140" s="526">
        <f t="shared" si="24"/>
        <v>102493.56230794569</v>
      </c>
      <c r="I140" s="577">
        <f t="shared" si="25"/>
        <v>102493.56230794569</v>
      </c>
      <c r="J140" s="514">
        <f t="shared" si="28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 ht="12.5">
      <c r="B141" s="195" t="str">
        <f t="shared" si="20"/>
        <v/>
      </c>
      <c r="C141" s="507">
        <f>IF(D93="","-",+C140+1)</f>
        <v>2059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6"/>
        <v>0</v>
      </c>
      <c r="G141" s="523">
        <f t="shared" si="27"/>
        <v>0</v>
      </c>
      <c r="H141" s="526">
        <f t="shared" si="24"/>
        <v>0</v>
      </c>
      <c r="I141" s="577">
        <f t="shared" si="25"/>
        <v>0</v>
      </c>
      <c r="J141" s="514">
        <f t="shared" si="28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 ht="12.5">
      <c r="B142" s="195" t="str">
        <f t="shared" si="20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6"/>
        <v>0</v>
      </c>
      <c r="G142" s="523">
        <f t="shared" si="27"/>
        <v>0</v>
      </c>
      <c r="H142" s="526">
        <f t="shared" si="24"/>
        <v>0</v>
      </c>
      <c r="I142" s="577">
        <f t="shared" si="25"/>
        <v>0</v>
      </c>
      <c r="J142" s="514">
        <f t="shared" si="28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 ht="12.5">
      <c r="B143" s="195" t="str">
        <f t="shared" si="20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6"/>
        <v>0</v>
      </c>
      <c r="G143" s="523">
        <f t="shared" si="27"/>
        <v>0</v>
      </c>
      <c r="H143" s="526">
        <f t="shared" si="24"/>
        <v>0</v>
      </c>
      <c r="I143" s="577">
        <f t="shared" si="25"/>
        <v>0</v>
      </c>
      <c r="J143" s="514">
        <f t="shared" si="28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 ht="12.5">
      <c r="B144" s="195" t="str">
        <f t="shared" si="2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6"/>
        <v>0</v>
      </c>
      <c r="G144" s="523">
        <f t="shared" si="27"/>
        <v>0</v>
      </c>
      <c r="H144" s="526">
        <f t="shared" si="24"/>
        <v>0</v>
      </c>
      <c r="I144" s="577">
        <f t="shared" si="25"/>
        <v>0</v>
      </c>
      <c r="J144" s="514">
        <f t="shared" si="28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 ht="12.5">
      <c r="B145" s="195" t="str">
        <f t="shared" si="2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6"/>
        <v>0</v>
      </c>
      <c r="G145" s="523">
        <f t="shared" si="27"/>
        <v>0</v>
      </c>
      <c r="H145" s="526">
        <f t="shared" si="24"/>
        <v>0</v>
      </c>
      <c r="I145" s="577">
        <f t="shared" si="25"/>
        <v>0</v>
      </c>
      <c r="J145" s="514">
        <f t="shared" si="28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 ht="12.5">
      <c r="B146" s="195" t="str">
        <f t="shared" si="2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6"/>
        <v>0</v>
      </c>
      <c r="G146" s="523">
        <f t="shared" si="27"/>
        <v>0</v>
      </c>
      <c r="H146" s="526">
        <f t="shared" si="24"/>
        <v>0</v>
      </c>
      <c r="I146" s="577">
        <f t="shared" si="25"/>
        <v>0</v>
      </c>
      <c r="J146" s="514">
        <f t="shared" si="28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 ht="12.5">
      <c r="B147" s="195" t="str">
        <f t="shared" si="2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6"/>
        <v>0</v>
      </c>
      <c r="G147" s="523">
        <f t="shared" si="27"/>
        <v>0</v>
      </c>
      <c r="H147" s="526">
        <f t="shared" si="24"/>
        <v>0</v>
      </c>
      <c r="I147" s="577">
        <f t="shared" si="25"/>
        <v>0</v>
      </c>
      <c r="J147" s="514">
        <f t="shared" si="28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 ht="12.5">
      <c r="B148" s="195" t="str">
        <f t="shared" si="2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6"/>
        <v>0</v>
      </c>
      <c r="G148" s="523">
        <f t="shared" si="27"/>
        <v>0</v>
      </c>
      <c r="H148" s="526">
        <f t="shared" si="24"/>
        <v>0</v>
      </c>
      <c r="I148" s="577">
        <f t="shared" si="25"/>
        <v>0</v>
      </c>
      <c r="J148" s="514">
        <f t="shared" si="28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 ht="12.5">
      <c r="B149" s="195" t="str">
        <f t="shared" si="2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6"/>
        <v>0</v>
      </c>
      <c r="G149" s="523">
        <f t="shared" si="27"/>
        <v>0</v>
      </c>
      <c r="H149" s="526">
        <f t="shared" si="24"/>
        <v>0</v>
      </c>
      <c r="I149" s="577">
        <f t="shared" si="25"/>
        <v>0</v>
      </c>
      <c r="J149" s="514">
        <f t="shared" si="28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 ht="12.5">
      <c r="B150" s="195" t="str">
        <f t="shared" si="2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6"/>
        <v>0</v>
      </c>
      <c r="G150" s="523">
        <f t="shared" si="27"/>
        <v>0</v>
      </c>
      <c r="H150" s="526">
        <f t="shared" si="24"/>
        <v>0</v>
      </c>
      <c r="I150" s="577">
        <f t="shared" si="25"/>
        <v>0</v>
      </c>
      <c r="J150" s="514">
        <f t="shared" si="28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 ht="12.5">
      <c r="B151" s="195" t="str">
        <f t="shared" si="2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6"/>
        <v>0</v>
      </c>
      <c r="G151" s="523">
        <f t="shared" si="27"/>
        <v>0</v>
      </c>
      <c r="H151" s="526">
        <f t="shared" si="24"/>
        <v>0</v>
      </c>
      <c r="I151" s="577">
        <f t="shared" si="25"/>
        <v>0</v>
      </c>
      <c r="J151" s="514">
        <f t="shared" si="28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 ht="12.5">
      <c r="B152" s="195" t="str">
        <f t="shared" si="2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6"/>
        <v>0</v>
      </c>
      <c r="G152" s="523">
        <f t="shared" si="27"/>
        <v>0</v>
      </c>
      <c r="H152" s="526">
        <f t="shared" si="24"/>
        <v>0</v>
      </c>
      <c r="I152" s="577">
        <f t="shared" si="25"/>
        <v>0</v>
      </c>
      <c r="J152" s="514">
        <f t="shared" si="28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 ht="12.5">
      <c r="B153" s="195" t="str">
        <f t="shared" si="2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6"/>
        <v>0</v>
      </c>
      <c r="G153" s="523">
        <f t="shared" si="27"/>
        <v>0</v>
      </c>
      <c r="H153" s="526">
        <f t="shared" si="24"/>
        <v>0</v>
      </c>
      <c r="I153" s="577">
        <f t="shared" si="25"/>
        <v>0</v>
      </c>
      <c r="J153" s="514">
        <f t="shared" si="28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" thickBot="1">
      <c r="B154" s="195" t="str">
        <f t="shared" si="2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6"/>
        <v>0</v>
      </c>
      <c r="G154" s="528">
        <f t="shared" si="27"/>
        <v>0</v>
      </c>
      <c r="H154" s="530">
        <f t="shared" si="24"/>
        <v>0</v>
      </c>
      <c r="I154" s="579">
        <f t="shared" si="25"/>
        <v>0</v>
      </c>
      <c r="J154" s="533">
        <f t="shared" si="28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 ht="12.5">
      <c r="C155" s="374" t="s">
        <v>78</v>
      </c>
      <c r="D155" s="375"/>
      <c r="E155" s="375">
        <f>SUM(E99:E154)</f>
        <v>6516184</v>
      </c>
      <c r="F155" s="375"/>
      <c r="G155" s="375"/>
      <c r="H155" s="375">
        <f>SUM(H99:H154)</f>
        <v>21653626.771414734</v>
      </c>
      <c r="I155" s="375">
        <f>SUM(I99:I154)</f>
        <v>21653626.771414734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21" priority="2" stopIfTrue="1" operator="equal">
      <formula>$I$10</formula>
    </cfRule>
  </conditionalFormatting>
  <conditionalFormatting sqref="C99:C154">
    <cfRule type="cellIs" dxfId="20" priority="3" stopIfTrue="1" operator="equal">
      <formula>$J$92</formula>
    </cfRule>
  </conditionalFormatting>
  <conditionalFormatting sqref="C17">
    <cfRule type="cellIs" dxfId="19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2"/>
  <dimension ref="A1:Q162"/>
  <sheetViews>
    <sheetView view="pageBreakPreview" zoomScale="88" zoomScaleNormal="100" zoomScaleSheetLayoutView="88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4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1253595.1343573183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1253595.1343573183</v>
      </c>
      <c r="O6" s="269"/>
      <c r="P6" s="269"/>
    </row>
    <row r="7" spans="1:17" ht="13.5" thickBot="1">
      <c r="C7" s="467" t="s">
        <v>48</v>
      </c>
      <c r="D7" s="468" t="s">
        <v>229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143</v>
      </c>
      <c r="E9" s="666" t="s">
        <v>474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11580311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275721.69047619047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5012222</v>
      </c>
      <c r="E17" s="509">
        <v>67733</v>
      </c>
      <c r="F17" s="508">
        <v>4944489</v>
      </c>
      <c r="G17" s="509">
        <v>509785</v>
      </c>
      <c r="H17" s="510">
        <v>509785</v>
      </c>
      <c r="I17" s="511">
        <f t="shared" ref="I17:I48" si="0">H17-G17</f>
        <v>0</v>
      </c>
      <c r="J17" s="511"/>
      <c r="K17" s="512">
        <v>509785</v>
      </c>
      <c r="L17" s="513">
        <f t="shared" ref="L17:L48" si="1">IF(K17&lt;&gt;0,+G17-K17,0)</f>
        <v>0</v>
      </c>
      <c r="M17" s="512">
        <v>509785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11512579</v>
      </c>
      <c r="E18" s="516">
        <v>304745</v>
      </c>
      <c r="F18" s="515">
        <v>11207834</v>
      </c>
      <c r="G18" s="516">
        <v>1916039</v>
      </c>
      <c r="H18" s="510">
        <v>1916039</v>
      </c>
      <c r="I18" s="517">
        <v>0</v>
      </c>
      <c r="J18" s="511"/>
      <c r="K18" s="518">
        <f t="shared" ref="K18:K23" si="4">G18</f>
        <v>1916039</v>
      </c>
      <c r="L18" s="519">
        <f t="shared" si="1"/>
        <v>0</v>
      </c>
      <c r="M18" s="518">
        <f t="shared" ref="M18:M23" si="5">H18</f>
        <v>1916039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11207834.940000001</v>
      </c>
      <c r="E19" s="516">
        <v>282446.65707317076</v>
      </c>
      <c r="F19" s="515">
        <v>10925388.282926831</v>
      </c>
      <c r="G19" s="516">
        <v>1988906.9183231383</v>
      </c>
      <c r="H19" s="510">
        <v>1988906.9183231383</v>
      </c>
      <c r="I19" s="517">
        <v>0</v>
      </c>
      <c r="J19" s="511"/>
      <c r="K19" s="518">
        <f t="shared" si="4"/>
        <v>1988906.9183231383</v>
      </c>
      <c r="L19" s="519">
        <f t="shared" si="1"/>
        <v>0</v>
      </c>
      <c r="M19" s="518">
        <f t="shared" si="5"/>
        <v>1988906.9183231383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10925388.282926831</v>
      </c>
      <c r="E20" s="520">
        <v>275721.73666666669</v>
      </c>
      <c r="F20" s="515">
        <v>10649666.546260165</v>
      </c>
      <c r="G20" s="516">
        <v>1859541.6370973894</v>
      </c>
      <c r="H20" s="510">
        <v>1859541.6370973894</v>
      </c>
      <c r="I20" s="517">
        <v>0</v>
      </c>
      <c r="J20" s="511"/>
      <c r="K20" s="518">
        <f t="shared" si="4"/>
        <v>1859541.6370973894</v>
      </c>
      <c r="L20" s="519">
        <f t="shared" si="1"/>
        <v>0</v>
      </c>
      <c r="M20" s="518">
        <f t="shared" si="5"/>
        <v>1859541.6370973894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10649666.546260165</v>
      </c>
      <c r="E21" s="520">
        <v>275721.73666666669</v>
      </c>
      <c r="F21" s="515">
        <v>10373944.809593499</v>
      </c>
      <c r="G21" s="516">
        <v>1727940.0001770738</v>
      </c>
      <c r="H21" s="510">
        <v>1727940.0001770738</v>
      </c>
      <c r="I21" s="511">
        <v>0</v>
      </c>
      <c r="J21" s="511"/>
      <c r="K21" s="518">
        <f t="shared" si="4"/>
        <v>1727940.0001770738</v>
      </c>
      <c r="L21" s="519">
        <f t="shared" ref="L21:L26" si="7">IF(K21&lt;&gt;0,+G21-K21,0)</f>
        <v>0</v>
      </c>
      <c r="M21" s="518">
        <f t="shared" si="5"/>
        <v>1727940.0001770738</v>
      </c>
      <c r="N21" s="514">
        <f t="shared" ref="N21:N26" si="8">IF(M21&lt;&gt;0,+H21-M21,0)</f>
        <v>0</v>
      </c>
      <c r="O21" s="514">
        <f t="shared" ref="O21:O26" si="9"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10373944.809593499</v>
      </c>
      <c r="E22" s="520">
        <v>275721.73666666669</v>
      </c>
      <c r="F22" s="515">
        <v>10098223.072926832</v>
      </c>
      <c r="G22" s="516">
        <v>1638078.1438570484</v>
      </c>
      <c r="H22" s="510">
        <v>1638078.1438570484</v>
      </c>
      <c r="I22" s="511">
        <v>0</v>
      </c>
      <c r="J22" s="511"/>
      <c r="K22" s="518">
        <f t="shared" si="4"/>
        <v>1638078.1438570484</v>
      </c>
      <c r="L22" s="519">
        <f t="shared" si="7"/>
        <v>0</v>
      </c>
      <c r="M22" s="518">
        <f t="shared" si="5"/>
        <v>1638078.1438570484</v>
      </c>
      <c r="N22" s="514">
        <f t="shared" si="8"/>
        <v>0</v>
      </c>
      <c r="O22" s="514">
        <f t="shared" si="9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10098223.072926832</v>
      </c>
      <c r="E23" s="520">
        <v>275721.73666666669</v>
      </c>
      <c r="F23" s="515">
        <v>9822501.336260166</v>
      </c>
      <c r="G23" s="516">
        <v>1569392.3202365767</v>
      </c>
      <c r="H23" s="510">
        <v>1569392.3202365767</v>
      </c>
      <c r="I23" s="511">
        <v>0</v>
      </c>
      <c r="J23" s="511"/>
      <c r="K23" s="518">
        <f t="shared" si="4"/>
        <v>1569392.3202365767</v>
      </c>
      <c r="L23" s="519">
        <f t="shared" si="7"/>
        <v>0</v>
      </c>
      <c r="M23" s="518">
        <f t="shared" si="5"/>
        <v>1569392.3202365767</v>
      </c>
      <c r="N23" s="514">
        <f t="shared" si="8"/>
        <v>0</v>
      </c>
      <c r="O23" s="514">
        <f t="shared" si="9"/>
        <v>0</v>
      </c>
      <c r="P23" s="272"/>
    </row>
    <row r="24" spans="2:16" ht="12.5">
      <c r="B24" s="195" t="str">
        <f t="shared" si="6"/>
        <v>IU</v>
      </c>
      <c r="C24" s="507">
        <f>IF(D11="","-",+C23+1)</f>
        <v>2016</v>
      </c>
      <c r="D24" s="515">
        <v>9822499.3962601628</v>
      </c>
      <c r="E24" s="520">
        <v>275721.69047619047</v>
      </c>
      <c r="F24" s="515">
        <v>9546777.7057839725</v>
      </c>
      <c r="G24" s="516">
        <v>1517566.2959557369</v>
      </c>
      <c r="H24" s="510">
        <v>1517566.2959557369</v>
      </c>
      <c r="I24" s="511">
        <f t="shared" si="0"/>
        <v>0</v>
      </c>
      <c r="J24" s="511"/>
      <c r="K24" s="518">
        <f t="shared" ref="K24:K29" si="10">G24</f>
        <v>1517566.2959557369</v>
      </c>
      <c r="L24" s="519">
        <f t="shared" si="7"/>
        <v>0</v>
      </c>
      <c r="M24" s="518">
        <f t="shared" ref="M24:M29" si="11">H24</f>
        <v>1517566.2959557369</v>
      </c>
      <c r="N24" s="514">
        <f t="shared" si="8"/>
        <v>0</v>
      </c>
      <c r="O24" s="514">
        <f t="shared" si="9"/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9546777.7057839725</v>
      </c>
      <c r="E25" s="520">
        <v>269309.5581395349</v>
      </c>
      <c r="F25" s="515">
        <v>9277468.1476444378</v>
      </c>
      <c r="G25" s="516">
        <v>1435401.3142393038</v>
      </c>
      <c r="H25" s="510">
        <v>1435401.3142393038</v>
      </c>
      <c r="I25" s="511">
        <f t="shared" si="0"/>
        <v>0</v>
      </c>
      <c r="J25" s="511"/>
      <c r="K25" s="518">
        <f t="shared" si="10"/>
        <v>1435401.3142393038</v>
      </c>
      <c r="L25" s="519">
        <f t="shared" si="7"/>
        <v>0</v>
      </c>
      <c r="M25" s="518">
        <f t="shared" si="11"/>
        <v>1435401.3142393038</v>
      </c>
      <c r="N25" s="514">
        <f t="shared" si="8"/>
        <v>0</v>
      </c>
      <c r="O25" s="514">
        <f t="shared" si="9"/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9277468.1476444378</v>
      </c>
      <c r="E26" s="520">
        <v>282446.60975609755</v>
      </c>
      <c r="F26" s="515">
        <v>8995021.5378883407</v>
      </c>
      <c r="G26" s="516">
        <v>1443609.4156354484</v>
      </c>
      <c r="H26" s="510">
        <v>1443609.4156354484</v>
      </c>
      <c r="I26" s="511">
        <f t="shared" si="0"/>
        <v>0</v>
      </c>
      <c r="J26" s="511"/>
      <c r="K26" s="518">
        <f t="shared" si="10"/>
        <v>1443609.4156354484</v>
      </c>
      <c r="L26" s="519">
        <f t="shared" si="7"/>
        <v>0</v>
      </c>
      <c r="M26" s="518">
        <f t="shared" si="11"/>
        <v>1443609.4156354484</v>
      </c>
      <c r="N26" s="514">
        <f t="shared" si="8"/>
        <v>0</v>
      </c>
      <c r="O26" s="514">
        <f t="shared" si="9"/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8995021.5378883407</v>
      </c>
      <c r="E27" s="520">
        <v>282446.60975609755</v>
      </c>
      <c r="F27" s="515">
        <v>8712574.9281322435</v>
      </c>
      <c r="G27" s="516">
        <v>1407712.1182731558</v>
      </c>
      <c r="H27" s="510">
        <v>1407712.1182731558</v>
      </c>
      <c r="I27" s="511">
        <f t="shared" si="0"/>
        <v>0</v>
      </c>
      <c r="J27" s="511"/>
      <c r="K27" s="518">
        <f t="shared" si="10"/>
        <v>1407712.1182731558</v>
      </c>
      <c r="L27" s="519">
        <f t="shared" ref="L27" si="12">IF(K27&lt;&gt;0,+G27-K27,0)</f>
        <v>0</v>
      </c>
      <c r="M27" s="518">
        <f t="shared" si="11"/>
        <v>1407712.1182731558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8712574.9281322435</v>
      </c>
      <c r="E28" s="520">
        <v>282446.60975609755</v>
      </c>
      <c r="F28" s="515">
        <v>8430128.3183761463</v>
      </c>
      <c r="G28" s="516">
        <v>1159599.7805450819</v>
      </c>
      <c r="H28" s="510">
        <v>1159599.7805450819</v>
      </c>
      <c r="I28" s="511">
        <f t="shared" si="0"/>
        <v>0</v>
      </c>
      <c r="J28" s="511"/>
      <c r="K28" s="518">
        <f t="shared" si="10"/>
        <v>1159599.7805450819</v>
      </c>
      <c r="L28" s="519">
        <f t="shared" ref="L28" si="13">IF(K28&lt;&gt;0,+G28-K28,0)</f>
        <v>0</v>
      </c>
      <c r="M28" s="518">
        <f t="shared" si="11"/>
        <v>1159599.7805450819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15">
        <v>8443265.3699927069</v>
      </c>
      <c r="E29" s="520">
        <v>275721.69047619047</v>
      </c>
      <c r="F29" s="515">
        <v>8167543.6795165166</v>
      </c>
      <c r="G29" s="516">
        <v>1156132.318517738</v>
      </c>
      <c r="H29" s="510">
        <v>1156132.318517738</v>
      </c>
      <c r="I29" s="511">
        <f t="shared" si="0"/>
        <v>0</v>
      </c>
      <c r="J29" s="511"/>
      <c r="K29" s="518">
        <f t="shared" si="10"/>
        <v>1156132.318517738</v>
      </c>
      <c r="L29" s="519">
        <f t="shared" ref="L29" si="14">IF(K29&lt;&gt;0,+G29-K29,0)</f>
        <v>0</v>
      </c>
      <c r="M29" s="518">
        <f t="shared" si="11"/>
        <v>1156132.318517738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515">
        <v>8154406.6278999541</v>
      </c>
      <c r="E30" s="520">
        <v>275721.69047619047</v>
      </c>
      <c r="F30" s="515">
        <v>7878684.9374237638</v>
      </c>
      <c r="G30" s="516">
        <v>1177134.9411293902</v>
      </c>
      <c r="H30" s="510">
        <v>1177134.9411293902</v>
      </c>
      <c r="I30" s="511">
        <f t="shared" si="0"/>
        <v>0</v>
      </c>
      <c r="J30" s="511"/>
      <c r="K30" s="518">
        <f t="shared" ref="K30" si="15">G30</f>
        <v>1177134.9411293902</v>
      </c>
      <c r="L30" s="519">
        <f t="shared" ref="L30" si="16">IF(K30&lt;&gt;0,+G30-K30,0)</f>
        <v>0</v>
      </c>
      <c r="M30" s="518">
        <f t="shared" ref="M30" si="17">H30</f>
        <v>1177134.9411293902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7878684.9374237638</v>
      </c>
      <c r="E31" s="522">
        <f>IF(+I14&lt;F30,I14,D31)</f>
        <v>275721.69047619047</v>
      </c>
      <c r="F31" s="523">
        <f t="shared" ref="F31:F48" si="18">+D31-E31</f>
        <v>7602963.2469475735</v>
      </c>
      <c r="G31" s="524">
        <f t="shared" ref="G31:G72" si="19">+I$12*((D31+F31)/2)+E31</f>
        <v>1253595.1343573183</v>
      </c>
      <c r="H31" s="491">
        <f t="shared" ref="H31:H72" si="20">+I$13*((D31+F31)/2)+E31</f>
        <v>1253595.1343573183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7602963.2469475735</v>
      </c>
      <c r="E32" s="522">
        <f>IF(+I14&lt;F31,I14,D32)</f>
        <v>275721.69047619047</v>
      </c>
      <c r="F32" s="523">
        <f t="shared" si="18"/>
        <v>7327241.5564713832</v>
      </c>
      <c r="G32" s="524">
        <f t="shared" si="19"/>
        <v>1218764.0988231481</v>
      </c>
      <c r="H32" s="491">
        <f t="shared" si="20"/>
        <v>1218764.0988231481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7327241.5564713832</v>
      </c>
      <c r="E33" s="522">
        <f>IF(+I14&lt;F32,I14,D33)</f>
        <v>275721.69047619047</v>
      </c>
      <c r="F33" s="523">
        <f t="shared" si="18"/>
        <v>7051519.8659951929</v>
      </c>
      <c r="G33" s="524">
        <f t="shared" si="19"/>
        <v>1183933.0632889781</v>
      </c>
      <c r="H33" s="491">
        <f t="shared" si="20"/>
        <v>1183933.0632889781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7051519.8659951929</v>
      </c>
      <c r="E34" s="522">
        <f>IF(+I14&lt;F33,I14,D34)</f>
        <v>275721.69047619047</v>
      </c>
      <c r="F34" s="523">
        <f t="shared" si="18"/>
        <v>6775798.1755190026</v>
      </c>
      <c r="G34" s="524">
        <f t="shared" si="19"/>
        <v>1149102.0277548081</v>
      </c>
      <c r="H34" s="491">
        <f t="shared" si="20"/>
        <v>1149102.0277548081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6775798.1755190026</v>
      </c>
      <c r="E35" s="522">
        <f>IF(+I14&lt;F34,I14,D35)</f>
        <v>275721.69047619047</v>
      </c>
      <c r="F35" s="523">
        <f t="shared" si="18"/>
        <v>6500076.4850428123</v>
      </c>
      <c r="G35" s="524">
        <f t="shared" si="19"/>
        <v>1114270.9922206381</v>
      </c>
      <c r="H35" s="491">
        <f t="shared" si="20"/>
        <v>1114270.9922206381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6500076.4850428123</v>
      </c>
      <c r="E36" s="522">
        <f>IF(+I14&lt;F35,I14,D36)</f>
        <v>275721.69047619047</v>
      </c>
      <c r="F36" s="523">
        <f t="shared" si="18"/>
        <v>6224354.794566622</v>
      </c>
      <c r="G36" s="524">
        <f t="shared" si="19"/>
        <v>1079439.9566864681</v>
      </c>
      <c r="H36" s="491">
        <f t="shared" si="20"/>
        <v>1079439.9566864681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6224354.794566622</v>
      </c>
      <c r="E37" s="522">
        <f>IF(+I14&lt;F36,I14,D37)</f>
        <v>275721.69047619047</v>
      </c>
      <c r="F37" s="523">
        <f t="shared" si="18"/>
        <v>5948633.1040904317</v>
      </c>
      <c r="G37" s="524">
        <f t="shared" si="19"/>
        <v>1044608.9211522979</v>
      </c>
      <c r="H37" s="491">
        <f t="shared" si="20"/>
        <v>1044608.9211522979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5948633.1040904317</v>
      </c>
      <c r="E38" s="522">
        <f>IF(+I14&lt;F37,I14,D38)</f>
        <v>275721.69047619047</v>
      </c>
      <c r="F38" s="523">
        <f t="shared" si="18"/>
        <v>5672911.4136142414</v>
      </c>
      <c r="G38" s="524">
        <f t="shared" si="19"/>
        <v>1009777.8856181279</v>
      </c>
      <c r="H38" s="491">
        <f t="shared" si="20"/>
        <v>1009777.8856181279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5672911.4136142414</v>
      </c>
      <c r="E39" s="522">
        <f>IF(+I14&lt;F38,I14,D39)</f>
        <v>275721.69047619047</v>
      </c>
      <c r="F39" s="523">
        <f t="shared" si="18"/>
        <v>5397189.7231380511</v>
      </c>
      <c r="G39" s="524">
        <f t="shared" si="19"/>
        <v>974946.85008395789</v>
      </c>
      <c r="H39" s="491">
        <f t="shared" si="20"/>
        <v>974946.85008395789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5397189.7231380511</v>
      </c>
      <c r="E40" s="522">
        <f>IF(+I14&lt;F39,I14,D40)</f>
        <v>275721.69047619047</v>
      </c>
      <c r="F40" s="523">
        <f t="shared" si="18"/>
        <v>5121468.0326618608</v>
      </c>
      <c r="G40" s="524">
        <f t="shared" si="19"/>
        <v>940115.8145497879</v>
      </c>
      <c r="H40" s="491">
        <f t="shared" si="20"/>
        <v>940115.8145497879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5121468.0326618608</v>
      </c>
      <c r="E41" s="522">
        <f>IF(+I14&lt;F40,I14,D41)</f>
        <v>275721.69047619047</v>
      </c>
      <c r="F41" s="523">
        <f t="shared" si="18"/>
        <v>4845746.3421856705</v>
      </c>
      <c r="G41" s="524">
        <f t="shared" si="19"/>
        <v>905284.77901561791</v>
      </c>
      <c r="H41" s="491">
        <f t="shared" si="20"/>
        <v>905284.77901561791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4845746.3421856705</v>
      </c>
      <c r="E42" s="522">
        <f>IF(+I14&lt;F41,I14,D42)</f>
        <v>275721.69047619047</v>
      </c>
      <c r="F42" s="523">
        <f t="shared" si="18"/>
        <v>4570024.6517094802</v>
      </c>
      <c r="G42" s="524">
        <f t="shared" si="19"/>
        <v>870453.74348144769</v>
      </c>
      <c r="H42" s="491">
        <f t="shared" si="20"/>
        <v>870453.74348144769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4570024.6517094802</v>
      </c>
      <c r="E43" s="522">
        <f>IF(+I14&lt;F42,I14,D43)</f>
        <v>275721.69047619047</v>
      </c>
      <c r="F43" s="523">
        <f t="shared" si="18"/>
        <v>4294302.9612332899</v>
      </c>
      <c r="G43" s="524">
        <f t="shared" si="19"/>
        <v>835622.7079472777</v>
      </c>
      <c r="H43" s="491">
        <f t="shared" si="20"/>
        <v>835622.7079472777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4294302.9612332899</v>
      </c>
      <c r="E44" s="522">
        <f>IF(+I14&lt;F43,I14,D44)</f>
        <v>275721.69047619047</v>
      </c>
      <c r="F44" s="523">
        <f t="shared" si="18"/>
        <v>4018581.2707570996</v>
      </c>
      <c r="G44" s="524">
        <f t="shared" si="19"/>
        <v>800791.67241310771</v>
      </c>
      <c r="H44" s="491">
        <f t="shared" si="20"/>
        <v>800791.67241310771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4018581.2707570996</v>
      </c>
      <c r="E45" s="522">
        <f>IF(+I14&lt;F44,I14,D45)</f>
        <v>275721.69047619047</v>
      </c>
      <c r="F45" s="523">
        <f t="shared" si="18"/>
        <v>3742859.5802809093</v>
      </c>
      <c r="G45" s="524">
        <f t="shared" si="19"/>
        <v>765960.63687893772</v>
      </c>
      <c r="H45" s="491">
        <f t="shared" si="20"/>
        <v>765960.63687893772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3742859.5802809093</v>
      </c>
      <c r="E46" s="522">
        <f>IF(+I14&lt;F45,I14,D46)</f>
        <v>275721.69047619047</v>
      </c>
      <c r="F46" s="523">
        <f t="shared" si="18"/>
        <v>3467137.889804719</v>
      </c>
      <c r="G46" s="524">
        <f t="shared" si="19"/>
        <v>731129.60134476773</v>
      </c>
      <c r="H46" s="491">
        <f t="shared" si="20"/>
        <v>731129.60134476773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3467137.889804719</v>
      </c>
      <c r="E47" s="522">
        <f>IF(+I14&lt;F46,I14,D47)</f>
        <v>275721.69047619047</v>
      </c>
      <c r="F47" s="523">
        <f t="shared" si="18"/>
        <v>3191416.1993285287</v>
      </c>
      <c r="G47" s="524">
        <f t="shared" si="19"/>
        <v>696298.56581059762</v>
      </c>
      <c r="H47" s="491">
        <f t="shared" si="20"/>
        <v>696298.56581059762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3191416.1993285287</v>
      </c>
      <c r="E48" s="522">
        <f>IF(+I14&lt;F47,I14,D48)</f>
        <v>275721.69047619047</v>
      </c>
      <c r="F48" s="523">
        <f t="shared" si="18"/>
        <v>2915694.5088523384</v>
      </c>
      <c r="G48" s="524">
        <f t="shared" si="19"/>
        <v>661467.53027642751</v>
      </c>
      <c r="H48" s="491">
        <f t="shared" si="20"/>
        <v>661467.53027642751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2915694.5088523384</v>
      </c>
      <c r="E49" s="522">
        <f>IF(+I14&lt;F48,I14,D49)</f>
        <v>275721.69047619047</v>
      </c>
      <c r="F49" s="523">
        <f t="shared" ref="F49:F72" si="21">+D49-E49</f>
        <v>2639972.8183761481</v>
      </c>
      <c r="G49" s="524">
        <f t="shared" si="19"/>
        <v>626636.49474225752</v>
      </c>
      <c r="H49" s="491">
        <f t="shared" si="20"/>
        <v>626636.49474225752</v>
      </c>
      <c r="I49" s="511">
        <f t="shared" ref="I49:I72" si="22">H49-G49</f>
        <v>0</v>
      </c>
      <c r="J49" s="511"/>
      <c r="K49" s="525"/>
      <c r="L49" s="514">
        <f t="shared" ref="L49:L72" si="23">IF(K49&lt;&gt;0,+G49-K49,0)</f>
        <v>0</v>
      </c>
      <c r="M49" s="525"/>
      <c r="N49" s="514">
        <f t="shared" ref="N49:N72" si="24">IF(M49&lt;&gt;0,+H49-M49,0)</f>
        <v>0</v>
      </c>
      <c r="O49" s="514">
        <f t="shared" ref="O49:O72" si="25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2639972.8183761481</v>
      </c>
      <c r="E50" s="522">
        <f>IF(+I14&lt;F49,I14,D50)</f>
        <v>275721.69047619047</v>
      </c>
      <c r="F50" s="523">
        <f t="shared" si="21"/>
        <v>2364251.1278999578</v>
      </c>
      <c r="G50" s="524">
        <f t="shared" si="19"/>
        <v>591805.45920808753</v>
      </c>
      <c r="H50" s="491">
        <f t="shared" si="20"/>
        <v>591805.45920808753</v>
      </c>
      <c r="I50" s="511">
        <f t="shared" si="22"/>
        <v>0</v>
      </c>
      <c r="J50" s="511"/>
      <c r="K50" s="525"/>
      <c r="L50" s="514">
        <f t="shared" si="23"/>
        <v>0</v>
      </c>
      <c r="M50" s="525"/>
      <c r="N50" s="514">
        <f t="shared" si="24"/>
        <v>0</v>
      </c>
      <c r="O50" s="514">
        <f t="shared" si="25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2364251.1278999578</v>
      </c>
      <c r="E51" s="522">
        <f>IF(+I14&lt;F50,I14,D51)</f>
        <v>275721.69047619047</v>
      </c>
      <c r="F51" s="523">
        <f t="shared" si="21"/>
        <v>2088529.4374237673</v>
      </c>
      <c r="G51" s="524">
        <f t="shared" si="19"/>
        <v>556974.42367391754</v>
      </c>
      <c r="H51" s="491">
        <f t="shared" si="20"/>
        <v>556974.42367391754</v>
      </c>
      <c r="I51" s="511">
        <f t="shared" si="22"/>
        <v>0</v>
      </c>
      <c r="J51" s="511"/>
      <c r="K51" s="525"/>
      <c r="L51" s="514">
        <f t="shared" si="23"/>
        <v>0</v>
      </c>
      <c r="M51" s="525"/>
      <c r="N51" s="514">
        <f t="shared" si="24"/>
        <v>0</v>
      </c>
      <c r="O51" s="514">
        <f t="shared" si="25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2088529.4374237673</v>
      </c>
      <c r="E52" s="522">
        <f>IF(+I14&lt;F51,I14,D52)</f>
        <v>275721.69047619047</v>
      </c>
      <c r="F52" s="523">
        <f t="shared" si="21"/>
        <v>1812807.7469475768</v>
      </c>
      <c r="G52" s="524">
        <f t="shared" si="19"/>
        <v>522143.38813974737</v>
      </c>
      <c r="H52" s="491">
        <f t="shared" si="20"/>
        <v>522143.38813974737</v>
      </c>
      <c r="I52" s="511">
        <f t="shared" si="22"/>
        <v>0</v>
      </c>
      <c r="J52" s="511"/>
      <c r="K52" s="525"/>
      <c r="L52" s="514">
        <f t="shared" si="23"/>
        <v>0</v>
      </c>
      <c r="M52" s="525"/>
      <c r="N52" s="514">
        <f t="shared" si="24"/>
        <v>0</v>
      </c>
      <c r="O52" s="514">
        <f t="shared" si="25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1812807.7469475768</v>
      </c>
      <c r="E53" s="522">
        <f>IF(+I14&lt;F52,I14,D53)</f>
        <v>275721.69047619047</v>
      </c>
      <c r="F53" s="523">
        <f t="shared" si="21"/>
        <v>1537086.0564713862</v>
      </c>
      <c r="G53" s="524">
        <f t="shared" si="19"/>
        <v>487312.35260557733</v>
      </c>
      <c r="H53" s="491">
        <f t="shared" si="20"/>
        <v>487312.35260557733</v>
      </c>
      <c r="I53" s="511">
        <f t="shared" si="22"/>
        <v>0</v>
      </c>
      <c r="J53" s="511"/>
      <c r="K53" s="525"/>
      <c r="L53" s="514">
        <f t="shared" si="23"/>
        <v>0</v>
      </c>
      <c r="M53" s="525"/>
      <c r="N53" s="514">
        <f t="shared" si="24"/>
        <v>0</v>
      </c>
      <c r="O53" s="514">
        <f t="shared" si="25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1537086.0564713862</v>
      </c>
      <c r="E54" s="522">
        <f>IF(+I14&lt;F53,I14,D54)</f>
        <v>275721.69047619047</v>
      </c>
      <c r="F54" s="523">
        <f t="shared" si="21"/>
        <v>1261364.3659951957</v>
      </c>
      <c r="G54" s="524">
        <f t="shared" si="19"/>
        <v>452481.31707140722</v>
      </c>
      <c r="H54" s="491">
        <f t="shared" si="20"/>
        <v>452481.31707140722</v>
      </c>
      <c r="I54" s="511">
        <f t="shared" si="22"/>
        <v>0</v>
      </c>
      <c r="J54" s="511"/>
      <c r="K54" s="525"/>
      <c r="L54" s="514">
        <f t="shared" si="23"/>
        <v>0</v>
      </c>
      <c r="M54" s="525"/>
      <c r="N54" s="514">
        <f t="shared" si="24"/>
        <v>0</v>
      </c>
      <c r="O54" s="514">
        <f t="shared" si="25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1261364.3659951957</v>
      </c>
      <c r="E55" s="522">
        <f>IF(+I14&lt;F54,I14,D55)</f>
        <v>275721.69047619047</v>
      </c>
      <c r="F55" s="523">
        <f t="shared" si="21"/>
        <v>985642.67551900516</v>
      </c>
      <c r="G55" s="524">
        <f t="shared" si="19"/>
        <v>417650.28153723723</v>
      </c>
      <c r="H55" s="491">
        <f t="shared" si="20"/>
        <v>417650.28153723723</v>
      </c>
      <c r="I55" s="511">
        <f t="shared" si="22"/>
        <v>0</v>
      </c>
      <c r="J55" s="511"/>
      <c r="K55" s="525"/>
      <c r="L55" s="514">
        <f t="shared" si="23"/>
        <v>0</v>
      </c>
      <c r="M55" s="525"/>
      <c r="N55" s="514">
        <f t="shared" si="24"/>
        <v>0</v>
      </c>
      <c r="O55" s="514">
        <f t="shared" si="25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985642.67551900516</v>
      </c>
      <c r="E56" s="522">
        <f>IF(+I14&lt;F55,I14,D56)</f>
        <v>275721.69047619047</v>
      </c>
      <c r="F56" s="523">
        <f t="shared" si="21"/>
        <v>709920.98504281463</v>
      </c>
      <c r="G56" s="524">
        <f t="shared" si="19"/>
        <v>382819.24600306712</v>
      </c>
      <c r="H56" s="491">
        <f t="shared" si="20"/>
        <v>382819.24600306712</v>
      </c>
      <c r="I56" s="511">
        <f t="shared" si="22"/>
        <v>0</v>
      </c>
      <c r="J56" s="511"/>
      <c r="K56" s="525"/>
      <c r="L56" s="514">
        <f t="shared" si="23"/>
        <v>0</v>
      </c>
      <c r="M56" s="525"/>
      <c r="N56" s="514">
        <f t="shared" si="24"/>
        <v>0</v>
      </c>
      <c r="O56" s="514">
        <f t="shared" si="25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709920.98504281463</v>
      </c>
      <c r="E57" s="522">
        <f>IF(+I14&lt;F56,I14,D57)</f>
        <v>275721.69047619047</v>
      </c>
      <c r="F57" s="523">
        <f t="shared" si="21"/>
        <v>434199.29456662416</v>
      </c>
      <c r="G57" s="524">
        <f t="shared" si="19"/>
        <v>347988.21046889701</v>
      </c>
      <c r="H57" s="491">
        <f t="shared" si="20"/>
        <v>347988.21046889701</v>
      </c>
      <c r="I57" s="511">
        <f t="shared" si="22"/>
        <v>0</v>
      </c>
      <c r="J57" s="511"/>
      <c r="K57" s="525"/>
      <c r="L57" s="514">
        <f t="shared" si="23"/>
        <v>0</v>
      </c>
      <c r="M57" s="525"/>
      <c r="N57" s="514">
        <f t="shared" si="24"/>
        <v>0</v>
      </c>
      <c r="O57" s="514">
        <f t="shared" si="25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434199.29456662416</v>
      </c>
      <c r="E58" s="522">
        <f>IF(+I14&lt;F57,I14,D58)</f>
        <v>275721.69047619047</v>
      </c>
      <c r="F58" s="523">
        <f t="shared" si="21"/>
        <v>158477.60409043368</v>
      </c>
      <c r="G58" s="524">
        <f t="shared" si="19"/>
        <v>313157.17493472702</v>
      </c>
      <c r="H58" s="491">
        <f t="shared" si="20"/>
        <v>313157.17493472702</v>
      </c>
      <c r="I58" s="511">
        <f t="shared" si="22"/>
        <v>0</v>
      </c>
      <c r="J58" s="511"/>
      <c r="K58" s="525"/>
      <c r="L58" s="514">
        <f t="shared" si="23"/>
        <v>0</v>
      </c>
      <c r="M58" s="525"/>
      <c r="N58" s="514">
        <f t="shared" si="24"/>
        <v>0</v>
      </c>
      <c r="O58" s="514">
        <f t="shared" si="25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158477.60409043368</v>
      </c>
      <c r="E59" s="522">
        <f>IF(+I14&lt;F58,I14,D59)</f>
        <v>158477.60409043368</v>
      </c>
      <c r="F59" s="523">
        <f t="shared" si="21"/>
        <v>0</v>
      </c>
      <c r="G59" s="524">
        <f t="shared" si="19"/>
        <v>168487.58743615943</v>
      </c>
      <c r="H59" s="491">
        <f t="shared" si="20"/>
        <v>168487.58743615943</v>
      </c>
      <c r="I59" s="511">
        <f t="shared" si="22"/>
        <v>0</v>
      </c>
      <c r="J59" s="511"/>
      <c r="K59" s="525"/>
      <c r="L59" s="514">
        <f t="shared" si="23"/>
        <v>0</v>
      </c>
      <c r="M59" s="525"/>
      <c r="N59" s="514">
        <f t="shared" si="24"/>
        <v>0</v>
      </c>
      <c r="O59" s="514">
        <f t="shared" si="25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1"/>
        <v>0</v>
      </c>
      <c r="G60" s="524">
        <f t="shared" si="19"/>
        <v>0</v>
      </c>
      <c r="H60" s="491">
        <f t="shared" si="20"/>
        <v>0</v>
      </c>
      <c r="I60" s="511">
        <f t="shared" si="22"/>
        <v>0</v>
      </c>
      <c r="J60" s="511"/>
      <c r="K60" s="525"/>
      <c r="L60" s="514">
        <f t="shared" si="23"/>
        <v>0</v>
      </c>
      <c r="M60" s="525"/>
      <c r="N60" s="514">
        <f t="shared" si="24"/>
        <v>0</v>
      </c>
      <c r="O60" s="514">
        <f t="shared" si="25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1"/>
        <v>0</v>
      </c>
      <c r="G61" s="524">
        <f t="shared" si="19"/>
        <v>0</v>
      </c>
      <c r="H61" s="491">
        <f t="shared" si="20"/>
        <v>0</v>
      </c>
      <c r="I61" s="511">
        <f t="shared" si="22"/>
        <v>0</v>
      </c>
      <c r="J61" s="511"/>
      <c r="K61" s="525"/>
      <c r="L61" s="514">
        <f t="shared" si="23"/>
        <v>0</v>
      </c>
      <c r="M61" s="525"/>
      <c r="N61" s="514">
        <f t="shared" si="24"/>
        <v>0</v>
      </c>
      <c r="O61" s="514">
        <f t="shared" si="25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1"/>
        <v>0</v>
      </c>
      <c r="G62" s="524">
        <f t="shared" si="19"/>
        <v>0</v>
      </c>
      <c r="H62" s="491">
        <f t="shared" si="20"/>
        <v>0</v>
      </c>
      <c r="I62" s="511">
        <f t="shared" si="22"/>
        <v>0</v>
      </c>
      <c r="J62" s="511"/>
      <c r="K62" s="525"/>
      <c r="L62" s="514">
        <f t="shared" si="23"/>
        <v>0</v>
      </c>
      <c r="M62" s="525"/>
      <c r="N62" s="514">
        <f t="shared" si="24"/>
        <v>0</v>
      </c>
      <c r="O62" s="514">
        <f t="shared" si="25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1"/>
        <v>0</v>
      </c>
      <c r="G63" s="524">
        <f t="shared" si="19"/>
        <v>0</v>
      </c>
      <c r="H63" s="491">
        <f t="shared" si="20"/>
        <v>0</v>
      </c>
      <c r="I63" s="511">
        <f t="shared" si="22"/>
        <v>0</v>
      </c>
      <c r="J63" s="511"/>
      <c r="K63" s="525"/>
      <c r="L63" s="514">
        <f t="shared" si="23"/>
        <v>0</v>
      </c>
      <c r="M63" s="525"/>
      <c r="N63" s="514">
        <f t="shared" si="24"/>
        <v>0</v>
      </c>
      <c r="O63" s="514">
        <f t="shared" si="25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1"/>
        <v>0</v>
      </c>
      <c r="G64" s="524">
        <f t="shared" si="19"/>
        <v>0</v>
      </c>
      <c r="H64" s="491">
        <f t="shared" si="20"/>
        <v>0</v>
      </c>
      <c r="I64" s="511">
        <f t="shared" si="22"/>
        <v>0</v>
      </c>
      <c r="J64" s="511"/>
      <c r="K64" s="525"/>
      <c r="L64" s="514">
        <f t="shared" si="23"/>
        <v>0</v>
      </c>
      <c r="M64" s="525"/>
      <c r="N64" s="514">
        <f t="shared" si="24"/>
        <v>0</v>
      </c>
      <c r="O64" s="514">
        <f t="shared" si="25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1"/>
        <v>0</v>
      </c>
      <c r="G65" s="524">
        <f t="shared" si="19"/>
        <v>0</v>
      </c>
      <c r="H65" s="491">
        <f t="shared" si="20"/>
        <v>0</v>
      </c>
      <c r="I65" s="511">
        <f t="shared" si="22"/>
        <v>0</v>
      </c>
      <c r="J65" s="511"/>
      <c r="K65" s="525"/>
      <c r="L65" s="514">
        <f t="shared" si="23"/>
        <v>0</v>
      </c>
      <c r="M65" s="525"/>
      <c r="N65" s="514">
        <f t="shared" si="24"/>
        <v>0</v>
      </c>
      <c r="O65" s="514">
        <f t="shared" si="25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1"/>
        <v>0</v>
      </c>
      <c r="G66" s="524">
        <f t="shared" si="19"/>
        <v>0</v>
      </c>
      <c r="H66" s="491">
        <f t="shared" si="20"/>
        <v>0</v>
      </c>
      <c r="I66" s="511">
        <f t="shared" si="22"/>
        <v>0</v>
      </c>
      <c r="J66" s="511"/>
      <c r="K66" s="525"/>
      <c r="L66" s="514">
        <f t="shared" si="23"/>
        <v>0</v>
      </c>
      <c r="M66" s="525"/>
      <c r="N66" s="514">
        <f t="shared" si="24"/>
        <v>0</v>
      </c>
      <c r="O66" s="514">
        <f t="shared" si="25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1"/>
        <v>0</v>
      </c>
      <c r="G67" s="524">
        <f t="shared" si="19"/>
        <v>0</v>
      </c>
      <c r="H67" s="491">
        <f t="shared" si="20"/>
        <v>0</v>
      </c>
      <c r="I67" s="511">
        <f t="shared" si="22"/>
        <v>0</v>
      </c>
      <c r="J67" s="511"/>
      <c r="K67" s="525"/>
      <c r="L67" s="514">
        <f t="shared" si="23"/>
        <v>0</v>
      </c>
      <c r="M67" s="525"/>
      <c r="N67" s="514">
        <f t="shared" si="24"/>
        <v>0</v>
      </c>
      <c r="O67" s="514">
        <f t="shared" si="25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1"/>
        <v>0</v>
      </c>
      <c r="G68" s="524">
        <f t="shared" si="19"/>
        <v>0</v>
      </c>
      <c r="H68" s="491">
        <f t="shared" si="20"/>
        <v>0</v>
      </c>
      <c r="I68" s="511">
        <f t="shared" si="22"/>
        <v>0</v>
      </c>
      <c r="J68" s="511"/>
      <c r="K68" s="525"/>
      <c r="L68" s="514">
        <f t="shared" si="23"/>
        <v>0</v>
      </c>
      <c r="M68" s="525"/>
      <c r="N68" s="514">
        <f t="shared" si="24"/>
        <v>0</v>
      </c>
      <c r="O68" s="514">
        <f t="shared" si="25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1"/>
        <v>0</v>
      </c>
      <c r="G69" s="524">
        <f t="shared" si="19"/>
        <v>0</v>
      </c>
      <c r="H69" s="491">
        <f t="shared" si="20"/>
        <v>0</v>
      </c>
      <c r="I69" s="511">
        <f t="shared" si="22"/>
        <v>0</v>
      </c>
      <c r="J69" s="511"/>
      <c r="K69" s="525"/>
      <c r="L69" s="514">
        <f t="shared" si="23"/>
        <v>0</v>
      </c>
      <c r="M69" s="525"/>
      <c r="N69" s="514">
        <f t="shared" si="24"/>
        <v>0</v>
      </c>
      <c r="O69" s="514">
        <f t="shared" si="25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1"/>
        <v>0</v>
      </c>
      <c r="G70" s="524">
        <f t="shared" si="19"/>
        <v>0</v>
      </c>
      <c r="H70" s="491">
        <f t="shared" si="20"/>
        <v>0</v>
      </c>
      <c r="I70" s="511">
        <f t="shared" si="22"/>
        <v>0</v>
      </c>
      <c r="J70" s="511"/>
      <c r="K70" s="525"/>
      <c r="L70" s="514">
        <f t="shared" si="23"/>
        <v>0</v>
      </c>
      <c r="M70" s="525"/>
      <c r="N70" s="514">
        <f t="shared" si="24"/>
        <v>0</v>
      </c>
      <c r="O70" s="514">
        <f t="shared" si="25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1"/>
        <v>0</v>
      </c>
      <c r="G71" s="524">
        <f t="shared" si="19"/>
        <v>0</v>
      </c>
      <c r="H71" s="491">
        <f t="shared" si="20"/>
        <v>0</v>
      </c>
      <c r="I71" s="511">
        <f t="shared" si="22"/>
        <v>0</v>
      </c>
      <c r="J71" s="511"/>
      <c r="K71" s="525"/>
      <c r="L71" s="514">
        <f t="shared" si="23"/>
        <v>0</v>
      </c>
      <c r="M71" s="525"/>
      <c r="N71" s="514">
        <f t="shared" si="24"/>
        <v>0</v>
      </c>
      <c r="O71" s="514">
        <f t="shared" si="25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1"/>
        <v>0</v>
      </c>
      <c r="G72" s="524">
        <f t="shared" si="19"/>
        <v>0</v>
      </c>
      <c r="H72" s="491">
        <f t="shared" si="20"/>
        <v>0</v>
      </c>
      <c r="I72" s="531">
        <f t="shared" si="22"/>
        <v>0</v>
      </c>
      <c r="J72" s="511"/>
      <c r="K72" s="532"/>
      <c r="L72" s="533">
        <f t="shared" si="23"/>
        <v>0</v>
      </c>
      <c r="M72" s="532"/>
      <c r="N72" s="533">
        <f t="shared" si="24"/>
        <v>0</v>
      </c>
      <c r="O72" s="533">
        <f t="shared" si="25"/>
        <v>0</v>
      </c>
      <c r="P72" s="272"/>
    </row>
    <row r="73" spans="1:16" ht="12.5">
      <c r="C73" s="374" t="s">
        <v>78</v>
      </c>
      <c r="D73" s="375"/>
      <c r="E73" s="375">
        <f>SUM(E17:E72)</f>
        <v>11580311</v>
      </c>
      <c r="F73" s="375"/>
      <c r="G73" s="375">
        <f>SUM(G17:G72)</f>
        <v>42609859.121511877</v>
      </c>
      <c r="H73" s="375">
        <f>SUM(H17:H72)</f>
        <v>42609859.121511877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4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1156132.318517738</v>
      </c>
      <c r="N87" s="546">
        <f>IF(J92&lt;D11,0,VLOOKUP(J92,C17:O72,11))</f>
        <v>1156132.318517738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1220060.0680241259</v>
      </c>
      <c r="N88" s="550">
        <f>IF(J92&lt;D11,0,VLOOKUP(J92,C99:P154,7))</f>
        <v>1220060.0680241259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Rebuild N. Magazine - Danville 161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63927.74950638786</v>
      </c>
      <c r="N89" s="555">
        <f>+N88-N87</f>
        <v>63927.74950638786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TP2007114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11580311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282446.60975609755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152372</v>
      </c>
      <c r="F99" s="515">
        <v>11427940</v>
      </c>
      <c r="G99" s="574">
        <v>5713970</v>
      </c>
      <c r="H99" s="575">
        <v>979399</v>
      </c>
      <c r="I99" s="576">
        <v>979399</v>
      </c>
      <c r="J99" s="514">
        <f t="shared" ref="J99:J130" si="26">+I99-H99</f>
        <v>0</v>
      </c>
      <c r="K99" s="514"/>
      <c r="L99" s="512">
        <f t="shared" ref="L99:L104" si="27">H99</f>
        <v>979399</v>
      </c>
      <c r="M99" s="513">
        <f t="shared" ref="M99:M130" si="28">IF(L99&lt;&gt;0,+H99-L99,0)</f>
        <v>0</v>
      </c>
      <c r="N99" s="512">
        <f t="shared" ref="N99:N104" si="29">I99</f>
        <v>979399</v>
      </c>
      <c r="O99" s="513">
        <f t="shared" ref="O99:O130" si="30">IF(N99&lt;&gt;0,+I99-N99,0)</f>
        <v>0</v>
      </c>
      <c r="P99" s="513">
        <f t="shared" ref="P99:P130" si="31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11427940.940000001</v>
      </c>
      <c r="E100" s="516">
        <v>282446.65707317076</v>
      </c>
      <c r="F100" s="515">
        <v>11145494.282926831</v>
      </c>
      <c r="G100" s="515">
        <v>11286717.611463416</v>
      </c>
      <c r="H100" s="516">
        <v>2145726.6474616765</v>
      </c>
      <c r="I100" s="510">
        <v>2145726.6474616765</v>
      </c>
      <c r="J100" s="514">
        <f t="shared" si="26"/>
        <v>0</v>
      </c>
      <c r="K100" s="514"/>
      <c r="L100" s="518">
        <f t="shared" si="27"/>
        <v>2145726.6474616765</v>
      </c>
      <c r="M100" s="519">
        <f t="shared" si="28"/>
        <v>0</v>
      </c>
      <c r="N100" s="518">
        <f t="shared" si="29"/>
        <v>2145726.6474616765</v>
      </c>
      <c r="O100" s="514">
        <f t="shared" si="30"/>
        <v>0</v>
      </c>
      <c r="P100" s="514">
        <f t="shared" si="31"/>
        <v>0</v>
      </c>
      <c r="Q100" s="269"/>
    </row>
    <row r="101" spans="1:17" ht="12.5">
      <c r="B101" s="195" t="str">
        <f t="shared" ref="B101:B154" si="32">IF(D101=F100,"","IU")</f>
        <v/>
      </c>
      <c r="C101" s="507">
        <f>IF(D93="","-",+C100+1)</f>
        <v>2011</v>
      </c>
      <c r="D101" s="508">
        <v>11145494.282926831</v>
      </c>
      <c r="E101" s="520">
        <v>275721.73666666669</v>
      </c>
      <c r="F101" s="515">
        <v>10869772.546260165</v>
      </c>
      <c r="G101" s="515">
        <v>11007633.414593499</v>
      </c>
      <c r="H101" s="516">
        <v>1931048.5627447576</v>
      </c>
      <c r="I101" s="510">
        <v>1931048.5627447576</v>
      </c>
      <c r="J101" s="514">
        <f t="shared" si="26"/>
        <v>0</v>
      </c>
      <c r="K101" s="514"/>
      <c r="L101" s="518">
        <f t="shared" si="27"/>
        <v>1931048.5627447576</v>
      </c>
      <c r="M101" s="519">
        <f t="shared" si="28"/>
        <v>0</v>
      </c>
      <c r="N101" s="518">
        <f t="shared" si="29"/>
        <v>1931048.5627447576</v>
      </c>
      <c r="O101" s="514">
        <f t="shared" si="30"/>
        <v>0</v>
      </c>
      <c r="P101" s="514">
        <f t="shared" si="31"/>
        <v>0</v>
      </c>
      <c r="Q101" s="269"/>
    </row>
    <row r="102" spans="1:17" ht="12.5">
      <c r="B102" s="195" t="str">
        <f t="shared" si="32"/>
        <v/>
      </c>
      <c r="C102" s="507">
        <f>IF(D93="","-",+C101+1)</f>
        <v>2012</v>
      </c>
      <c r="D102" s="508">
        <v>10869772.546260165</v>
      </c>
      <c r="E102" s="516">
        <v>275721.73666666669</v>
      </c>
      <c r="F102" s="515">
        <v>10594050.809593499</v>
      </c>
      <c r="G102" s="515">
        <v>10731911.677926831</v>
      </c>
      <c r="H102" s="516">
        <v>1854964.7357626334</v>
      </c>
      <c r="I102" s="510">
        <v>1854964.7357626334</v>
      </c>
      <c r="J102" s="514">
        <f t="shared" si="26"/>
        <v>0</v>
      </c>
      <c r="K102" s="514"/>
      <c r="L102" s="518">
        <f t="shared" si="27"/>
        <v>1854964.7357626334</v>
      </c>
      <c r="M102" s="519">
        <f t="shared" si="28"/>
        <v>0</v>
      </c>
      <c r="N102" s="518">
        <f t="shared" si="29"/>
        <v>1854964.7357626334</v>
      </c>
      <c r="O102" s="514">
        <f t="shared" si="30"/>
        <v>0</v>
      </c>
      <c r="P102" s="514">
        <f t="shared" si="31"/>
        <v>0</v>
      </c>
      <c r="Q102" s="269"/>
    </row>
    <row r="103" spans="1:17" ht="12.5">
      <c r="B103" s="195" t="str">
        <f t="shared" si="32"/>
        <v/>
      </c>
      <c r="C103" s="507">
        <f>IF(D93="","-",+C102+1)</f>
        <v>2013</v>
      </c>
      <c r="D103" s="508">
        <v>10594050.809593499</v>
      </c>
      <c r="E103" s="516">
        <v>275721.73666666669</v>
      </c>
      <c r="F103" s="515">
        <v>10318329.072926832</v>
      </c>
      <c r="G103" s="515">
        <v>10456189.941260166</v>
      </c>
      <c r="H103" s="516">
        <v>1690357.4734906773</v>
      </c>
      <c r="I103" s="510">
        <v>1690357.4734906773</v>
      </c>
      <c r="J103" s="514">
        <v>0</v>
      </c>
      <c r="K103" s="514"/>
      <c r="L103" s="518">
        <f t="shared" si="27"/>
        <v>1690357.4734906773</v>
      </c>
      <c r="M103" s="519">
        <f t="shared" ref="M103:M108" si="33">IF(L103&lt;&gt;0,+H103-L103,0)</f>
        <v>0</v>
      </c>
      <c r="N103" s="518">
        <f t="shared" si="29"/>
        <v>1690357.4734906773</v>
      </c>
      <c r="O103" s="514">
        <f t="shared" ref="O103:O108" si="34">IF(N103&lt;&gt;0,+I103-N103,0)</f>
        <v>0</v>
      </c>
      <c r="P103" s="514">
        <f t="shared" ref="P103:P108" si="35">+O103-M103</f>
        <v>0</v>
      </c>
      <c r="Q103" s="269"/>
    </row>
    <row r="104" spans="1:17" ht="12.5">
      <c r="B104" s="195" t="str">
        <f t="shared" si="32"/>
        <v/>
      </c>
      <c r="C104" s="507">
        <f>IF(D93="","-",+C103+1)</f>
        <v>2014</v>
      </c>
      <c r="D104" s="508">
        <v>10318329.072926832</v>
      </c>
      <c r="E104" s="516">
        <v>275721.73666666669</v>
      </c>
      <c r="F104" s="515">
        <v>10042607.336260166</v>
      </c>
      <c r="G104" s="515">
        <v>10180468.204593498</v>
      </c>
      <c r="H104" s="516">
        <v>1659486.1970572667</v>
      </c>
      <c r="I104" s="510">
        <v>1659486.1970572667</v>
      </c>
      <c r="J104" s="514">
        <v>0</v>
      </c>
      <c r="K104" s="514"/>
      <c r="L104" s="518">
        <f t="shared" si="27"/>
        <v>1659486.1970572667</v>
      </c>
      <c r="M104" s="519">
        <f t="shared" si="33"/>
        <v>0</v>
      </c>
      <c r="N104" s="518">
        <f t="shared" si="29"/>
        <v>1659486.1970572667</v>
      </c>
      <c r="O104" s="514">
        <f t="shared" si="34"/>
        <v>0</v>
      </c>
      <c r="P104" s="514">
        <f t="shared" si="35"/>
        <v>0</v>
      </c>
      <c r="Q104" s="269"/>
    </row>
    <row r="105" spans="1:17" ht="12.5">
      <c r="B105" s="195" t="str">
        <f t="shared" si="32"/>
        <v>IU</v>
      </c>
      <c r="C105" s="507">
        <f>IF(D93="","-",+C104+1)</f>
        <v>2015</v>
      </c>
      <c r="D105" s="508">
        <v>10042605.396260163</v>
      </c>
      <c r="E105" s="516">
        <v>275721.69047619047</v>
      </c>
      <c r="F105" s="515">
        <v>9766883.7057839725</v>
      </c>
      <c r="G105" s="515">
        <v>9904744.5510220677</v>
      </c>
      <c r="H105" s="516">
        <v>1580858.7656028033</v>
      </c>
      <c r="I105" s="510">
        <v>1580858.7656028033</v>
      </c>
      <c r="J105" s="514">
        <f t="shared" si="26"/>
        <v>0</v>
      </c>
      <c r="K105" s="514"/>
      <c r="L105" s="518">
        <f t="shared" ref="L105:L110" si="36">H105</f>
        <v>1580858.7656028033</v>
      </c>
      <c r="M105" s="519">
        <f t="shared" si="33"/>
        <v>0</v>
      </c>
      <c r="N105" s="518">
        <f t="shared" ref="N105:N110" si="37">I105</f>
        <v>1580858.7656028033</v>
      </c>
      <c r="O105" s="514">
        <f t="shared" si="34"/>
        <v>0</v>
      </c>
      <c r="P105" s="514">
        <f t="shared" si="35"/>
        <v>0</v>
      </c>
      <c r="Q105" s="269"/>
    </row>
    <row r="106" spans="1:17" ht="12.5">
      <c r="B106" s="195" t="str">
        <f t="shared" si="32"/>
        <v/>
      </c>
      <c r="C106" s="507">
        <f>IF(D93="","-",+C105+1)</f>
        <v>2016</v>
      </c>
      <c r="D106" s="508">
        <v>9766883.7057839725</v>
      </c>
      <c r="E106" s="516">
        <v>269309.5581395349</v>
      </c>
      <c r="F106" s="515">
        <v>9497574.1476444378</v>
      </c>
      <c r="G106" s="515">
        <v>9632228.9267142043</v>
      </c>
      <c r="H106" s="516">
        <v>1492120.9075767242</v>
      </c>
      <c r="I106" s="510">
        <v>1492120.9075767242</v>
      </c>
      <c r="J106" s="514">
        <f t="shared" si="26"/>
        <v>0</v>
      </c>
      <c r="K106" s="514"/>
      <c r="L106" s="518">
        <f t="shared" si="36"/>
        <v>1492120.9075767242</v>
      </c>
      <c r="M106" s="519">
        <f t="shared" si="33"/>
        <v>0</v>
      </c>
      <c r="N106" s="518">
        <f t="shared" si="37"/>
        <v>1492120.9075767242</v>
      </c>
      <c r="O106" s="514">
        <f t="shared" si="34"/>
        <v>0</v>
      </c>
      <c r="P106" s="514">
        <f t="shared" si="35"/>
        <v>0</v>
      </c>
      <c r="Q106" s="269"/>
    </row>
    <row r="107" spans="1:17" ht="12.5">
      <c r="B107" s="195" t="str">
        <f t="shared" si="32"/>
        <v/>
      </c>
      <c r="C107" s="507">
        <f>IF(D93="","-",+C106+1)</f>
        <v>2017</v>
      </c>
      <c r="D107" s="508">
        <v>9497574.1476444378</v>
      </c>
      <c r="E107" s="516">
        <v>275721.69047619047</v>
      </c>
      <c r="F107" s="515">
        <v>9221852.4571682476</v>
      </c>
      <c r="G107" s="515">
        <v>9359713.3024063427</v>
      </c>
      <c r="H107" s="516">
        <v>1412659.7088236467</v>
      </c>
      <c r="I107" s="510">
        <v>1412659.7088236467</v>
      </c>
      <c r="J107" s="514">
        <f t="shared" si="26"/>
        <v>0</v>
      </c>
      <c r="K107" s="514"/>
      <c r="L107" s="518">
        <f t="shared" si="36"/>
        <v>1412659.7088236467</v>
      </c>
      <c r="M107" s="519">
        <f t="shared" si="33"/>
        <v>0</v>
      </c>
      <c r="N107" s="518">
        <f t="shared" si="37"/>
        <v>1412659.7088236467</v>
      </c>
      <c r="O107" s="514">
        <f t="shared" si="34"/>
        <v>0</v>
      </c>
      <c r="P107" s="514">
        <f t="shared" si="35"/>
        <v>0</v>
      </c>
      <c r="Q107" s="269"/>
    </row>
    <row r="108" spans="1:17" ht="12.5">
      <c r="B108" s="195" t="str">
        <f t="shared" si="32"/>
        <v/>
      </c>
      <c r="C108" s="507">
        <f>IF(D93="","-",+C107+1)</f>
        <v>2018</v>
      </c>
      <c r="D108" s="508">
        <v>9221852.4571682476</v>
      </c>
      <c r="E108" s="516">
        <v>275721.69047619047</v>
      </c>
      <c r="F108" s="515">
        <v>8946130.7666920573</v>
      </c>
      <c r="G108" s="515">
        <v>9083991.6119301524</v>
      </c>
      <c r="H108" s="516">
        <v>1235032.8622445145</v>
      </c>
      <c r="I108" s="510">
        <v>1235032.8622445145</v>
      </c>
      <c r="J108" s="514">
        <f t="shared" si="26"/>
        <v>0</v>
      </c>
      <c r="K108" s="514"/>
      <c r="L108" s="518">
        <f t="shared" si="36"/>
        <v>1235032.8622445145</v>
      </c>
      <c r="M108" s="519">
        <f t="shared" si="33"/>
        <v>0</v>
      </c>
      <c r="N108" s="518">
        <f t="shared" si="37"/>
        <v>1235032.8622445145</v>
      </c>
      <c r="O108" s="514">
        <f t="shared" si="34"/>
        <v>0</v>
      </c>
      <c r="P108" s="514">
        <f t="shared" si="35"/>
        <v>0</v>
      </c>
      <c r="Q108" s="269"/>
    </row>
    <row r="109" spans="1:17" ht="12.5">
      <c r="B109" s="195" t="str">
        <f t="shared" si="32"/>
        <v/>
      </c>
      <c r="C109" s="507">
        <f>IF(D93="","-",+C108+1)</f>
        <v>2019</v>
      </c>
      <c r="D109" s="508">
        <v>8946130.7666920573</v>
      </c>
      <c r="E109" s="516">
        <v>269309.5581395349</v>
      </c>
      <c r="F109" s="515">
        <v>8676821.2085525226</v>
      </c>
      <c r="G109" s="515">
        <v>8811475.9876222908</v>
      </c>
      <c r="H109" s="516">
        <v>1212494.7636968775</v>
      </c>
      <c r="I109" s="510">
        <v>1212494.7636968775</v>
      </c>
      <c r="J109" s="514">
        <f t="shared" si="26"/>
        <v>0</v>
      </c>
      <c r="K109" s="514"/>
      <c r="L109" s="518">
        <f t="shared" si="36"/>
        <v>1212494.7636968775</v>
      </c>
      <c r="M109" s="519">
        <f t="shared" ref="M109:M110" si="38">IF(L109&lt;&gt;0,+H109-L109,0)</f>
        <v>0</v>
      </c>
      <c r="N109" s="518">
        <f t="shared" si="37"/>
        <v>1212494.7636968775</v>
      </c>
      <c r="O109" s="514">
        <f t="shared" si="30"/>
        <v>0</v>
      </c>
      <c r="P109" s="514">
        <f t="shared" si="31"/>
        <v>0</v>
      </c>
      <c r="Q109" s="269"/>
    </row>
    <row r="110" spans="1:17" ht="12.5">
      <c r="B110" s="195" t="str">
        <f t="shared" si="32"/>
        <v/>
      </c>
      <c r="C110" s="507">
        <f>IF(D93="","-",+C109+1)</f>
        <v>2020</v>
      </c>
      <c r="D110" s="508">
        <v>8676821.2085525226</v>
      </c>
      <c r="E110" s="516">
        <v>275721.69047619047</v>
      </c>
      <c r="F110" s="515">
        <v>8401099.5180763323</v>
      </c>
      <c r="G110" s="515">
        <v>8538960.3633144274</v>
      </c>
      <c r="H110" s="516">
        <v>1194290.3823298137</v>
      </c>
      <c r="I110" s="510">
        <v>1194290.3823298137</v>
      </c>
      <c r="J110" s="514">
        <f t="shared" si="26"/>
        <v>0</v>
      </c>
      <c r="K110" s="514"/>
      <c r="L110" s="518">
        <f t="shared" si="36"/>
        <v>1194290.3823298137</v>
      </c>
      <c r="M110" s="519">
        <f t="shared" si="38"/>
        <v>0</v>
      </c>
      <c r="N110" s="518">
        <f t="shared" si="37"/>
        <v>1194290.3823298137</v>
      </c>
      <c r="O110" s="514">
        <f t="shared" si="30"/>
        <v>0</v>
      </c>
      <c r="P110" s="514">
        <f t="shared" si="31"/>
        <v>0</v>
      </c>
      <c r="Q110" s="269"/>
    </row>
    <row r="111" spans="1:17" ht="12.5">
      <c r="B111" s="195" t="str">
        <f t="shared" si="32"/>
        <v/>
      </c>
      <c r="C111" s="507">
        <f>IF(D93="","-",+C110+1)</f>
        <v>2021</v>
      </c>
      <c r="D111" s="374">
        <f>IF(F110+SUM(E$99:E110)=D$92,F110,D$92-SUM(E$99:E110))</f>
        <v>8401099.5180763323</v>
      </c>
      <c r="E111" s="522">
        <f>IF(+J96&lt;F110,J96,D111)</f>
        <v>282446.60975609755</v>
      </c>
      <c r="F111" s="523">
        <f t="shared" ref="F111:F130" si="39">+D111-E111</f>
        <v>8118652.9083202351</v>
      </c>
      <c r="G111" s="523">
        <f t="shared" ref="G111:G130" si="40">+(F111+D111)/2</f>
        <v>8259876.2131982837</v>
      </c>
      <c r="H111" s="526">
        <f>+J$94*G111+E111</f>
        <v>1220060.0680241259</v>
      </c>
      <c r="I111" s="577">
        <f>+J$95*G111+E111</f>
        <v>1220060.0680241259</v>
      </c>
      <c r="J111" s="514">
        <f t="shared" si="26"/>
        <v>0</v>
      </c>
      <c r="K111" s="514"/>
      <c r="L111" s="525"/>
      <c r="M111" s="514">
        <f t="shared" si="28"/>
        <v>0</v>
      </c>
      <c r="N111" s="525"/>
      <c r="O111" s="514">
        <f t="shared" si="30"/>
        <v>0</v>
      </c>
      <c r="P111" s="514">
        <f t="shared" si="31"/>
        <v>0</v>
      </c>
      <c r="Q111" s="269"/>
    </row>
    <row r="112" spans="1:17" ht="12.5">
      <c r="B112" s="195" t="str">
        <f t="shared" si="32"/>
        <v/>
      </c>
      <c r="C112" s="507">
        <f>IF(D93="","-",+C111+1)</f>
        <v>2022</v>
      </c>
      <c r="D112" s="374">
        <f>IF(F111+SUM(E$99:E111)=D$92,F111,D$92-SUM(E$99:E111))</f>
        <v>8118652.9083202351</v>
      </c>
      <c r="E112" s="522">
        <f>IF(+J96&lt;F111,J96,D112)</f>
        <v>282446.60975609755</v>
      </c>
      <c r="F112" s="523">
        <f t="shared" si="39"/>
        <v>7836206.2985641379</v>
      </c>
      <c r="G112" s="523">
        <f t="shared" si="40"/>
        <v>7977429.6034421865</v>
      </c>
      <c r="H112" s="526">
        <f>+J$94*G112+E112</f>
        <v>1187998.3596263251</v>
      </c>
      <c r="I112" s="577">
        <f>+J$95*G112+E112</f>
        <v>1187998.3596263251</v>
      </c>
      <c r="J112" s="514">
        <f t="shared" si="26"/>
        <v>0</v>
      </c>
      <c r="K112" s="514"/>
      <c r="L112" s="525"/>
      <c r="M112" s="514">
        <f t="shared" si="28"/>
        <v>0</v>
      </c>
      <c r="N112" s="525"/>
      <c r="O112" s="514">
        <f t="shared" si="30"/>
        <v>0</v>
      </c>
      <c r="P112" s="514">
        <f t="shared" si="31"/>
        <v>0</v>
      </c>
      <c r="Q112" s="269"/>
    </row>
    <row r="113" spans="2:17" ht="12.5">
      <c r="B113" s="195" t="str">
        <f t="shared" si="32"/>
        <v/>
      </c>
      <c r="C113" s="507">
        <f>IF(D93="","-",+C112+1)</f>
        <v>2023</v>
      </c>
      <c r="D113" s="374">
        <f>IF(F112+SUM(E$99:E112)=D$92,F112,D$92-SUM(E$99:E112))</f>
        <v>7836206.2985641379</v>
      </c>
      <c r="E113" s="522">
        <f>IF(+J96&lt;F112,J96,D113)</f>
        <v>282446.60975609755</v>
      </c>
      <c r="F113" s="523">
        <f t="shared" si="39"/>
        <v>7553759.6888080407</v>
      </c>
      <c r="G113" s="523">
        <f t="shared" si="40"/>
        <v>7694982.9936860893</v>
      </c>
      <c r="H113" s="526">
        <f t="shared" ref="H113:H154" si="41">+J$94*G113+E113</f>
        <v>1155936.6512285243</v>
      </c>
      <c r="I113" s="577">
        <f t="shared" ref="I113:I154" si="42">+J$95*G113+E113</f>
        <v>1155936.6512285243</v>
      </c>
      <c r="J113" s="514">
        <f t="shared" si="26"/>
        <v>0</v>
      </c>
      <c r="K113" s="514"/>
      <c r="L113" s="525"/>
      <c r="M113" s="514">
        <f t="shared" si="28"/>
        <v>0</v>
      </c>
      <c r="N113" s="525"/>
      <c r="O113" s="514">
        <f t="shared" si="30"/>
        <v>0</v>
      </c>
      <c r="P113" s="514">
        <f t="shared" si="31"/>
        <v>0</v>
      </c>
      <c r="Q113" s="269"/>
    </row>
    <row r="114" spans="2:17" ht="12.5">
      <c r="B114" s="195" t="str">
        <f t="shared" si="32"/>
        <v/>
      </c>
      <c r="C114" s="507">
        <f>IF(D93="","-",+C113+1)</f>
        <v>2024</v>
      </c>
      <c r="D114" s="374">
        <f>IF(F113+SUM(E$99:E113)=D$92,F113,D$92-SUM(E$99:E113))</f>
        <v>7553759.6888080407</v>
      </c>
      <c r="E114" s="522">
        <f>IF(+J96&lt;F113,J96,D114)</f>
        <v>282446.60975609755</v>
      </c>
      <c r="F114" s="523">
        <f t="shared" si="39"/>
        <v>7271313.0790519435</v>
      </c>
      <c r="G114" s="523">
        <f t="shared" si="40"/>
        <v>7412536.3839299921</v>
      </c>
      <c r="H114" s="526">
        <f t="shared" si="41"/>
        <v>1123874.9428307235</v>
      </c>
      <c r="I114" s="577">
        <f t="shared" si="42"/>
        <v>1123874.9428307235</v>
      </c>
      <c r="J114" s="514">
        <f t="shared" si="26"/>
        <v>0</v>
      </c>
      <c r="K114" s="514"/>
      <c r="L114" s="525"/>
      <c r="M114" s="514">
        <f t="shared" si="28"/>
        <v>0</v>
      </c>
      <c r="N114" s="525"/>
      <c r="O114" s="514">
        <f t="shared" si="30"/>
        <v>0</v>
      </c>
      <c r="P114" s="514">
        <f t="shared" si="31"/>
        <v>0</v>
      </c>
      <c r="Q114" s="269"/>
    </row>
    <row r="115" spans="2:17" ht="12.5">
      <c r="B115" s="195" t="str">
        <f t="shared" si="32"/>
        <v/>
      </c>
      <c r="C115" s="507">
        <f>IF(D93="","-",+C114+1)</f>
        <v>2025</v>
      </c>
      <c r="D115" s="374">
        <f>IF(F114+SUM(E$99:E114)=D$92,F114,D$92-SUM(E$99:E114))</f>
        <v>7271313.0790519435</v>
      </c>
      <c r="E115" s="522">
        <f>IF(+J96&lt;F114,J96,D115)</f>
        <v>282446.60975609755</v>
      </c>
      <c r="F115" s="523">
        <f t="shared" si="39"/>
        <v>6988866.4692958463</v>
      </c>
      <c r="G115" s="523">
        <f t="shared" si="40"/>
        <v>7130089.7741738949</v>
      </c>
      <c r="H115" s="526">
        <f t="shared" si="41"/>
        <v>1091813.2344329227</v>
      </c>
      <c r="I115" s="577">
        <f t="shared" si="42"/>
        <v>1091813.2344329227</v>
      </c>
      <c r="J115" s="514">
        <f t="shared" si="26"/>
        <v>0</v>
      </c>
      <c r="K115" s="514"/>
      <c r="L115" s="525"/>
      <c r="M115" s="514">
        <f t="shared" si="28"/>
        <v>0</v>
      </c>
      <c r="N115" s="525"/>
      <c r="O115" s="514">
        <f t="shared" si="30"/>
        <v>0</v>
      </c>
      <c r="P115" s="514">
        <f t="shared" si="31"/>
        <v>0</v>
      </c>
      <c r="Q115" s="269"/>
    </row>
    <row r="116" spans="2:17" ht="12.5">
      <c r="B116" s="195" t="str">
        <f t="shared" si="32"/>
        <v/>
      </c>
      <c r="C116" s="507">
        <f>IF(D93="","-",+C115+1)</f>
        <v>2026</v>
      </c>
      <c r="D116" s="374">
        <f>IF(F115+SUM(E$99:E115)=D$92,F115,D$92-SUM(E$99:E115))</f>
        <v>6988866.4692958463</v>
      </c>
      <c r="E116" s="522">
        <f>IF(+J96&lt;F115,J96,D116)</f>
        <v>282446.60975609755</v>
      </c>
      <c r="F116" s="523">
        <f t="shared" si="39"/>
        <v>6706419.8595397491</v>
      </c>
      <c r="G116" s="523">
        <f t="shared" si="40"/>
        <v>6847643.1644177977</v>
      </c>
      <c r="H116" s="526">
        <f t="shared" si="41"/>
        <v>1059751.5260351219</v>
      </c>
      <c r="I116" s="577">
        <f t="shared" si="42"/>
        <v>1059751.5260351219</v>
      </c>
      <c r="J116" s="514">
        <f t="shared" si="26"/>
        <v>0</v>
      </c>
      <c r="K116" s="514"/>
      <c r="L116" s="525"/>
      <c r="M116" s="514">
        <f t="shared" si="28"/>
        <v>0</v>
      </c>
      <c r="N116" s="525"/>
      <c r="O116" s="514">
        <f t="shared" si="30"/>
        <v>0</v>
      </c>
      <c r="P116" s="514">
        <f t="shared" si="31"/>
        <v>0</v>
      </c>
      <c r="Q116" s="269"/>
    </row>
    <row r="117" spans="2:17" ht="12.5">
      <c r="B117" s="195" t="str">
        <f t="shared" si="32"/>
        <v/>
      </c>
      <c r="C117" s="507">
        <f>IF(D93="","-",+C116+1)</f>
        <v>2027</v>
      </c>
      <c r="D117" s="374">
        <f>IF(F116+SUM(E$99:E116)=D$92,F116,D$92-SUM(E$99:E116))</f>
        <v>6706419.8595397491</v>
      </c>
      <c r="E117" s="522">
        <f>IF(+J96&lt;F116,J96,D117)</f>
        <v>282446.60975609755</v>
      </c>
      <c r="F117" s="523">
        <f t="shared" si="39"/>
        <v>6423973.2497836519</v>
      </c>
      <c r="G117" s="523">
        <f t="shared" si="40"/>
        <v>6565196.5546617005</v>
      </c>
      <c r="H117" s="526">
        <f t="shared" si="41"/>
        <v>1027689.8176373211</v>
      </c>
      <c r="I117" s="577">
        <f t="shared" si="42"/>
        <v>1027689.8176373211</v>
      </c>
      <c r="J117" s="514">
        <f t="shared" si="26"/>
        <v>0</v>
      </c>
      <c r="K117" s="514"/>
      <c r="L117" s="525"/>
      <c r="M117" s="514">
        <f t="shared" si="28"/>
        <v>0</v>
      </c>
      <c r="N117" s="525"/>
      <c r="O117" s="514">
        <f t="shared" si="30"/>
        <v>0</v>
      </c>
      <c r="P117" s="514">
        <f t="shared" si="31"/>
        <v>0</v>
      </c>
      <c r="Q117" s="269"/>
    </row>
    <row r="118" spans="2:17" ht="12.5">
      <c r="B118" s="195" t="str">
        <f t="shared" si="32"/>
        <v/>
      </c>
      <c r="C118" s="507">
        <f>IF(D93="","-",+C117+1)</f>
        <v>2028</v>
      </c>
      <c r="D118" s="374">
        <f>IF(F117+SUM(E$99:E117)=D$92,F117,D$92-SUM(E$99:E117))</f>
        <v>6423973.2497836519</v>
      </c>
      <c r="E118" s="522">
        <f>IF(+J96&lt;F117,J96,D118)</f>
        <v>282446.60975609755</v>
      </c>
      <c r="F118" s="523">
        <f t="shared" si="39"/>
        <v>6141526.6400275547</v>
      </c>
      <c r="G118" s="523">
        <f t="shared" si="40"/>
        <v>6282749.9449056033</v>
      </c>
      <c r="H118" s="526">
        <f t="shared" si="41"/>
        <v>995628.10923952027</v>
      </c>
      <c r="I118" s="577">
        <f t="shared" si="42"/>
        <v>995628.10923952027</v>
      </c>
      <c r="J118" s="514">
        <f t="shared" si="26"/>
        <v>0</v>
      </c>
      <c r="K118" s="514"/>
      <c r="L118" s="525"/>
      <c r="M118" s="514">
        <f t="shared" si="28"/>
        <v>0</v>
      </c>
      <c r="N118" s="525"/>
      <c r="O118" s="514">
        <f t="shared" si="30"/>
        <v>0</v>
      </c>
      <c r="P118" s="514">
        <f t="shared" si="31"/>
        <v>0</v>
      </c>
      <c r="Q118" s="269"/>
    </row>
    <row r="119" spans="2:17" ht="12.5">
      <c r="B119" s="195" t="str">
        <f t="shared" si="32"/>
        <v/>
      </c>
      <c r="C119" s="507">
        <f>IF(D93="","-",+C118+1)</f>
        <v>2029</v>
      </c>
      <c r="D119" s="374">
        <f>IF(F118+SUM(E$99:E118)=D$92,F118,D$92-SUM(E$99:E118))</f>
        <v>6141526.6400275547</v>
      </c>
      <c r="E119" s="522">
        <f>IF(+J96&lt;F118,J96,D119)</f>
        <v>282446.60975609755</v>
      </c>
      <c r="F119" s="523">
        <f t="shared" si="39"/>
        <v>5859080.0302714575</v>
      </c>
      <c r="G119" s="523">
        <f t="shared" si="40"/>
        <v>6000303.3351495061</v>
      </c>
      <c r="H119" s="526">
        <f t="shared" si="41"/>
        <v>963566.40084171947</v>
      </c>
      <c r="I119" s="577">
        <f t="shared" si="42"/>
        <v>963566.40084171947</v>
      </c>
      <c r="J119" s="514">
        <f t="shared" si="26"/>
        <v>0</v>
      </c>
      <c r="K119" s="514"/>
      <c r="L119" s="525"/>
      <c r="M119" s="514">
        <f t="shared" si="28"/>
        <v>0</v>
      </c>
      <c r="N119" s="525"/>
      <c r="O119" s="514">
        <f t="shared" si="30"/>
        <v>0</v>
      </c>
      <c r="P119" s="514">
        <f t="shared" si="31"/>
        <v>0</v>
      </c>
      <c r="Q119" s="269"/>
    </row>
    <row r="120" spans="2:17" ht="12.5">
      <c r="B120" s="195" t="str">
        <f t="shared" si="32"/>
        <v/>
      </c>
      <c r="C120" s="507">
        <f>IF(D93="","-",+C119+1)</f>
        <v>2030</v>
      </c>
      <c r="D120" s="374">
        <f>IF(F119+SUM(E$99:E119)=D$92,F119,D$92-SUM(E$99:E119))</f>
        <v>5859080.0302714575</v>
      </c>
      <c r="E120" s="522">
        <f>IF(+J96&lt;F119,J96,D120)</f>
        <v>282446.60975609755</v>
      </c>
      <c r="F120" s="523">
        <f t="shared" si="39"/>
        <v>5576633.4205153603</v>
      </c>
      <c r="G120" s="523">
        <f t="shared" si="40"/>
        <v>5717856.7253934089</v>
      </c>
      <c r="H120" s="526">
        <f t="shared" si="41"/>
        <v>931504.69244391867</v>
      </c>
      <c r="I120" s="577">
        <f t="shared" si="42"/>
        <v>931504.69244391867</v>
      </c>
      <c r="J120" s="514">
        <f t="shared" si="26"/>
        <v>0</v>
      </c>
      <c r="K120" s="514"/>
      <c r="L120" s="525"/>
      <c r="M120" s="514">
        <f t="shared" si="28"/>
        <v>0</v>
      </c>
      <c r="N120" s="525"/>
      <c r="O120" s="514">
        <f t="shared" si="30"/>
        <v>0</v>
      </c>
      <c r="P120" s="514">
        <f t="shared" si="31"/>
        <v>0</v>
      </c>
      <c r="Q120" s="269"/>
    </row>
    <row r="121" spans="2:17" ht="12.5">
      <c r="B121" s="195" t="str">
        <f t="shared" si="32"/>
        <v/>
      </c>
      <c r="C121" s="507">
        <f>IF(D93="","-",+C120+1)</f>
        <v>2031</v>
      </c>
      <c r="D121" s="374">
        <f>IF(F120+SUM(E$99:E120)=D$92,F120,D$92-SUM(E$99:E120))</f>
        <v>5576633.4205153603</v>
      </c>
      <c r="E121" s="522">
        <f>IF(+J96&lt;F120,J96,D121)</f>
        <v>282446.60975609755</v>
      </c>
      <c r="F121" s="523">
        <f t="shared" si="39"/>
        <v>5294186.8107592631</v>
      </c>
      <c r="G121" s="523">
        <f t="shared" si="40"/>
        <v>5435410.1156373117</v>
      </c>
      <c r="H121" s="526">
        <f t="shared" si="41"/>
        <v>899442.98404611787</v>
      </c>
      <c r="I121" s="577">
        <f t="shared" si="42"/>
        <v>899442.98404611787</v>
      </c>
      <c r="J121" s="514">
        <f t="shared" si="26"/>
        <v>0</v>
      </c>
      <c r="K121" s="514"/>
      <c r="L121" s="525"/>
      <c r="M121" s="514">
        <f t="shared" si="28"/>
        <v>0</v>
      </c>
      <c r="N121" s="525"/>
      <c r="O121" s="514">
        <f t="shared" si="30"/>
        <v>0</v>
      </c>
      <c r="P121" s="514">
        <f t="shared" si="31"/>
        <v>0</v>
      </c>
      <c r="Q121" s="269"/>
    </row>
    <row r="122" spans="2:17" ht="12.5">
      <c r="B122" s="195" t="str">
        <f t="shared" si="32"/>
        <v/>
      </c>
      <c r="C122" s="507">
        <f>IF(D93="","-",+C121+1)</f>
        <v>2032</v>
      </c>
      <c r="D122" s="374">
        <f>IF(F121+SUM(E$99:E121)=D$92,F121,D$92-SUM(E$99:E121))</f>
        <v>5294186.8107592631</v>
      </c>
      <c r="E122" s="522">
        <f>IF(+J96&lt;F121,J96,D122)</f>
        <v>282446.60975609755</v>
      </c>
      <c r="F122" s="523">
        <f t="shared" si="39"/>
        <v>5011740.2010031659</v>
      </c>
      <c r="G122" s="523">
        <f t="shared" si="40"/>
        <v>5152963.5058812145</v>
      </c>
      <c r="H122" s="526">
        <f t="shared" si="41"/>
        <v>867381.27564831707</v>
      </c>
      <c r="I122" s="577">
        <f t="shared" si="42"/>
        <v>867381.27564831707</v>
      </c>
      <c r="J122" s="514">
        <f t="shared" si="26"/>
        <v>0</v>
      </c>
      <c r="K122" s="514"/>
      <c r="L122" s="525"/>
      <c r="M122" s="514">
        <f t="shared" si="28"/>
        <v>0</v>
      </c>
      <c r="N122" s="525"/>
      <c r="O122" s="514">
        <f t="shared" si="30"/>
        <v>0</v>
      </c>
      <c r="P122" s="514">
        <f t="shared" si="31"/>
        <v>0</v>
      </c>
      <c r="Q122" s="269"/>
    </row>
    <row r="123" spans="2:17" ht="12.5">
      <c r="B123" s="195" t="str">
        <f t="shared" si="32"/>
        <v/>
      </c>
      <c r="C123" s="507">
        <f>IF(D93="","-",+C122+1)</f>
        <v>2033</v>
      </c>
      <c r="D123" s="374">
        <f>IF(F122+SUM(E$99:E122)=D$92,F122,D$92-SUM(E$99:E122))</f>
        <v>5011740.2010031659</v>
      </c>
      <c r="E123" s="522">
        <f>IF(+J96&lt;F122,J96,D123)</f>
        <v>282446.60975609755</v>
      </c>
      <c r="F123" s="523">
        <f t="shared" si="39"/>
        <v>4729293.5912470687</v>
      </c>
      <c r="G123" s="523">
        <f t="shared" si="40"/>
        <v>4870516.8961251173</v>
      </c>
      <c r="H123" s="526">
        <f t="shared" si="41"/>
        <v>835319.56725051627</v>
      </c>
      <c r="I123" s="577">
        <f t="shared" si="42"/>
        <v>835319.56725051627</v>
      </c>
      <c r="J123" s="514">
        <f t="shared" si="26"/>
        <v>0</v>
      </c>
      <c r="K123" s="514"/>
      <c r="L123" s="525"/>
      <c r="M123" s="514">
        <f t="shared" si="28"/>
        <v>0</v>
      </c>
      <c r="N123" s="525"/>
      <c r="O123" s="514">
        <f t="shared" si="30"/>
        <v>0</v>
      </c>
      <c r="P123" s="514">
        <f t="shared" si="31"/>
        <v>0</v>
      </c>
      <c r="Q123" s="269"/>
    </row>
    <row r="124" spans="2:17" ht="12.5">
      <c r="B124" s="195" t="str">
        <f t="shared" si="32"/>
        <v/>
      </c>
      <c r="C124" s="507">
        <f>IF(D93="","-",+C123+1)</f>
        <v>2034</v>
      </c>
      <c r="D124" s="374">
        <f>IF(F123+SUM(E$99:E123)=D$92,F123,D$92-SUM(E$99:E123))</f>
        <v>4729293.5912470687</v>
      </c>
      <c r="E124" s="522">
        <f>IF(+J96&lt;F123,J96,D124)</f>
        <v>282446.60975609755</v>
      </c>
      <c r="F124" s="523">
        <f t="shared" si="39"/>
        <v>4446846.9814909715</v>
      </c>
      <c r="G124" s="523">
        <f t="shared" si="40"/>
        <v>4588070.2863690201</v>
      </c>
      <c r="H124" s="526">
        <f t="shared" si="41"/>
        <v>803257.85885271546</v>
      </c>
      <c r="I124" s="577">
        <f t="shared" si="42"/>
        <v>803257.85885271546</v>
      </c>
      <c r="J124" s="514">
        <f t="shared" si="26"/>
        <v>0</v>
      </c>
      <c r="K124" s="514"/>
      <c r="L124" s="525"/>
      <c r="M124" s="514">
        <f t="shared" si="28"/>
        <v>0</v>
      </c>
      <c r="N124" s="525"/>
      <c r="O124" s="514">
        <f t="shared" si="30"/>
        <v>0</v>
      </c>
      <c r="P124" s="514">
        <f t="shared" si="31"/>
        <v>0</v>
      </c>
      <c r="Q124" s="269"/>
    </row>
    <row r="125" spans="2:17" ht="12.5">
      <c r="B125" s="195" t="str">
        <f t="shared" si="32"/>
        <v/>
      </c>
      <c r="C125" s="507">
        <f>IF(D93="","-",+C124+1)</f>
        <v>2035</v>
      </c>
      <c r="D125" s="374">
        <f>IF(F124+SUM(E$99:E124)=D$92,F124,D$92-SUM(E$99:E124))</f>
        <v>4446846.9814909715</v>
      </c>
      <c r="E125" s="522">
        <f>IF(+J96&lt;F124,J96,D125)</f>
        <v>282446.60975609755</v>
      </c>
      <c r="F125" s="523">
        <f t="shared" si="39"/>
        <v>4164400.3717348739</v>
      </c>
      <c r="G125" s="523">
        <f t="shared" si="40"/>
        <v>4305623.6766129229</v>
      </c>
      <c r="H125" s="526">
        <f t="shared" si="41"/>
        <v>771196.15045491466</v>
      </c>
      <c r="I125" s="577">
        <f t="shared" si="42"/>
        <v>771196.15045491466</v>
      </c>
      <c r="J125" s="514">
        <f t="shared" si="26"/>
        <v>0</v>
      </c>
      <c r="K125" s="514"/>
      <c r="L125" s="525"/>
      <c r="M125" s="514">
        <f t="shared" si="28"/>
        <v>0</v>
      </c>
      <c r="N125" s="525"/>
      <c r="O125" s="514">
        <f t="shared" si="30"/>
        <v>0</v>
      </c>
      <c r="P125" s="514">
        <f t="shared" si="31"/>
        <v>0</v>
      </c>
      <c r="Q125" s="269"/>
    </row>
    <row r="126" spans="2:17" ht="12.5">
      <c r="B126" s="195" t="str">
        <f t="shared" si="32"/>
        <v/>
      </c>
      <c r="C126" s="507">
        <f>IF(D93="","-",+C125+1)</f>
        <v>2036</v>
      </c>
      <c r="D126" s="374">
        <f>IF(F125+SUM(E$99:E125)=D$92,F125,D$92-SUM(E$99:E125))</f>
        <v>4164400.3717348739</v>
      </c>
      <c r="E126" s="522">
        <f>IF(+J96&lt;F125,J96,D126)</f>
        <v>282446.60975609755</v>
      </c>
      <c r="F126" s="523">
        <f t="shared" si="39"/>
        <v>3881953.7619787762</v>
      </c>
      <c r="G126" s="523">
        <f t="shared" si="40"/>
        <v>4023177.0668568248</v>
      </c>
      <c r="H126" s="526">
        <f t="shared" si="41"/>
        <v>739134.44205711363</v>
      </c>
      <c r="I126" s="577">
        <f t="shared" si="42"/>
        <v>739134.44205711363</v>
      </c>
      <c r="J126" s="514">
        <f t="shared" si="26"/>
        <v>0</v>
      </c>
      <c r="K126" s="514"/>
      <c r="L126" s="525"/>
      <c r="M126" s="514">
        <f t="shared" si="28"/>
        <v>0</v>
      </c>
      <c r="N126" s="525"/>
      <c r="O126" s="514">
        <f t="shared" si="30"/>
        <v>0</v>
      </c>
      <c r="P126" s="514">
        <f t="shared" si="31"/>
        <v>0</v>
      </c>
      <c r="Q126" s="269"/>
    </row>
    <row r="127" spans="2:17" ht="12.5">
      <c r="B127" s="195" t="str">
        <f t="shared" si="32"/>
        <v/>
      </c>
      <c r="C127" s="507">
        <f>IF(D93="","-",+C126+1)</f>
        <v>2037</v>
      </c>
      <c r="D127" s="374">
        <f>IF(F126+SUM(E$99:E126)=D$92,F126,D$92-SUM(E$99:E126))</f>
        <v>3881953.7619787762</v>
      </c>
      <c r="E127" s="522">
        <f>IF(+J96&lt;F126,J96,D127)</f>
        <v>282446.60975609755</v>
      </c>
      <c r="F127" s="523">
        <f t="shared" si="39"/>
        <v>3599507.1522226785</v>
      </c>
      <c r="G127" s="523">
        <f t="shared" si="40"/>
        <v>3740730.4571007276</v>
      </c>
      <c r="H127" s="526">
        <f t="shared" si="41"/>
        <v>707072.73365931283</v>
      </c>
      <c r="I127" s="577">
        <f t="shared" si="42"/>
        <v>707072.73365931283</v>
      </c>
      <c r="J127" s="514">
        <f t="shared" si="26"/>
        <v>0</v>
      </c>
      <c r="K127" s="514"/>
      <c r="L127" s="525"/>
      <c r="M127" s="514">
        <f t="shared" si="28"/>
        <v>0</v>
      </c>
      <c r="N127" s="525"/>
      <c r="O127" s="514">
        <f t="shared" si="30"/>
        <v>0</v>
      </c>
      <c r="P127" s="514">
        <f t="shared" si="31"/>
        <v>0</v>
      </c>
      <c r="Q127" s="269"/>
    </row>
    <row r="128" spans="2:17" ht="12.5">
      <c r="B128" s="195" t="str">
        <f t="shared" si="32"/>
        <v/>
      </c>
      <c r="C128" s="507">
        <f>IF(D93="","-",+C127+1)</f>
        <v>2038</v>
      </c>
      <c r="D128" s="374">
        <f>IF(F127+SUM(E$99:E127)=D$92,F127,D$92-SUM(E$99:E127))</f>
        <v>3599507.1522226785</v>
      </c>
      <c r="E128" s="522">
        <f>IF(+J96&lt;F127,J96,D128)</f>
        <v>282446.60975609755</v>
      </c>
      <c r="F128" s="523">
        <f t="shared" si="39"/>
        <v>3317060.5424665809</v>
      </c>
      <c r="G128" s="523">
        <f t="shared" si="40"/>
        <v>3458283.8473446295</v>
      </c>
      <c r="H128" s="526">
        <f t="shared" si="41"/>
        <v>675011.02526151203</v>
      </c>
      <c r="I128" s="577">
        <f t="shared" si="42"/>
        <v>675011.02526151203</v>
      </c>
      <c r="J128" s="514">
        <f t="shared" si="26"/>
        <v>0</v>
      </c>
      <c r="K128" s="514"/>
      <c r="L128" s="525"/>
      <c r="M128" s="514">
        <f t="shared" si="28"/>
        <v>0</v>
      </c>
      <c r="N128" s="525"/>
      <c r="O128" s="514">
        <f t="shared" si="30"/>
        <v>0</v>
      </c>
      <c r="P128" s="514">
        <f t="shared" si="31"/>
        <v>0</v>
      </c>
      <c r="Q128" s="269"/>
    </row>
    <row r="129" spans="2:17" ht="12.5">
      <c r="B129" s="195" t="str">
        <f t="shared" si="32"/>
        <v/>
      </c>
      <c r="C129" s="507">
        <f>IF(D93="","-",+C128+1)</f>
        <v>2039</v>
      </c>
      <c r="D129" s="374">
        <f>IF(F128+SUM(E$99:E128)=D$92,F128,D$92-SUM(E$99:E128))</f>
        <v>3317060.5424665809</v>
      </c>
      <c r="E129" s="522">
        <f>IF(+J96&lt;F128,J96,D129)</f>
        <v>282446.60975609755</v>
      </c>
      <c r="F129" s="523">
        <f t="shared" si="39"/>
        <v>3034613.9327104832</v>
      </c>
      <c r="G129" s="523">
        <f t="shared" si="40"/>
        <v>3175837.2375885323</v>
      </c>
      <c r="H129" s="526">
        <f t="shared" si="41"/>
        <v>642949.31686371122</v>
      </c>
      <c r="I129" s="577">
        <f t="shared" si="42"/>
        <v>642949.31686371122</v>
      </c>
      <c r="J129" s="514">
        <f t="shared" si="26"/>
        <v>0</v>
      </c>
      <c r="K129" s="514"/>
      <c r="L129" s="525"/>
      <c r="M129" s="514">
        <f t="shared" si="28"/>
        <v>0</v>
      </c>
      <c r="N129" s="525"/>
      <c r="O129" s="514">
        <f t="shared" si="30"/>
        <v>0</v>
      </c>
      <c r="P129" s="514">
        <f t="shared" si="31"/>
        <v>0</v>
      </c>
      <c r="Q129" s="269"/>
    </row>
    <row r="130" spans="2:17" ht="12.5">
      <c r="B130" s="195" t="str">
        <f t="shared" si="32"/>
        <v/>
      </c>
      <c r="C130" s="507">
        <f>IF(D93="","-",+C129+1)</f>
        <v>2040</v>
      </c>
      <c r="D130" s="374">
        <f>IF(F129+SUM(E$99:E129)=D$92,F129,D$92-SUM(E$99:E129))</f>
        <v>3034613.9327104832</v>
      </c>
      <c r="E130" s="522">
        <f>IF(+J96&lt;F129,J96,D130)</f>
        <v>282446.60975609755</v>
      </c>
      <c r="F130" s="523">
        <f t="shared" si="39"/>
        <v>2752167.3229543855</v>
      </c>
      <c r="G130" s="523">
        <f t="shared" si="40"/>
        <v>2893390.6278324341</v>
      </c>
      <c r="H130" s="526">
        <f t="shared" si="41"/>
        <v>610887.60846591031</v>
      </c>
      <c r="I130" s="577">
        <f t="shared" si="42"/>
        <v>610887.60846591031</v>
      </c>
      <c r="J130" s="514">
        <f t="shared" si="26"/>
        <v>0</v>
      </c>
      <c r="K130" s="514"/>
      <c r="L130" s="525"/>
      <c r="M130" s="514">
        <f t="shared" si="28"/>
        <v>0</v>
      </c>
      <c r="N130" s="525"/>
      <c r="O130" s="514">
        <f t="shared" si="30"/>
        <v>0</v>
      </c>
      <c r="P130" s="514">
        <f t="shared" si="31"/>
        <v>0</v>
      </c>
      <c r="Q130" s="269"/>
    </row>
    <row r="131" spans="2:17" ht="12.5">
      <c r="B131" s="195" t="str">
        <f t="shared" si="32"/>
        <v/>
      </c>
      <c r="C131" s="507">
        <f>IF(D93="","-",+C130+1)</f>
        <v>2041</v>
      </c>
      <c r="D131" s="374">
        <f>IF(F130+SUM(E$99:E130)=D$92,F130,D$92-SUM(E$99:E130))</f>
        <v>2752167.3229543855</v>
      </c>
      <c r="E131" s="522">
        <f>IF(+J96&lt;F130,J96,D131)</f>
        <v>282446.60975609755</v>
      </c>
      <c r="F131" s="523">
        <f t="shared" ref="F131:F154" si="43">+D131-E131</f>
        <v>2469720.7131982879</v>
      </c>
      <c r="G131" s="523">
        <f t="shared" ref="G131:G154" si="44">+(F131+D131)/2</f>
        <v>2610944.0180763369</v>
      </c>
      <c r="H131" s="526">
        <f t="shared" si="41"/>
        <v>578825.90006810939</v>
      </c>
      <c r="I131" s="577">
        <f t="shared" si="42"/>
        <v>578825.90006810939</v>
      </c>
      <c r="J131" s="514">
        <f t="shared" ref="J131:J154" si="45">+I131-H131</f>
        <v>0</v>
      </c>
      <c r="K131" s="514"/>
      <c r="L131" s="525"/>
      <c r="M131" s="514">
        <f t="shared" ref="M131:M154" si="46">IF(L131&lt;&gt;0,+H131-L131,0)</f>
        <v>0</v>
      </c>
      <c r="N131" s="525"/>
      <c r="O131" s="514">
        <f t="shared" ref="O131:O154" si="47">IF(N131&lt;&gt;0,+I131-N131,0)</f>
        <v>0</v>
      </c>
      <c r="P131" s="514">
        <f t="shared" ref="P131:P154" si="48">+O131-M131</f>
        <v>0</v>
      </c>
      <c r="Q131" s="269"/>
    </row>
    <row r="132" spans="2:17" ht="12.5">
      <c r="B132" s="195" t="str">
        <f t="shared" si="32"/>
        <v/>
      </c>
      <c r="C132" s="507">
        <f>IF(D93="","-",+C131+1)</f>
        <v>2042</v>
      </c>
      <c r="D132" s="374">
        <f>IF(F131+SUM(E$99:E131)=D$92,F131,D$92-SUM(E$99:E131))</f>
        <v>2469720.7131982879</v>
      </c>
      <c r="E132" s="522">
        <f>IF(+J96&lt;F131,J96,D132)</f>
        <v>282446.60975609755</v>
      </c>
      <c r="F132" s="523">
        <f t="shared" si="43"/>
        <v>2187274.1034421902</v>
      </c>
      <c r="G132" s="523">
        <f t="shared" si="44"/>
        <v>2328497.4083202388</v>
      </c>
      <c r="H132" s="526">
        <f t="shared" si="41"/>
        <v>546764.19167030859</v>
      </c>
      <c r="I132" s="577">
        <f t="shared" si="42"/>
        <v>546764.19167030859</v>
      </c>
      <c r="J132" s="514">
        <f t="shared" si="45"/>
        <v>0</v>
      </c>
      <c r="K132" s="514"/>
      <c r="L132" s="525"/>
      <c r="M132" s="514">
        <f t="shared" si="46"/>
        <v>0</v>
      </c>
      <c r="N132" s="525"/>
      <c r="O132" s="514">
        <f t="shared" si="47"/>
        <v>0</v>
      </c>
      <c r="P132" s="514">
        <f t="shared" si="48"/>
        <v>0</v>
      </c>
      <c r="Q132" s="269"/>
    </row>
    <row r="133" spans="2:17" ht="12.5">
      <c r="B133" s="195" t="str">
        <f t="shared" si="32"/>
        <v/>
      </c>
      <c r="C133" s="507">
        <f>IF(D93="","-",+C132+1)</f>
        <v>2043</v>
      </c>
      <c r="D133" s="374">
        <f>IF(F132+SUM(E$99:E132)=D$92,F132,D$92-SUM(E$99:E132))</f>
        <v>2187274.1034421902</v>
      </c>
      <c r="E133" s="522">
        <f>IF(+J96&lt;F132,J96,D133)</f>
        <v>282446.60975609755</v>
      </c>
      <c r="F133" s="523">
        <f t="shared" si="43"/>
        <v>1904827.4936860926</v>
      </c>
      <c r="G133" s="523">
        <f t="shared" si="44"/>
        <v>2046050.7985641414</v>
      </c>
      <c r="H133" s="526">
        <f t="shared" si="41"/>
        <v>514702.48327250773</v>
      </c>
      <c r="I133" s="577">
        <f t="shared" si="42"/>
        <v>514702.48327250773</v>
      </c>
      <c r="J133" s="514">
        <f t="shared" si="45"/>
        <v>0</v>
      </c>
      <c r="K133" s="514"/>
      <c r="L133" s="525"/>
      <c r="M133" s="514">
        <f t="shared" si="46"/>
        <v>0</v>
      </c>
      <c r="N133" s="525"/>
      <c r="O133" s="514">
        <f t="shared" si="47"/>
        <v>0</v>
      </c>
      <c r="P133" s="514">
        <f t="shared" si="48"/>
        <v>0</v>
      </c>
      <c r="Q133" s="269"/>
    </row>
    <row r="134" spans="2:17" ht="12.5">
      <c r="B134" s="195" t="str">
        <f t="shared" si="32"/>
        <v/>
      </c>
      <c r="C134" s="507">
        <f>IF(D93="","-",+C133+1)</f>
        <v>2044</v>
      </c>
      <c r="D134" s="374">
        <f>IF(F133+SUM(E$99:E133)=D$92,F133,D$92-SUM(E$99:E133))</f>
        <v>1904827.4936860926</v>
      </c>
      <c r="E134" s="522">
        <f>IF(+J96&lt;F133,J96,D134)</f>
        <v>282446.60975609755</v>
      </c>
      <c r="F134" s="523">
        <f t="shared" si="43"/>
        <v>1622380.8839299949</v>
      </c>
      <c r="G134" s="523">
        <f t="shared" si="44"/>
        <v>1763604.1888080437</v>
      </c>
      <c r="H134" s="526">
        <f t="shared" si="41"/>
        <v>482640.77487470687</v>
      </c>
      <c r="I134" s="577">
        <f t="shared" si="42"/>
        <v>482640.77487470687</v>
      </c>
      <c r="J134" s="514">
        <f t="shared" si="45"/>
        <v>0</v>
      </c>
      <c r="K134" s="514"/>
      <c r="L134" s="525"/>
      <c r="M134" s="514">
        <f t="shared" si="46"/>
        <v>0</v>
      </c>
      <c r="N134" s="525"/>
      <c r="O134" s="514">
        <f t="shared" si="47"/>
        <v>0</v>
      </c>
      <c r="P134" s="514">
        <f t="shared" si="48"/>
        <v>0</v>
      </c>
      <c r="Q134" s="269"/>
    </row>
    <row r="135" spans="2:17" ht="12.5">
      <c r="B135" s="195" t="str">
        <f t="shared" si="32"/>
        <v/>
      </c>
      <c r="C135" s="507">
        <f>IF(D93="","-",+C134+1)</f>
        <v>2045</v>
      </c>
      <c r="D135" s="374">
        <f>IF(F134+SUM(E$99:E134)=D$92,F134,D$92-SUM(E$99:E134))</f>
        <v>1622380.8839299949</v>
      </c>
      <c r="E135" s="522">
        <f>IF(+J96&lt;F134,J96,D135)</f>
        <v>282446.60975609755</v>
      </c>
      <c r="F135" s="523">
        <f t="shared" si="43"/>
        <v>1339934.2741738972</v>
      </c>
      <c r="G135" s="523">
        <f t="shared" si="44"/>
        <v>1481157.5790519461</v>
      </c>
      <c r="H135" s="526">
        <f t="shared" si="41"/>
        <v>450579.06647690601</v>
      </c>
      <c r="I135" s="577">
        <f t="shared" si="42"/>
        <v>450579.06647690601</v>
      </c>
      <c r="J135" s="514">
        <f t="shared" si="45"/>
        <v>0</v>
      </c>
      <c r="K135" s="514"/>
      <c r="L135" s="525"/>
      <c r="M135" s="514">
        <f t="shared" si="46"/>
        <v>0</v>
      </c>
      <c r="N135" s="525"/>
      <c r="O135" s="514">
        <f t="shared" si="47"/>
        <v>0</v>
      </c>
      <c r="P135" s="514">
        <f t="shared" si="48"/>
        <v>0</v>
      </c>
      <c r="Q135" s="269"/>
    </row>
    <row r="136" spans="2:17" ht="12.5">
      <c r="B136" s="195" t="str">
        <f t="shared" si="32"/>
        <v/>
      </c>
      <c r="C136" s="507">
        <f>IF(D93="","-",+C135+1)</f>
        <v>2046</v>
      </c>
      <c r="D136" s="374">
        <f>IF(F135+SUM(E$99:E135)=D$92,F135,D$92-SUM(E$99:E135))</f>
        <v>1339934.2741738972</v>
      </c>
      <c r="E136" s="522">
        <f>IF(+J96&lt;F135,J96,D136)</f>
        <v>282446.60975609755</v>
      </c>
      <c r="F136" s="523">
        <f t="shared" si="43"/>
        <v>1057487.6644177996</v>
      </c>
      <c r="G136" s="523">
        <f t="shared" si="44"/>
        <v>1198710.9692958484</v>
      </c>
      <c r="H136" s="526">
        <f t="shared" si="41"/>
        <v>418517.35807910515</v>
      </c>
      <c r="I136" s="577">
        <f t="shared" si="42"/>
        <v>418517.35807910515</v>
      </c>
      <c r="J136" s="514">
        <f t="shared" si="45"/>
        <v>0</v>
      </c>
      <c r="K136" s="514"/>
      <c r="L136" s="525"/>
      <c r="M136" s="514">
        <f t="shared" si="46"/>
        <v>0</v>
      </c>
      <c r="N136" s="525"/>
      <c r="O136" s="514">
        <f t="shared" si="47"/>
        <v>0</v>
      </c>
      <c r="P136" s="514">
        <f t="shared" si="48"/>
        <v>0</v>
      </c>
      <c r="Q136" s="269"/>
    </row>
    <row r="137" spans="2:17" ht="12.5">
      <c r="B137" s="195" t="str">
        <f t="shared" si="32"/>
        <v/>
      </c>
      <c r="C137" s="507">
        <f>IF(D93="","-",+C136+1)</f>
        <v>2047</v>
      </c>
      <c r="D137" s="374">
        <f>IF(F136+SUM(E$99:E136)=D$92,F136,D$92-SUM(E$99:E136))</f>
        <v>1057487.6644177996</v>
      </c>
      <c r="E137" s="522">
        <f>IF(+J96&lt;F136,J96,D137)</f>
        <v>282446.60975609755</v>
      </c>
      <c r="F137" s="523">
        <f t="shared" si="43"/>
        <v>775041.05466170202</v>
      </c>
      <c r="G137" s="523">
        <f t="shared" si="44"/>
        <v>916264.35953975073</v>
      </c>
      <c r="H137" s="526">
        <f t="shared" si="41"/>
        <v>386455.64968130429</v>
      </c>
      <c r="I137" s="577">
        <f t="shared" si="42"/>
        <v>386455.64968130429</v>
      </c>
      <c r="J137" s="514">
        <f t="shared" si="45"/>
        <v>0</v>
      </c>
      <c r="K137" s="514"/>
      <c r="L137" s="525"/>
      <c r="M137" s="514">
        <f t="shared" si="46"/>
        <v>0</v>
      </c>
      <c r="N137" s="525"/>
      <c r="O137" s="514">
        <f t="shared" si="47"/>
        <v>0</v>
      </c>
      <c r="P137" s="514">
        <f t="shared" si="48"/>
        <v>0</v>
      </c>
      <c r="Q137" s="269"/>
    </row>
    <row r="138" spans="2:17" ht="12.5">
      <c r="B138" s="195" t="str">
        <f t="shared" si="32"/>
        <v/>
      </c>
      <c r="C138" s="507">
        <f>IF(D93="","-",+C137+1)</f>
        <v>2048</v>
      </c>
      <c r="D138" s="374">
        <f>IF(F137+SUM(E$99:E137)=D$92,F137,D$92-SUM(E$99:E137))</f>
        <v>775041.05466170202</v>
      </c>
      <c r="E138" s="522">
        <f>IF(+J96&lt;F137,J96,D138)</f>
        <v>282446.60975609755</v>
      </c>
      <c r="F138" s="523">
        <f t="shared" si="43"/>
        <v>492594.44490560447</v>
      </c>
      <c r="G138" s="523">
        <f t="shared" si="44"/>
        <v>633817.7497836533</v>
      </c>
      <c r="H138" s="526">
        <f t="shared" si="41"/>
        <v>354393.94128350343</v>
      </c>
      <c r="I138" s="577">
        <f t="shared" si="42"/>
        <v>354393.94128350343</v>
      </c>
      <c r="J138" s="514">
        <f t="shared" si="45"/>
        <v>0</v>
      </c>
      <c r="K138" s="514"/>
      <c r="L138" s="525"/>
      <c r="M138" s="514">
        <f t="shared" si="46"/>
        <v>0</v>
      </c>
      <c r="N138" s="525"/>
      <c r="O138" s="514">
        <f t="shared" si="47"/>
        <v>0</v>
      </c>
      <c r="P138" s="514">
        <f t="shared" si="48"/>
        <v>0</v>
      </c>
      <c r="Q138" s="269"/>
    </row>
    <row r="139" spans="2:17" ht="12.5">
      <c r="B139" s="195" t="str">
        <f t="shared" si="32"/>
        <v/>
      </c>
      <c r="C139" s="507">
        <f>IF(D93="","-",+C138+1)</f>
        <v>2049</v>
      </c>
      <c r="D139" s="374">
        <f>IF(F138+SUM(E$99:E138)=D$92,F138,D$92-SUM(E$99:E138))</f>
        <v>492594.44490560447</v>
      </c>
      <c r="E139" s="522">
        <f>IF(+J96&lt;F138,J96,D139)</f>
        <v>282446.60975609755</v>
      </c>
      <c r="F139" s="523">
        <f t="shared" si="43"/>
        <v>210147.83514950692</v>
      </c>
      <c r="G139" s="523">
        <f t="shared" si="44"/>
        <v>351371.1400275557</v>
      </c>
      <c r="H139" s="526">
        <f t="shared" si="41"/>
        <v>322332.23288570263</v>
      </c>
      <c r="I139" s="577">
        <f t="shared" si="42"/>
        <v>322332.23288570263</v>
      </c>
      <c r="J139" s="514">
        <f t="shared" si="45"/>
        <v>0</v>
      </c>
      <c r="K139" s="514"/>
      <c r="L139" s="525"/>
      <c r="M139" s="514">
        <f t="shared" si="46"/>
        <v>0</v>
      </c>
      <c r="N139" s="525"/>
      <c r="O139" s="514">
        <f t="shared" si="47"/>
        <v>0</v>
      </c>
      <c r="P139" s="514">
        <f t="shared" si="48"/>
        <v>0</v>
      </c>
      <c r="Q139" s="269"/>
    </row>
    <row r="140" spans="2:17" ht="12.5">
      <c r="B140" s="195" t="str">
        <f t="shared" si="32"/>
        <v/>
      </c>
      <c r="C140" s="507">
        <f>IF(D93="","-",+C139+1)</f>
        <v>2050</v>
      </c>
      <c r="D140" s="374">
        <f>IF(F139+SUM(E$99:E139)=D$92,F139,D$92-SUM(E$99:E139))</f>
        <v>210147.83514950692</v>
      </c>
      <c r="E140" s="522">
        <f>IF(+J96&lt;F139,J96,D140)</f>
        <v>210147.83514950692</v>
      </c>
      <c r="F140" s="523">
        <f t="shared" si="43"/>
        <v>0</v>
      </c>
      <c r="G140" s="523">
        <f t="shared" si="44"/>
        <v>105073.91757475346</v>
      </c>
      <c r="H140" s="526">
        <f t="shared" si="41"/>
        <v>222075.21961485923</v>
      </c>
      <c r="I140" s="577">
        <f t="shared" si="42"/>
        <v>222075.21961485923</v>
      </c>
      <c r="J140" s="514">
        <f t="shared" si="45"/>
        <v>0</v>
      </c>
      <c r="K140" s="514"/>
      <c r="L140" s="525"/>
      <c r="M140" s="514">
        <f t="shared" si="46"/>
        <v>0</v>
      </c>
      <c r="N140" s="525"/>
      <c r="O140" s="514">
        <f t="shared" si="47"/>
        <v>0</v>
      </c>
      <c r="P140" s="514">
        <f t="shared" si="48"/>
        <v>0</v>
      </c>
      <c r="Q140" s="269"/>
    </row>
    <row r="141" spans="2:17" ht="12.5">
      <c r="B141" s="195" t="str">
        <f t="shared" si="32"/>
        <v/>
      </c>
      <c r="C141" s="507">
        <f>IF(D93="","-",+C140+1)</f>
        <v>2051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43"/>
        <v>0</v>
      </c>
      <c r="G141" s="523">
        <f t="shared" si="44"/>
        <v>0</v>
      </c>
      <c r="H141" s="526">
        <f t="shared" si="41"/>
        <v>0</v>
      </c>
      <c r="I141" s="577">
        <f t="shared" si="42"/>
        <v>0</v>
      </c>
      <c r="J141" s="514">
        <f t="shared" si="45"/>
        <v>0</v>
      </c>
      <c r="K141" s="514"/>
      <c r="L141" s="525"/>
      <c r="M141" s="514">
        <f t="shared" si="46"/>
        <v>0</v>
      </c>
      <c r="N141" s="525"/>
      <c r="O141" s="514">
        <f t="shared" si="47"/>
        <v>0</v>
      </c>
      <c r="P141" s="514">
        <f t="shared" si="48"/>
        <v>0</v>
      </c>
      <c r="Q141" s="269"/>
    </row>
    <row r="142" spans="2:17" ht="12.5">
      <c r="B142" s="195" t="str">
        <f t="shared" si="32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3"/>
        <v>0</v>
      </c>
      <c r="G142" s="523">
        <f t="shared" si="44"/>
        <v>0</v>
      </c>
      <c r="H142" s="526">
        <f t="shared" si="41"/>
        <v>0</v>
      </c>
      <c r="I142" s="577">
        <f t="shared" si="42"/>
        <v>0</v>
      </c>
      <c r="J142" s="514">
        <f t="shared" si="45"/>
        <v>0</v>
      </c>
      <c r="K142" s="514"/>
      <c r="L142" s="525"/>
      <c r="M142" s="514">
        <f t="shared" si="46"/>
        <v>0</v>
      </c>
      <c r="N142" s="525"/>
      <c r="O142" s="514">
        <f t="shared" si="47"/>
        <v>0</v>
      </c>
      <c r="P142" s="514">
        <f t="shared" si="48"/>
        <v>0</v>
      </c>
      <c r="Q142" s="269"/>
    </row>
    <row r="143" spans="2:17" ht="12.5">
      <c r="B143" s="195" t="str">
        <f t="shared" si="32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3"/>
        <v>0</v>
      </c>
      <c r="G143" s="523">
        <f t="shared" si="44"/>
        <v>0</v>
      </c>
      <c r="H143" s="526">
        <f t="shared" si="41"/>
        <v>0</v>
      </c>
      <c r="I143" s="577">
        <f t="shared" si="42"/>
        <v>0</v>
      </c>
      <c r="J143" s="514">
        <f t="shared" si="45"/>
        <v>0</v>
      </c>
      <c r="K143" s="514"/>
      <c r="L143" s="525"/>
      <c r="M143" s="514">
        <f t="shared" si="46"/>
        <v>0</v>
      </c>
      <c r="N143" s="525"/>
      <c r="O143" s="514">
        <f t="shared" si="47"/>
        <v>0</v>
      </c>
      <c r="P143" s="514">
        <f t="shared" si="48"/>
        <v>0</v>
      </c>
      <c r="Q143" s="269"/>
    </row>
    <row r="144" spans="2:17" ht="12.5">
      <c r="B144" s="195" t="str">
        <f t="shared" si="32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3"/>
        <v>0</v>
      </c>
      <c r="G144" s="523">
        <f t="shared" si="44"/>
        <v>0</v>
      </c>
      <c r="H144" s="526">
        <f t="shared" si="41"/>
        <v>0</v>
      </c>
      <c r="I144" s="577">
        <f t="shared" si="42"/>
        <v>0</v>
      </c>
      <c r="J144" s="514">
        <f t="shared" si="45"/>
        <v>0</v>
      </c>
      <c r="K144" s="514"/>
      <c r="L144" s="525"/>
      <c r="M144" s="514">
        <f t="shared" si="46"/>
        <v>0</v>
      </c>
      <c r="N144" s="525"/>
      <c r="O144" s="514">
        <f t="shared" si="47"/>
        <v>0</v>
      </c>
      <c r="P144" s="514">
        <f t="shared" si="48"/>
        <v>0</v>
      </c>
      <c r="Q144" s="269"/>
    </row>
    <row r="145" spans="2:17" ht="12.5">
      <c r="B145" s="195" t="str">
        <f t="shared" si="32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3"/>
        <v>0</v>
      </c>
      <c r="G145" s="523">
        <f t="shared" si="44"/>
        <v>0</v>
      </c>
      <c r="H145" s="526">
        <f t="shared" si="41"/>
        <v>0</v>
      </c>
      <c r="I145" s="577">
        <f t="shared" si="42"/>
        <v>0</v>
      </c>
      <c r="J145" s="514">
        <f t="shared" si="45"/>
        <v>0</v>
      </c>
      <c r="K145" s="514"/>
      <c r="L145" s="525"/>
      <c r="M145" s="514">
        <f t="shared" si="46"/>
        <v>0</v>
      </c>
      <c r="N145" s="525"/>
      <c r="O145" s="514">
        <f t="shared" si="47"/>
        <v>0</v>
      </c>
      <c r="P145" s="514">
        <f t="shared" si="48"/>
        <v>0</v>
      </c>
      <c r="Q145" s="269"/>
    </row>
    <row r="146" spans="2:17" ht="12.5">
      <c r="B146" s="195" t="str">
        <f t="shared" si="32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3"/>
        <v>0</v>
      </c>
      <c r="G146" s="523">
        <f t="shared" si="44"/>
        <v>0</v>
      </c>
      <c r="H146" s="526">
        <f t="shared" si="41"/>
        <v>0</v>
      </c>
      <c r="I146" s="577">
        <f t="shared" si="42"/>
        <v>0</v>
      </c>
      <c r="J146" s="514">
        <f t="shared" si="45"/>
        <v>0</v>
      </c>
      <c r="K146" s="514"/>
      <c r="L146" s="525"/>
      <c r="M146" s="514">
        <f t="shared" si="46"/>
        <v>0</v>
      </c>
      <c r="N146" s="525"/>
      <c r="O146" s="514">
        <f t="shared" si="47"/>
        <v>0</v>
      </c>
      <c r="P146" s="514">
        <f t="shared" si="48"/>
        <v>0</v>
      </c>
      <c r="Q146" s="269"/>
    </row>
    <row r="147" spans="2:17" ht="12.5">
      <c r="B147" s="195" t="str">
        <f t="shared" si="32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3"/>
        <v>0</v>
      </c>
      <c r="G147" s="523">
        <f t="shared" si="44"/>
        <v>0</v>
      </c>
      <c r="H147" s="526">
        <f t="shared" si="41"/>
        <v>0</v>
      </c>
      <c r="I147" s="577">
        <f t="shared" si="42"/>
        <v>0</v>
      </c>
      <c r="J147" s="514">
        <f t="shared" si="45"/>
        <v>0</v>
      </c>
      <c r="K147" s="514"/>
      <c r="L147" s="525"/>
      <c r="M147" s="514">
        <f t="shared" si="46"/>
        <v>0</v>
      </c>
      <c r="N147" s="525"/>
      <c r="O147" s="514">
        <f t="shared" si="47"/>
        <v>0</v>
      </c>
      <c r="P147" s="514">
        <f t="shared" si="48"/>
        <v>0</v>
      </c>
      <c r="Q147" s="269"/>
    </row>
    <row r="148" spans="2:17" ht="12.5">
      <c r="B148" s="195" t="str">
        <f t="shared" si="32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3"/>
        <v>0</v>
      </c>
      <c r="G148" s="523">
        <f t="shared" si="44"/>
        <v>0</v>
      </c>
      <c r="H148" s="526">
        <f t="shared" si="41"/>
        <v>0</v>
      </c>
      <c r="I148" s="577">
        <f t="shared" si="42"/>
        <v>0</v>
      </c>
      <c r="J148" s="514">
        <f t="shared" si="45"/>
        <v>0</v>
      </c>
      <c r="K148" s="514"/>
      <c r="L148" s="525"/>
      <c r="M148" s="514">
        <f t="shared" si="46"/>
        <v>0</v>
      </c>
      <c r="N148" s="525"/>
      <c r="O148" s="514">
        <f t="shared" si="47"/>
        <v>0</v>
      </c>
      <c r="P148" s="514">
        <f t="shared" si="48"/>
        <v>0</v>
      </c>
      <c r="Q148" s="269"/>
    </row>
    <row r="149" spans="2:17" ht="12.5">
      <c r="B149" s="195" t="str">
        <f t="shared" si="32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3"/>
        <v>0</v>
      </c>
      <c r="G149" s="523">
        <f t="shared" si="44"/>
        <v>0</v>
      </c>
      <c r="H149" s="526">
        <f t="shared" si="41"/>
        <v>0</v>
      </c>
      <c r="I149" s="577">
        <f t="shared" si="42"/>
        <v>0</v>
      </c>
      <c r="J149" s="514">
        <f t="shared" si="45"/>
        <v>0</v>
      </c>
      <c r="K149" s="514"/>
      <c r="L149" s="525"/>
      <c r="M149" s="514">
        <f t="shared" si="46"/>
        <v>0</v>
      </c>
      <c r="N149" s="525"/>
      <c r="O149" s="514">
        <f t="shared" si="47"/>
        <v>0</v>
      </c>
      <c r="P149" s="514">
        <f t="shared" si="48"/>
        <v>0</v>
      </c>
      <c r="Q149" s="269"/>
    </row>
    <row r="150" spans="2:17" ht="12.5">
      <c r="B150" s="195" t="str">
        <f t="shared" si="32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3"/>
        <v>0</v>
      </c>
      <c r="G150" s="523">
        <f t="shared" si="44"/>
        <v>0</v>
      </c>
      <c r="H150" s="526">
        <f t="shared" si="41"/>
        <v>0</v>
      </c>
      <c r="I150" s="577">
        <f t="shared" si="42"/>
        <v>0</v>
      </c>
      <c r="J150" s="514">
        <f t="shared" si="45"/>
        <v>0</v>
      </c>
      <c r="K150" s="514"/>
      <c r="L150" s="525"/>
      <c r="M150" s="514">
        <f t="shared" si="46"/>
        <v>0</v>
      </c>
      <c r="N150" s="525"/>
      <c r="O150" s="514">
        <f t="shared" si="47"/>
        <v>0</v>
      </c>
      <c r="P150" s="514">
        <f t="shared" si="48"/>
        <v>0</v>
      </c>
      <c r="Q150" s="269"/>
    </row>
    <row r="151" spans="2:17" ht="12.5">
      <c r="B151" s="195" t="str">
        <f t="shared" si="32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3"/>
        <v>0</v>
      </c>
      <c r="G151" s="523">
        <f t="shared" si="44"/>
        <v>0</v>
      </c>
      <c r="H151" s="526">
        <f t="shared" si="41"/>
        <v>0</v>
      </c>
      <c r="I151" s="577">
        <f t="shared" si="42"/>
        <v>0</v>
      </c>
      <c r="J151" s="514">
        <f t="shared" si="45"/>
        <v>0</v>
      </c>
      <c r="K151" s="514"/>
      <c r="L151" s="525"/>
      <c r="M151" s="514">
        <f t="shared" si="46"/>
        <v>0</v>
      </c>
      <c r="N151" s="525"/>
      <c r="O151" s="514">
        <f t="shared" si="47"/>
        <v>0</v>
      </c>
      <c r="P151" s="514">
        <f t="shared" si="48"/>
        <v>0</v>
      </c>
      <c r="Q151" s="269"/>
    </row>
    <row r="152" spans="2:17" ht="12.5">
      <c r="B152" s="195" t="str">
        <f t="shared" si="32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3"/>
        <v>0</v>
      </c>
      <c r="G152" s="523">
        <f t="shared" si="44"/>
        <v>0</v>
      </c>
      <c r="H152" s="526">
        <f t="shared" si="41"/>
        <v>0</v>
      </c>
      <c r="I152" s="577">
        <f t="shared" si="42"/>
        <v>0</v>
      </c>
      <c r="J152" s="514">
        <f t="shared" si="45"/>
        <v>0</v>
      </c>
      <c r="K152" s="514"/>
      <c r="L152" s="525"/>
      <c r="M152" s="514">
        <f t="shared" si="46"/>
        <v>0</v>
      </c>
      <c r="N152" s="525"/>
      <c r="O152" s="514">
        <f t="shared" si="47"/>
        <v>0</v>
      </c>
      <c r="P152" s="514">
        <f t="shared" si="48"/>
        <v>0</v>
      </c>
      <c r="Q152" s="269"/>
    </row>
    <row r="153" spans="2:17" ht="12.5">
      <c r="B153" s="195" t="str">
        <f t="shared" si="32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3"/>
        <v>0</v>
      </c>
      <c r="G153" s="523">
        <f t="shared" si="44"/>
        <v>0</v>
      </c>
      <c r="H153" s="526">
        <f t="shared" si="41"/>
        <v>0</v>
      </c>
      <c r="I153" s="577">
        <f t="shared" si="42"/>
        <v>0</v>
      </c>
      <c r="J153" s="514">
        <f t="shared" si="45"/>
        <v>0</v>
      </c>
      <c r="K153" s="514"/>
      <c r="L153" s="525"/>
      <c r="M153" s="514">
        <f t="shared" si="46"/>
        <v>0</v>
      </c>
      <c r="N153" s="525"/>
      <c r="O153" s="514">
        <f t="shared" si="47"/>
        <v>0</v>
      </c>
      <c r="P153" s="514">
        <f t="shared" si="48"/>
        <v>0</v>
      </c>
      <c r="Q153" s="269"/>
    </row>
    <row r="154" spans="2:17" ht="13" thickBot="1">
      <c r="B154" s="195" t="str">
        <f t="shared" si="32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3"/>
        <v>0</v>
      </c>
      <c r="G154" s="528">
        <f t="shared" si="44"/>
        <v>0</v>
      </c>
      <c r="H154" s="530">
        <f t="shared" si="41"/>
        <v>0</v>
      </c>
      <c r="I154" s="579">
        <f t="shared" si="42"/>
        <v>0</v>
      </c>
      <c r="J154" s="533">
        <f t="shared" si="45"/>
        <v>0</v>
      </c>
      <c r="K154" s="514"/>
      <c r="L154" s="532"/>
      <c r="M154" s="533">
        <f t="shared" si="46"/>
        <v>0</v>
      </c>
      <c r="N154" s="532"/>
      <c r="O154" s="533">
        <f t="shared" si="47"/>
        <v>0</v>
      </c>
      <c r="P154" s="533">
        <f t="shared" si="48"/>
        <v>0</v>
      </c>
      <c r="Q154" s="269"/>
    </row>
    <row r="155" spans="2:17" ht="12.5">
      <c r="C155" s="374" t="s">
        <v>78</v>
      </c>
      <c r="D155" s="375"/>
      <c r="E155" s="375">
        <f>SUM(E99:E154)</f>
        <v>11580310.999999996</v>
      </c>
      <c r="F155" s="375"/>
      <c r="G155" s="375"/>
      <c r="H155" s="375">
        <f>SUM(H99:H154)</f>
        <v>40975203.589598767</v>
      </c>
      <c r="I155" s="375">
        <f>SUM(I99:I154)</f>
        <v>40975203.589598767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3" priority="1" stopIfTrue="1" operator="equal">
      <formula>$I$10</formula>
    </cfRule>
  </conditionalFormatting>
  <conditionalFormatting sqref="C99:C154">
    <cfRule type="cellIs" dxfId="15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16"/>
  <dimension ref="A1:P162"/>
  <sheetViews>
    <sheetView view="pageBreakPreview" zoomScale="80" zoomScaleNormal="100" zoomScaleSheetLayoutView="80" workbookViewId="0"/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67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1411657.7761742773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1411657.7761742773</v>
      </c>
      <c r="O6" s="269"/>
      <c r="P6" s="269"/>
    </row>
    <row r="7" spans="1:16" ht="13.5" thickBot="1">
      <c r="C7" s="467" t="s">
        <v>48</v>
      </c>
      <c r="D7" s="624" t="s">
        <v>387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417</v>
      </c>
      <c r="E9" s="637" t="s">
        <v>418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10668801.149999999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254019.07499999995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31">
        <v>0</v>
      </c>
      <c r="E17" s="630">
        <v>160574.56395348837</v>
      </c>
      <c r="F17" s="631">
        <v>9045700.4360465109</v>
      </c>
      <c r="G17" s="630">
        <v>720921.93663194391</v>
      </c>
      <c r="H17" s="639">
        <v>720921.93663194391</v>
      </c>
      <c r="I17" s="511">
        <f t="shared" ref="I17:I72" si="0">H17-G17</f>
        <v>0</v>
      </c>
      <c r="J17" s="511"/>
      <c r="K17" s="512">
        <f t="shared" ref="K17:K22" si="1">+G17</f>
        <v>720921.93663194391</v>
      </c>
      <c r="L17" s="513">
        <f t="shared" ref="L17:L72" si="2">IF(K17&lt;&gt;0,+G17-K17,0)</f>
        <v>0</v>
      </c>
      <c r="M17" s="512">
        <f t="shared" ref="M17:M22" si="3">+H17</f>
        <v>720921.93663194391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9045700.4360465109</v>
      </c>
      <c r="E18" s="630">
        <v>224543.29268292684</v>
      </c>
      <c r="F18" s="631">
        <v>8821157.1433635838</v>
      </c>
      <c r="G18" s="630">
        <v>1359929.3750502607</v>
      </c>
      <c r="H18" s="639">
        <v>1359929.3750502607</v>
      </c>
      <c r="I18" s="511">
        <f t="shared" si="0"/>
        <v>0</v>
      </c>
      <c r="J18" s="511"/>
      <c r="K18" s="518">
        <f t="shared" si="1"/>
        <v>1359929.3750502607</v>
      </c>
      <c r="L18" s="519">
        <f t="shared" si="2"/>
        <v>0</v>
      </c>
      <c r="M18" s="518">
        <f t="shared" si="3"/>
        <v>1359929.3750502607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/>
      </c>
      <c r="C19" s="507">
        <f>IF(D11="","-",+C18+1)</f>
        <v>2019</v>
      </c>
      <c r="D19" s="631">
        <v>8821157.1433635838</v>
      </c>
      <c r="E19" s="630">
        <v>224543.29268292684</v>
      </c>
      <c r="F19" s="631">
        <v>8596613.8506806567</v>
      </c>
      <c r="G19" s="630">
        <v>1331391.2475963396</v>
      </c>
      <c r="H19" s="639">
        <v>1331391.2475963396</v>
      </c>
      <c r="I19" s="511">
        <f t="shared" si="0"/>
        <v>0</v>
      </c>
      <c r="J19" s="511"/>
      <c r="K19" s="518">
        <f t="shared" si="1"/>
        <v>1331391.2475963396</v>
      </c>
      <c r="L19" s="519">
        <f t="shared" ref="L19" si="6">IF(K19&lt;&gt;0,+G19-K19,0)</f>
        <v>0</v>
      </c>
      <c r="M19" s="518">
        <f t="shared" si="3"/>
        <v>1331391.2475963396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10060609.850680659</v>
      </c>
      <c r="E20" s="630">
        <v>260250.51219512196</v>
      </c>
      <c r="F20" s="631">
        <v>9800359.3384855371</v>
      </c>
      <c r="G20" s="630">
        <v>1276491.1744003529</v>
      </c>
      <c r="H20" s="639">
        <v>1276491.1744003529</v>
      </c>
      <c r="I20" s="511">
        <f t="shared" si="0"/>
        <v>0</v>
      </c>
      <c r="J20" s="511"/>
      <c r="K20" s="518">
        <f t="shared" si="1"/>
        <v>1276491.1744003529</v>
      </c>
      <c r="L20" s="519">
        <f t="shared" ref="L20" si="8">IF(K20&lt;&gt;0,+G20-K20,0)</f>
        <v>0</v>
      </c>
      <c r="M20" s="518">
        <f t="shared" si="3"/>
        <v>1276491.1744003529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9809333.2125638109</v>
      </c>
      <c r="E21" s="630">
        <v>254019.07142857142</v>
      </c>
      <c r="F21" s="631">
        <v>9555314.14113524</v>
      </c>
      <c r="G21" s="630">
        <v>1280389.3877484133</v>
      </c>
      <c r="H21" s="639">
        <v>1280389.3877484133</v>
      </c>
      <c r="I21" s="511">
        <f t="shared" si="0"/>
        <v>0</v>
      </c>
      <c r="J21" s="511"/>
      <c r="K21" s="518">
        <f t="shared" si="1"/>
        <v>1280389.3877484133</v>
      </c>
      <c r="L21" s="519">
        <f t="shared" ref="L21" si="9">IF(K21&lt;&gt;0,+G21-K21,0)</f>
        <v>0</v>
      </c>
      <c r="M21" s="518">
        <f t="shared" si="3"/>
        <v>1280389.3877484133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9544870.2670569643</v>
      </c>
      <c r="E22" s="630">
        <v>254019.07142857142</v>
      </c>
      <c r="F22" s="631">
        <v>9290851.1956283934</v>
      </c>
      <c r="G22" s="630">
        <v>1313001.915934932</v>
      </c>
      <c r="H22" s="639">
        <v>1313001.915934932</v>
      </c>
      <c r="I22" s="511">
        <f t="shared" si="0"/>
        <v>0</v>
      </c>
      <c r="J22" s="511"/>
      <c r="K22" s="518">
        <f t="shared" si="1"/>
        <v>1313001.915934932</v>
      </c>
      <c r="L22" s="519">
        <f t="shared" ref="L22" si="10">IF(K22&lt;&gt;0,+G22-K22,0)</f>
        <v>0</v>
      </c>
      <c r="M22" s="518">
        <f t="shared" si="3"/>
        <v>1313001.915934932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523">
        <f>IF(F22+SUM(E$17:E22)=D$10,F22,D$10-SUM(E$17:E22))</f>
        <v>9290851.345628392</v>
      </c>
      <c r="E23" s="522">
        <f>IF(+I14&lt;F22,I14,D23)</f>
        <v>254019.07499999995</v>
      </c>
      <c r="F23" s="523">
        <f t="shared" ref="F23:F72" si="11">+D23-E23</f>
        <v>9036832.2706283927</v>
      </c>
      <c r="G23" s="524">
        <f t="shared" ref="G23:G48" si="12">+I$12*((D23+F23)/2)+E23</f>
        <v>1411657.7761742773</v>
      </c>
      <c r="H23" s="491">
        <f t="shared" ref="H23:H48" si="13">+I$13*((D23+F23)/2)+E23</f>
        <v>1411657.7761742773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2024</v>
      </c>
      <c r="D24" s="523">
        <f>IF(F23+SUM(E$17:E23)=D$10,F23,D$10-SUM(E$17:E23))</f>
        <v>9036832.2706283927</v>
      </c>
      <c r="E24" s="522">
        <f>IF(+I14&lt;F23,I14,D24)</f>
        <v>254019.07499999995</v>
      </c>
      <c r="F24" s="523">
        <f t="shared" si="11"/>
        <v>8782813.1956283934</v>
      </c>
      <c r="G24" s="524">
        <f t="shared" si="12"/>
        <v>1379568.3623439714</v>
      </c>
      <c r="H24" s="491">
        <f t="shared" si="13"/>
        <v>1379568.3623439714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8782813.1956283934</v>
      </c>
      <c r="E25" s="522">
        <f>IF(+I14&lt;F24,I14,D25)</f>
        <v>254019.07499999995</v>
      </c>
      <c r="F25" s="523">
        <f t="shared" si="11"/>
        <v>8528794.1206283942</v>
      </c>
      <c r="G25" s="524">
        <f t="shared" si="12"/>
        <v>1347478.9485136655</v>
      </c>
      <c r="H25" s="491">
        <f t="shared" si="13"/>
        <v>1347478.9485136655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8528794.1206283942</v>
      </c>
      <c r="E26" s="522">
        <f>IF(+I14&lt;F25,I14,D26)</f>
        <v>254019.07499999995</v>
      </c>
      <c r="F26" s="523">
        <f t="shared" si="11"/>
        <v>8274775.045628394</v>
      </c>
      <c r="G26" s="524">
        <f t="shared" si="12"/>
        <v>1315389.5346833596</v>
      </c>
      <c r="H26" s="491">
        <f t="shared" si="13"/>
        <v>1315389.5346833596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8274775.045628394</v>
      </c>
      <c r="E27" s="522">
        <f>IF(+I14&lt;F26,I14,D27)</f>
        <v>254019.07499999995</v>
      </c>
      <c r="F27" s="523">
        <f t="shared" si="11"/>
        <v>8020755.9706283938</v>
      </c>
      <c r="G27" s="524">
        <f t="shared" si="12"/>
        <v>1283300.1208530534</v>
      </c>
      <c r="H27" s="491">
        <f t="shared" si="13"/>
        <v>1283300.1208530534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8020755.9706283938</v>
      </c>
      <c r="E28" s="522">
        <f>IF(+I14&lt;F27,I14,D28)</f>
        <v>254019.07499999995</v>
      </c>
      <c r="F28" s="523">
        <f t="shared" si="11"/>
        <v>7766736.8956283936</v>
      </c>
      <c r="G28" s="524">
        <f t="shared" si="12"/>
        <v>1251210.7070227475</v>
      </c>
      <c r="H28" s="491">
        <f t="shared" si="13"/>
        <v>1251210.7070227475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7766736.8956283936</v>
      </c>
      <c r="E29" s="522">
        <f>IF(+I14&lt;F28,I14,D29)</f>
        <v>254019.07499999995</v>
      </c>
      <c r="F29" s="523">
        <f t="shared" si="11"/>
        <v>7512717.8206283934</v>
      </c>
      <c r="G29" s="524">
        <f t="shared" si="12"/>
        <v>1219121.2931924416</v>
      </c>
      <c r="H29" s="491">
        <f t="shared" si="13"/>
        <v>1219121.2931924416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7512717.8206283934</v>
      </c>
      <c r="E30" s="522">
        <f>IF(+I14&lt;F29,I14,D30)</f>
        <v>254019.07499999995</v>
      </c>
      <c r="F30" s="523">
        <f t="shared" si="11"/>
        <v>7258698.7456283933</v>
      </c>
      <c r="G30" s="524">
        <f t="shared" si="12"/>
        <v>1187031.8793621357</v>
      </c>
      <c r="H30" s="491">
        <f t="shared" si="13"/>
        <v>1187031.8793621357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7258698.7456283933</v>
      </c>
      <c r="E31" s="522">
        <f>IF(+I14&lt;F30,I14,D31)</f>
        <v>254019.07499999995</v>
      </c>
      <c r="F31" s="523">
        <f t="shared" si="11"/>
        <v>7004679.6706283931</v>
      </c>
      <c r="G31" s="524">
        <f t="shared" si="12"/>
        <v>1154942.4655318295</v>
      </c>
      <c r="H31" s="491">
        <f t="shared" si="13"/>
        <v>1154942.4655318295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7004679.6706283931</v>
      </c>
      <c r="E32" s="522">
        <f>IF(+I14&lt;F31,I14,D32)</f>
        <v>254019.07499999995</v>
      </c>
      <c r="F32" s="523">
        <f t="shared" si="11"/>
        <v>6750660.5956283929</v>
      </c>
      <c r="G32" s="524">
        <f t="shared" si="12"/>
        <v>1122853.0517015236</v>
      </c>
      <c r="H32" s="491">
        <f t="shared" si="13"/>
        <v>1122853.0517015236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6750660.5956283929</v>
      </c>
      <c r="E33" s="522">
        <f>IF(+I14&lt;F32,I14,D33)</f>
        <v>254019.07499999995</v>
      </c>
      <c r="F33" s="523">
        <f t="shared" si="11"/>
        <v>6496641.5206283927</v>
      </c>
      <c r="G33" s="524">
        <f t="shared" si="12"/>
        <v>1090763.6378712174</v>
      </c>
      <c r="H33" s="491">
        <f t="shared" si="13"/>
        <v>1090763.6378712174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6496641.5206283927</v>
      </c>
      <c r="E34" s="522">
        <f>IF(+I14&lt;F33,I14,D34)</f>
        <v>254019.07499999995</v>
      </c>
      <c r="F34" s="523">
        <f t="shared" si="11"/>
        <v>6242622.4456283925</v>
      </c>
      <c r="G34" s="524">
        <f t="shared" si="12"/>
        <v>1058674.2240409115</v>
      </c>
      <c r="H34" s="491">
        <f t="shared" si="13"/>
        <v>1058674.2240409115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6242622.4456283925</v>
      </c>
      <c r="E35" s="522">
        <f>IF(+I14&lt;F34,I14,D35)</f>
        <v>254019.07499999995</v>
      </c>
      <c r="F35" s="523">
        <f t="shared" si="11"/>
        <v>5988603.3706283923</v>
      </c>
      <c r="G35" s="524">
        <f t="shared" si="12"/>
        <v>1026584.8102106055</v>
      </c>
      <c r="H35" s="491">
        <f t="shared" si="13"/>
        <v>1026584.8102106055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5988603.3706283923</v>
      </c>
      <c r="E36" s="522">
        <f>IF(+I14&lt;F35,I14,D36)</f>
        <v>254019.07499999995</v>
      </c>
      <c r="F36" s="523">
        <f t="shared" si="11"/>
        <v>5734584.2956283921</v>
      </c>
      <c r="G36" s="524">
        <f t="shared" si="12"/>
        <v>994495.39638029959</v>
      </c>
      <c r="H36" s="491">
        <f t="shared" si="13"/>
        <v>994495.39638029959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5734584.2956283921</v>
      </c>
      <c r="E37" s="522">
        <f>IF(+I14&lt;F36,I14,D37)</f>
        <v>254019.07499999995</v>
      </c>
      <c r="F37" s="523">
        <f t="shared" si="11"/>
        <v>5480565.220628392</v>
      </c>
      <c r="G37" s="524">
        <f t="shared" si="12"/>
        <v>962405.98254999355</v>
      </c>
      <c r="H37" s="491">
        <f t="shared" si="13"/>
        <v>962405.98254999355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5480565.220628392</v>
      </c>
      <c r="E38" s="522">
        <f>IF(+I14&lt;F37,I14,D38)</f>
        <v>254019.07499999995</v>
      </c>
      <c r="F38" s="523">
        <f t="shared" si="11"/>
        <v>5226546.1456283918</v>
      </c>
      <c r="G38" s="524">
        <f t="shared" si="12"/>
        <v>930316.56871968764</v>
      </c>
      <c r="H38" s="491">
        <f t="shared" si="13"/>
        <v>930316.56871968764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5226546.1456283918</v>
      </c>
      <c r="E39" s="522">
        <f>IF(+I14&lt;F38,I14,D39)</f>
        <v>254019.07499999995</v>
      </c>
      <c r="F39" s="523">
        <f t="shared" si="11"/>
        <v>4972527.0706283916</v>
      </c>
      <c r="G39" s="524">
        <f t="shared" si="12"/>
        <v>898227.15488938149</v>
      </c>
      <c r="H39" s="491">
        <f t="shared" si="13"/>
        <v>898227.15488938149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4972527.0706283916</v>
      </c>
      <c r="E40" s="522">
        <f>IF(+I14&lt;F39,I14,D40)</f>
        <v>254019.07499999995</v>
      </c>
      <c r="F40" s="523">
        <f t="shared" si="11"/>
        <v>4718507.9956283914</v>
      </c>
      <c r="G40" s="524">
        <f t="shared" si="12"/>
        <v>866137.74105907569</v>
      </c>
      <c r="H40" s="491">
        <f t="shared" si="13"/>
        <v>866137.74105907569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4718507.9956283914</v>
      </c>
      <c r="E41" s="522">
        <f>IF(+I14&lt;F40,I14,D41)</f>
        <v>254019.07499999995</v>
      </c>
      <c r="F41" s="523">
        <f t="shared" si="11"/>
        <v>4464488.9206283912</v>
      </c>
      <c r="G41" s="524">
        <f t="shared" si="12"/>
        <v>834048.32722876954</v>
      </c>
      <c r="H41" s="491">
        <f t="shared" si="13"/>
        <v>834048.32722876954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4464488.9206283912</v>
      </c>
      <c r="E42" s="522">
        <f>IF(+I14&lt;F41,I14,D42)</f>
        <v>254019.07499999995</v>
      </c>
      <c r="F42" s="523">
        <f t="shared" si="11"/>
        <v>4210469.845628391</v>
      </c>
      <c r="G42" s="524">
        <f t="shared" si="12"/>
        <v>801958.91339846363</v>
      </c>
      <c r="H42" s="491">
        <f t="shared" si="13"/>
        <v>801958.91339846363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4210469.845628391</v>
      </c>
      <c r="E43" s="522">
        <f>IF(+I14&lt;F42,I14,D43)</f>
        <v>254019.07499999995</v>
      </c>
      <c r="F43" s="523">
        <f t="shared" si="11"/>
        <v>3956450.7706283908</v>
      </c>
      <c r="G43" s="524">
        <f t="shared" si="12"/>
        <v>769869.4995681576</v>
      </c>
      <c r="H43" s="491">
        <f t="shared" si="13"/>
        <v>769869.4995681576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3956450.7706283908</v>
      </c>
      <c r="E44" s="522">
        <f>IF(+I14&lt;F43,I14,D44)</f>
        <v>254019.07499999995</v>
      </c>
      <c r="F44" s="523">
        <f t="shared" si="11"/>
        <v>3702431.6956283906</v>
      </c>
      <c r="G44" s="524">
        <f t="shared" si="12"/>
        <v>737780.08573785168</v>
      </c>
      <c r="H44" s="491">
        <f t="shared" si="13"/>
        <v>737780.08573785168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3702431.6956283906</v>
      </c>
      <c r="E45" s="522">
        <f>IF(+I14&lt;F44,I14,D45)</f>
        <v>254019.07499999995</v>
      </c>
      <c r="F45" s="523">
        <f t="shared" si="11"/>
        <v>3448412.6206283905</v>
      </c>
      <c r="G45" s="524">
        <f t="shared" si="12"/>
        <v>705690.67190754553</v>
      </c>
      <c r="H45" s="491">
        <f t="shared" si="13"/>
        <v>705690.67190754553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3448412.6206283905</v>
      </c>
      <c r="E46" s="522">
        <f>IF(+I14&lt;F45,I14,D46)</f>
        <v>254019.07499999995</v>
      </c>
      <c r="F46" s="523">
        <f t="shared" si="11"/>
        <v>3194393.5456283903</v>
      </c>
      <c r="G46" s="524">
        <f t="shared" si="12"/>
        <v>673601.25807723962</v>
      </c>
      <c r="H46" s="491">
        <f t="shared" si="13"/>
        <v>673601.25807723962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3194393.5456283903</v>
      </c>
      <c r="E47" s="522">
        <f>IF(+I14&lt;F46,I14,D47)</f>
        <v>254019.07499999995</v>
      </c>
      <c r="F47" s="523">
        <f t="shared" si="11"/>
        <v>2940374.4706283901</v>
      </c>
      <c r="G47" s="524">
        <f t="shared" si="12"/>
        <v>641511.84424693359</v>
      </c>
      <c r="H47" s="491">
        <f t="shared" si="13"/>
        <v>641511.84424693359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2940374.4706283901</v>
      </c>
      <c r="E48" s="522">
        <f>IF(+I14&lt;F47,I14,D48)</f>
        <v>254019.07499999995</v>
      </c>
      <c r="F48" s="523">
        <f t="shared" si="11"/>
        <v>2686355.3956283899</v>
      </c>
      <c r="G48" s="524">
        <f t="shared" si="12"/>
        <v>609422.43041662755</v>
      </c>
      <c r="H48" s="491">
        <f t="shared" si="13"/>
        <v>609422.43041662755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2686355.3956283899</v>
      </c>
      <c r="E49" s="522">
        <f>IF(+I14&lt;F48,I14,D49)</f>
        <v>254019.07499999995</v>
      </c>
      <c r="F49" s="523">
        <f t="shared" si="11"/>
        <v>2432336.3206283897</v>
      </c>
      <c r="G49" s="524">
        <f t="shared" ref="G49:G72" si="14">+I$12*((D49+F49)/2)+E49</f>
        <v>577333.01658632164</v>
      </c>
      <c r="H49" s="491">
        <f t="shared" ref="H49:H72" si="15">+I$13*((D49+F49)/2)+E49</f>
        <v>577333.01658632164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2432336.3206283897</v>
      </c>
      <c r="E50" s="522">
        <f>IF(+I14&lt;F49,I14,D50)</f>
        <v>254019.07499999995</v>
      </c>
      <c r="F50" s="523">
        <f t="shared" si="11"/>
        <v>2178317.2456283895</v>
      </c>
      <c r="G50" s="524">
        <f t="shared" si="14"/>
        <v>545243.60275601561</v>
      </c>
      <c r="H50" s="491">
        <f t="shared" si="15"/>
        <v>545243.60275601561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2178317.2456283895</v>
      </c>
      <c r="E51" s="522">
        <f>IF(+I14&lt;F50,I14,D51)</f>
        <v>254019.07499999995</v>
      </c>
      <c r="F51" s="523">
        <f t="shared" si="11"/>
        <v>1924298.1706283896</v>
      </c>
      <c r="G51" s="524">
        <f t="shared" si="14"/>
        <v>513154.18892570963</v>
      </c>
      <c r="H51" s="491">
        <f t="shared" si="15"/>
        <v>513154.18892570963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1924298.1706283896</v>
      </c>
      <c r="E52" s="522">
        <f>IF(+I14&lt;F51,I14,D52)</f>
        <v>254019.07499999995</v>
      </c>
      <c r="F52" s="523">
        <f t="shared" si="11"/>
        <v>1670279.0956283896</v>
      </c>
      <c r="G52" s="524">
        <f t="shared" si="14"/>
        <v>481064.77509540366</v>
      </c>
      <c r="H52" s="491">
        <f t="shared" si="15"/>
        <v>481064.77509540366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1670279.0956283896</v>
      </c>
      <c r="E53" s="522">
        <f>IF(+I14&lt;F52,I14,D53)</f>
        <v>254019.07499999995</v>
      </c>
      <c r="F53" s="523">
        <f t="shared" si="11"/>
        <v>1416260.0206283897</v>
      </c>
      <c r="G53" s="524">
        <f t="shared" si="14"/>
        <v>448975.36126509769</v>
      </c>
      <c r="H53" s="491">
        <f t="shared" si="15"/>
        <v>448975.36126509769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1416260.0206283897</v>
      </c>
      <c r="E54" s="522">
        <f>IF(+I14&lt;F53,I14,D54)</f>
        <v>254019.07499999995</v>
      </c>
      <c r="F54" s="523">
        <f t="shared" si="11"/>
        <v>1162240.9456283897</v>
      </c>
      <c r="G54" s="524">
        <f t="shared" si="14"/>
        <v>416885.94743479171</v>
      </c>
      <c r="H54" s="491">
        <f t="shared" si="15"/>
        <v>416885.94743479171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1162240.9456283897</v>
      </c>
      <c r="E55" s="522">
        <f>IF(+I14&lt;F54,I14,D55)</f>
        <v>254019.07499999995</v>
      </c>
      <c r="F55" s="523">
        <f t="shared" si="11"/>
        <v>908221.87062838976</v>
      </c>
      <c r="G55" s="524">
        <f t="shared" si="14"/>
        <v>384796.5336044858</v>
      </c>
      <c r="H55" s="491">
        <f t="shared" si="15"/>
        <v>384796.5336044858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908221.87062838976</v>
      </c>
      <c r="E56" s="522">
        <f>IF(+I14&lt;F55,I14,D56)</f>
        <v>254019.07499999995</v>
      </c>
      <c r="F56" s="523">
        <f t="shared" si="11"/>
        <v>654202.79562838981</v>
      </c>
      <c r="G56" s="524">
        <f t="shared" si="14"/>
        <v>352707.11977417977</v>
      </c>
      <c r="H56" s="491">
        <f t="shared" si="15"/>
        <v>352707.11977417977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654202.79562838981</v>
      </c>
      <c r="E57" s="522">
        <f>IF(+I14&lt;F56,I14,D57)</f>
        <v>254019.07499999995</v>
      </c>
      <c r="F57" s="523">
        <f t="shared" si="11"/>
        <v>400183.72062838986</v>
      </c>
      <c r="G57" s="524">
        <f t="shared" si="14"/>
        <v>320617.70594387385</v>
      </c>
      <c r="H57" s="491">
        <f t="shared" si="15"/>
        <v>320617.70594387385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400183.72062838986</v>
      </c>
      <c r="E58" s="522">
        <f>IF(+I14&lt;F57,I14,D58)</f>
        <v>254019.07499999995</v>
      </c>
      <c r="F58" s="523">
        <f t="shared" si="11"/>
        <v>146164.6456283899</v>
      </c>
      <c r="G58" s="524">
        <f t="shared" si="14"/>
        <v>288528.29211356788</v>
      </c>
      <c r="H58" s="491">
        <f t="shared" si="15"/>
        <v>288528.29211356788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146164.6456283899</v>
      </c>
      <c r="E59" s="522">
        <f>IF(+I14&lt;F58,I14,D59)</f>
        <v>146164.6456283899</v>
      </c>
      <c r="F59" s="523">
        <f t="shared" si="11"/>
        <v>0</v>
      </c>
      <c r="G59" s="524">
        <f t="shared" si="14"/>
        <v>155396.90072759736</v>
      </c>
      <c r="H59" s="491">
        <f t="shared" si="15"/>
        <v>155396.90072759736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1"/>
        <v>0</v>
      </c>
      <c r="G60" s="524">
        <f t="shared" si="14"/>
        <v>0</v>
      </c>
      <c r="H60" s="491">
        <f t="shared" si="15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1"/>
        <v>0</v>
      </c>
      <c r="G61" s="526">
        <f t="shared" si="14"/>
        <v>0</v>
      </c>
      <c r="H61" s="491">
        <f t="shared" si="15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1"/>
        <v>0</v>
      </c>
      <c r="G62" s="526">
        <f t="shared" si="14"/>
        <v>0</v>
      </c>
      <c r="H62" s="491">
        <f t="shared" si="15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1"/>
        <v>0</v>
      </c>
      <c r="G63" s="526">
        <f t="shared" si="14"/>
        <v>0</v>
      </c>
      <c r="H63" s="491">
        <f t="shared" si="15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1"/>
        <v>0</v>
      </c>
      <c r="G64" s="526">
        <f t="shared" si="14"/>
        <v>0</v>
      </c>
      <c r="H64" s="491">
        <f t="shared" si="15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1"/>
        <v>0</v>
      </c>
      <c r="G65" s="526">
        <f t="shared" si="14"/>
        <v>0</v>
      </c>
      <c r="H65" s="491">
        <f t="shared" si="15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1"/>
        <v>0</v>
      </c>
      <c r="G66" s="526">
        <f t="shared" si="14"/>
        <v>0</v>
      </c>
      <c r="H66" s="491">
        <f t="shared" si="15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1"/>
        <v>0</v>
      </c>
      <c r="G67" s="526">
        <f t="shared" si="14"/>
        <v>0</v>
      </c>
      <c r="H67" s="491">
        <f t="shared" si="15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1"/>
        <v>0</v>
      </c>
      <c r="G68" s="526">
        <f t="shared" si="14"/>
        <v>0</v>
      </c>
      <c r="H68" s="491">
        <f t="shared" si="15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1"/>
        <v>0</v>
      </c>
      <c r="G69" s="526">
        <f t="shared" si="14"/>
        <v>0</v>
      </c>
      <c r="H69" s="491">
        <f t="shared" si="15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1"/>
        <v>0</v>
      </c>
      <c r="G70" s="526">
        <f t="shared" si="14"/>
        <v>0</v>
      </c>
      <c r="H70" s="491">
        <f t="shared" si="15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1"/>
        <v>0</v>
      </c>
      <c r="G71" s="526">
        <f t="shared" si="14"/>
        <v>0</v>
      </c>
      <c r="H71" s="491">
        <f t="shared" si="15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1"/>
        <v>0</v>
      </c>
      <c r="G72" s="530">
        <f t="shared" si="14"/>
        <v>0</v>
      </c>
      <c r="H72" s="471">
        <f t="shared" si="15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10668801.149999995</v>
      </c>
      <c r="F73" s="375"/>
      <c r="G73" s="375">
        <f>SUM(G17:G72)</f>
        <v>38040871.167271048</v>
      </c>
      <c r="H73" s="375">
        <f>SUM(H17:H72)</f>
        <v>38040871.167271048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67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1280389.3877484133</v>
      </c>
      <c r="N87" s="546">
        <f>IF(J92&lt;D11,0,VLOOKUP(J92,C17:O72,11))</f>
        <v>1280389.3877484133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1349255.1606370155</v>
      </c>
      <c r="N88" s="550">
        <f>IF(J92&lt;D11,0,VLOOKUP(J92,C99:P154,7))</f>
        <v>1349255.1606370155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Chamber Springs - Farmington 161 kV Line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68865.772888602223</v>
      </c>
      <c r="N89" s="555">
        <f>+N88-N87</f>
        <v>68865.772888602223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TP2011147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10668801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IF(D11=I10,"",D11)</f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IF(D11=I10,"",D12)</f>
        <v>3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260214.65853658537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29">
        <v>0</v>
      </c>
      <c r="E99" s="630">
        <v>188640.89285714284</v>
      </c>
      <c r="F99" s="631">
        <v>10375249.107142856</v>
      </c>
      <c r="G99" s="631">
        <v>5187624.5535714282</v>
      </c>
      <c r="H99" s="633">
        <v>818789.20929668087</v>
      </c>
      <c r="I99" s="634">
        <v>818789.20929668087</v>
      </c>
      <c r="J99" s="514">
        <f t="shared" ref="J99:J130" si="16">+I99-H99</f>
        <v>0</v>
      </c>
      <c r="K99" s="514"/>
      <c r="L99" s="512">
        <f>+H99</f>
        <v>818789.20929668087</v>
      </c>
      <c r="M99" s="513">
        <f t="shared" ref="M99:M130" si="17">IF(L99&lt;&gt;0,+H99-L99,0)</f>
        <v>0</v>
      </c>
      <c r="N99" s="512">
        <f>+I99</f>
        <v>818789.20929668087</v>
      </c>
      <c r="O99" s="513">
        <f t="shared" ref="O99:O130" si="18">IF(N99&lt;&gt;0,+I99-N99,0)</f>
        <v>0</v>
      </c>
      <c r="P99" s="513">
        <f t="shared" ref="P99:P130" si="19">+O99-M99</f>
        <v>0</v>
      </c>
    </row>
    <row r="100" spans="1:16" ht="12.5">
      <c r="B100" s="195" t="str">
        <f>IF(D100=F99,"","IU")</f>
        <v>IU</v>
      </c>
      <c r="C100" s="507">
        <f>IF(D93="","-",+C99+1)</f>
        <v>2018</v>
      </c>
      <c r="D100" s="629">
        <v>10481630.107142856</v>
      </c>
      <c r="E100" s="630">
        <v>254054.07142857142</v>
      </c>
      <c r="F100" s="631">
        <v>10227576.035714285</v>
      </c>
      <c r="G100" s="631">
        <v>10354603.071428571</v>
      </c>
      <c r="H100" s="633">
        <v>1347547.6401151039</v>
      </c>
      <c r="I100" s="634">
        <v>1347547.6401151039</v>
      </c>
      <c r="J100" s="514">
        <f t="shared" si="16"/>
        <v>0</v>
      </c>
      <c r="K100" s="514"/>
      <c r="L100" s="655">
        <f>+H100</f>
        <v>1347547.6401151039</v>
      </c>
      <c r="M100" s="514">
        <f t="shared" si="17"/>
        <v>0</v>
      </c>
      <c r="N100" s="655">
        <f>+I100</f>
        <v>1347547.6401151039</v>
      </c>
      <c r="O100" s="514">
        <f t="shared" si="18"/>
        <v>0</v>
      </c>
      <c r="P100" s="514">
        <f t="shared" si="19"/>
        <v>0</v>
      </c>
    </row>
    <row r="101" spans="1:16" ht="12.5">
      <c r="B101" s="195" t="str">
        <f t="shared" ref="B101:B154" si="20">IF(D101=F100,"","IU")</f>
        <v>IU</v>
      </c>
      <c r="C101" s="507">
        <f>IF(D93="","-",+C100+1)</f>
        <v>2019</v>
      </c>
      <c r="D101" s="629">
        <v>10226106.035714285</v>
      </c>
      <c r="E101" s="630">
        <v>248111.65116279069</v>
      </c>
      <c r="F101" s="631">
        <v>9977994.3845514953</v>
      </c>
      <c r="G101" s="631">
        <v>10102050.210132889</v>
      </c>
      <c r="H101" s="633">
        <v>1329440.626850764</v>
      </c>
      <c r="I101" s="634">
        <v>1329440.626850764</v>
      </c>
      <c r="J101" s="514">
        <f t="shared" si="16"/>
        <v>0</v>
      </c>
      <c r="K101" s="514"/>
      <c r="L101" s="655">
        <f>+H101</f>
        <v>1329440.626850764</v>
      </c>
      <c r="M101" s="514">
        <f t="shared" ref="M101:M102" si="21">IF(L101&lt;&gt;0,+H101-L101,0)</f>
        <v>0</v>
      </c>
      <c r="N101" s="655">
        <f>+I101</f>
        <v>1329440.626850764</v>
      </c>
      <c r="O101" s="514">
        <f t="shared" si="18"/>
        <v>0</v>
      </c>
      <c r="P101" s="514">
        <f t="shared" si="19"/>
        <v>0</v>
      </c>
    </row>
    <row r="102" spans="1:16" ht="12.5">
      <c r="B102" s="195" t="str">
        <f t="shared" si="20"/>
        <v/>
      </c>
      <c r="C102" s="507">
        <f>IF(D93="","-",+C101+1)</f>
        <v>2020</v>
      </c>
      <c r="D102" s="629">
        <v>9977994.3845514953</v>
      </c>
      <c r="E102" s="630">
        <v>254019.07142857142</v>
      </c>
      <c r="F102" s="631">
        <v>9723975.3131229244</v>
      </c>
      <c r="G102" s="631">
        <v>9850984.8488372099</v>
      </c>
      <c r="H102" s="633">
        <v>1313727.2655246886</v>
      </c>
      <c r="I102" s="634">
        <v>1313727.2655246886</v>
      </c>
      <c r="J102" s="514">
        <f t="shared" si="16"/>
        <v>0</v>
      </c>
      <c r="K102" s="514"/>
      <c r="L102" s="655">
        <f>+H102</f>
        <v>1313727.2655246886</v>
      </c>
      <c r="M102" s="514">
        <f t="shared" si="21"/>
        <v>0</v>
      </c>
      <c r="N102" s="655">
        <f>+I102</f>
        <v>1313727.2655246886</v>
      </c>
      <c r="O102" s="514">
        <f t="shared" si="18"/>
        <v>0</v>
      </c>
      <c r="P102" s="514">
        <f t="shared" si="19"/>
        <v>0</v>
      </c>
    </row>
    <row r="103" spans="1:16" ht="12.5">
      <c r="B103" s="195" t="str">
        <f t="shared" si="20"/>
        <v/>
      </c>
      <c r="C103" s="507">
        <f>IF(D93="","-",+C102+1)</f>
        <v>2021</v>
      </c>
      <c r="D103" s="374">
        <f>IF(F102+SUM(E$99:E102)=D$92,F102,D$92-SUM(E$99:E102))</f>
        <v>9723975.3131229244</v>
      </c>
      <c r="E103" s="522">
        <f>IF(+J96&lt;F102,J96,D103)</f>
        <v>260214.65853658537</v>
      </c>
      <c r="F103" s="523">
        <f t="shared" ref="F103:F130" si="22">+D103-E103</f>
        <v>9463760.6545863394</v>
      </c>
      <c r="G103" s="523">
        <f t="shared" ref="G103:G130" si="23">+(F103+D103)/2</f>
        <v>9593867.9838546328</v>
      </c>
      <c r="H103" s="526">
        <f t="shared" ref="H103:H154" si="24">+J$94*G103+E103</f>
        <v>1349255.1606370155</v>
      </c>
      <c r="I103" s="577">
        <f t="shared" ref="I103:I154" si="25">+J$95*G103+E103</f>
        <v>1349255.1606370155</v>
      </c>
      <c r="J103" s="514">
        <f t="shared" si="16"/>
        <v>0</v>
      </c>
      <c r="K103" s="514"/>
      <c r="L103" s="525"/>
      <c r="M103" s="514">
        <f t="shared" si="17"/>
        <v>0</v>
      </c>
      <c r="N103" s="525"/>
      <c r="O103" s="514">
        <f t="shared" si="18"/>
        <v>0</v>
      </c>
      <c r="P103" s="514">
        <f t="shared" si="19"/>
        <v>0</v>
      </c>
    </row>
    <row r="104" spans="1:16" ht="12.5">
      <c r="B104" s="195" t="str">
        <f t="shared" si="20"/>
        <v/>
      </c>
      <c r="C104" s="507">
        <f>IF(D93="","-",+C103+1)</f>
        <v>2022</v>
      </c>
      <c r="D104" s="374">
        <f>IF(F103+SUM(E$99:E103)=D$92,F103,D$92-SUM(E$99:E103))</f>
        <v>9463760.6545863394</v>
      </c>
      <c r="E104" s="522">
        <f>IF(+J96&lt;F103,J96,D104)</f>
        <v>260214.65853658537</v>
      </c>
      <c r="F104" s="523">
        <f t="shared" si="22"/>
        <v>9203545.9960497543</v>
      </c>
      <c r="G104" s="523">
        <f t="shared" si="23"/>
        <v>9333653.3253180459</v>
      </c>
      <c r="H104" s="526">
        <f t="shared" si="24"/>
        <v>1319717.0949826329</v>
      </c>
      <c r="I104" s="577">
        <f t="shared" si="25"/>
        <v>1319717.0949826329</v>
      </c>
      <c r="J104" s="514">
        <f t="shared" si="16"/>
        <v>0</v>
      </c>
      <c r="K104" s="514"/>
      <c r="L104" s="525"/>
      <c r="M104" s="514">
        <f t="shared" si="17"/>
        <v>0</v>
      </c>
      <c r="N104" s="525"/>
      <c r="O104" s="514">
        <f t="shared" si="18"/>
        <v>0</v>
      </c>
      <c r="P104" s="514">
        <f t="shared" si="19"/>
        <v>0</v>
      </c>
    </row>
    <row r="105" spans="1:16" ht="12.5">
      <c r="B105" s="195" t="str">
        <f t="shared" si="20"/>
        <v/>
      </c>
      <c r="C105" s="507">
        <f>IF(D93="","-",+C104+1)</f>
        <v>2023</v>
      </c>
      <c r="D105" s="374">
        <f>IF(F104+SUM(E$99:E104)=D$92,F104,D$92-SUM(E$99:E104))</f>
        <v>9203545.9960497543</v>
      </c>
      <c r="E105" s="522">
        <f>IF(+J96&lt;F104,J96,D105)</f>
        <v>260214.65853658537</v>
      </c>
      <c r="F105" s="523">
        <f t="shared" si="22"/>
        <v>8943331.3375131693</v>
      </c>
      <c r="G105" s="523">
        <f t="shared" si="23"/>
        <v>9073438.6667814627</v>
      </c>
      <c r="H105" s="526">
        <f t="shared" si="24"/>
        <v>1290179.029328251</v>
      </c>
      <c r="I105" s="577">
        <f t="shared" si="25"/>
        <v>1290179.029328251</v>
      </c>
      <c r="J105" s="514">
        <f t="shared" si="16"/>
        <v>0</v>
      </c>
      <c r="K105" s="514"/>
      <c r="L105" s="525"/>
      <c r="M105" s="514">
        <f t="shared" si="17"/>
        <v>0</v>
      </c>
      <c r="N105" s="525"/>
      <c r="O105" s="514">
        <f t="shared" si="18"/>
        <v>0</v>
      </c>
      <c r="P105" s="514">
        <f t="shared" si="19"/>
        <v>0</v>
      </c>
    </row>
    <row r="106" spans="1:16" ht="12.5">
      <c r="B106" s="195" t="str">
        <f t="shared" si="20"/>
        <v/>
      </c>
      <c r="C106" s="507">
        <f>IF(D93="","-",+C105+1)</f>
        <v>2024</v>
      </c>
      <c r="D106" s="374">
        <f>IF(F105+SUM(E$99:E105)=D$92,F105,D$92-SUM(E$99:E105))</f>
        <v>8943331.3375131693</v>
      </c>
      <c r="E106" s="522">
        <f>IF(+J96&lt;F105,J96,D106)</f>
        <v>260214.65853658537</v>
      </c>
      <c r="F106" s="523">
        <f t="shared" si="22"/>
        <v>8683116.6789765842</v>
      </c>
      <c r="G106" s="523">
        <f t="shared" si="23"/>
        <v>8813224.0082448758</v>
      </c>
      <c r="H106" s="526">
        <f t="shared" si="24"/>
        <v>1260640.9636738684</v>
      </c>
      <c r="I106" s="577">
        <f t="shared" si="25"/>
        <v>1260640.9636738684</v>
      </c>
      <c r="J106" s="514">
        <f t="shared" si="16"/>
        <v>0</v>
      </c>
      <c r="K106" s="514"/>
      <c r="L106" s="525"/>
      <c r="M106" s="514">
        <f t="shared" si="17"/>
        <v>0</v>
      </c>
      <c r="N106" s="525"/>
      <c r="O106" s="514">
        <f t="shared" si="18"/>
        <v>0</v>
      </c>
      <c r="P106" s="514">
        <f t="shared" si="19"/>
        <v>0</v>
      </c>
    </row>
    <row r="107" spans="1:16" ht="12.5">
      <c r="B107" s="195" t="str">
        <f t="shared" si="20"/>
        <v/>
      </c>
      <c r="C107" s="507">
        <f>IF(D93="","-",+C106+1)</f>
        <v>2025</v>
      </c>
      <c r="D107" s="374">
        <f>IF(F106+SUM(E$99:E106)=D$92,F106,D$92-SUM(E$99:E106))</f>
        <v>8683116.6789765842</v>
      </c>
      <c r="E107" s="522">
        <f>IF(+J96&lt;F106,J96,D107)</f>
        <v>260214.65853658537</v>
      </c>
      <c r="F107" s="523">
        <f t="shared" si="22"/>
        <v>8422902.0204399992</v>
      </c>
      <c r="G107" s="523">
        <f t="shared" si="23"/>
        <v>8553009.3497082926</v>
      </c>
      <c r="H107" s="526">
        <f t="shared" si="24"/>
        <v>1231102.8980194863</v>
      </c>
      <c r="I107" s="577">
        <f t="shared" si="25"/>
        <v>1231102.8980194863</v>
      </c>
      <c r="J107" s="514">
        <f t="shared" si="16"/>
        <v>0</v>
      </c>
      <c r="K107" s="514"/>
      <c r="L107" s="525"/>
      <c r="M107" s="514">
        <f t="shared" si="17"/>
        <v>0</v>
      </c>
      <c r="N107" s="525"/>
      <c r="O107" s="514">
        <f t="shared" si="18"/>
        <v>0</v>
      </c>
      <c r="P107" s="514">
        <f t="shared" si="19"/>
        <v>0</v>
      </c>
    </row>
    <row r="108" spans="1:16" ht="12.5">
      <c r="B108" s="195" t="str">
        <f t="shared" si="20"/>
        <v/>
      </c>
      <c r="C108" s="507">
        <f>IF(D93="","-",+C107+1)</f>
        <v>2026</v>
      </c>
      <c r="D108" s="374">
        <f>IF(F107+SUM(E$99:E107)=D$92,F107,D$92-SUM(E$99:E107))</f>
        <v>8422902.0204399992</v>
      </c>
      <c r="E108" s="522">
        <f>IF(+J96&lt;F107,J96,D108)</f>
        <v>260214.65853658537</v>
      </c>
      <c r="F108" s="523">
        <f t="shared" si="22"/>
        <v>8162687.3619034141</v>
      </c>
      <c r="G108" s="523">
        <f t="shared" si="23"/>
        <v>8292794.6911717067</v>
      </c>
      <c r="H108" s="526">
        <f t="shared" si="24"/>
        <v>1201564.832365104</v>
      </c>
      <c r="I108" s="577">
        <f t="shared" si="25"/>
        <v>1201564.832365104</v>
      </c>
      <c r="J108" s="514">
        <f t="shared" si="16"/>
        <v>0</v>
      </c>
      <c r="K108" s="514"/>
      <c r="L108" s="525"/>
      <c r="M108" s="514">
        <f t="shared" si="17"/>
        <v>0</v>
      </c>
      <c r="N108" s="525"/>
      <c r="O108" s="514">
        <f t="shared" si="18"/>
        <v>0</v>
      </c>
      <c r="P108" s="514">
        <f t="shared" si="19"/>
        <v>0</v>
      </c>
    </row>
    <row r="109" spans="1:16" ht="12.5">
      <c r="B109" s="195" t="str">
        <f t="shared" si="20"/>
        <v/>
      </c>
      <c r="C109" s="507">
        <f>IF(D93="","-",+C108+1)</f>
        <v>2027</v>
      </c>
      <c r="D109" s="374">
        <f>IF(F108+SUM(E$99:E108)=D$92,F108,D$92-SUM(E$99:E108))</f>
        <v>8162687.3619034141</v>
      </c>
      <c r="E109" s="522">
        <f>IF(+J96&lt;F108,J96,D109)</f>
        <v>260214.65853658537</v>
      </c>
      <c r="F109" s="523">
        <f t="shared" si="22"/>
        <v>7902472.7033668291</v>
      </c>
      <c r="G109" s="523">
        <f t="shared" si="23"/>
        <v>8032580.0326351216</v>
      </c>
      <c r="H109" s="526">
        <f t="shared" si="24"/>
        <v>1172026.7667107217</v>
      </c>
      <c r="I109" s="577">
        <f t="shared" si="25"/>
        <v>1172026.7667107217</v>
      </c>
      <c r="J109" s="514">
        <f t="shared" si="16"/>
        <v>0</v>
      </c>
      <c r="K109" s="514"/>
      <c r="L109" s="525"/>
      <c r="M109" s="514">
        <f t="shared" si="17"/>
        <v>0</v>
      </c>
      <c r="N109" s="525"/>
      <c r="O109" s="514">
        <f t="shared" si="18"/>
        <v>0</v>
      </c>
      <c r="P109" s="514">
        <f t="shared" si="19"/>
        <v>0</v>
      </c>
    </row>
    <row r="110" spans="1:16" ht="12.5">
      <c r="B110" s="195" t="str">
        <f t="shared" si="20"/>
        <v/>
      </c>
      <c r="C110" s="507">
        <f>IF(D93="","-",+C109+1)</f>
        <v>2028</v>
      </c>
      <c r="D110" s="374">
        <f>IF(F109+SUM(E$99:E109)=D$92,F109,D$92-SUM(E$99:E109))</f>
        <v>7902472.7033668291</v>
      </c>
      <c r="E110" s="522">
        <f>IF(+J96&lt;F109,J96,D110)</f>
        <v>260214.65853658537</v>
      </c>
      <c r="F110" s="523">
        <f t="shared" si="22"/>
        <v>7642258.044830244</v>
      </c>
      <c r="G110" s="523">
        <f t="shared" si="23"/>
        <v>7772365.3740985366</v>
      </c>
      <c r="H110" s="526">
        <f t="shared" si="24"/>
        <v>1142488.7010563393</v>
      </c>
      <c r="I110" s="577">
        <f t="shared" si="25"/>
        <v>1142488.7010563393</v>
      </c>
      <c r="J110" s="514">
        <f t="shared" si="16"/>
        <v>0</v>
      </c>
      <c r="K110" s="514"/>
      <c r="L110" s="525"/>
      <c r="M110" s="514">
        <f t="shared" si="17"/>
        <v>0</v>
      </c>
      <c r="N110" s="525"/>
      <c r="O110" s="514">
        <f t="shared" si="18"/>
        <v>0</v>
      </c>
      <c r="P110" s="514">
        <f t="shared" si="19"/>
        <v>0</v>
      </c>
    </row>
    <row r="111" spans="1:16" ht="12.5">
      <c r="B111" s="195" t="str">
        <f t="shared" si="20"/>
        <v/>
      </c>
      <c r="C111" s="507">
        <f>IF(D93="","-",+C110+1)</f>
        <v>2029</v>
      </c>
      <c r="D111" s="374">
        <f>IF(F110+SUM(E$99:E110)=D$92,F110,D$92-SUM(E$99:E110))</f>
        <v>7642258.044830244</v>
      </c>
      <c r="E111" s="522">
        <f>IF(+J96&lt;F110,J96,D111)</f>
        <v>260214.65853658537</v>
      </c>
      <c r="F111" s="523">
        <f t="shared" si="22"/>
        <v>7382043.386293659</v>
      </c>
      <c r="G111" s="523">
        <f t="shared" si="23"/>
        <v>7512150.7155619515</v>
      </c>
      <c r="H111" s="526">
        <f t="shared" si="24"/>
        <v>1112950.635401957</v>
      </c>
      <c r="I111" s="577">
        <f t="shared" si="25"/>
        <v>1112950.635401957</v>
      </c>
      <c r="J111" s="514">
        <f t="shared" si="16"/>
        <v>0</v>
      </c>
      <c r="K111" s="514"/>
      <c r="L111" s="525"/>
      <c r="M111" s="514">
        <f t="shared" si="17"/>
        <v>0</v>
      </c>
      <c r="N111" s="525"/>
      <c r="O111" s="514">
        <f t="shared" si="18"/>
        <v>0</v>
      </c>
      <c r="P111" s="514">
        <f t="shared" si="19"/>
        <v>0</v>
      </c>
    </row>
    <row r="112" spans="1:16" ht="12.5">
      <c r="B112" s="195" t="str">
        <f t="shared" si="20"/>
        <v/>
      </c>
      <c r="C112" s="507">
        <f>IF(D93="","-",+C111+1)</f>
        <v>2030</v>
      </c>
      <c r="D112" s="374">
        <f>IF(F111+SUM(E$99:E111)=D$92,F111,D$92-SUM(E$99:E111))</f>
        <v>7382043.386293659</v>
      </c>
      <c r="E112" s="522">
        <f>IF(+J96&lt;F111,J96,D112)</f>
        <v>260214.65853658537</v>
      </c>
      <c r="F112" s="523">
        <f t="shared" si="22"/>
        <v>7121828.7277570739</v>
      </c>
      <c r="G112" s="523">
        <f t="shared" si="23"/>
        <v>7251936.0570253665</v>
      </c>
      <c r="H112" s="526">
        <f t="shared" si="24"/>
        <v>1083412.5697475746</v>
      </c>
      <c r="I112" s="577">
        <f t="shared" si="25"/>
        <v>1083412.5697475746</v>
      </c>
      <c r="J112" s="514">
        <f t="shared" si="16"/>
        <v>0</v>
      </c>
      <c r="K112" s="514"/>
      <c r="L112" s="525"/>
      <c r="M112" s="514">
        <f t="shared" si="17"/>
        <v>0</v>
      </c>
      <c r="N112" s="525"/>
      <c r="O112" s="514">
        <f t="shared" si="18"/>
        <v>0</v>
      </c>
      <c r="P112" s="514">
        <f t="shared" si="19"/>
        <v>0</v>
      </c>
    </row>
    <row r="113" spans="2:16" ht="12.5">
      <c r="B113" s="195" t="str">
        <f t="shared" si="20"/>
        <v/>
      </c>
      <c r="C113" s="507">
        <f>IF(D93="","-",+C112+1)</f>
        <v>2031</v>
      </c>
      <c r="D113" s="374">
        <f>IF(F112+SUM(E$99:E112)=D$92,F112,D$92-SUM(E$99:E112))</f>
        <v>7121828.7277570739</v>
      </c>
      <c r="E113" s="522">
        <f>IF(+J96&lt;F112,J96,D113)</f>
        <v>260214.65853658537</v>
      </c>
      <c r="F113" s="523">
        <f t="shared" si="22"/>
        <v>6861614.0692204889</v>
      </c>
      <c r="G113" s="523">
        <f t="shared" si="23"/>
        <v>6991721.3984887814</v>
      </c>
      <c r="H113" s="526">
        <f t="shared" si="24"/>
        <v>1053874.5040931923</v>
      </c>
      <c r="I113" s="577">
        <f t="shared" si="25"/>
        <v>1053874.5040931923</v>
      </c>
      <c r="J113" s="514">
        <f t="shared" si="16"/>
        <v>0</v>
      </c>
      <c r="K113" s="514"/>
      <c r="L113" s="525"/>
      <c r="M113" s="514">
        <f t="shared" si="17"/>
        <v>0</v>
      </c>
      <c r="N113" s="525"/>
      <c r="O113" s="514">
        <f t="shared" si="18"/>
        <v>0</v>
      </c>
      <c r="P113" s="514">
        <f t="shared" si="19"/>
        <v>0</v>
      </c>
    </row>
    <row r="114" spans="2:16" ht="12.5">
      <c r="B114" s="195" t="str">
        <f t="shared" si="20"/>
        <v/>
      </c>
      <c r="C114" s="507">
        <f>IF(D93="","-",+C113+1)</f>
        <v>2032</v>
      </c>
      <c r="D114" s="374">
        <f>IF(F113+SUM(E$99:E113)=D$92,F113,D$92-SUM(E$99:E113))</f>
        <v>6861614.0692204889</v>
      </c>
      <c r="E114" s="522">
        <f>IF(+J96&lt;F113,J96,D114)</f>
        <v>260214.65853658537</v>
      </c>
      <c r="F114" s="523">
        <f t="shared" si="22"/>
        <v>6601399.4106839038</v>
      </c>
      <c r="G114" s="523">
        <f t="shared" si="23"/>
        <v>6731506.7399521964</v>
      </c>
      <c r="H114" s="526">
        <f t="shared" si="24"/>
        <v>1024336.4384388102</v>
      </c>
      <c r="I114" s="577">
        <f t="shared" si="25"/>
        <v>1024336.4384388102</v>
      </c>
      <c r="J114" s="514">
        <f t="shared" si="16"/>
        <v>0</v>
      </c>
      <c r="K114" s="514"/>
      <c r="L114" s="525"/>
      <c r="M114" s="514">
        <f t="shared" si="17"/>
        <v>0</v>
      </c>
      <c r="N114" s="525"/>
      <c r="O114" s="514">
        <f t="shared" si="18"/>
        <v>0</v>
      </c>
      <c r="P114" s="514">
        <f t="shared" si="19"/>
        <v>0</v>
      </c>
    </row>
    <row r="115" spans="2:16" ht="12.5">
      <c r="B115" s="195" t="str">
        <f t="shared" si="20"/>
        <v/>
      </c>
      <c r="C115" s="507">
        <f>IF(D93="","-",+C114+1)</f>
        <v>2033</v>
      </c>
      <c r="D115" s="374">
        <f>IF(F114+SUM(E$99:E114)=D$92,F114,D$92-SUM(E$99:E114))</f>
        <v>6601399.4106839038</v>
      </c>
      <c r="E115" s="522">
        <f>IF(+J96&lt;F114,J96,D115)</f>
        <v>260214.65853658537</v>
      </c>
      <c r="F115" s="523">
        <f t="shared" si="22"/>
        <v>6341184.7521473188</v>
      </c>
      <c r="G115" s="523">
        <f t="shared" si="23"/>
        <v>6471292.0814156113</v>
      </c>
      <c r="H115" s="526">
        <f t="shared" si="24"/>
        <v>994798.37278442783</v>
      </c>
      <c r="I115" s="577">
        <f t="shared" si="25"/>
        <v>994798.37278442783</v>
      </c>
      <c r="J115" s="514">
        <f t="shared" si="16"/>
        <v>0</v>
      </c>
      <c r="K115" s="514"/>
      <c r="L115" s="525"/>
      <c r="M115" s="514">
        <f t="shared" si="17"/>
        <v>0</v>
      </c>
      <c r="N115" s="525"/>
      <c r="O115" s="514">
        <f t="shared" si="18"/>
        <v>0</v>
      </c>
      <c r="P115" s="514">
        <f t="shared" si="19"/>
        <v>0</v>
      </c>
    </row>
    <row r="116" spans="2:16" ht="12.5">
      <c r="B116" s="195" t="str">
        <f t="shared" si="20"/>
        <v/>
      </c>
      <c r="C116" s="507">
        <f>IF(D93="","-",+C115+1)</f>
        <v>2034</v>
      </c>
      <c r="D116" s="374">
        <f>IF(F115+SUM(E$99:E115)=D$92,F115,D$92-SUM(E$99:E115))</f>
        <v>6341184.7521473188</v>
      </c>
      <c r="E116" s="522">
        <f>IF(+J96&lt;F115,J96,D116)</f>
        <v>260214.65853658537</v>
      </c>
      <c r="F116" s="523">
        <f t="shared" si="22"/>
        <v>6080970.0936107337</v>
      </c>
      <c r="G116" s="523">
        <f t="shared" si="23"/>
        <v>6211077.4228790263</v>
      </c>
      <c r="H116" s="526">
        <f t="shared" si="24"/>
        <v>965260.30713004549</v>
      </c>
      <c r="I116" s="577">
        <f t="shared" si="25"/>
        <v>965260.30713004549</v>
      </c>
      <c r="J116" s="514">
        <f t="shared" si="16"/>
        <v>0</v>
      </c>
      <c r="K116" s="514"/>
      <c r="L116" s="525"/>
      <c r="M116" s="514">
        <f t="shared" si="17"/>
        <v>0</v>
      </c>
      <c r="N116" s="525"/>
      <c r="O116" s="514">
        <f t="shared" si="18"/>
        <v>0</v>
      </c>
      <c r="P116" s="514">
        <f t="shared" si="19"/>
        <v>0</v>
      </c>
    </row>
    <row r="117" spans="2:16" ht="12.5">
      <c r="B117" s="195" t="str">
        <f t="shared" si="20"/>
        <v/>
      </c>
      <c r="C117" s="507">
        <f>IF(D93="","-",+C116+1)</f>
        <v>2035</v>
      </c>
      <c r="D117" s="374">
        <f>IF(F116+SUM(E$99:E116)=D$92,F116,D$92-SUM(E$99:E116))</f>
        <v>6080970.0936107337</v>
      </c>
      <c r="E117" s="522">
        <f>IF(+J96&lt;F116,J96,D117)</f>
        <v>260214.65853658537</v>
      </c>
      <c r="F117" s="523">
        <f t="shared" si="22"/>
        <v>5820755.4350741487</v>
      </c>
      <c r="G117" s="523">
        <f t="shared" si="23"/>
        <v>5950862.7643424412</v>
      </c>
      <c r="H117" s="526">
        <f t="shared" si="24"/>
        <v>935722.24147566315</v>
      </c>
      <c r="I117" s="577">
        <f t="shared" si="25"/>
        <v>935722.24147566315</v>
      </c>
      <c r="J117" s="514">
        <f t="shared" si="16"/>
        <v>0</v>
      </c>
      <c r="K117" s="514"/>
      <c r="L117" s="525"/>
      <c r="M117" s="514">
        <f t="shared" si="17"/>
        <v>0</v>
      </c>
      <c r="N117" s="525"/>
      <c r="O117" s="514">
        <f t="shared" si="18"/>
        <v>0</v>
      </c>
      <c r="P117" s="514">
        <f t="shared" si="19"/>
        <v>0</v>
      </c>
    </row>
    <row r="118" spans="2:16" ht="12.5">
      <c r="B118" s="195" t="str">
        <f t="shared" si="20"/>
        <v/>
      </c>
      <c r="C118" s="507">
        <f>IF(D93="","-",+C117+1)</f>
        <v>2036</v>
      </c>
      <c r="D118" s="374">
        <f>IF(F117+SUM(E$99:E117)=D$92,F117,D$92-SUM(E$99:E117))</f>
        <v>5820755.4350741487</v>
      </c>
      <c r="E118" s="522">
        <f>IF(+J96&lt;F117,J96,D118)</f>
        <v>260214.65853658537</v>
      </c>
      <c r="F118" s="523">
        <f t="shared" si="22"/>
        <v>5560540.7765375637</v>
      </c>
      <c r="G118" s="523">
        <f t="shared" si="23"/>
        <v>5690648.1058058562</v>
      </c>
      <c r="H118" s="526">
        <f t="shared" si="24"/>
        <v>906184.17582128092</v>
      </c>
      <c r="I118" s="577">
        <f t="shared" si="25"/>
        <v>906184.17582128092</v>
      </c>
      <c r="J118" s="514">
        <f t="shared" si="16"/>
        <v>0</v>
      </c>
      <c r="K118" s="514"/>
      <c r="L118" s="525"/>
      <c r="M118" s="514">
        <f t="shared" si="17"/>
        <v>0</v>
      </c>
      <c r="N118" s="525"/>
      <c r="O118" s="514">
        <f t="shared" si="18"/>
        <v>0</v>
      </c>
      <c r="P118" s="514">
        <f t="shared" si="19"/>
        <v>0</v>
      </c>
    </row>
    <row r="119" spans="2:16" ht="12.5">
      <c r="B119" s="195" t="str">
        <f t="shared" si="20"/>
        <v/>
      </c>
      <c r="C119" s="507">
        <f>IF(D93="","-",+C118+1)</f>
        <v>2037</v>
      </c>
      <c r="D119" s="374">
        <f>IF(F118+SUM(E$99:E118)=D$92,F118,D$92-SUM(E$99:E118))</f>
        <v>5560540.7765375637</v>
      </c>
      <c r="E119" s="522">
        <f>IF(+J96&lt;F118,J96,D119)</f>
        <v>260214.65853658537</v>
      </c>
      <c r="F119" s="523">
        <f t="shared" si="22"/>
        <v>5300326.1180009786</v>
      </c>
      <c r="G119" s="523">
        <f t="shared" si="23"/>
        <v>5430433.4472692711</v>
      </c>
      <c r="H119" s="526">
        <f t="shared" si="24"/>
        <v>876646.11016689858</v>
      </c>
      <c r="I119" s="577">
        <f t="shared" si="25"/>
        <v>876646.11016689858</v>
      </c>
      <c r="J119" s="514">
        <f t="shared" si="16"/>
        <v>0</v>
      </c>
      <c r="K119" s="514"/>
      <c r="L119" s="525"/>
      <c r="M119" s="514">
        <f t="shared" si="17"/>
        <v>0</v>
      </c>
      <c r="N119" s="525"/>
      <c r="O119" s="514">
        <f t="shared" si="18"/>
        <v>0</v>
      </c>
      <c r="P119" s="514">
        <f t="shared" si="19"/>
        <v>0</v>
      </c>
    </row>
    <row r="120" spans="2:16" ht="12.5">
      <c r="B120" s="195" t="str">
        <f t="shared" si="20"/>
        <v/>
      </c>
      <c r="C120" s="507">
        <f>IF(D93="","-",+C119+1)</f>
        <v>2038</v>
      </c>
      <c r="D120" s="374">
        <f>IF(F119+SUM(E$99:E119)=D$92,F119,D$92-SUM(E$99:E119))</f>
        <v>5300326.1180009786</v>
      </c>
      <c r="E120" s="522">
        <f>IF(+J96&lt;F119,J96,D120)</f>
        <v>260214.65853658537</v>
      </c>
      <c r="F120" s="523">
        <f t="shared" si="22"/>
        <v>5040111.4594643936</v>
      </c>
      <c r="G120" s="523">
        <f t="shared" si="23"/>
        <v>5170218.7887326861</v>
      </c>
      <c r="H120" s="526">
        <f t="shared" si="24"/>
        <v>847108.04451251624</v>
      </c>
      <c r="I120" s="577">
        <f t="shared" si="25"/>
        <v>847108.04451251624</v>
      </c>
      <c r="J120" s="514">
        <f t="shared" si="16"/>
        <v>0</v>
      </c>
      <c r="K120" s="514"/>
      <c r="L120" s="525"/>
      <c r="M120" s="514">
        <f t="shared" si="17"/>
        <v>0</v>
      </c>
      <c r="N120" s="525"/>
      <c r="O120" s="514">
        <f t="shared" si="18"/>
        <v>0</v>
      </c>
      <c r="P120" s="514">
        <f t="shared" si="19"/>
        <v>0</v>
      </c>
    </row>
    <row r="121" spans="2:16" ht="12.5">
      <c r="B121" s="195" t="str">
        <f t="shared" si="20"/>
        <v/>
      </c>
      <c r="C121" s="507">
        <f>IF(D93="","-",+C120+1)</f>
        <v>2039</v>
      </c>
      <c r="D121" s="374">
        <f>IF(F120+SUM(E$99:E120)=D$92,F120,D$92-SUM(E$99:E120))</f>
        <v>5040111.4594643936</v>
      </c>
      <c r="E121" s="522">
        <f>IF(+J96&lt;F120,J96,D121)</f>
        <v>260214.65853658537</v>
      </c>
      <c r="F121" s="523">
        <f t="shared" si="22"/>
        <v>4779896.8009278085</v>
      </c>
      <c r="G121" s="523">
        <f t="shared" si="23"/>
        <v>4910004.130196101</v>
      </c>
      <c r="H121" s="526">
        <f t="shared" si="24"/>
        <v>817569.97885813389</v>
      </c>
      <c r="I121" s="577">
        <f t="shared" si="25"/>
        <v>817569.97885813389</v>
      </c>
      <c r="J121" s="514">
        <f t="shared" si="16"/>
        <v>0</v>
      </c>
      <c r="K121" s="514"/>
      <c r="L121" s="525"/>
      <c r="M121" s="514">
        <f t="shared" si="17"/>
        <v>0</v>
      </c>
      <c r="N121" s="525"/>
      <c r="O121" s="514">
        <f t="shared" si="18"/>
        <v>0</v>
      </c>
      <c r="P121" s="514">
        <f t="shared" si="19"/>
        <v>0</v>
      </c>
    </row>
    <row r="122" spans="2:16" ht="12.5">
      <c r="B122" s="195" t="str">
        <f t="shared" si="20"/>
        <v/>
      </c>
      <c r="C122" s="507">
        <f>IF(D93="","-",+C121+1)</f>
        <v>2040</v>
      </c>
      <c r="D122" s="374">
        <f>IF(F121+SUM(E$99:E121)=D$92,F121,D$92-SUM(E$99:E121))</f>
        <v>4779896.8009278085</v>
      </c>
      <c r="E122" s="522">
        <f>IF(+J96&lt;F121,J96,D122)</f>
        <v>260214.65853658537</v>
      </c>
      <c r="F122" s="523">
        <f t="shared" si="22"/>
        <v>4519682.1423912235</v>
      </c>
      <c r="G122" s="523">
        <f t="shared" si="23"/>
        <v>4649789.471659516</v>
      </c>
      <c r="H122" s="526">
        <f t="shared" si="24"/>
        <v>788031.91320375167</v>
      </c>
      <c r="I122" s="577">
        <f t="shared" si="25"/>
        <v>788031.91320375167</v>
      </c>
      <c r="J122" s="514">
        <f t="shared" si="16"/>
        <v>0</v>
      </c>
      <c r="K122" s="514"/>
      <c r="L122" s="525"/>
      <c r="M122" s="514">
        <f t="shared" si="17"/>
        <v>0</v>
      </c>
      <c r="N122" s="525"/>
      <c r="O122" s="514">
        <f t="shared" si="18"/>
        <v>0</v>
      </c>
      <c r="P122" s="514">
        <f t="shared" si="19"/>
        <v>0</v>
      </c>
    </row>
    <row r="123" spans="2:16" ht="12.5">
      <c r="B123" s="195" t="str">
        <f t="shared" si="20"/>
        <v/>
      </c>
      <c r="C123" s="507">
        <f>IF(D93="","-",+C122+1)</f>
        <v>2041</v>
      </c>
      <c r="D123" s="374">
        <f>IF(F122+SUM(E$99:E122)=D$92,F122,D$92-SUM(E$99:E122))</f>
        <v>4519682.1423912235</v>
      </c>
      <c r="E123" s="522">
        <f>IF(+J96&lt;F122,J96,D123)</f>
        <v>260214.65853658537</v>
      </c>
      <c r="F123" s="523">
        <f t="shared" si="22"/>
        <v>4259467.4838546384</v>
      </c>
      <c r="G123" s="523">
        <f t="shared" si="23"/>
        <v>4389574.8131229309</v>
      </c>
      <c r="H123" s="526">
        <f t="shared" si="24"/>
        <v>758493.84754936933</v>
      </c>
      <c r="I123" s="577">
        <f t="shared" si="25"/>
        <v>758493.84754936933</v>
      </c>
      <c r="J123" s="514">
        <f t="shared" si="16"/>
        <v>0</v>
      </c>
      <c r="K123" s="514"/>
      <c r="L123" s="525"/>
      <c r="M123" s="514">
        <f t="shared" si="17"/>
        <v>0</v>
      </c>
      <c r="N123" s="525"/>
      <c r="O123" s="514">
        <f t="shared" si="18"/>
        <v>0</v>
      </c>
      <c r="P123" s="514">
        <f t="shared" si="19"/>
        <v>0</v>
      </c>
    </row>
    <row r="124" spans="2:16" ht="12.5">
      <c r="B124" s="195" t="str">
        <f t="shared" si="20"/>
        <v/>
      </c>
      <c r="C124" s="507">
        <f>IF(D93="","-",+C123+1)</f>
        <v>2042</v>
      </c>
      <c r="D124" s="374">
        <f>IF(F123+SUM(E$99:E123)=D$92,F123,D$92-SUM(E$99:E123))</f>
        <v>4259467.4838546384</v>
      </c>
      <c r="E124" s="522">
        <f>IF(+J96&lt;F123,J96,D124)</f>
        <v>260214.65853658537</v>
      </c>
      <c r="F124" s="523">
        <f t="shared" si="22"/>
        <v>3999252.8253180529</v>
      </c>
      <c r="G124" s="523">
        <f t="shared" si="23"/>
        <v>4129360.1545863459</v>
      </c>
      <c r="H124" s="526">
        <f t="shared" si="24"/>
        <v>728955.78189498698</v>
      </c>
      <c r="I124" s="577">
        <f t="shared" si="25"/>
        <v>728955.78189498698</v>
      </c>
      <c r="J124" s="514">
        <f t="shared" si="16"/>
        <v>0</v>
      </c>
      <c r="K124" s="514"/>
      <c r="L124" s="525"/>
      <c r="M124" s="514">
        <f t="shared" si="17"/>
        <v>0</v>
      </c>
      <c r="N124" s="525"/>
      <c r="O124" s="514">
        <f t="shared" si="18"/>
        <v>0</v>
      </c>
      <c r="P124" s="514">
        <f t="shared" si="19"/>
        <v>0</v>
      </c>
    </row>
    <row r="125" spans="2:16" ht="12.5">
      <c r="B125" s="195" t="str">
        <f t="shared" si="20"/>
        <v/>
      </c>
      <c r="C125" s="507">
        <f>IF(D93="","-",+C124+1)</f>
        <v>2043</v>
      </c>
      <c r="D125" s="374">
        <f>IF(F124+SUM(E$99:E124)=D$92,F124,D$92-SUM(E$99:E124))</f>
        <v>3999252.8253180529</v>
      </c>
      <c r="E125" s="522">
        <f>IF(+J96&lt;F124,J96,D125)</f>
        <v>260214.65853658537</v>
      </c>
      <c r="F125" s="523">
        <f t="shared" si="22"/>
        <v>3739038.1667814674</v>
      </c>
      <c r="G125" s="523">
        <f t="shared" si="23"/>
        <v>3869145.4960497599</v>
      </c>
      <c r="H125" s="526">
        <f t="shared" si="24"/>
        <v>699417.71624060452</v>
      </c>
      <c r="I125" s="577">
        <f t="shared" si="25"/>
        <v>699417.71624060452</v>
      </c>
      <c r="J125" s="514">
        <f t="shared" si="16"/>
        <v>0</v>
      </c>
      <c r="K125" s="514"/>
      <c r="L125" s="525"/>
      <c r="M125" s="514">
        <f t="shared" si="17"/>
        <v>0</v>
      </c>
      <c r="N125" s="525"/>
      <c r="O125" s="514">
        <f t="shared" si="18"/>
        <v>0</v>
      </c>
      <c r="P125" s="514">
        <f t="shared" si="19"/>
        <v>0</v>
      </c>
    </row>
    <row r="126" spans="2:16" ht="12.5">
      <c r="B126" s="195" t="str">
        <f t="shared" si="20"/>
        <v/>
      </c>
      <c r="C126" s="507">
        <f>IF(D93="","-",+C125+1)</f>
        <v>2044</v>
      </c>
      <c r="D126" s="374">
        <f>IF(F125+SUM(E$99:E125)=D$92,F125,D$92-SUM(E$99:E125))</f>
        <v>3739038.1667814674</v>
      </c>
      <c r="E126" s="522">
        <f>IF(+J96&lt;F125,J96,D126)</f>
        <v>260214.65853658537</v>
      </c>
      <c r="F126" s="523">
        <f t="shared" si="22"/>
        <v>3478823.5082448819</v>
      </c>
      <c r="G126" s="523">
        <f t="shared" si="23"/>
        <v>3608930.8375131749</v>
      </c>
      <c r="H126" s="526">
        <f t="shared" si="24"/>
        <v>669879.6505862223</v>
      </c>
      <c r="I126" s="577">
        <f t="shared" si="25"/>
        <v>669879.6505862223</v>
      </c>
      <c r="J126" s="514">
        <f t="shared" si="16"/>
        <v>0</v>
      </c>
      <c r="K126" s="514"/>
      <c r="L126" s="525"/>
      <c r="M126" s="514">
        <f t="shared" si="17"/>
        <v>0</v>
      </c>
      <c r="N126" s="525"/>
      <c r="O126" s="514">
        <f t="shared" si="18"/>
        <v>0</v>
      </c>
      <c r="P126" s="514">
        <f t="shared" si="19"/>
        <v>0</v>
      </c>
    </row>
    <row r="127" spans="2:16" ht="12.5">
      <c r="B127" s="195" t="str">
        <f t="shared" si="20"/>
        <v/>
      </c>
      <c r="C127" s="507">
        <f>IF(D93="","-",+C126+1)</f>
        <v>2045</v>
      </c>
      <c r="D127" s="374">
        <f>IF(F126+SUM(E$99:E126)=D$92,F126,D$92-SUM(E$99:E126))</f>
        <v>3478823.5082448819</v>
      </c>
      <c r="E127" s="522">
        <f>IF(+J96&lt;F126,J96,D127)</f>
        <v>260214.65853658537</v>
      </c>
      <c r="F127" s="523">
        <f t="shared" si="22"/>
        <v>3218608.8497082964</v>
      </c>
      <c r="G127" s="523">
        <f t="shared" si="23"/>
        <v>3348716.1789765889</v>
      </c>
      <c r="H127" s="526">
        <f t="shared" si="24"/>
        <v>640341.58493183984</v>
      </c>
      <c r="I127" s="577">
        <f t="shared" si="25"/>
        <v>640341.58493183984</v>
      </c>
      <c r="J127" s="514">
        <f t="shared" si="16"/>
        <v>0</v>
      </c>
      <c r="K127" s="514"/>
      <c r="L127" s="525"/>
      <c r="M127" s="514">
        <f t="shared" si="17"/>
        <v>0</v>
      </c>
      <c r="N127" s="525"/>
      <c r="O127" s="514">
        <f t="shared" si="18"/>
        <v>0</v>
      </c>
      <c r="P127" s="514">
        <f t="shared" si="19"/>
        <v>0</v>
      </c>
    </row>
    <row r="128" spans="2:16" ht="12.5">
      <c r="B128" s="195" t="str">
        <f t="shared" si="20"/>
        <v/>
      </c>
      <c r="C128" s="507">
        <f>IF(D93="","-",+C127+1)</f>
        <v>2046</v>
      </c>
      <c r="D128" s="374">
        <f>IF(F127+SUM(E$99:E127)=D$92,F127,D$92-SUM(E$99:E127))</f>
        <v>3218608.8497082964</v>
      </c>
      <c r="E128" s="522">
        <f>IF(+J96&lt;F127,J96,D128)</f>
        <v>260214.65853658537</v>
      </c>
      <c r="F128" s="523">
        <f t="shared" si="22"/>
        <v>2958394.1911717108</v>
      </c>
      <c r="G128" s="523">
        <f t="shared" si="23"/>
        <v>3088501.5204400038</v>
      </c>
      <c r="H128" s="526">
        <f t="shared" si="24"/>
        <v>610803.5192774575</v>
      </c>
      <c r="I128" s="577">
        <f t="shared" si="25"/>
        <v>610803.5192774575</v>
      </c>
      <c r="J128" s="514">
        <f t="shared" si="16"/>
        <v>0</v>
      </c>
      <c r="K128" s="514"/>
      <c r="L128" s="525"/>
      <c r="M128" s="514">
        <f t="shared" si="17"/>
        <v>0</v>
      </c>
      <c r="N128" s="525"/>
      <c r="O128" s="514">
        <f t="shared" si="18"/>
        <v>0</v>
      </c>
      <c r="P128" s="514">
        <f t="shared" si="19"/>
        <v>0</v>
      </c>
    </row>
    <row r="129" spans="2:16" ht="12.5">
      <c r="B129" s="195" t="str">
        <f t="shared" si="20"/>
        <v/>
      </c>
      <c r="C129" s="507">
        <f>IF(D93="","-",+C128+1)</f>
        <v>2047</v>
      </c>
      <c r="D129" s="374">
        <f>IF(F128+SUM(E$99:E128)=D$92,F128,D$92-SUM(E$99:E128))</f>
        <v>2958394.1911717108</v>
      </c>
      <c r="E129" s="522">
        <f>IF(+J96&lt;F128,J96,D129)</f>
        <v>260214.65853658537</v>
      </c>
      <c r="F129" s="523">
        <f t="shared" si="22"/>
        <v>2698179.5326351253</v>
      </c>
      <c r="G129" s="523">
        <f t="shared" si="23"/>
        <v>2828286.8619034179</v>
      </c>
      <c r="H129" s="526">
        <f t="shared" si="24"/>
        <v>581265.45362307515</v>
      </c>
      <c r="I129" s="577">
        <f t="shared" si="25"/>
        <v>581265.45362307515</v>
      </c>
      <c r="J129" s="514">
        <f t="shared" si="16"/>
        <v>0</v>
      </c>
      <c r="K129" s="514"/>
      <c r="L129" s="525"/>
      <c r="M129" s="514">
        <f t="shared" si="17"/>
        <v>0</v>
      </c>
      <c r="N129" s="525"/>
      <c r="O129" s="514">
        <f t="shared" si="18"/>
        <v>0</v>
      </c>
      <c r="P129" s="514">
        <f t="shared" si="19"/>
        <v>0</v>
      </c>
    </row>
    <row r="130" spans="2:16" ht="12.5">
      <c r="B130" s="195" t="str">
        <f t="shared" si="20"/>
        <v/>
      </c>
      <c r="C130" s="507">
        <f>IF(D93="","-",+C129+1)</f>
        <v>2048</v>
      </c>
      <c r="D130" s="374">
        <f>IF(F129+SUM(E$99:E129)=D$92,F129,D$92-SUM(E$99:E129))</f>
        <v>2698179.5326351253</v>
      </c>
      <c r="E130" s="522">
        <f>IF(+J96&lt;F129,J96,D130)</f>
        <v>260214.65853658537</v>
      </c>
      <c r="F130" s="523">
        <f t="shared" si="22"/>
        <v>2437964.8740985398</v>
      </c>
      <c r="G130" s="523">
        <f t="shared" si="23"/>
        <v>2568072.2033668328</v>
      </c>
      <c r="H130" s="526">
        <f t="shared" si="24"/>
        <v>551727.38796869281</v>
      </c>
      <c r="I130" s="577">
        <f t="shared" si="25"/>
        <v>551727.38796869281</v>
      </c>
      <c r="J130" s="514">
        <f t="shared" si="16"/>
        <v>0</v>
      </c>
      <c r="K130" s="514"/>
      <c r="L130" s="525"/>
      <c r="M130" s="514">
        <f t="shared" si="17"/>
        <v>0</v>
      </c>
      <c r="N130" s="525"/>
      <c r="O130" s="514">
        <f t="shared" si="18"/>
        <v>0</v>
      </c>
      <c r="P130" s="514">
        <f t="shared" si="19"/>
        <v>0</v>
      </c>
    </row>
    <row r="131" spans="2:16" ht="12.5">
      <c r="B131" s="195" t="str">
        <f t="shared" si="20"/>
        <v/>
      </c>
      <c r="C131" s="507">
        <f>IF(D93="","-",+C130+1)</f>
        <v>2049</v>
      </c>
      <c r="D131" s="374">
        <f>IF(F130+SUM(E$99:E130)=D$92,F130,D$92-SUM(E$99:E130))</f>
        <v>2437964.8740985398</v>
      </c>
      <c r="E131" s="522">
        <f>IF(+J96&lt;F130,J96,D131)</f>
        <v>260214.65853658537</v>
      </c>
      <c r="F131" s="523">
        <f t="shared" ref="F131:F154" si="26">+D131-E131</f>
        <v>2177750.2155619543</v>
      </c>
      <c r="G131" s="523">
        <f t="shared" ref="G131:G154" si="27">+(F131+D131)/2</f>
        <v>2307857.5448302468</v>
      </c>
      <c r="H131" s="526">
        <f t="shared" si="24"/>
        <v>522189.32231431041</v>
      </c>
      <c r="I131" s="577">
        <f t="shared" si="25"/>
        <v>522189.32231431041</v>
      </c>
      <c r="J131" s="514">
        <f t="shared" ref="J131:J154" si="28">+I541-H541</f>
        <v>0</v>
      </c>
      <c r="K131" s="514"/>
      <c r="L131" s="525"/>
      <c r="M131" s="514">
        <f t="shared" ref="M131:M154" si="29">IF(L541&lt;&gt;0,+H541-L541,0)</f>
        <v>0</v>
      </c>
      <c r="N131" s="525"/>
      <c r="O131" s="514">
        <f t="shared" ref="O131:O154" si="30">IF(N541&lt;&gt;0,+I541-N541,0)</f>
        <v>0</v>
      </c>
      <c r="P131" s="514">
        <f t="shared" ref="P131:P154" si="31">+O541-M541</f>
        <v>0</v>
      </c>
    </row>
    <row r="132" spans="2:16" ht="12.5">
      <c r="B132" s="195" t="str">
        <f t="shared" si="20"/>
        <v/>
      </c>
      <c r="C132" s="507">
        <f>IF(D93="","-",+C131+1)</f>
        <v>2050</v>
      </c>
      <c r="D132" s="374">
        <f>IF(F131+SUM(E$99:E131)=D$92,F131,D$92-SUM(E$99:E131))</f>
        <v>2177750.2155619543</v>
      </c>
      <c r="E132" s="522">
        <f>IF(+J96&lt;F131,J96,D132)</f>
        <v>260214.65853658537</v>
      </c>
      <c r="F132" s="523">
        <f t="shared" si="26"/>
        <v>1917535.557025369</v>
      </c>
      <c r="G132" s="523">
        <f t="shared" si="27"/>
        <v>2047642.8862936618</v>
      </c>
      <c r="H132" s="526">
        <f t="shared" si="24"/>
        <v>492651.25665992813</v>
      </c>
      <c r="I132" s="577">
        <f t="shared" si="25"/>
        <v>492651.25665992813</v>
      </c>
      <c r="J132" s="514">
        <f t="shared" si="28"/>
        <v>0</v>
      </c>
      <c r="K132" s="514"/>
      <c r="L132" s="525"/>
      <c r="M132" s="514">
        <f t="shared" si="29"/>
        <v>0</v>
      </c>
      <c r="N132" s="525"/>
      <c r="O132" s="514">
        <f t="shared" si="30"/>
        <v>0</v>
      </c>
      <c r="P132" s="514">
        <f t="shared" si="31"/>
        <v>0</v>
      </c>
    </row>
    <row r="133" spans="2:16" ht="12.5">
      <c r="B133" s="195" t="str">
        <f t="shared" si="20"/>
        <v/>
      </c>
      <c r="C133" s="507">
        <f>IF(D93="","-",+C132+1)</f>
        <v>2051</v>
      </c>
      <c r="D133" s="374">
        <f>IF(F132+SUM(E$99:E132)=D$92,F132,D$92-SUM(E$99:E132))</f>
        <v>1917535.557025369</v>
      </c>
      <c r="E133" s="522">
        <f>IF(+J96&lt;F132,J96,D133)</f>
        <v>260214.65853658537</v>
      </c>
      <c r="F133" s="523">
        <f t="shared" si="26"/>
        <v>1657320.8984887837</v>
      </c>
      <c r="G133" s="523">
        <f t="shared" si="27"/>
        <v>1787428.2277570763</v>
      </c>
      <c r="H133" s="526">
        <f t="shared" si="24"/>
        <v>463113.19100554573</v>
      </c>
      <c r="I133" s="577">
        <f t="shared" si="25"/>
        <v>463113.19100554573</v>
      </c>
      <c r="J133" s="514">
        <f t="shared" si="28"/>
        <v>0</v>
      </c>
      <c r="K133" s="514"/>
      <c r="L133" s="525"/>
      <c r="M133" s="514">
        <f t="shared" si="29"/>
        <v>0</v>
      </c>
      <c r="N133" s="525"/>
      <c r="O133" s="514">
        <f t="shared" si="30"/>
        <v>0</v>
      </c>
      <c r="P133" s="514">
        <f t="shared" si="31"/>
        <v>0</v>
      </c>
    </row>
    <row r="134" spans="2:16" ht="12.5">
      <c r="B134" s="195" t="str">
        <f t="shared" si="20"/>
        <v/>
      </c>
      <c r="C134" s="507">
        <f>IF(D93="","-",+C133+1)</f>
        <v>2052</v>
      </c>
      <c r="D134" s="374">
        <f>IF(F133+SUM(E$99:E133)=D$92,F133,D$92-SUM(E$99:E133))</f>
        <v>1657320.8984887837</v>
      </c>
      <c r="E134" s="522">
        <f>IF(+J96&lt;F133,J96,D134)</f>
        <v>260214.65853658537</v>
      </c>
      <c r="F134" s="523">
        <f t="shared" si="26"/>
        <v>1397106.2399521985</v>
      </c>
      <c r="G134" s="523">
        <f t="shared" si="27"/>
        <v>1527213.5692204912</v>
      </c>
      <c r="H134" s="526">
        <f t="shared" si="24"/>
        <v>433575.12535116344</v>
      </c>
      <c r="I134" s="577">
        <f t="shared" si="25"/>
        <v>433575.12535116344</v>
      </c>
      <c r="J134" s="514">
        <f t="shared" si="28"/>
        <v>0</v>
      </c>
      <c r="K134" s="514"/>
      <c r="L134" s="525"/>
      <c r="M134" s="514">
        <f t="shared" si="29"/>
        <v>0</v>
      </c>
      <c r="N134" s="525"/>
      <c r="O134" s="514">
        <f t="shared" si="30"/>
        <v>0</v>
      </c>
      <c r="P134" s="514">
        <f t="shared" si="31"/>
        <v>0</v>
      </c>
    </row>
    <row r="135" spans="2:16" ht="12.5">
      <c r="B135" s="195" t="str">
        <f t="shared" si="20"/>
        <v/>
      </c>
      <c r="C135" s="507">
        <f>IF(D93="","-",+C134+1)</f>
        <v>2053</v>
      </c>
      <c r="D135" s="374">
        <f>IF(F134+SUM(E$99:E134)=D$92,F134,D$92-SUM(E$99:E134))</f>
        <v>1397106.2399521985</v>
      </c>
      <c r="E135" s="522">
        <f>IF(+J96&lt;F134,J96,D135)</f>
        <v>260214.65853658537</v>
      </c>
      <c r="F135" s="523">
        <f t="shared" si="26"/>
        <v>1136891.5814156132</v>
      </c>
      <c r="G135" s="523">
        <f t="shared" si="27"/>
        <v>1266998.9106839057</v>
      </c>
      <c r="H135" s="526">
        <f t="shared" si="24"/>
        <v>404037.0596967811</v>
      </c>
      <c r="I135" s="577">
        <f t="shared" si="25"/>
        <v>404037.0596967811</v>
      </c>
      <c r="J135" s="514">
        <f t="shared" si="28"/>
        <v>0</v>
      </c>
      <c r="K135" s="514"/>
      <c r="L135" s="525"/>
      <c r="M135" s="514">
        <f t="shared" si="29"/>
        <v>0</v>
      </c>
      <c r="N135" s="525"/>
      <c r="O135" s="514">
        <f t="shared" si="30"/>
        <v>0</v>
      </c>
      <c r="P135" s="514">
        <f t="shared" si="31"/>
        <v>0</v>
      </c>
    </row>
    <row r="136" spans="2:16" ht="12.5">
      <c r="B136" s="195" t="str">
        <f t="shared" si="20"/>
        <v/>
      </c>
      <c r="C136" s="507">
        <f>IF(D93="","-",+C135+1)</f>
        <v>2054</v>
      </c>
      <c r="D136" s="374">
        <f>IF(F135+SUM(E$99:E135)=D$92,F135,D$92-SUM(E$99:E135))</f>
        <v>1136891.5814156132</v>
      </c>
      <c r="E136" s="522">
        <f>IF(+J96&lt;F135,J96,D136)</f>
        <v>260214.65853658537</v>
      </c>
      <c r="F136" s="523">
        <f t="shared" si="26"/>
        <v>876676.92287902778</v>
      </c>
      <c r="G136" s="523">
        <f t="shared" si="27"/>
        <v>1006784.2521473204</v>
      </c>
      <c r="H136" s="526">
        <f t="shared" si="24"/>
        <v>374498.99404239876</v>
      </c>
      <c r="I136" s="577">
        <f t="shared" si="25"/>
        <v>374498.99404239876</v>
      </c>
      <c r="J136" s="514">
        <f t="shared" si="28"/>
        <v>0</v>
      </c>
      <c r="K136" s="514"/>
      <c r="L136" s="525"/>
      <c r="M136" s="514">
        <f t="shared" si="29"/>
        <v>0</v>
      </c>
      <c r="N136" s="525"/>
      <c r="O136" s="514">
        <f t="shared" si="30"/>
        <v>0</v>
      </c>
      <c r="P136" s="514">
        <f t="shared" si="31"/>
        <v>0</v>
      </c>
    </row>
    <row r="137" spans="2:16" ht="12.5">
      <c r="B137" s="195" t="str">
        <f t="shared" si="20"/>
        <v/>
      </c>
      <c r="C137" s="507">
        <f>IF(D93="","-",+C136+1)</f>
        <v>2055</v>
      </c>
      <c r="D137" s="374">
        <f>IF(F136+SUM(E$99:E136)=D$92,F136,D$92-SUM(E$99:E136))</f>
        <v>876676.92287902778</v>
      </c>
      <c r="E137" s="522">
        <f>IF(+J96&lt;F136,J96,D137)</f>
        <v>260214.65853658537</v>
      </c>
      <c r="F137" s="523">
        <f t="shared" si="26"/>
        <v>616462.26434244239</v>
      </c>
      <c r="G137" s="523">
        <f t="shared" si="27"/>
        <v>746569.59361073514</v>
      </c>
      <c r="H137" s="526">
        <f t="shared" si="24"/>
        <v>344960.92838801641</v>
      </c>
      <c r="I137" s="577">
        <f t="shared" si="25"/>
        <v>344960.92838801641</v>
      </c>
      <c r="J137" s="514">
        <f t="shared" si="28"/>
        <v>0</v>
      </c>
      <c r="K137" s="514"/>
      <c r="L137" s="525"/>
      <c r="M137" s="514">
        <f t="shared" si="29"/>
        <v>0</v>
      </c>
      <c r="N137" s="525"/>
      <c r="O137" s="514">
        <f t="shared" si="30"/>
        <v>0</v>
      </c>
      <c r="P137" s="514">
        <f t="shared" si="31"/>
        <v>0</v>
      </c>
    </row>
    <row r="138" spans="2:16" ht="12.5">
      <c r="B138" s="195" t="str">
        <f t="shared" si="20"/>
        <v/>
      </c>
      <c r="C138" s="507">
        <f>IF(D93="","-",+C137+1)</f>
        <v>2056</v>
      </c>
      <c r="D138" s="374">
        <f>IF(F137+SUM(E$99:E137)=D$92,F137,D$92-SUM(E$99:E137))</f>
        <v>616462.26434244239</v>
      </c>
      <c r="E138" s="522">
        <f>IF(+J96&lt;F137,J96,D138)</f>
        <v>260214.65853658537</v>
      </c>
      <c r="F138" s="523">
        <f t="shared" si="26"/>
        <v>356247.60580585699</v>
      </c>
      <c r="G138" s="523">
        <f t="shared" si="27"/>
        <v>486354.93507414969</v>
      </c>
      <c r="H138" s="526">
        <f t="shared" si="24"/>
        <v>315422.86273363401</v>
      </c>
      <c r="I138" s="577">
        <f t="shared" si="25"/>
        <v>315422.86273363401</v>
      </c>
      <c r="J138" s="514">
        <f t="shared" si="28"/>
        <v>0</v>
      </c>
      <c r="K138" s="514"/>
      <c r="L138" s="525"/>
      <c r="M138" s="514">
        <f t="shared" si="29"/>
        <v>0</v>
      </c>
      <c r="N138" s="525"/>
      <c r="O138" s="514">
        <f t="shared" si="30"/>
        <v>0</v>
      </c>
      <c r="P138" s="514">
        <f t="shared" si="31"/>
        <v>0</v>
      </c>
    </row>
    <row r="139" spans="2:16" ht="12.5">
      <c r="B139" s="195" t="str">
        <f t="shared" si="20"/>
        <v/>
      </c>
      <c r="C139" s="507">
        <f>IF(D93="","-",+C138+1)</f>
        <v>2057</v>
      </c>
      <c r="D139" s="374">
        <f>IF(F138+SUM(E$99:E138)=D$92,F138,D$92-SUM(E$99:E138))</f>
        <v>356247.60580585699</v>
      </c>
      <c r="E139" s="522">
        <f>IF(+J96&lt;F138,J96,D139)</f>
        <v>260214.65853658537</v>
      </c>
      <c r="F139" s="523">
        <f t="shared" si="26"/>
        <v>96032.947269271623</v>
      </c>
      <c r="G139" s="523">
        <f t="shared" si="27"/>
        <v>226140.27653756429</v>
      </c>
      <c r="H139" s="526">
        <f t="shared" si="24"/>
        <v>285884.79707925167</v>
      </c>
      <c r="I139" s="577">
        <f t="shared" si="25"/>
        <v>285884.79707925167</v>
      </c>
      <c r="J139" s="514">
        <f t="shared" si="28"/>
        <v>0</v>
      </c>
      <c r="K139" s="514"/>
      <c r="L139" s="525"/>
      <c r="M139" s="514">
        <f t="shared" si="29"/>
        <v>0</v>
      </c>
      <c r="N139" s="525"/>
      <c r="O139" s="514">
        <f t="shared" si="30"/>
        <v>0</v>
      </c>
      <c r="P139" s="514">
        <f t="shared" si="31"/>
        <v>0</v>
      </c>
    </row>
    <row r="140" spans="2:16" ht="12.5">
      <c r="B140" s="195" t="str">
        <f t="shared" si="20"/>
        <v/>
      </c>
      <c r="C140" s="507">
        <f>IF(D93="","-",+C139+1)</f>
        <v>2058</v>
      </c>
      <c r="D140" s="374">
        <f>IF(F139+SUM(E$99:E139)=D$92,F139,D$92-SUM(E$99:E139))</f>
        <v>96032.947269271623</v>
      </c>
      <c r="E140" s="522">
        <f>IF(+J96&lt;F139,J96,D140)</f>
        <v>96032.947269271623</v>
      </c>
      <c r="F140" s="523">
        <f t="shared" si="26"/>
        <v>0</v>
      </c>
      <c r="G140" s="523">
        <f t="shared" si="27"/>
        <v>48016.473634635811</v>
      </c>
      <c r="H140" s="526">
        <f t="shared" si="24"/>
        <v>101483.50012700919</v>
      </c>
      <c r="I140" s="577">
        <f t="shared" si="25"/>
        <v>101483.50012700919</v>
      </c>
      <c r="J140" s="514">
        <f t="shared" si="28"/>
        <v>0</v>
      </c>
      <c r="K140" s="514"/>
      <c r="L140" s="525"/>
      <c r="M140" s="514">
        <f t="shared" si="29"/>
        <v>0</v>
      </c>
      <c r="N140" s="525"/>
      <c r="O140" s="514">
        <f t="shared" si="30"/>
        <v>0</v>
      </c>
      <c r="P140" s="514">
        <f t="shared" si="31"/>
        <v>0</v>
      </c>
    </row>
    <row r="141" spans="2:16" ht="12.5">
      <c r="B141" s="195" t="str">
        <f t="shared" si="20"/>
        <v/>
      </c>
      <c r="C141" s="507">
        <f>IF(D93="","-",+C140+1)</f>
        <v>2059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26"/>
        <v>0</v>
      </c>
      <c r="G141" s="523">
        <f t="shared" si="27"/>
        <v>0</v>
      </c>
      <c r="H141" s="526">
        <f t="shared" si="24"/>
        <v>0</v>
      </c>
      <c r="I141" s="577">
        <f t="shared" si="25"/>
        <v>0</v>
      </c>
      <c r="J141" s="514">
        <f t="shared" si="28"/>
        <v>0</v>
      </c>
      <c r="K141" s="514"/>
      <c r="L141" s="525"/>
      <c r="M141" s="514">
        <f t="shared" si="29"/>
        <v>0</v>
      </c>
      <c r="N141" s="525"/>
      <c r="O141" s="514">
        <f t="shared" si="30"/>
        <v>0</v>
      </c>
      <c r="P141" s="514">
        <f t="shared" si="31"/>
        <v>0</v>
      </c>
    </row>
    <row r="142" spans="2:16" ht="12.5">
      <c r="B142" s="195" t="str">
        <f t="shared" si="20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26"/>
        <v>0</v>
      </c>
      <c r="G142" s="523">
        <f t="shared" si="27"/>
        <v>0</v>
      </c>
      <c r="H142" s="526">
        <f t="shared" si="24"/>
        <v>0</v>
      </c>
      <c r="I142" s="577">
        <f t="shared" si="25"/>
        <v>0</v>
      </c>
      <c r="J142" s="514">
        <f t="shared" si="28"/>
        <v>0</v>
      </c>
      <c r="K142" s="514"/>
      <c r="L142" s="525"/>
      <c r="M142" s="514">
        <f t="shared" si="29"/>
        <v>0</v>
      </c>
      <c r="N142" s="525"/>
      <c r="O142" s="514">
        <f t="shared" si="30"/>
        <v>0</v>
      </c>
      <c r="P142" s="514">
        <f t="shared" si="31"/>
        <v>0</v>
      </c>
    </row>
    <row r="143" spans="2:16" ht="12.5">
      <c r="B143" s="195" t="str">
        <f t="shared" si="20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26"/>
        <v>0</v>
      </c>
      <c r="G143" s="523">
        <f t="shared" si="27"/>
        <v>0</v>
      </c>
      <c r="H143" s="526">
        <f t="shared" si="24"/>
        <v>0</v>
      </c>
      <c r="I143" s="577">
        <f t="shared" si="25"/>
        <v>0</v>
      </c>
      <c r="J143" s="514">
        <f t="shared" si="28"/>
        <v>0</v>
      </c>
      <c r="K143" s="514"/>
      <c r="L143" s="525"/>
      <c r="M143" s="514">
        <f t="shared" si="29"/>
        <v>0</v>
      </c>
      <c r="N143" s="525"/>
      <c r="O143" s="514">
        <f t="shared" si="30"/>
        <v>0</v>
      </c>
      <c r="P143" s="514">
        <f t="shared" si="31"/>
        <v>0</v>
      </c>
    </row>
    <row r="144" spans="2:16" ht="12.5">
      <c r="B144" s="195" t="str">
        <f t="shared" si="20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26"/>
        <v>0</v>
      </c>
      <c r="G144" s="523">
        <f t="shared" si="27"/>
        <v>0</v>
      </c>
      <c r="H144" s="526">
        <f t="shared" si="24"/>
        <v>0</v>
      </c>
      <c r="I144" s="577">
        <f t="shared" si="25"/>
        <v>0</v>
      </c>
      <c r="J144" s="514">
        <f t="shared" si="28"/>
        <v>0</v>
      </c>
      <c r="K144" s="514"/>
      <c r="L144" s="525"/>
      <c r="M144" s="514">
        <f t="shared" si="29"/>
        <v>0</v>
      </c>
      <c r="N144" s="525"/>
      <c r="O144" s="514">
        <f t="shared" si="30"/>
        <v>0</v>
      </c>
      <c r="P144" s="514">
        <f t="shared" si="31"/>
        <v>0</v>
      </c>
    </row>
    <row r="145" spans="2:16" ht="12.5">
      <c r="B145" s="195" t="str">
        <f t="shared" si="20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26"/>
        <v>0</v>
      </c>
      <c r="G145" s="523">
        <f t="shared" si="27"/>
        <v>0</v>
      </c>
      <c r="H145" s="526">
        <f t="shared" si="24"/>
        <v>0</v>
      </c>
      <c r="I145" s="577">
        <f t="shared" si="25"/>
        <v>0</v>
      </c>
      <c r="J145" s="514">
        <f t="shared" si="28"/>
        <v>0</v>
      </c>
      <c r="K145" s="514"/>
      <c r="L145" s="525"/>
      <c r="M145" s="514">
        <f t="shared" si="29"/>
        <v>0</v>
      </c>
      <c r="N145" s="525"/>
      <c r="O145" s="514">
        <f t="shared" si="30"/>
        <v>0</v>
      </c>
      <c r="P145" s="514">
        <f t="shared" si="31"/>
        <v>0</v>
      </c>
    </row>
    <row r="146" spans="2:16" ht="12.5">
      <c r="B146" s="195" t="str">
        <f t="shared" si="20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26"/>
        <v>0</v>
      </c>
      <c r="G146" s="523">
        <f t="shared" si="27"/>
        <v>0</v>
      </c>
      <c r="H146" s="526">
        <f t="shared" si="24"/>
        <v>0</v>
      </c>
      <c r="I146" s="577">
        <f t="shared" si="25"/>
        <v>0</v>
      </c>
      <c r="J146" s="514">
        <f t="shared" si="28"/>
        <v>0</v>
      </c>
      <c r="K146" s="514"/>
      <c r="L146" s="525"/>
      <c r="M146" s="514">
        <f t="shared" si="29"/>
        <v>0</v>
      </c>
      <c r="N146" s="525"/>
      <c r="O146" s="514">
        <f t="shared" si="30"/>
        <v>0</v>
      </c>
      <c r="P146" s="514">
        <f t="shared" si="31"/>
        <v>0</v>
      </c>
    </row>
    <row r="147" spans="2:16" ht="12.5">
      <c r="B147" s="195" t="str">
        <f t="shared" si="20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26"/>
        <v>0</v>
      </c>
      <c r="G147" s="523">
        <f t="shared" si="27"/>
        <v>0</v>
      </c>
      <c r="H147" s="526">
        <f t="shared" si="24"/>
        <v>0</v>
      </c>
      <c r="I147" s="577">
        <f t="shared" si="25"/>
        <v>0</v>
      </c>
      <c r="J147" s="514">
        <f t="shared" si="28"/>
        <v>0</v>
      </c>
      <c r="K147" s="514"/>
      <c r="L147" s="525"/>
      <c r="M147" s="514">
        <f t="shared" si="29"/>
        <v>0</v>
      </c>
      <c r="N147" s="525"/>
      <c r="O147" s="514">
        <f t="shared" si="30"/>
        <v>0</v>
      </c>
      <c r="P147" s="514">
        <f t="shared" si="31"/>
        <v>0</v>
      </c>
    </row>
    <row r="148" spans="2:16" ht="12.5">
      <c r="B148" s="195" t="str">
        <f t="shared" si="20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26"/>
        <v>0</v>
      </c>
      <c r="G148" s="523">
        <f t="shared" si="27"/>
        <v>0</v>
      </c>
      <c r="H148" s="526">
        <f t="shared" si="24"/>
        <v>0</v>
      </c>
      <c r="I148" s="577">
        <f t="shared" si="25"/>
        <v>0</v>
      </c>
      <c r="J148" s="514">
        <f t="shared" si="28"/>
        <v>0</v>
      </c>
      <c r="K148" s="514"/>
      <c r="L148" s="525"/>
      <c r="M148" s="514">
        <f t="shared" si="29"/>
        <v>0</v>
      </c>
      <c r="N148" s="525"/>
      <c r="O148" s="514">
        <f t="shared" si="30"/>
        <v>0</v>
      </c>
      <c r="P148" s="514">
        <f t="shared" si="31"/>
        <v>0</v>
      </c>
    </row>
    <row r="149" spans="2:16" ht="12.5">
      <c r="B149" s="195" t="str">
        <f t="shared" si="20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26"/>
        <v>0</v>
      </c>
      <c r="G149" s="523">
        <f t="shared" si="27"/>
        <v>0</v>
      </c>
      <c r="H149" s="526">
        <f t="shared" si="24"/>
        <v>0</v>
      </c>
      <c r="I149" s="577">
        <f t="shared" si="25"/>
        <v>0</v>
      </c>
      <c r="J149" s="514">
        <f t="shared" si="28"/>
        <v>0</v>
      </c>
      <c r="K149" s="514"/>
      <c r="L149" s="525"/>
      <c r="M149" s="514">
        <f t="shared" si="29"/>
        <v>0</v>
      </c>
      <c r="N149" s="525"/>
      <c r="O149" s="514">
        <f t="shared" si="30"/>
        <v>0</v>
      </c>
      <c r="P149" s="514">
        <f t="shared" si="31"/>
        <v>0</v>
      </c>
    </row>
    <row r="150" spans="2:16" ht="12.5">
      <c r="B150" s="195" t="str">
        <f t="shared" si="20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26"/>
        <v>0</v>
      </c>
      <c r="G150" s="523">
        <f t="shared" si="27"/>
        <v>0</v>
      </c>
      <c r="H150" s="526">
        <f t="shared" si="24"/>
        <v>0</v>
      </c>
      <c r="I150" s="577">
        <f t="shared" si="25"/>
        <v>0</v>
      </c>
      <c r="J150" s="514">
        <f t="shared" si="28"/>
        <v>0</v>
      </c>
      <c r="K150" s="514"/>
      <c r="L150" s="525"/>
      <c r="M150" s="514">
        <f t="shared" si="29"/>
        <v>0</v>
      </c>
      <c r="N150" s="525"/>
      <c r="O150" s="514">
        <f t="shared" si="30"/>
        <v>0</v>
      </c>
      <c r="P150" s="514">
        <f t="shared" si="31"/>
        <v>0</v>
      </c>
    </row>
    <row r="151" spans="2:16" ht="12.5">
      <c r="B151" s="195" t="str">
        <f t="shared" si="20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26"/>
        <v>0</v>
      </c>
      <c r="G151" s="523">
        <f t="shared" si="27"/>
        <v>0</v>
      </c>
      <c r="H151" s="526">
        <f t="shared" si="24"/>
        <v>0</v>
      </c>
      <c r="I151" s="577">
        <f t="shared" si="25"/>
        <v>0</v>
      </c>
      <c r="J151" s="514">
        <f t="shared" si="28"/>
        <v>0</v>
      </c>
      <c r="K151" s="514"/>
      <c r="L151" s="525"/>
      <c r="M151" s="514">
        <f t="shared" si="29"/>
        <v>0</v>
      </c>
      <c r="N151" s="525"/>
      <c r="O151" s="514">
        <f t="shared" si="30"/>
        <v>0</v>
      </c>
      <c r="P151" s="514">
        <f t="shared" si="31"/>
        <v>0</v>
      </c>
    </row>
    <row r="152" spans="2:16" ht="12.5">
      <c r="B152" s="195" t="str">
        <f t="shared" si="20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26"/>
        <v>0</v>
      </c>
      <c r="G152" s="523">
        <f t="shared" si="27"/>
        <v>0</v>
      </c>
      <c r="H152" s="526">
        <f t="shared" si="24"/>
        <v>0</v>
      </c>
      <c r="I152" s="577">
        <f t="shared" si="25"/>
        <v>0</v>
      </c>
      <c r="J152" s="514">
        <f t="shared" si="28"/>
        <v>0</v>
      </c>
      <c r="K152" s="514"/>
      <c r="L152" s="525"/>
      <c r="M152" s="514">
        <f t="shared" si="29"/>
        <v>0</v>
      </c>
      <c r="N152" s="525"/>
      <c r="O152" s="514">
        <f t="shared" si="30"/>
        <v>0</v>
      </c>
      <c r="P152" s="514">
        <f t="shared" si="31"/>
        <v>0</v>
      </c>
    </row>
    <row r="153" spans="2:16" ht="12.5">
      <c r="B153" s="195" t="str">
        <f t="shared" si="20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26"/>
        <v>0</v>
      </c>
      <c r="G153" s="523">
        <f t="shared" si="27"/>
        <v>0</v>
      </c>
      <c r="H153" s="526">
        <f t="shared" si="24"/>
        <v>0</v>
      </c>
      <c r="I153" s="577">
        <f t="shared" si="25"/>
        <v>0</v>
      </c>
      <c r="J153" s="514">
        <f t="shared" si="28"/>
        <v>0</v>
      </c>
      <c r="K153" s="514"/>
      <c r="L153" s="525"/>
      <c r="M153" s="514">
        <f t="shared" si="29"/>
        <v>0</v>
      </c>
      <c r="N153" s="525"/>
      <c r="O153" s="514">
        <f t="shared" si="30"/>
        <v>0</v>
      </c>
      <c r="P153" s="514">
        <f t="shared" si="31"/>
        <v>0</v>
      </c>
    </row>
    <row r="154" spans="2:16" ht="13" thickBot="1">
      <c r="B154" s="195" t="str">
        <f t="shared" si="20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26"/>
        <v>0</v>
      </c>
      <c r="G154" s="528">
        <f t="shared" si="27"/>
        <v>0</v>
      </c>
      <c r="H154" s="530">
        <f t="shared" si="24"/>
        <v>0</v>
      </c>
      <c r="I154" s="579">
        <f t="shared" si="25"/>
        <v>0</v>
      </c>
      <c r="J154" s="533">
        <f t="shared" si="28"/>
        <v>0</v>
      </c>
      <c r="K154" s="514"/>
      <c r="L154" s="532"/>
      <c r="M154" s="533">
        <f t="shared" si="29"/>
        <v>0</v>
      </c>
      <c r="N154" s="532"/>
      <c r="O154" s="533">
        <f t="shared" si="30"/>
        <v>0</v>
      </c>
      <c r="P154" s="533">
        <f t="shared" si="31"/>
        <v>0</v>
      </c>
    </row>
    <row r="155" spans="2:16" ht="12.5">
      <c r="C155" s="374" t="s">
        <v>78</v>
      </c>
      <c r="D155" s="375"/>
      <c r="E155" s="375">
        <f>SUM(E99:E154)</f>
        <v>10668801</v>
      </c>
      <c r="F155" s="375"/>
      <c r="G155" s="375"/>
      <c r="H155" s="375">
        <f>SUM(H99:H154)</f>
        <v>35161077.459665194</v>
      </c>
      <c r="I155" s="375">
        <f>SUM(I99:I154)</f>
        <v>35161077.459665194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8:C72">
    <cfRule type="cellIs" dxfId="18" priority="2" stopIfTrue="1" operator="equal">
      <formula>$I$10</formula>
    </cfRule>
  </conditionalFormatting>
  <conditionalFormatting sqref="C99:C154">
    <cfRule type="cellIs" dxfId="17" priority="3" stopIfTrue="1" operator="equal">
      <formula>$J$92</formula>
    </cfRule>
  </conditionalFormatting>
  <conditionalFormatting sqref="C17">
    <cfRule type="cellIs" dxfId="16" priority="1" stopIfTrue="1" operator="equal">
      <formula>$I$10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P162"/>
  <sheetViews>
    <sheetView zoomScale="80" zoomScaleNormal="80" workbookViewId="0"/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68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1511354.4294618871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1511354.4294618871</v>
      </c>
      <c r="O6" s="269"/>
      <c r="P6" s="269"/>
    </row>
    <row r="7" spans="1:16" ht="13.5" thickBot="1">
      <c r="C7" s="467" t="s">
        <v>48</v>
      </c>
      <c r="D7" s="624" t="s">
        <v>421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419</v>
      </c>
      <c r="E9" s="637" t="s">
        <v>420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11171456.220000001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265987.05285714287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2018</v>
      </c>
      <c r="D17" s="631">
        <v>0</v>
      </c>
      <c r="E17" s="630">
        <v>138449.18699186991</v>
      </c>
      <c r="F17" s="631">
        <v>9592550.8130081296</v>
      </c>
      <c r="G17" s="630">
        <v>748027.48799327505</v>
      </c>
      <c r="H17" s="639">
        <v>748027.48799327505</v>
      </c>
      <c r="I17" s="511">
        <f t="shared" ref="I17:I72" si="0">H17-G17</f>
        <v>0</v>
      </c>
      <c r="J17" s="511"/>
      <c r="K17" s="512">
        <f>+G17</f>
        <v>748027.48799327505</v>
      </c>
      <c r="L17" s="513">
        <f t="shared" ref="L17:L72" si="1">IF(K17&lt;&gt;0,+G17-K17,0)</f>
        <v>0</v>
      </c>
      <c r="M17" s="512">
        <f>+H17</f>
        <v>748027.48799327505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2019</v>
      </c>
      <c r="D18" s="631">
        <v>9592550.8130081296</v>
      </c>
      <c r="E18" s="630">
        <v>237341.46341463414</v>
      </c>
      <c r="F18" s="631">
        <v>9355209.349593496</v>
      </c>
      <c r="G18" s="630">
        <v>1441415.7157019456</v>
      </c>
      <c r="H18" s="639">
        <v>1441415.7157019456</v>
      </c>
      <c r="I18" s="511">
        <f t="shared" si="0"/>
        <v>0</v>
      </c>
      <c r="J18" s="511"/>
      <c r="K18" s="518">
        <f>+G18</f>
        <v>1441415.7157019456</v>
      </c>
      <c r="L18" s="519">
        <f t="shared" si="1"/>
        <v>0</v>
      </c>
      <c r="M18" s="518">
        <f>+H18</f>
        <v>1441415.7157019456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2020</v>
      </c>
      <c r="D19" s="631">
        <v>10792524.349593496</v>
      </c>
      <c r="E19" s="630">
        <v>272397.92682926828</v>
      </c>
      <c r="F19" s="631">
        <v>10520126.422764227</v>
      </c>
      <c r="G19" s="630">
        <v>1362917.8369081842</v>
      </c>
      <c r="H19" s="639">
        <v>1362917.8369081842</v>
      </c>
      <c r="I19" s="511">
        <f t="shared" si="0"/>
        <v>0</v>
      </c>
      <c r="J19" s="511"/>
      <c r="K19" s="518">
        <f>+G19</f>
        <v>1362917.8369081842</v>
      </c>
      <c r="L19" s="519">
        <f t="shared" ref="L19" si="4">IF(K19&lt;&gt;0,+G19-K19,0)</f>
        <v>0</v>
      </c>
      <c r="M19" s="518">
        <f>+H19</f>
        <v>1362917.8369081842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2021</v>
      </c>
      <c r="D20" s="631">
        <v>10534306.560597466</v>
      </c>
      <c r="E20" s="630">
        <v>265987.04761904763</v>
      </c>
      <c r="F20" s="631">
        <v>10268319.512978418</v>
      </c>
      <c r="G20" s="630">
        <v>1368573.5039296474</v>
      </c>
      <c r="H20" s="639">
        <v>1368573.5039296474</v>
      </c>
      <c r="I20" s="511">
        <f t="shared" si="0"/>
        <v>0</v>
      </c>
      <c r="J20" s="511"/>
      <c r="K20" s="518">
        <f>+G20</f>
        <v>1368573.5039296474</v>
      </c>
      <c r="L20" s="519">
        <f t="shared" ref="L20" si="6">IF(K20&lt;&gt;0,+G20-K20,0)</f>
        <v>0</v>
      </c>
      <c r="M20" s="518">
        <f>+H20</f>
        <v>1368573.5039296474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>IU</v>
      </c>
      <c r="C21" s="507">
        <f>IF(D11="","-",+C20+1)</f>
        <v>2022</v>
      </c>
      <c r="D21" s="631">
        <v>10257280.37514518</v>
      </c>
      <c r="E21" s="630">
        <v>265987.04761904763</v>
      </c>
      <c r="F21" s="631">
        <v>9991293.3275261316</v>
      </c>
      <c r="G21" s="630">
        <v>1404403.3392026301</v>
      </c>
      <c r="H21" s="639">
        <v>1404403.3392026301</v>
      </c>
      <c r="I21" s="511">
        <f t="shared" si="0"/>
        <v>0</v>
      </c>
      <c r="J21" s="511"/>
      <c r="K21" s="518">
        <f>+G21</f>
        <v>1404403.3392026301</v>
      </c>
      <c r="L21" s="519">
        <f t="shared" ref="L21" si="7">IF(K21&lt;&gt;0,+G21-K21,0)</f>
        <v>0</v>
      </c>
      <c r="M21" s="518">
        <f>+H21</f>
        <v>1404403.3392026301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2023</v>
      </c>
      <c r="D22" s="523">
        <f>IF(F21+SUM(E$17:E21)=D$10,F21,D$10-SUM(E$17:E21))</f>
        <v>9991293.5475261323</v>
      </c>
      <c r="E22" s="522">
        <f>IF(+I14&lt;F21,I14,D22)</f>
        <v>265987.05285714287</v>
      </c>
      <c r="F22" s="523">
        <f t="shared" ref="F22:F72" si="8">+D22-E22</f>
        <v>9725306.4946689904</v>
      </c>
      <c r="G22" s="524">
        <f t="shared" ref="G22:G72" si="9">+I$12*((D22+F22)/2)+E22</f>
        <v>1511354.4294618871</v>
      </c>
      <c r="H22" s="491">
        <f t="shared" ref="H22:H72" si="10">+I$13*((D22+F22)/2)+E22</f>
        <v>1511354.4294618871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2024</v>
      </c>
      <c r="D23" s="523">
        <f>IF(F22+SUM(E$17:E22)=D$10,F22,D$10-SUM(E$17:E22))</f>
        <v>9725306.4946689904</v>
      </c>
      <c r="E23" s="522">
        <f>IF(+I14&lt;F22,I14,D23)</f>
        <v>265987.05285714287</v>
      </c>
      <c r="F23" s="523">
        <f t="shared" si="8"/>
        <v>9459319.4418118484</v>
      </c>
      <c r="G23" s="524">
        <f t="shared" si="9"/>
        <v>1477753.139430277</v>
      </c>
      <c r="H23" s="491">
        <f t="shared" si="10"/>
        <v>1477753.139430277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2025</v>
      </c>
      <c r="D24" s="523">
        <f>IF(F23+SUM(E$17:E23)=D$10,F23,D$10-SUM(E$17:E23))</f>
        <v>9459319.4418118484</v>
      </c>
      <c r="E24" s="522">
        <f>IF(+I14&lt;F23,I14,D24)</f>
        <v>265987.05285714287</v>
      </c>
      <c r="F24" s="523">
        <f t="shared" si="8"/>
        <v>9193332.3889547065</v>
      </c>
      <c r="G24" s="524">
        <f t="shared" si="9"/>
        <v>1444151.849398667</v>
      </c>
      <c r="H24" s="491">
        <f t="shared" si="10"/>
        <v>1444151.849398667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2026</v>
      </c>
      <c r="D25" s="523">
        <f>IF(F24+SUM(E$17:E24)=D$10,F24,D$10-SUM(E$17:E24))</f>
        <v>9193332.3889547065</v>
      </c>
      <c r="E25" s="522">
        <f>IF(+I14&lt;F24,I14,D25)</f>
        <v>265987.05285714287</v>
      </c>
      <c r="F25" s="523">
        <f t="shared" si="8"/>
        <v>8927345.3360975645</v>
      </c>
      <c r="G25" s="524">
        <f t="shared" si="9"/>
        <v>1410550.5593670569</v>
      </c>
      <c r="H25" s="491">
        <f t="shared" si="10"/>
        <v>1410550.5593670569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2027</v>
      </c>
      <c r="D26" s="523">
        <f>IF(F25+SUM(E$17:E25)=D$10,F25,D$10-SUM(E$17:E25))</f>
        <v>8927345.3360975645</v>
      </c>
      <c r="E26" s="522">
        <f>IF(+I14&lt;F25,I14,D26)</f>
        <v>265987.05285714287</v>
      </c>
      <c r="F26" s="523">
        <f t="shared" si="8"/>
        <v>8661358.2832404226</v>
      </c>
      <c r="G26" s="524">
        <f t="shared" si="9"/>
        <v>1376949.2693354469</v>
      </c>
      <c r="H26" s="491">
        <f t="shared" si="10"/>
        <v>1376949.2693354469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2028</v>
      </c>
      <c r="D27" s="523">
        <f>IF(F26+SUM(E$17:E26)=D$10,F26,D$10-SUM(E$17:E26))</f>
        <v>8661358.2832404226</v>
      </c>
      <c r="E27" s="522">
        <f>IF(+I14&lt;F26,I14,D27)</f>
        <v>265987.05285714287</v>
      </c>
      <c r="F27" s="523">
        <f t="shared" si="8"/>
        <v>8395371.2303832807</v>
      </c>
      <c r="G27" s="524">
        <f t="shared" si="9"/>
        <v>1343347.9793038371</v>
      </c>
      <c r="H27" s="491">
        <f t="shared" si="10"/>
        <v>1343347.9793038371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2029</v>
      </c>
      <c r="D28" s="523">
        <f>IF(F27+SUM(E$17:E27)=D$10,F27,D$10-SUM(E$17:E27))</f>
        <v>8395371.2303832807</v>
      </c>
      <c r="E28" s="522">
        <f>IF(+I14&lt;F27,I14,D28)</f>
        <v>265987.05285714287</v>
      </c>
      <c r="F28" s="523">
        <f t="shared" si="8"/>
        <v>8129384.1775261378</v>
      </c>
      <c r="G28" s="524">
        <f t="shared" si="9"/>
        <v>1309746.689272227</v>
      </c>
      <c r="H28" s="491">
        <f t="shared" si="10"/>
        <v>1309746.689272227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2030</v>
      </c>
      <c r="D29" s="523">
        <f>IF(F28+SUM(E$17:E28)=D$10,F28,D$10-SUM(E$17:E28))</f>
        <v>8129384.1775261378</v>
      </c>
      <c r="E29" s="522">
        <f>IF(+I14&lt;F28,I14,D29)</f>
        <v>265987.05285714287</v>
      </c>
      <c r="F29" s="523">
        <f t="shared" si="8"/>
        <v>7863397.1246689949</v>
      </c>
      <c r="G29" s="524">
        <f t="shared" si="9"/>
        <v>1276145.3992406167</v>
      </c>
      <c r="H29" s="491">
        <f t="shared" si="10"/>
        <v>1276145.3992406167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2031</v>
      </c>
      <c r="D30" s="523">
        <f>IF(F29+SUM(E$17:E29)=D$10,F29,D$10-SUM(E$17:E29))</f>
        <v>7863397.1246689949</v>
      </c>
      <c r="E30" s="522">
        <f>IF(+I14&lt;F29,I14,D30)</f>
        <v>265987.05285714287</v>
      </c>
      <c r="F30" s="523">
        <f t="shared" si="8"/>
        <v>7597410.071811852</v>
      </c>
      <c r="G30" s="524">
        <f t="shared" si="9"/>
        <v>1242544.1092090067</v>
      </c>
      <c r="H30" s="491">
        <f t="shared" si="10"/>
        <v>1242544.1092090067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2032</v>
      </c>
      <c r="D31" s="523">
        <f>IF(F30+SUM(E$17:E30)=D$10,F30,D$10-SUM(E$17:E30))</f>
        <v>7597410.071811852</v>
      </c>
      <c r="E31" s="522">
        <f>IF(+I14&lt;F30,I14,D31)</f>
        <v>265987.05285714287</v>
      </c>
      <c r="F31" s="523">
        <f t="shared" si="8"/>
        <v>7331423.0189547092</v>
      </c>
      <c r="G31" s="524">
        <f t="shared" si="9"/>
        <v>1208942.8191773966</v>
      </c>
      <c r="H31" s="491">
        <f t="shared" si="10"/>
        <v>1208942.8191773966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2033</v>
      </c>
      <c r="D32" s="523">
        <f>IF(F31+SUM(E$17:E31)=D$10,F31,D$10-SUM(E$17:E31))</f>
        <v>7331423.0189547092</v>
      </c>
      <c r="E32" s="522">
        <f>IF(+I14&lt;F31,I14,D32)</f>
        <v>265987.05285714287</v>
      </c>
      <c r="F32" s="523">
        <f t="shared" si="8"/>
        <v>7065435.9660975663</v>
      </c>
      <c r="G32" s="524">
        <f t="shared" si="9"/>
        <v>1175341.5291457865</v>
      </c>
      <c r="H32" s="491">
        <f t="shared" si="10"/>
        <v>1175341.5291457865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2034</v>
      </c>
      <c r="D33" s="523">
        <f>IF(F32+SUM(E$17:E32)=D$10,F32,D$10-SUM(E$17:E32))</f>
        <v>7065435.9660975663</v>
      </c>
      <c r="E33" s="522">
        <f>IF(+I14&lt;F32,I14,D33)</f>
        <v>265987.05285714287</v>
      </c>
      <c r="F33" s="523">
        <f t="shared" si="8"/>
        <v>6799448.9132404234</v>
      </c>
      <c r="G33" s="524">
        <f t="shared" si="9"/>
        <v>1141740.239114176</v>
      </c>
      <c r="H33" s="491">
        <f t="shared" si="10"/>
        <v>1141740.239114176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2035</v>
      </c>
      <c r="D34" s="523">
        <f>IF(F33+SUM(E$17:E33)=D$10,F33,D$10-SUM(E$17:E33))</f>
        <v>6799448.9132404234</v>
      </c>
      <c r="E34" s="522">
        <f>IF(+I14&lt;F33,I14,D34)</f>
        <v>265987.05285714287</v>
      </c>
      <c r="F34" s="523">
        <f t="shared" si="8"/>
        <v>6533461.8603832806</v>
      </c>
      <c r="G34" s="524">
        <f t="shared" si="9"/>
        <v>1108138.9490825662</v>
      </c>
      <c r="H34" s="491">
        <f t="shared" si="10"/>
        <v>1108138.9490825662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2036</v>
      </c>
      <c r="D35" s="523">
        <f>IF(F34+SUM(E$17:E34)=D$10,F34,D$10-SUM(E$17:E34))</f>
        <v>6533461.8603832806</v>
      </c>
      <c r="E35" s="522">
        <f>IF(+I14&lt;F34,I14,D35)</f>
        <v>265987.05285714287</v>
      </c>
      <c r="F35" s="523">
        <f t="shared" si="8"/>
        <v>6267474.8075261377</v>
      </c>
      <c r="G35" s="524">
        <f t="shared" si="9"/>
        <v>1074537.6590509559</v>
      </c>
      <c r="H35" s="491">
        <f t="shared" si="10"/>
        <v>1074537.6590509559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2037</v>
      </c>
      <c r="D36" s="523">
        <f>IF(F35+SUM(E$17:E35)=D$10,F35,D$10-SUM(E$17:E35))</f>
        <v>6267474.8075261377</v>
      </c>
      <c r="E36" s="522">
        <f>IF(+I14&lt;F35,I14,D36)</f>
        <v>265987.05285714287</v>
      </c>
      <c r="F36" s="523">
        <f t="shared" si="8"/>
        <v>6001487.7546689948</v>
      </c>
      <c r="G36" s="524">
        <f t="shared" si="9"/>
        <v>1040936.3690193458</v>
      </c>
      <c r="H36" s="491">
        <f t="shared" si="10"/>
        <v>1040936.3690193458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2038</v>
      </c>
      <c r="D37" s="523">
        <f>IF(F36+SUM(E$17:E36)=D$10,F36,D$10-SUM(E$17:E36))</f>
        <v>6001487.7546689948</v>
      </c>
      <c r="E37" s="522">
        <f>IF(+I14&lt;F36,I14,D37)</f>
        <v>265987.05285714287</v>
      </c>
      <c r="F37" s="523">
        <f t="shared" si="8"/>
        <v>5735500.7018118519</v>
      </c>
      <c r="G37" s="524">
        <f t="shared" si="9"/>
        <v>1007335.0789877357</v>
      </c>
      <c r="H37" s="491">
        <f t="shared" si="10"/>
        <v>1007335.0789877357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2039</v>
      </c>
      <c r="D38" s="523">
        <f>IF(F37+SUM(E$17:E37)=D$10,F37,D$10-SUM(E$17:E37))</f>
        <v>5735500.7018118519</v>
      </c>
      <c r="E38" s="522">
        <f>IF(+I14&lt;F37,I14,D38)</f>
        <v>265987.05285714287</v>
      </c>
      <c r="F38" s="523">
        <f t="shared" si="8"/>
        <v>5469513.6489547091</v>
      </c>
      <c r="G38" s="524">
        <f t="shared" si="9"/>
        <v>973733.78895612562</v>
      </c>
      <c r="H38" s="491">
        <f t="shared" si="10"/>
        <v>973733.78895612562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2040</v>
      </c>
      <c r="D39" s="523">
        <f>IF(F38+SUM(E$17:E38)=D$10,F38,D$10-SUM(E$17:E38))</f>
        <v>5469513.6489547091</v>
      </c>
      <c r="E39" s="522">
        <f>IF(+I14&lt;F38,I14,D39)</f>
        <v>265987.05285714287</v>
      </c>
      <c r="F39" s="523">
        <f t="shared" si="8"/>
        <v>5203526.5960975662</v>
      </c>
      <c r="G39" s="524">
        <f t="shared" si="9"/>
        <v>940132.49892451533</v>
      </c>
      <c r="H39" s="491">
        <f t="shared" si="10"/>
        <v>940132.49892451533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2041</v>
      </c>
      <c r="D40" s="523">
        <f>IF(F39+SUM(E$17:E39)=D$10,F39,D$10-SUM(E$17:E39))</f>
        <v>5203526.5960975662</v>
      </c>
      <c r="E40" s="522">
        <f>IF(+I14&lt;F39,I14,D40)</f>
        <v>265987.05285714287</v>
      </c>
      <c r="F40" s="523">
        <f t="shared" si="8"/>
        <v>4937539.5432404233</v>
      </c>
      <c r="G40" s="524">
        <f t="shared" si="9"/>
        <v>906531.20889290539</v>
      </c>
      <c r="H40" s="491">
        <f t="shared" si="10"/>
        <v>906531.20889290539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2042</v>
      </c>
      <c r="D41" s="523">
        <f>IF(F40+SUM(E$17:E40)=D$10,F40,D$10-SUM(E$17:E40))</f>
        <v>4937539.5432404233</v>
      </c>
      <c r="E41" s="522">
        <f>IF(+I14&lt;F40,I14,D41)</f>
        <v>265987.05285714287</v>
      </c>
      <c r="F41" s="523">
        <f t="shared" si="8"/>
        <v>4671552.4903832804</v>
      </c>
      <c r="G41" s="524">
        <f t="shared" si="9"/>
        <v>872929.9188612951</v>
      </c>
      <c r="H41" s="491">
        <f t="shared" si="10"/>
        <v>872929.9188612951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2043</v>
      </c>
      <c r="D42" s="523">
        <f>IF(F41+SUM(E$17:E41)=D$10,F41,D$10-SUM(E$17:E41))</f>
        <v>4671552.4903832804</v>
      </c>
      <c r="E42" s="522">
        <f>IF(+I14&lt;F41,I14,D42)</f>
        <v>265987.05285714287</v>
      </c>
      <c r="F42" s="523">
        <f t="shared" si="8"/>
        <v>4405565.4375261376</v>
      </c>
      <c r="G42" s="524">
        <f t="shared" si="9"/>
        <v>839328.62882968516</v>
      </c>
      <c r="H42" s="491">
        <f t="shared" si="10"/>
        <v>839328.62882968516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2044</v>
      </c>
      <c r="D43" s="523">
        <f>IF(F42+SUM(E$17:E42)=D$10,F42,D$10-SUM(E$17:E42))</f>
        <v>4405565.4375261376</v>
      </c>
      <c r="E43" s="522">
        <f>IF(+I14&lt;F42,I14,D43)</f>
        <v>265987.05285714287</v>
      </c>
      <c r="F43" s="523">
        <f t="shared" si="8"/>
        <v>4139578.3846689947</v>
      </c>
      <c r="G43" s="524">
        <f t="shared" si="9"/>
        <v>805727.33879807487</v>
      </c>
      <c r="H43" s="491">
        <f t="shared" si="10"/>
        <v>805727.33879807487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2045</v>
      </c>
      <c r="D44" s="523">
        <f>IF(F43+SUM(E$17:E43)=D$10,F43,D$10-SUM(E$17:E43))</f>
        <v>4139578.3846689947</v>
      </c>
      <c r="E44" s="522">
        <f>IF(+I14&lt;F43,I14,D44)</f>
        <v>265987.05285714287</v>
      </c>
      <c r="F44" s="523">
        <f t="shared" si="8"/>
        <v>3873591.3318118518</v>
      </c>
      <c r="G44" s="524">
        <f t="shared" si="9"/>
        <v>772126.04876646469</v>
      </c>
      <c r="H44" s="491">
        <f t="shared" si="10"/>
        <v>772126.04876646469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2046</v>
      </c>
      <c r="D45" s="523">
        <f>IF(F44+SUM(E$17:E44)=D$10,F44,D$10-SUM(E$17:E44))</f>
        <v>3873591.3318118518</v>
      </c>
      <c r="E45" s="522">
        <f>IF(+I14&lt;F44,I14,D45)</f>
        <v>265987.05285714287</v>
      </c>
      <c r="F45" s="523">
        <f t="shared" si="8"/>
        <v>3607604.2789547089</v>
      </c>
      <c r="G45" s="524">
        <f t="shared" si="9"/>
        <v>738524.75873485464</v>
      </c>
      <c r="H45" s="491">
        <f t="shared" si="10"/>
        <v>738524.75873485464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2047</v>
      </c>
      <c r="D46" s="523">
        <f>IF(F45+SUM(E$17:E45)=D$10,F45,D$10-SUM(E$17:E45))</f>
        <v>3607604.2789547089</v>
      </c>
      <c r="E46" s="522">
        <f>IF(+I14&lt;F45,I14,D46)</f>
        <v>265987.05285714287</v>
      </c>
      <c r="F46" s="523">
        <f t="shared" si="8"/>
        <v>3341617.2260975661</v>
      </c>
      <c r="G46" s="524">
        <f t="shared" si="9"/>
        <v>704923.46870324458</v>
      </c>
      <c r="H46" s="491">
        <f t="shared" si="10"/>
        <v>704923.46870324458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2048</v>
      </c>
      <c r="D47" s="523">
        <f>IF(F46+SUM(E$17:E46)=D$10,F46,D$10-SUM(E$17:E46))</f>
        <v>3341617.2260975661</v>
      </c>
      <c r="E47" s="522">
        <f>IF(+I14&lt;F46,I14,D47)</f>
        <v>265987.05285714287</v>
      </c>
      <c r="F47" s="523">
        <f t="shared" si="8"/>
        <v>3075630.1732404232</v>
      </c>
      <c r="G47" s="524">
        <f t="shared" si="9"/>
        <v>671322.17867163441</v>
      </c>
      <c r="H47" s="491">
        <f t="shared" si="10"/>
        <v>671322.17867163441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2049</v>
      </c>
      <c r="D48" s="523">
        <f>IF(F47+SUM(E$17:E47)=D$10,F47,D$10-SUM(E$17:E47))</f>
        <v>3075630.1732404232</v>
      </c>
      <c r="E48" s="522">
        <f>IF(+I14&lt;F47,I14,D48)</f>
        <v>265987.05285714287</v>
      </c>
      <c r="F48" s="523">
        <f t="shared" si="8"/>
        <v>2809643.1203832803</v>
      </c>
      <c r="G48" s="524">
        <f t="shared" si="9"/>
        <v>637720.88864002423</v>
      </c>
      <c r="H48" s="491">
        <f t="shared" si="10"/>
        <v>637720.88864002423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2050</v>
      </c>
      <c r="D49" s="523">
        <f>IF(F48+SUM(E$17:E48)=D$10,F48,D$10-SUM(E$17:E48))</f>
        <v>2809643.1203832803</v>
      </c>
      <c r="E49" s="522">
        <f>IF(+I14&lt;F48,I14,D49)</f>
        <v>265987.05285714287</v>
      </c>
      <c r="F49" s="523">
        <f t="shared" si="8"/>
        <v>2543656.0675261375</v>
      </c>
      <c r="G49" s="524">
        <f t="shared" si="9"/>
        <v>604119.59860841418</v>
      </c>
      <c r="H49" s="491">
        <f t="shared" si="10"/>
        <v>604119.59860841418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2051</v>
      </c>
      <c r="D50" s="523">
        <f>IF(F49+SUM(E$17:E49)=D$10,F49,D$10-SUM(E$17:E49))</f>
        <v>2543656.0675261375</v>
      </c>
      <c r="E50" s="522">
        <f>IF(+I14&lt;F49,I14,D50)</f>
        <v>265987.05285714287</v>
      </c>
      <c r="F50" s="523">
        <f t="shared" si="8"/>
        <v>2277669.0146689946</v>
      </c>
      <c r="G50" s="524">
        <f t="shared" si="9"/>
        <v>570518.308576804</v>
      </c>
      <c r="H50" s="491">
        <f t="shared" si="10"/>
        <v>570518.308576804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2052</v>
      </c>
      <c r="D51" s="523">
        <f>IF(F50+SUM(E$17:E50)=D$10,F50,D$10-SUM(E$17:E50))</f>
        <v>2277669.0146689946</v>
      </c>
      <c r="E51" s="522">
        <f>IF(+I14&lt;F50,I14,D51)</f>
        <v>265987.05285714287</v>
      </c>
      <c r="F51" s="523">
        <f t="shared" si="8"/>
        <v>2011681.9618118517</v>
      </c>
      <c r="G51" s="524">
        <f t="shared" si="9"/>
        <v>536917.01854519383</v>
      </c>
      <c r="H51" s="491">
        <f t="shared" si="10"/>
        <v>536917.01854519383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2053</v>
      </c>
      <c r="D52" s="523">
        <f>IF(F51+SUM(E$17:E51)=D$10,F51,D$10-SUM(E$17:E51))</f>
        <v>2011681.9618118517</v>
      </c>
      <c r="E52" s="522">
        <f>IF(+I14&lt;F51,I14,D52)</f>
        <v>265987.05285714287</v>
      </c>
      <c r="F52" s="523">
        <f t="shared" si="8"/>
        <v>1745694.9089547088</v>
      </c>
      <c r="G52" s="524">
        <f t="shared" si="9"/>
        <v>503315.72851358372</v>
      </c>
      <c r="H52" s="491">
        <f t="shared" si="10"/>
        <v>503315.72851358372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2054</v>
      </c>
      <c r="D53" s="523">
        <f>IF(F52+SUM(E$17:E52)=D$10,F52,D$10-SUM(E$17:E52))</f>
        <v>1745694.9089547088</v>
      </c>
      <c r="E53" s="522">
        <f>IF(+I14&lt;F52,I14,D53)</f>
        <v>265987.05285714287</v>
      </c>
      <c r="F53" s="523">
        <f t="shared" si="8"/>
        <v>1479707.856097566</v>
      </c>
      <c r="G53" s="524">
        <f t="shared" si="9"/>
        <v>469714.4384819736</v>
      </c>
      <c r="H53" s="491">
        <f t="shared" si="10"/>
        <v>469714.4384819736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2055</v>
      </c>
      <c r="D54" s="523">
        <f>IF(F53+SUM(E$17:E53)=D$10,F53,D$10-SUM(E$17:E53))</f>
        <v>1479707.856097566</v>
      </c>
      <c r="E54" s="522">
        <f>IF(+I14&lt;F53,I14,D54)</f>
        <v>265987.05285714287</v>
      </c>
      <c r="F54" s="523">
        <f t="shared" si="8"/>
        <v>1213720.8032404231</v>
      </c>
      <c r="G54" s="524">
        <f t="shared" si="9"/>
        <v>436113.14845036343</v>
      </c>
      <c r="H54" s="491">
        <f t="shared" si="10"/>
        <v>436113.14845036343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2056</v>
      </c>
      <c r="D55" s="523">
        <f>IF(F54+SUM(E$17:E54)=D$10,F54,D$10-SUM(E$17:E54))</f>
        <v>1213720.8032404231</v>
      </c>
      <c r="E55" s="522">
        <f>IF(+I14&lt;F54,I14,D55)</f>
        <v>265987.05285714287</v>
      </c>
      <c r="F55" s="523">
        <f t="shared" si="8"/>
        <v>947733.75038328022</v>
      </c>
      <c r="G55" s="524">
        <f t="shared" si="9"/>
        <v>402511.85841875337</v>
      </c>
      <c r="H55" s="491">
        <f t="shared" si="10"/>
        <v>402511.85841875337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2057</v>
      </c>
      <c r="D56" s="523">
        <f>IF(F55+SUM(E$17:E55)=D$10,F55,D$10-SUM(E$17:E55))</f>
        <v>947733.75038328022</v>
      </c>
      <c r="E56" s="522">
        <f>IF(+I14&lt;F55,I14,D56)</f>
        <v>265987.05285714287</v>
      </c>
      <c r="F56" s="523">
        <f t="shared" si="8"/>
        <v>681746.69752613734</v>
      </c>
      <c r="G56" s="524">
        <f t="shared" si="9"/>
        <v>368910.5683871432</v>
      </c>
      <c r="H56" s="491">
        <f t="shared" si="10"/>
        <v>368910.5683871432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2058</v>
      </c>
      <c r="D57" s="523">
        <f>IF(F56+SUM(E$17:E56)=D$10,F56,D$10-SUM(E$17:E56))</f>
        <v>681746.69752613734</v>
      </c>
      <c r="E57" s="522">
        <f>IF(+I14&lt;F56,I14,D57)</f>
        <v>265987.05285714287</v>
      </c>
      <c r="F57" s="523">
        <f t="shared" si="8"/>
        <v>415759.64466899447</v>
      </c>
      <c r="G57" s="524">
        <f t="shared" si="9"/>
        <v>335309.27835553308</v>
      </c>
      <c r="H57" s="491">
        <f t="shared" si="10"/>
        <v>335309.27835553308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2059</v>
      </c>
      <c r="D58" s="523">
        <f>IF(F57+SUM(E$17:E57)=D$10,F57,D$10-SUM(E$17:E57))</f>
        <v>415759.64466899447</v>
      </c>
      <c r="E58" s="522">
        <f>IF(+I14&lt;F57,I14,D58)</f>
        <v>265987.05285714287</v>
      </c>
      <c r="F58" s="523">
        <f t="shared" si="8"/>
        <v>149772.5918118516</v>
      </c>
      <c r="G58" s="524">
        <f t="shared" si="9"/>
        <v>301707.98832392297</v>
      </c>
      <c r="H58" s="491">
        <f t="shared" si="10"/>
        <v>301707.98832392297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2060</v>
      </c>
      <c r="D59" s="523">
        <f>IF(F58+SUM(E$17:E58)=D$10,F58,D$10-SUM(E$17:E58))</f>
        <v>149772.5918118516</v>
      </c>
      <c r="E59" s="522">
        <f>IF(+I14&lt;F58,I14,D59)</f>
        <v>149772.5918118516</v>
      </c>
      <c r="F59" s="523">
        <f t="shared" si="8"/>
        <v>0</v>
      </c>
      <c r="G59" s="524">
        <f t="shared" si="9"/>
        <v>159232.7370373391</v>
      </c>
      <c r="H59" s="491">
        <f t="shared" si="10"/>
        <v>159232.7370373391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8"/>
        <v>0</v>
      </c>
      <c r="G60" s="524">
        <f t="shared" si="9"/>
        <v>0</v>
      </c>
      <c r="H60" s="491">
        <f t="shared" si="10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9"/>
        <v>0</v>
      </c>
      <c r="H61" s="491">
        <f t="shared" si="10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9"/>
        <v>0</v>
      </c>
      <c r="H62" s="491">
        <f t="shared" si="10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9"/>
        <v>0</v>
      </c>
      <c r="H63" s="491">
        <f t="shared" si="10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9"/>
        <v>0</v>
      </c>
      <c r="H64" s="491">
        <f t="shared" si="10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9"/>
        <v>0</v>
      </c>
      <c r="H65" s="491">
        <f t="shared" si="10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9"/>
        <v>0</v>
      </c>
      <c r="H66" s="491">
        <f t="shared" si="10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9"/>
        <v>0</v>
      </c>
      <c r="H67" s="491">
        <f t="shared" si="10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9"/>
        <v>0</v>
      </c>
      <c r="H68" s="491">
        <f t="shared" si="10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9"/>
        <v>0</v>
      </c>
      <c r="H69" s="491">
        <f t="shared" si="10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9"/>
        <v>0</v>
      </c>
      <c r="H70" s="491">
        <f t="shared" si="10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9"/>
        <v>0</v>
      </c>
      <c r="H71" s="491">
        <f t="shared" si="10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9"/>
        <v>0</v>
      </c>
      <c r="H72" s="471">
        <f t="shared" si="10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11171456.219999995</v>
      </c>
      <c r="F73" s="375"/>
      <c r="G73" s="375">
        <f>SUM(G17:G72)</f>
        <v>40026225.349810503</v>
      </c>
      <c r="H73" s="375">
        <f>SUM(H17:H72)</f>
        <v>40026225.349810503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68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1368573.5039296474</v>
      </c>
      <c r="N87" s="546">
        <f>IF(J92&lt;D11,0,VLOOKUP(J92,C17:O72,11))</f>
        <v>1368573.5039296474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1447836.5815752498</v>
      </c>
      <c r="N88" s="550">
        <f>IF(J92&lt;D11,0,VLOOKUP(J92,C99:P154,7))</f>
        <v>1447836.5815752498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Evenside - Northwest Henderson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79263.077645602403</v>
      </c>
      <c r="N89" s="555">
        <f>+N88-N87</f>
        <v>79263.077645602403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TP2010100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11171456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272474.53658536583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2018</v>
      </c>
      <c r="D99" s="629">
        <v>0</v>
      </c>
      <c r="E99" s="630">
        <v>155115.48611111112</v>
      </c>
      <c r="F99" s="631">
        <v>11013199.513888888</v>
      </c>
      <c r="G99" s="631">
        <v>5506599.756944444</v>
      </c>
      <c r="H99" s="633">
        <v>736637.67271858163</v>
      </c>
      <c r="I99" s="634">
        <v>736637.67271858163</v>
      </c>
      <c r="J99" s="514">
        <f t="shared" ref="J99:J130" si="11">+I99-H99</f>
        <v>0</v>
      </c>
      <c r="K99" s="514"/>
      <c r="L99" s="512">
        <f>+H99</f>
        <v>736637.67271858163</v>
      </c>
      <c r="M99" s="513">
        <f t="shared" ref="M99:M101" si="12">IF(L99&lt;&gt;0,+H99-L99,0)</f>
        <v>0</v>
      </c>
      <c r="N99" s="512">
        <f>+I99</f>
        <v>736637.67271858163</v>
      </c>
      <c r="O99" s="513">
        <f t="shared" ref="O99:O130" si="13">IF(N99&lt;&gt;0,+I99-N99,0)</f>
        <v>0</v>
      </c>
      <c r="P99" s="513">
        <f t="shared" ref="P99:P130" si="14">+O99-M99</f>
        <v>0</v>
      </c>
    </row>
    <row r="100" spans="1:16" ht="12.5">
      <c r="B100" s="195" t="str">
        <f>IF(D100=F99,"","IU")</f>
        <v>IU</v>
      </c>
      <c r="C100" s="507">
        <f>IF(D93="","-",+C99+1)</f>
        <v>2019</v>
      </c>
      <c r="D100" s="629">
        <v>11016340.513888888</v>
      </c>
      <c r="E100" s="630">
        <v>259801.3023255814</v>
      </c>
      <c r="F100" s="631">
        <v>10756539.211563306</v>
      </c>
      <c r="G100" s="631">
        <v>10886439.862726096</v>
      </c>
      <c r="H100" s="633">
        <v>1425091.7751290696</v>
      </c>
      <c r="I100" s="634">
        <v>1425091.7751290696</v>
      </c>
      <c r="J100" s="514">
        <f t="shared" si="11"/>
        <v>0</v>
      </c>
      <c r="K100" s="514"/>
      <c r="L100" s="655">
        <f>+H100</f>
        <v>1425091.7751290696</v>
      </c>
      <c r="M100" s="514">
        <f t="shared" si="12"/>
        <v>0</v>
      </c>
      <c r="N100" s="655">
        <f>+I100</f>
        <v>1425091.7751290696</v>
      </c>
      <c r="O100" s="514">
        <f t="shared" si="13"/>
        <v>0</v>
      </c>
      <c r="P100" s="514">
        <f t="shared" si="14"/>
        <v>0</v>
      </c>
    </row>
    <row r="101" spans="1:16" ht="12.5">
      <c r="B101" s="195" t="str">
        <f t="shared" ref="B101:B154" si="15">IF(D101=F100,"","IU")</f>
        <v/>
      </c>
      <c r="C101" s="507">
        <f>IF(D93="","-",+C100+1)</f>
        <v>2020</v>
      </c>
      <c r="D101" s="629">
        <v>10756539.211563306</v>
      </c>
      <c r="E101" s="630">
        <v>265987.04761904763</v>
      </c>
      <c r="F101" s="631">
        <v>10490552.163944257</v>
      </c>
      <c r="G101" s="631">
        <v>10623545.687753782</v>
      </c>
      <c r="H101" s="633">
        <v>1408802.5719974055</v>
      </c>
      <c r="I101" s="634">
        <v>1408802.5719974055</v>
      </c>
      <c r="J101" s="514">
        <f t="shared" si="11"/>
        <v>0</v>
      </c>
      <c r="K101" s="514"/>
      <c r="L101" s="655">
        <f>+H101</f>
        <v>1408802.5719974055</v>
      </c>
      <c r="M101" s="514">
        <f t="shared" si="12"/>
        <v>0</v>
      </c>
      <c r="N101" s="655">
        <f>+I101</f>
        <v>1408802.5719974055</v>
      </c>
      <c r="O101" s="514">
        <f t="shared" si="13"/>
        <v>0</v>
      </c>
      <c r="P101" s="514">
        <f t="shared" si="14"/>
        <v>0</v>
      </c>
    </row>
    <row r="102" spans="1:16" ht="12.5">
      <c r="B102" s="195" t="str">
        <f t="shared" si="15"/>
        <v/>
      </c>
      <c r="C102" s="507">
        <f>IF(D93="","-",+C101+1)</f>
        <v>2021</v>
      </c>
      <c r="D102" s="374">
        <f>IF(F101+SUM(E$99:E101)=D$92,F101,D$92-SUM(E$99:E101))</f>
        <v>10490552.163944257</v>
      </c>
      <c r="E102" s="522">
        <f>IF(+J96&lt;F101,J96,D102)</f>
        <v>272474.53658536583</v>
      </c>
      <c r="F102" s="523">
        <f t="shared" ref="F102:F154" si="16">+D102-E102</f>
        <v>10218077.627358891</v>
      </c>
      <c r="G102" s="523">
        <f t="shared" ref="G102:G154" si="17">+(F102+D102)/2</f>
        <v>10354314.895651575</v>
      </c>
      <c r="H102" s="526">
        <f t="shared" ref="H102:H154" si="18">+J$94*G102+E102</f>
        <v>1447836.5815752498</v>
      </c>
      <c r="I102" s="577">
        <f t="shared" ref="I102:I154" si="19">+J$95*G102+E102</f>
        <v>1447836.5815752498</v>
      </c>
      <c r="J102" s="514">
        <f t="shared" si="11"/>
        <v>0</v>
      </c>
      <c r="K102" s="514"/>
      <c r="L102" s="525"/>
      <c r="M102" s="514">
        <f t="shared" ref="M102:M130" si="20">IF(L102&lt;&gt;0,+H102-L102,0)</f>
        <v>0</v>
      </c>
      <c r="N102" s="525"/>
      <c r="O102" s="514">
        <f t="shared" si="13"/>
        <v>0</v>
      </c>
      <c r="P102" s="514">
        <f t="shared" si="14"/>
        <v>0</v>
      </c>
    </row>
    <row r="103" spans="1:16" ht="12.5">
      <c r="B103" s="195" t="str">
        <f t="shared" si="15"/>
        <v/>
      </c>
      <c r="C103" s="507">
        <f>IF(D93="","-",+C102+1)</f>
        <v>2022</v>
      </c>
      <c r="D103" s="374">
        <f>IF(F102+SUM(E$99:E102)=D$92,F102,D$92-SUM(E$99:E102))</f>
        <v>10218077.627358891</v>
      </c>
      <c r="E103" s="522">
        <f>IF(+J96&lt;F102,J96,D103)</f>
        <v>272474.53658536583</v>
      </c>
      <c r="F103" s="523">
        <f t="shared" si="16"/>
        <v>9945603.0907735247</v>
      </c>
      <c r="G103" s="523">
        <f t="shared" si="17"/>
        <v>10081840.359066207</v>
      </c>
      <c r="H103" s="526">
        <f t="shared" si="18"/>
        <v>1416906.8453487472</v>
      </c>
      <c r="I103" s="577">
        <f t="shared" si="19"/>
        <v>1416906.8453487472</v>
      </c>
      <c r="J103" s="514">
        <f t="shared" si="11"/>
        <v>0</v>
      </c>
      <c r="K103" s="514"/>
      <c r="L103" s="525"/>
      <c r="M103" s="514">
        <f t="shared" si="20"/>
        <v>0</v>
      </c>
      <c r="N103" s="525"/>
      <c r="O103" s="514">
        <f t="shared" si="13"/>
        <v>0</v>
      </c>
      <c r="P103" s="514">
        <f t="shared" si="14"/>
        <v>0</v>
      </c>
    </row>
    <row r="104" spans="1:16" ht="12.5">
      <c r="B104" s="195" t="str">
        <f t="shared" si="15"/>
        <v/>
      </c>
      <c r="C104" s="507">
        <f>IF(D93="","-",+C103+1)</f>
        <v>2023</v>
      </c>
      <c r="D104" s="374">
        <f>IF(F103+SUM(E$99:E103)=D$92,F103,D$92-SUM(E$99:E103))</f>
        <v>9945603.0907735247</v>
      </c>
      <c r="E104" s="522">
        <f>IF(+J96&lt;F103,J96,D104)</f>
        <v>272474.53658536583</v>
      </c>
      <c r="F104" s="523">
        <f t="shared" si="16"/>
        <v>9673128.5541881584</v>
      </c>
      <c r="G104" s="523">
        <f t="shared" si="17"/>
        <v>9809365.8224808425</v>
      </c>
      <c r="H104" s="526">
        <f t="shared" si="18"/>
        <v>1385977.1091222451</v>
      </c>
      <c r="I104" s="577">
        <f t="shared" si="19"/>
        <v>1385977.1091222451</v>
      </c>
      <c r="J104" s="514">
        <f t="shared" si="11"/>
        <v>0</v>
      </c>
      <c r="K104" s="514"/>
      <c r="L104" s="525"/>
      <c r="M104" s="514">
        <f t="shared" si="20"/>
        <v>0</v>
      </c>
      <c r="N104" s="525"/>
      <c r="O104" s="514">
        <f t="shared" si="13"/>
        <v>0</v>
      </c>
      <c r="P104" s="514">
        <f t="shared" si="14"/>
        <v>0</v>
      </c>
    </row>
    <row r="105" spans="1:16" ht="12.5">
      <c r="B105" s="195" t="str">
        <f t="shared" si="15"/>
        <v/>
      </c>
      <c r="C105" s="507">
        <f>IF(D93="","-",+C104+1)</f>
        <v>2024</v>
      </c>
      <c r="D105" s="374">
        <f>IF(F104+SUM(E$99:E104)=D$92,F104,D$92-SUM(E$99:E104))</f>
        <v>9673128.5541881584</v>
      </c>
      <c r="E105" s="522">
        <f>IF(+J96&lt;F104,J96,D105)</f>
        <v>272474.53658536583</v>
      </c>
      <c r="F105" s="523">
        <f t="shared" si="16"/>
        <v>9400654.017602792</v>
      </c>
      <c r="G105" s="523">
        <f t="shared" si="17"/>
        <v>9536891.2858954743</v>
      </c>
      <c r="H105" s="526">
        <f t="shared" si="18"/>
        <v>1355047.3728957425</v>
      </c>
      <c r="I105" s="577">
        <f t="shared" si="19"/>
        <v>1355047.3728957425</v>
      </c>
      <c r="J105" s="514">
        <f t="shared" si="11"/>
        <v>0</v>
      </c>
      <c r="K105" s="514"/>
      <c r="L105" s="525"/>
      <c r="M105" s="514">
        <f t="shared" si="20"/>
        <v>0</v>
      </c>
      <c r="N105" s="525"/>
      <c r="O105" s="514">
        <f t="shared" si="13"/>
        <v>0</v>
      </c>
      <c r="P105" s="514">
        <f t="shared" si="14"/>
        <v>0</v>
      </c>
    </row>
    <row r="106" spans="1:16" ht="12.5">
      <c r="B106" s="195" t="str">
        <f t="shared" si="15"/>
        <v/>
      </c>
      <c r="C106" s="507">
        <f>IF(D93="","-",+C105+1)</f>
        <v>2025</v>
      </c>
      <c r="D106" s="374">
        <f>IF(F105+SUM(E$99:E105)=D$92,F105,D$92-SUM(E$99:E105))</f>
        <v>9400654.017602792</v>
      </c>
      <c r="E106" s="522">
        <f>IF(+J96&lt;F105,J96,D106)</f>
        <v>272474.53658536583</v>
      </c>
      <c r="F106" s="523">
        <f t="shared" si="16"/>
        <v>9128179.4810174257</v>
      </c>
      <c r="G106" s="523">
        <f t="shared" si="17"/>
        <v>9264416.7493101098</v>
      </c>
      <c r="H106" s="526">
        <f t="shared" si="18"/>
        <v>1324117.6366692404</v>
      </c>
      <c r="I106" s="577">
        <f t="shared" si="19"/>
        <v>1324117.6366692404</v>
      </c>
      <c r="J106" s="514">
        <f t="shared" si="11"/>
        <v>0</v>
      </c>
      <c r="K106" s="514"/>
      <c r="L106" s="525"/>
      <c r="M106" s="514">
        <f t="shared" si="20"/>
        <v>0</v>
      </c>
      <c r="N106" s="525"/>
      <c r="O106" s="514">
        <f t="shared" si="13"/>
        <v>0</v>
      </c>
      <c r="P106" s="514">
        <f t="shared" si="14"/>
        <v>0</v>
      </c>
    </row>
    <row r="107" spans="1:16" ht="12.5">
      <c r="B107" s="195" t="str">
        <f t="shared" si="15"/>
        <v/>
      </c>
      <c r="C107" s="507">
        <f>IF(D93="","-",+C106+1)</f>
        <v>2026</v>
      </c>
      <c r="D107" s="374">
        <f>IF(F106+SUM(E$99:E106)=D$92,F106,D$92-SUM(E$99:E106))</f>
        <v>9128179.4810174257</v>
      </c>
      <c r="E107" s="522">
        <f>IF(+J96&lt;F106,J96,D107)</f>
        <v>272474.53658536583</v>
      </c>
      <c r="F107" s="523">
        <f t="shared" si="16"/>
        <v>8855704.9444320593</v>
      </c>
      <c r="G107" s="523">
        <f t="shared" si="17"/>
        <v>8991942.2127247415</v>
      </c>
      <c r="H107" s="526">
        <f t="shared" si="18"/>
        <v>1293187.9004427379</v>
      </c>
      <c r="I107" s="577">
        <f t="shared" si="19"/>
        <v>1293187.9004427379</v>
      </c>
      <c r="J107" s="514">
        <f t="shared" si="11"/>
        <v>0</v>
      </c>
      <c r="K107" s="514"/>
      <c r="L107" s="525"/>
      <c r="M107" s="514">
        <f t="shared" si="20"/>
        <v>0</v>
      </c>
      <c r="N107" s="525"/>
      <c r="O107" s="514">
        <f t="shared" si="13"/>
        <v>0</v>
      </c>
      <c r="P107" s="514">
        <f t="shared" si="14"/>
        <v>0</v>
      </c>
    </row>
    <row r="108" spans="1:16" ht="12.5">
      <c r="B108" s="195" t="str">
        <f t="shared" si="15"/>
        <v/>
      </c>
      <c r="C108" s="507">
        <f>IF(D93="","-",+C107+1)</f>
        <v>2027</v>
      </c>
      <c r="D108" s="374">
        <f>IF(F107+SUM(E$99:E107)=D$92,F107,D$92-SUM(E$99:E107))</f>
        <v>8855704.9444320593</v>
      </c>
      <c r="E108" s="522">
        <f>IF(+J96&lt;F107,J96,D108)</f>
        <v>272474.53658536583</v>
      </c>
      <c r="F108" s="523">
        <f t="shared" si="16"/>
        <v>8583230.4078466929</v>
      </c>
      <c r="G108" s="523">
        <f t="shared" si="17"/>
        <v>8719467.6761393771</v>
      </c>
      <c r="H108" s="526">
        <f t="shared" si="18"/>
        <v>1262258.1642162357</v>
      </c>
      <c r="I108" s="577">
        <f t="shared" si="19"/>
        <v>1262258.1642162357</v>
      </c>
      <c r="J108" s="514">
        <f t="shared" si="11"/>
        <v>0</v>
      </c>
      <c r="K108" s="514"/>
      <c r="L108" s="525"/>
      <c r="M108" s="514">
        <f t="shared" si="20"/>
        <v>0</v>
      </c>
      <c r="N108" s="525"/>
      <c r="O108" s="514">
        <f t="shared" si="13"/>
        <v>0</v>
      </c>
      <c r="P108" s="514">
        <f t="shared" si="14"/>
        <v>0</v>
      </c>
    </row>
    <row r="109" spans="1:16" ht="12.5">
      <c r="B109" s="195" t="str">
        <f t="shared" si="15"/>
        <v/>
      </c>
      <c r="C109" s="507">
        <f>IF(D93="","-",+C108+1)</f>
        <v>2028</v>
      </c>
      <c r="D109" s="374">
        <f>IF(F108+SUM(E$99:E108)=D$92,F108,D$92-SUM(E$99:E108))</f>
        <v>8583230.4078466929</v>
      </c>
      <c r="E109" s="522">
        <f>IF(+J96&lt;F108,J96,D109)</f>
        <v>272474.53658536583</v>
      </c>
      <c r="F109" s="523">
        <f t="shared" si="16"/>
        <v>8310755.8712613275</v>
      </c>
      <c r="G109" s="523">
        <f t="shared" si="17"/>
        <v>8446993.1395540107</v>
      </c>
      <c r="H109" s="526">
        <f t="shared" si="18"/>
        <v>1231328.4279897334</v>
      </c>
      <c r="I109" s="577">
        <f t="shared" si="19"/>
        <v>1231328.4279897334</v>
      </c>
      <c r="J109" s="514">
        <f t="shared" si="11"/>
        <v>0</v>
      </c>
      <c r="K109" s="514"/>
      <c r="L109" s="525"/>
      <c r="M109" s="514">
        <f t="shared" si="20"/>
        <v>0</v>
      </c>
      <c r="N109" s="525"/>
      <c r="O109" s="514">
        <f t="shared" si="13"/>
        <v>0</v>
      </c>
      <c r="P109" s="514">
        <f t="shared" si="14"/>
        <v>0</v>
      </c>
    </row>
    <row r="110" spans="1:16" ht="12.5">
      <c r="B110" s="195" t="str">
        <f t="shared" si="15"/>
        <v/>
      </c>
      <c r="C110" s="507">
        <f>IF(D93="","-",+C109+1)</f>
        <v>2029</v>
      </c>
      <c r="D110" s="374">
        <f>IF(F109+SUM(E$99:E109)=D$92,F109,D$92-SUM(E$99:E109))</f>
        <v>8310755.8712613275</v>
      </c>
      <c r="E110" s="522">
        <f>IF(+J96&lt;F109,J96,D110)</f>
        <v>272474.53658536583</v>
      </c>
      <c r="F110" s="523">
        <f t="shared" si="16"/>
        <v>8038281.3346759621</v>
      </c>
      <c r="G110" s="523">
        <f t="shared" si="17"/>
        <v>8174518.6029686444</v>
      </c>
      <c r="H110" s="526">
        <f t="shared" si="18"/>
        <v>1200398.6917632311</v>
      </c>
      <c r="I110" s="577">
        <f t="shared" si="19"/>
        <v>1200398.6917632311</v>
      </c>
      <c r="J110" s="514">
        <f t="shared" si="11"/>
        <v>0</v>
      </c>
      <c r="K110" s="514"/>
      <c r="L110" s="525"/>
      <c r="M110" s="514">
        <f t="shared" si="20"/>
        <v>0</v>
      </c>
      <c r="N110" s="525"/>
      <c r="O110" s="514">
        <f t="shared" si="13"/>
        <v>0</v>
      </c>
      <c r="P110" s="514">
        <f t="shared" si="14"/>
        <v>0</v>
      </c>
    </row>
    <row r="111" spans="1:16" ht="12.5">
      <c r="B111" s="195" t="str">
        <f t="shared" si="15"/>
        <v/>
      </c>
      <c r="C111" s="507">
        <f>IF(D93="","-",+C110+1)</f>
        <v>2030</v>
      </c>
      <c r="D111" s="374">
        <f>IF(F110+SUM(E$99:E110)=D$92,F110,D$92-SUM(E$99:E110))</f>
        <v>8038281.3346759621</v>
      </c>
      <c r="E111" s="522">
        <f>IF(+J96&lt;F110,J96,D111)</f>
        <v>272474.53658536583</v>
      </c>
      <c r="F111" s="523">
        <f t="shared" si="16"/>
        <v>7765806.7980905967</v>
      </c>
      <c r="G111" s="523">
        <f t="shared" si="17"/>
        <v>7902044.0663832799</v>
      </c>
      <c r="H111" s="526">
        <f t="shared" si="18"/>
        <v>1169468.955536729</v>
      </c>
      <c r="I111" s="577">
        <f t="shared" si="19"/>
        <v>1169468.955536729</v>
      </c>
      <c r="J111" s="514">
        <f t="shared" si="11"/>
        <v>0</v>
      </c>
      <c r="K111" s="514"/>
      <c r="L111" s="525"/>
      <c r="M111" s="514">
        <f t="shared" si="20"/>
        <v>0</v>
      </c>
      <c r="N111" s="525"/>
      <c r="O111" s="514">
        <f t="shared" si="13"/>
        <v>0</v>
      </c>
      <c r="P111" s="514">
        <f t="shared" si="14"/>
        <v>0</v>
      </c>
    </row>
    <row r="112" spans="1:16" ht="12.5">
      <c r="B112" s="195" t="str">
        <f t="shared" si="15"/>
        <v/>
      </c>
      <c r="C112" s="507">
        <f>IF(D93="","-",+C111+1)</f>
        <v>2031</v>
      </c>
      <c r="D112" s="374">
        <f>IF(F111+SUM(E$99:E111)=D$92,F111,D$92-SUM(E$99:E111))</f>
        <v>7765806.7980905967</v>
      </c>
      <c r="E112" s="522">
        <f>IF(+J96&lt;F111,J96,D112)</f>
        <v>272474.53658536583</v>
      </c>
      <c r="F112" s="523">
        <f t="shared" si="16"/>
        <v>7493332.2615052313</v>
      </c>
      <c r="G112" s="523">
        <f t="shared" si="17"/>
        <v>7629569.5297979135</v>
      </c>
      <c r="H112" s="526">
        <f t="shared" si="18"/>
        <v>1138539.2193102266</v>
      </c>
      <c r="I112" s="577">
        <f t="shared" si="19"/>
        <v>1138539.2193102266</v>
      </c>
      <c r="J112" s="514">
        <f t="shared" si="11"/>
        <v>0</v>
      </c>
      <c r="K112" s="514"/>
      <c r="L112" s="525"/>
      <c r="M112" s="514">
        <f t="shared" si="20"/>
        <v>0</v>
      </c>
      <c r="N112" s="525"/>
      <c r="O112" s="514">
        <f t="shared" si="13"/>
        <v>0</v>
      </c>
      <c r="P112" s="514">
        <f t="shared" si="14"/>
        <v>0</v>
      </c>
    </row>
    <row r="113" spans="2:16" ht="12.5">
      <c r="B113" s="195" t="str">
        <f t="shared" si="15"/>
        <v/>
      </c>
      <c r="C113" s="507">
        <f>IF(D93="","-",+C112+1)</f>
        <v>2032</v>
      </c>
      <c r="D113" s="374">
        <f>IF(F112+SUM(E$99:E112)=D$92,F112,D$92-SUM(E$99:E112))</f>
        <v>7493332.2615052313</v>
      </c>
      <c r="E113" s="522">
        <f>IF(+J96&lt;F112,J96,D113)</f>
        <v>272474.53658536583</v>
      </c>
      <c r="F113" s="523">
        <f t="shared" si="16"/>
        <v>7220857.7249198658</v>
      </c>
      <c r="G113" s="523">
        <f t="shared" si="17"/>
        <v>7357094.993212549</v>
      </c>
      <c r="H113" s="526">
        <f t="shared" si="18"/>
        <v>1107609.4830837245</v>
      </c>
      <c r="I113" s="577">
        <f t="shared" si="19"/>
        <v>1107609.4830837245</v>
      </c>
      <c r="J113" s="514">
        <f t="shared" si="11"/>
        <v>0</v>
      </c>
      <c r="K113" s="514"/>
      <c r="L113" s="525"/>
      <c r="M113" s="514">
        <f t="shared" si="20"/>
        <v>0</v>
      </c>
      <c r="N113" s="525"/>
      <c r="O113" s="514">
        <f t="shared" si="13"/>
        <v>0</v>
      </c>
      <c r="P113" s="514">
        <f t="shared" si="14"/>
        <v>0</v>
      </c>
    </row>
    <row r="114" spans="2:16" ht="12.5">
      <c r="B114" s="195" t="str">
        <f t="shared" si="15"/>
        <v/>
      </c>
      <c r="C114" s="507">
        <f>IF(D93="","-",+C113+1)</f>
        <v>2033</v>
      </c>
      <c r="D114" s="374">
        <f>IF(F113+SUM(E$99:E113)=D$92,F113,D$92-SUM(E$99:E113))</f>
        <v>7220857.7249198658</v>
      </c>
      <c r="E114" s="522">
        <f>IF(+J96&lt;F113,J96,D114)</f>
        <v>272474.53658536583</v>
      </c>
      <c r="F114" s="523">
        <f t="shared" si="16"/>
        <v>6948383.1883345004</v>
      </c>
      <c r="G114" s="523">
        <f t="shared" si="17"/>
        <v>7084620.4566271827</v>
      </c>
      <c r="H114" s="526">
        <f t="shared" si="18"/>
        <v>1076679.7468572222</v>
      </c>
      <c r="I114" s="577">
        <f t="shared" si="19"/>
        <v>1076679.7468572222</v>
      </c>
      <c r="J114" s="514">
        <f t="shared" si="11"/>
        <v>0</v>
      </c>
      <c r="K114" s="514"/>
      <c r="L114" s="525"/>
      <c r="M114" s="514">
        <f t="shared" si="20"/>
        <v>0</v>
      </c>
      <c r="N114" s="525"/>
      <c r="O114" s="514">
        <f t="shared" si="13"/>
        <v>0</v>
      </c>
      <c r="P114" s="514">
        <f t="shared" si="14"/>
        <v>0</v>
      </c>
    </row>
    <row r="115" spans="2:16" ht="12.5">
      <c r="B115" s="195" t="str">
        <f t="shared" si="15"/>
        <v/>
      </c>
      <c r="C115" s="507">
        <f>IF(D93="","-",+C114+1)</f>
        <v>2034</v>
      </c>
      <c r="D115" s="374">
        <f>IF(F114+SUM(E$99:E114)=D$92,F114,D$92-SUM(E$99:E114))</f>
        <v>6948383.1883345004</v>
      </c>
      <c r="E115" s="522">
        <f>IF(+J96&lt;F114,J96,D115)</f>
        <v>272474.53658536583</v>
      </c>
      <c r="F115" s="523">
        <f t="shared" si="16"/>
        <v>6675908.651749135</v>
      </c>
      <c r="G115" s="523">
        <f t="shared" si="17"/>
        <v>6812145.9200418182</v>
      </c>
      <c r="H115" s="526">
        <f t="shared" si="18"/>
        <v>1045750.0106307201</v>
      </c>
      <c r="I115" s="577">
        <f t="shared" si="19"/>
        <v>1045750.0106307201</v>
      </c>
      <c r="J115" s="514">
        <f t="shared" si="11"/>
        <v>0</v>
      </c>
      <c r="K115" s="514"/>
      <c r="L115" s="525"/>
      <c r="M115" s="514">
        <f t="shared" si="20"/>
        <v>0</v>
      </c>
      <c r="N115" s="525"/>
      <c r="O115" s="514">
        <f t="shared" si="13"/>
        <v>0</v>
      </c>
      <c r="P115" s="514">
        <f t="shared" si="14"/>
        <v>0</v>
      </c>
    </row>
    <row r="116" spans="2:16" ht="12.5">
      <c r="B116" s="195" t="str">
        <f t="shared" si="15"/>
        <v/>
      </c>
      <c r="C116" s="507">
        <f>IF(D93="","-",+C115+1)</f>
        <v>2035</v>
      </c>
      <c r="D116" s="374">
        <f>IF(F115+SUM(E$99:E115)=D$92,F115,D$92-SUM(E$99:E115))</f>
        <v>6675908.651749135</v>
      </c>
      <c r="E116" s="522">
        <f>IF(+J96&lt;F115,J96,D116)</f>
        <v>272474.53658536583</v>
      </c>
      <c r="F116" s="523">
        <f t="shared" si="16"/>
        <v>6403434.1151637696</v>
      </c>
      <c r="G116" s="523">
        <f t="shared" si="17"/>
        <v>6539671.3834564518</v>
      </c>
      <c r="H116" s="526">
        <f t="shared" si="18"/>
        <v>1014820.2744042177</v>
      </c>
      <c r="I116" s="577">
        <f t="shared" si="19"/>
        <v>1014820.2744042177</v>
      </c>
      <c r="J116" s="514">
        <f t="shared" si="11"/>
        <v>0</v>
      </c>
      <c r="K116" s="514"/>
      <c r="L116" s="525"/>
      <c r="M116" s="514">
        <f t="shared" si="20"/>
        <v>0</v>
      </c>
      <c r="N116" s="525"/>
      <c r="O116" s="514">
        <f t="shared" si="13"/>
        <v>0</v>
      </c>
      <c r="P116" s="514">
        <f t="shared" si="14"/>
        <v>0</v>
      </c>
    </row>
    <row r="117" spans="2:16" ht="12.5">
      <c r="B117" s="195" t="str">
        <f t="shared" si="15"/>
        <v/>
      </c>
      <c r="C117" s="507">
        <f>IF(D93="","-",+C116+1)</f>
        <v>2036</v>
      </c>
      <c r="D117" s="374">
        <f>IF(F116+SUM(E$99:E116)=D$92,F116,D$92-SUM(E$99:E116))</f>
        <v>6403434.1151637696</v>
      </c>
      <c r="E117" s="522">
        <f>IF(+J96&lt;F116,J96,D117)</f>
        <v>272474.53658536583</v>
      </c>
      <c r="F117" s="523">
        <f t="shared" si="16"/>
        <v>6130959.5785784042</v>
      </c>
      <c r="G117" s="523">
        <f t="shared" si="17"/>
        <v>6267196.8468710873</v>
      </c>
      <c r="H117" s="526">
        <f t="shared" si="18"/>
        <v>983890.53817771561</v>
      </c>
      <c r="I117" s="577">
        <f t="shared" si="19"/>
        <v>983890.53817771561</v>
      </c>
      <c r="J117" s="514">
        <f t="shared" si="11"/>
        <v>0</v>
      </c>
      <c r="K117" s="514"/>
      <c r="L117" s="525"/>
      <c r="M117" s="514">
        <f t="shared" si="20"/>
        <v>0</v>
      </c>
      <c r="N117" s="525"/>
      <c r="O117" s="514">
        <f t="shared" si="13"/>
        <v>0</v>
      </c>
      <c r="P117" s="514">
        <f t="shared" si="14"/>
        <v>0</v>
      </c>
    </row>
    <row r="118" spans="2:16" ht="12.5">
      <c r="B118" s="195" t="str">
        <f t="shared" si="15"/>
        <v/>
      </c>
      <c r="C118" s="507">
        <f>IF(D93="","-",+C117+1)</f>
        <v>2037</v>
      </c>
      <c r="D118" s="374">
        <f>IF(F117+SUM(E$99:E117)=D$92,F117,D$92-SUM(E$99:E117))</f>
        <v>6130959.5785784042</v>
      </c>
      <c r="E118" s="522">
        <f>IF(+J96&lt;F117,J96,D118)</f>
        <v>272474.53658536583</v>
      </c>
      <c r="F118" s="523">
        <f t="shared" si="16"/>
        <v>5858485.0419930387</v>
      </c>
      <c r="G118" s="523">
        <f t="shared" si="17"/>
        <v>5994722.310285721</v>
      </c>
      <c r="H118" s="526">
        <f t="shared" si="18"/>
        <v>952960.80195121351</v>
      </c>
      <c r="I118" s="577">
        <f t="shared" si="19"/>
        <v>952960.80195121351</v>
      </c>
      <c r="J118" s="514">
        <f t="shared" si="11"/>
        <v>0</v>
      </c>
      <c r="K118" s="514"/>
      <c r="L118" s="525"/>
      <c r="M118" s="514">
        <f t="shared" si="20"/>
        <v>0</v>
      </c>
      <c r="N118" s="525"/>
      <c r="O118" s="514">
        <f t="shared" si="13"/>
        <v>0</v>
      </c>
      <c r="P118" s="514">
        <f t="shared" si="14"/>
        <v>0</v>
      </c>
    </row>
    <row r="119" spans="2:16" ht="12.5">
      <c r="B119" s="195" t="str">
        <f t="shared" si="15"/>
        <v/>
      </c>
      <c r="C119" s="507">
        <f>IF(D93="","-",+C118+1)</f>
        <v>2038</v>
      </c>
      <c r="D119" s="374">
        <f>IF(F118+SUM(E$99:E118)=D$92,F118,D$92-SUM(E$99:E118))</f>
        <v>5858485.0419930387</v>
      </c>
      <c r="E119" s="522">
        <f>IF(+J96&lt;F118,J96,D119)</f>
        <v>272474.53658536583</v>
      </c>
      <c r="F119" s="523">
        <f t="shared" si="16"/>
        <v>5586010.5054076733</v>
      </c>
      <c r="G119" s="523">
        <f t="shared" si="17"/>
        <v>5722247.7737003565</v>
      </c>
      <c r="H119" s="526">
        <f t="shared" si="18"/>
        <v>922031.0657247114</v>
      </c>
      <c r="I119" s="577">
        <f t="shared" si="19"/>
        <v>922031.0657247114</v>
      </c>
      <c r="J119" s="514">
        <f t="shared" si="11"/>
        <v>0</v>
      </c>
      <c r="K119" s="514"/>
      <c r="L119" s="525"/>
      <c r="M119" s="514">
        <f t="shared" si="20"/>
        <v>0</v>
      </c>
      <c r="N119" s="525"/>
      <c r="O119" s="514">
        <f t="shared" si="13"/>
        <v>0</v>
      </c>
      <c r="P119" s="514">
        <f t="shared" si="14"/>
        <v>0</v>
      </c>
    </row>
    <row r="120" spans="2:16" ht="12.5">
      <c r="B120" s="195" t="str">
        <f t="shared" si="15"/>
        <v/>
      </c>
      <c r="C120" s="507">
        <f>IF(D93="","-",+C119+1)</f>
        <v>2039</v>
      </c>
      <c r="D120" s="374">
        <f>IF(F119+SUM(E$99:E119)=D$92,F119,D$92-SUM(E$99:E119))</f>
        <v>5586010.5054076733</v>
      </c>
      <c r="E120" s="522">
        <f>IF(+J96&lt;F119,J96,D120)</f>
        <v>272474.53658536583</v>
      </c>
      <c r="F120" s="523">
        <f t="shared" si="16"/>
        <v>5313535.9688223079</v>
      </c>
      <c r="G120" s="523">
        <f t="shared" si="17"/>
        <v>5449773.2371149901</v>
      </c>
      <c r="H120" s="526">
        <f t="shared" si="18"/>
        <v>891101.32949820906</v>
      </c>
      <c r="I120" s="577">
        <f t="shared" si="19"/>
        <v>891101.32949820906</v>
      </c>
      <c r="J120" s="514">
        <f t="shared" si="11"/>
        <v>0</v>
      </c>
      <c r="K120" s="514"/>
      <c r="L120" s="525"/>
      <c r="M120" s="514">
        <f t="shared" si="20"/>
        <v>0</v>
      </c>
      <c r="N120" s="525"/>
      <c r="O120" s="514">
        <f t="shared" si="13"/>
        <v>0</v>
      </c>
      <c r="P120" s="514">
        <f t="shared" si="14"/>
        <v>0</v>
      </c>
    </row>
    <row r="121" spans="2:16" ht="12.5">
      <c r="B121" s="195" t="str">
        <f t="shared" si="15"/>
        <v/>
      </c>
      <c r="C121" s="507">
        <f>IF(D93="","-",+C120+1)</f>
        <v>2040</v>
      </c>
      <c r="D121" s="374">
        <f>IF(F120+SUM(E$99:E120)=D$92,F120,D$92-SUM(E$99:E120))</f>
        <v>5313535.9688223079</v>
      </c>
      <c r="E121" s="522">
        <f>IF(+J96&lt;F120,J96,D121)</f>
        <v>272474.53658536583</v>
      </c>
      <c r="F121" s="523">
        <f t="shared" si="16"/>
        <v>5041061.4322369425</v>
      </c>
      <c r="G121" s="523">
        <f t="shared" si="17"/>
        <v>5177298.7005296256</v>
      </c>
      <c r="H121" s="526">
        <f t="shared" si="18"/>
        <v>860171.59327170695</v>
      </c>
      <c r="I121" s="577">
        <f t="shared" si="19"/>
        <v>860171.59327170695</v>
      </c>
      <c r="J121" s="514">
        <f t="shared" si="11"/>
        <v>0</v>
      </c>
      <c r="K121" s="514"/>
      <c r="L121" s="525"/>
      <c r="M121" s="514">
        <f t="shared" si="20"/>
        <v>0</v>
      </c>
      <c r="N121" s="525"/>
      <c r="O121" s="514">
        <f t="shared" si="13"/>
        <v>0</v>
      </c>
      <c r="P121" s="514">
        <f t="shared" si="14"/>
        <v>0</v>
      </c>
    </row>
    <row r="122" spans="2:16" ht="12.5">
      <c r="B122" s="195" t="str">
        <f t="shared" si="15"/>
        <v/>
      </c>
      <c r="C122" s="507">
        <f>IF(D93="","-",+C121+1)</f>
        <v>2041</v>
      </c>
      <c r="D122" s="374">
        <f>IF(F121+SUM(E$99:E121)=D$92,F121,D$92-SUM(E$99:E121))</f>
        <v>5041061.4322369425</v>
      </c>
      <c r="E122" s="522">
        <f>IF(+J96&lt;F121,J96,D122)</f>
        <v>272474.53658536583</v>
      </c>
      <c r="F122" s="523">
        <f t="shared" si="16"/>
        <v>4768586.895651577</v>
      </c>
      <c r="G122" s="523">
        <f t="shared" si="17"/>
        <v>4904824.1639442593</v>
      </c>
      <c r="H122" s="526">
        <f t="shared" si="18"/>
        <v>829241.85704520461</v>
      </c>
      <c r="I122" s="577">
        <f t="shared" si="19"/>
        <v>829241.85704520461</v>
      </c>
      <c r="J122" s="514">
        <f t="shared" si="11"/>
        <v>0</v>
      </c>
      <c r="K122" s="514"/>
      <c r="L122" s="525"/>
      <c r="M122" s="514">
        <f t="shared" si="20"/>
        <v>0</v>
      </c>
      <c r="N122" s="525"/>
      <c r="O122" s="514">
        <f t="shared" si="13"/>
        <v>0</v>
      </c>
      <c r="P122" s="514">
        <f t="shared" si="14"/>
        <v>0</v>
      </c>
    </row>
    <row r="123" spans="2:16" ht="12.5">
      <c r="B123" s="195" t="str">
        <f t="shared" si="15"/>
        <v/>
      </c>
      <c r="C123" s="507">
        <f>IF(D93="","-",+C122+1)</f>
        <v>2042</v>
      </c>
      <c r="D123" s="374">
        <f>IF(F122+SUM(E$99:E122)=D$92,F122,D$92-SUM(E$99:E122))</f>
        <v>4768586.895651577</v>
      </c>
      <c r="E123" s="522">
        <f>IF(+J96&lt;F122,J96,D123)</f>
        <v>272474.53658536583</v>
      </c>
      <c r="F123" s="523">
        <f t="shared" si="16"/>
        <v>4496112.3590662116</v>
      </c>
      <c r="G123" s="523">
        <f t="shared" si="17"/>
        <v>4632349.6273588948</v>
      </c>
      <c r="H123" s="526">
        <f t="shared" si="18"/>
        <v>798312.1208187025</v>
      </c>
      <c r="I123" s="577">
        <f t="shared" si="19"/>
        <v>798312.1208187025</v>
      </c>
      <c r="J123" s="514">
        <f t="shared" si="11"/>
        <v>0</v>
      </c>
      <c r="K123" s="514"/>
      <c r="L123" s="525"/>
      <c r="M123" s="514">
        <f t="shared" si="20"/>
        <v>0</v>
      </c>
      <c r="N123" s="525"/>
      <c r="O123" s="514">
        <f t="shared" si="13"/>
        <v>0</v>
      </c>
      <c r="P123" s="514">
        <f t="shared" si="14"/>
        <v>0</v>
      </c>
    </row>
    <row r="124" spans="2:16" ht="12.5">
      <c r="B124" s="195" t="str">
        <f t="shared" si="15"/>
        <v/>
      </c>
      <c r="C124" s="507">
        <f>IF(D93="","-",+C123+1)</f>
        <v>2043</v>
      </c>
      <c r="D124" s="374">
        <f>IF(F123+SUM(E$99:E123)=D$92,F123,D$92-SUM(E$99:E123))</f>
        <v>4496112.3590662116</v>
      </c>
      <c r="E124" s="522">
        <f>IF(+J96&lt;F123,J96,D124)</f>
        <v>272474.53658536583</v>
      </c>
      <c r="F124" s="523">
        <f t="shared" si="16"/>
        <v>4223637.8224808462</v>
      </c>
      <c r="G124" s="523">
        <f t="shared" si="17"/>
        <v>4359875.0907735284</v>
      </c>
      <c r="H124" s="526">
        <f t="shared" si="18"/>
        <v>767382.38459220016</v>
      </c>
      <c r="I124" s="577">
        <f t="shared" si="19"/>
        <v>767382.38459220016</v>
      </c>
      <c r="J124" s="514">
        <f t="shared" si="11"/>
        <v>0</v>
      </c>
      <c r="K124" s="514"/>
      <c r="L124" s="525"/>
      <c r="M124" s="514">
        <f t="shared" si="20"/>
        <v>0</v>
      </c>
      <c r="N124" s="525"/>
      <c r="O124" s="514">
        <f t="shared" si="13"/>
        <v>0</v>
      </c>
      <c r="P124" s="514">
        <f t="shared" si="14"/>
        <v>0</v>
      </c>
    </row>
    <row r="125" spans="2:16" ht="12.5">
      <c r="B125" s="195" t="str">
        <f t="shared" si="15"/>
        <v/>
      </c>
      <c r="C125" s="507">
        <f>IF(D93="","-",+C124+1)</f>
        <v>2044</v>
      </c>
      <c r="D125" s="374">
        <f>IF(F124+SUM(E$99:E124)=D$92,F124,D$92-SUM(E$99:E124))</f>
        <v>4223637.8224808462</v>
      </c>
      <c r="E125" s="522">
        <f>IF(+J96&lt;F124,J96,D125)</f>
        <v>272474.53658536583</v>
      </c>
      <c r="F125" s="523">
        <f t="shared" si="16"/>
        <v>3951163.2858954803</v>
      </c>
      <c r="G125" s="523">
        <f t="shared" si="17"/>
        <v>4087400.554188163</v>
      </c>
      <c r="H125" s="526">
        <f t="shared" si="18"/>
        <v>736452.64836569782</v>
      </c>
      <c r="I125" s="577">
        <f t="shared" si="19"/>
        <v>736452.64836569782</v>
      </c>
      <c r="J125" s="514">
        <f t="shared" si="11"/>
        <v>0</v>
      </c>
      <c r="K125" s="514"/>
      <c r="L125" s="525"/>
      <c r="M125" s="514">
        <f t="shared" si="20"/>
        <v>0</v>
      </c>
      <c r="N125" s="525"/>
      <c r="O125" s="514">
        <f t="shared" si="13"/>
        <v>0</v>
      </c>
      <c r="P125" s="514">
        <f t="shared" si="14"/>
        <v>0</v>
      </c>
    </row>
    <row r="126" spans="2:16" ht="12.5">
      <c r="B126" s="195" t="str">
        <f t="shared" si="15"/>
        <v/>
      </c>
      <c r="C126" s="507">
        <f>IF(D93="","-",+C125+1)</f>
        <v>2045</v>
      </c>
      <c r="D126" s="374">
        <f>IF(F125+SUM(E$99:E125)=D$92,F125,D$92-SUM(E$99:E125))</f>
        <v>3951163.2858954803</v>
      </c>
      <c r="E126" s="522">
        <f>IF(+J96&lt;F125,J96,D126)</f>
        <v>272474.53658536583</v>
      </c>
      <c r="F126" s="523">
        <f t="shared" si="16"/>
        <v>3678688.7493101144</v>
      </c>
      <c r="G126" s="523">
        <f t="shared" si="17"/>
        <v>3814926.0176027976</v>
      </c>
      <c r="H126" s="526">
        <f t="shared" si="18"/>
        <v>705522.91213919572</v>
      </c>
      <c r="I126" s="577">
        <f t="shared" si="19"/>
        <v>705522.91213919572</v>
      </c>
      <c r="J126" s="514">
        <f t="shared" si="11"/>
        <v>0</v>
      </c>
      <c r="K126" s="514"/>
      <c r="L126" s="525"/>
      <c r="M126" s="514">
        <f t="shared" si="20"/>
        <v>0</v>
      </c>
      <c r="N126" s="525"/>
      <c r="O126" s="514">
        <f t="shared" si="13"/>
        <v>0</v>
      </c>
      <c r="P126" s="514">
        <f t="shared" si="14"/>
        <v>0</v>
      </c>
    </row>
    <row r="127" spans="2:16" ht="12.5">
      <c r="B127" s="195" t="str">
        <f t="shared" si="15"/>
        <v/>
      </c>
      <c r="C127" s="507">
        <f>IF(D93="","-",+C126+1)</f>
        <v>2046</v>
      </c>
      <c r="D127" s="374">
        <f>IF(F126+SUM(E$99:E126)=D$92,F126,D$92-SUM(E$99:E126))</f>
        <v>3678688.7493101144</v>
      </c>
      <c r="E127" s="522">
        <f>IF(+J96&lt;F126,J96,D127)</f>
        <v>272474.53658536583</v>
      </c>
      <c r="F127" s="523">
        <f t="shared" si="16"/>
        <v>3406214.2127247485</v>
      </c>
      <c r="G127" s="523">
        <f t="shared" si="17"/>
        <v>3542451.4810174312</v>
      </c>
      <c r="H127" s="526">
        <f t="shared" si="18"/>
        <v>674593.17591269338</v>
      </c>
      <c r="I127" s="577">
        <f t="shared" si="19"/>
        <v>674593.17591269338</v>
      </c>
      <c r="J127" s="514">
        <f t="shared" si="11"/>
        <v>0</v>
      </c>
      <c r="K127" s="514"/>
      <c r="L127" s="525"/>
      <c r="M127" s="514">
        <f t="shared" si="20"/>
        <v>0</v>
      </c>
      <c r="N127" s="525"/>
      <c r="O127" s="514">
        <f t="shared" si="13"/>
        <v>0</v>
      </c>
      <c r="P127" s="514">
        <f t="shared" si="14"/>
        <v>0</v>
      </c>
    </row>
    <row r="128" spans="2:16" ht="12.5">
      <c r="B128" s="195" t="str">
        <f t="shared" si="15"/>
        <v/>
      </c>
      <c r="C128" s="507">
        <f>IF(D93="","-",+C127+1)</f>
        <v>2047</v>
      </c>
      <c r="D128" s="374">
        <f>IF(F127+SUM(E$99:E127)=D$92,F127,D$92-SUM(E$99:E127))</f>
        <v>3406214.2127247485</v>
      </c>
      <c r="E128" s="522">
        <f>IF(+J96&lt;F127,J96,D128)</f>
        <v>272474.53658536583</v>
      </c>
      <c r="F128" s="523">
        <f t="shared" si="16"/>
        <v>3133739.6761393826</v>
      </c>
      <c r="G128" s="523">
        <f t="shared" si="17"/>
        <v>3269976.9444320658</v>
      </c>
      <c r="H128" s="526">
        <f t="shared" si="18"/>
        <v>643663.43968619115</v>
      </c>
      <c r="I128" s="577">
        <f t="shared" si="19"/>
        <v>643663.43968619115</v>
      </c>
      <c r="J128" s="514">
        <f t="shared" si="11"/>
        <v>0</v>
      </c>
      <c r="K128" s="514"/>
      <c r="L128" s="525"/>
      <c r="M128" s="514">
        <f t="shared" si="20"/>
        <v>0</v>
      </c>
      <c r="N128" s="525"/>
      <c r="O128" s="514">
        <f t="shared" si="13"/>
        <v>0</v>
      </c>
      <c r="P128" s="514">
        <f t="shared" si="14"/>
        <v>0</v>
      </c>
    </row>
    <row r="129" spans="2:16" ht="12.5">
      <c r="B129" s="195" t="str">
        <f t="shared" si="15"/>
        <v/>
      </c>
      <c r="C129" s="507">
        <f>IF(D93="","-",+C128+1)</f>
        <v>2048</v>
      </c>
      <c r="D129" s="374">
        <f>IF(F128+SUM(E$99:E128)=D$92,F128,D$92-SUM(E$99:E128))</f>
        <v>3133739.6761393826</v>
      </c>
      <c r="E129" s="522">
        <f>IF(+J96&lt;F128,J96,D129)</f>
        <v>272474.53658536583</v>
      </c>
      <c r="F129" s="523">
        <f t="shared" si="16"/>
        <v>2861265.1395540168</v>
      </c>
      <c r="G129" s="523">
        <f t="shared" si="17"/>
        <v>2997502.4078466995</v>
      </c>
      <c r="H129" s="526">
        <f t="shared" si="18"/>
        <v>612733.70345968881</v>
      </c>
      <c r="I129" s="577">
        <f t="shared" si="19"/>
        <v>612733.70345968881</v>
      </c>
      <c r="J129" s="514">
        <f t="shared" si="11"/>
        <v>0</v>
      </c>
      <c r="K129" s="514"/>
      <c r="L129" s="525"/>
      <c r="M129" s="514">
        <f t="shared" si="20"/>
        <v>0</v>
      </c>
      <c r="N129" s="525"/>
      <c r="O129" s="514">
        <f t="shared" si="13"/>
        <v>0</v>
      </c>
      <c r="P129" s="514">
        <f t="shared" si="14"/>
        <v>0</v>
      </c>
    </row>
    <row r="130" spans="2:16" ht="12.5">
      <c r="B130" s="195" t="str">
        <f t="shared" si="15"/>
        <v/>
      </c>
      <c r="C130" s="507">
        <f>IF(D93="","-",+C129+1)</f>
        <v>2049</v>
      </c>
      <c r="D130" s="374">
        <f>IF(F129+SUM(E$99:E129)=D$92,F129,D$92-SUM(E$99:E129))</f>
        <v>2861265.1395540168</v>
      </c>
      <c r="E130" s="522">
        <f>IF(+J96&lt;F129,J96,D130)</f>
        <v>272474.53658536583</v>
      </c>
      <c r="F130" s="523">
        <f t="shared" si="16"/>
        <v>2588790.6029686509</v>
      </c>
      <c r="G130" s="523">
        <f t="shared" si="17"/>
        <v>2725027.871261334</v>
      </c>
      <c r="H130" s="526">
        <f t="shared" si="18"/>
        <v>581803.96723318659</v>
      </c>
      <c r="I130" s="577">
        <f t="shared" si="19"/>
        <v>581803.96723318659</v>
      </c>
      <c r="J130" s="514">
        <f t="shared" si="11"/>
        <v>0</v>
      </c>
      <c r="K130" s="514"/>
      <c r="L130" s="525"/>
      <c r="M130" s="514">
        <f t="shared" si="20"/>
        <v>0</v>
      </c>
      <c r="N130" s="525"/>
      <c r="O130" s="514">
        <f t="shared" si="13"/>
        <v>0</v>
      </c>
      <c r="P130" s="514">
        <f t="shared" si="14"/>
        <v>0</v>
      </c>
    </row>
    <row r="131" spans="2:16" ht="12.5">
      <c r="B131" s="195" t="str">
        <f t="shared" si="15"/>
        <v/>
      </c>
      <c r="C131" s="507">
        <f>IF(D93="","-",+C130+1)</f>
        <v>2050</v>
      </c>
      <c r="D131" s="374">
        <f>IF(F130+SUM(E$99:E130)=D$92,F130,D$92-SUM(E$99:E130))</f>
        <v>2588790.6029686509</v>
      </c>
      <c r="E131" s="522">
        <f>IF(+J96&lt;F130,J96,D131)</f>
        <v>272474.53658536583</v>
      </c>
      <c r="F131" s="523">
        <f t="shared" si="16"/>
        <v>2316316.066383285</v>
      </c>
      <c r="G131" s="523">
        <f t="shared" si="17"/>
        <v>2452553.3346759677</v>
      </c>
      <c r="H131" s="526">
        <f t="shared" si="18"/>
        <v>550874.23100668425</v>
      </c>
      <c r="I131" s="577">
        <f t="shared" si="19"/>
        <v>550874.23100668425</v>
      </c>
      <c r="J131" s="514">
        <f t="shared" ref="J131:J154" si="21">+I541-H541</f>
        <v>0</v>
      </c>
      <c r="K131" s="514"/>
      <c r="L131" s="525"/>
      <c r="M131" s="514">
        <f t="shared" ref="M131:M154" si="22">IF(L541&lt;&gt;0,+H541-L541,0)</f>
        <v>0</v>
      </c>
      <c r="N131" s="525"/>
      <c r="O131" s="514">
        <f t="shared" ref="O131:O154" si="23">IF(N541&lt;&gt;0,+I541-N541,0)</f>
        <v>0</v>
      </c>
      <c r="P131" s="514">
        <f t="shared" ref="P131:P154" si="24">+O541-M541</f>
        <v>0</v>
      </c>
    </row>
    <row r="132" spans="2:16" ht="12.5">
      <c r="B132" s="195" t="str">
        <f t="shared" si="15"/>
        <v/>
      </c>
      <c r="C132" s="507">
        <f>IF(D93="","-",+C131+1)</f>
        <v>2051</v>
      </c>
      <c r="D132" s="374">
        <f>IF(F131+SUM(E$99:E131)=D$92,F131,D$92-SUM(E$99:E131))</f>
        <v>2316316.066383285</v>
      </c>
      <c r="E132" s="522">
        <f>IF(+J96&lt;F131,J96,D132)</f>
        <v>272474.53658536583</v>
      </c>
      <c r="F132" s="523">
        <f t="shared" si="16"/>
        <v>2043841.5297979191</v>
      </c>
      <c r="G132" s="523">
        <f t="shared" si="17"/>
        <v>2180078.7980906023</v>
      </c>
      <c r="H132" s="526">
        <f t="shared" si="18"/>
        <v>519944.49478018208</v>
      </c>
      <c r="I132" s="577">
        <f t="shared" si="19"/>
        <v>519944.49478018208</v>
      </c>
      <c r="J132" s="514">
        <f t="shared" si="21"/>
        <v>0</v>
      </c>
      <c r="K132" s="514"/>
      <c r="L132" s="525"/>
      <c r="M132" s="514">
        <f t="shared" si="22"/>
        <v>0</v>
      </c>
      <c r="N132" s="525"/>
      <c r="O132" s="514">
        <f t="shared" si="23"/>
        <v>0</v>
      </c>
      <c r="P132" s="514">
        <f t="shared" si="24"/>
        <v>0</v>
      </c>
    </row>
    <row r="133" spans="2:16" ht="12.5">
      <c r="B133" s="195" t="str">
        <f t="shared" si="15"/>
        <v/>
      </c>
      <c r="C133" s="507">
        <f>IF(D93="","-",+C132+1)</f>
        <v>2052</v>
      </c>
      <c r="D133" s="374">
        <f>IF(F132+SUM(E$99:E132)=D$92,F132,D$92-SUM(E$99:E132))</f>
        <v>2043841.5297979191</v>
      </c>
      <c r="E133" s="522">
        <f>IF(+J96&lt;F132,J96,D133)</f>
        <v>272474.53658536583</v>
      </c>
      <c r="F133" s="523">
        <f t="shared" si="16"/>
        <v>1771366.9932125532</v>
      </c>
      <c r="G133" s="523">
        <f t="shared" si="17"/>
        <v>1907604.2615052362</v>
      </c>
      <c r="H133" s="526">
        <f t="shared" si="18"/>
        <v>489014.7585536798</v>
      </c>
      <c r="I133" s="577">
        <f t="shared" si="19"/>
        <v>489014.7585536798</v>
      </c>
      <c r="J133" s="514">
        <f t="shared" si="21"/>
        <v>0</v>
      </c>
      <c r="K133" s="514"/>
      <c r="L133" s="525"/>
      <c r="M133" s="514">
        <f t="shared" si="22"/>
        <v>0</v>
      </c>
      <c r="N133" s="525"/>
      <c r="O133" s="514">
        <f t="shared" si="23"/>
        <v>0</v>
      </c>
      <c r="P133" s="514">
        <f t="shared" si="24"/>
        <v>0</v>
      </c>
    </row>
    <row r="134" spans="2:16" ht="12.5">
      <c r="B134" s="195" t="str">
        <f t="shared" si="15"/>
        <v/>
      </c>
      <c r="C134" s="507">
        <f>IF(D93="","-",+C133+1)</f>
        <v>2053</v>
      </c>
      <c r="D134" s="374">
        <f>IF(F133+SUM(E$99:E133)=D$92,F133,D$92-SUM(E$99:E133))</f>
        <v>1771366.9932125532</v>
      </c>
      <c r="E134" s="522">
        <f>IF(+J96&lt;F133,J96,D134)</f>
        <v>272474.53658536583</v>
      </c>
      <c r="F134" s="523">
        <f t="shared" si="16"/>
        <v>1498892.4566271873</v>
      </c>
      <c r="G134" s="523">
        <f t="shared" si="17"/>
        <v>1635129.7249198703</v>
      </c>
      <c r="H134" s="526">
        <f t="shared" si="18"/>
        <v>458085.02232717752</v>
      </c>
      <c r="I134" s="577">
        <f t="shared" si="19"/>
        <v>458085.02232717752</v>
      </c>
      <c r="J134" s="514">
        <f t="shared" si="21"/>
        <v>0</v>
      </c>
      <c r="K134" s="514"/>
      <c r="L134" s="525"/>
      <c r="M134" s="514">
        <f t="shared" si="22"/>
        <v>0</v>
      </c>
      <c r="N134" s="525"/>
      <c r="O134" s="514">
        <f t="shared" si="23"/>
        <v>0</v>
      </c>
      <c r="P134" s="514">
        <f t="shared" si="24"/>
        <v>0</v>
      </c>
    </row>
    <row r="135" spans="2:16" ht="12.5">
      <c r="B135" s="195" t="str">
        <f t="shared" si="15"/>
        <v/>
      </c>
      <c r="C135" s="507">
        <f>IF(D93="","-",+C134+1)</f>
        <v>2054</v>
      </c>
      <c r="D135" s="374">
        <f>IF(F134+SUM(E$99:E134)=D$92,F134,D$92-SUM(E$99:E134))</f>
        <v>1498892.4566271873</v>
      </c>
      <c r="E135" s="522">
        <f>IF(+J96&lt;F134,J96,D135)</f>
        <v>272474.53658536583</v>
      </c>
      <c r="F135" s="523">
        <f t="shared" si="16"/>
        <v>1226417.9200418214</v>
      </c>
      <c r="G135" s="523">
        <f t="shared" si="17"/>
        <v>1362655.1883345044</v>
      </c>
      <c r="H135" s="526">
        <f t="shared" si="18"/>
        <v>427155.28610067524</v>
      </c>
      <c r="I135" s="577">
        <f t="shared" si="19"/>
        <v>427155.28610067524</v>
      </c>
      <c r="J135" s="514">
        <f t="shared" si="21"/>
        <v>0</v>
      </c>
      <c r="K135" s="514"/>
      <c r="L135" s="525"/>
      <c r="M135" s="514">
        <f t="shared" si="22"/>
        <v>0</v>
      </c>
      <c r="N135" s="525"/>
      <c r="O135" s="514">
        <f t="shared" si="23"/>
        <v>0</v>
      </c>
      <c r="P135" s="514">
        <f t="shared" si="24"/>
        <v>0</v>
      </c>
    </row>
    <row r="136" spans="2:16" ht="12.5">
      <c r="B136" s="195" t="str">
        <f t="shared" si="15"/>
        <v/>
      </c>
      <c r="C136" s="507">
        <f>IF(D93="","-",+C135+1)</f>
        <v>2055</v>
      </c>
      <c r="D136" s="374">
        <f>IF(F135+SUM(E$99:E135)=D$92,F135,D$92-SUM(E$99:E135))</f>
        <v>1226417.9200418214</v>
      </c>
      <c r="E136" s="522">
        <f>IF(+J96&lt;F135,J96,D136)</f>
        <v>272474.53658536583</v>
      </c>
      <c r="F136" s="523">
        <f t="shared" si="16"/>
        <v>953943.38345645554</v>
      </c>
      <c r="G136" s="523">
        <f t="shared" si="17"/>
        <v>1090180.6517491385</v>
      </c>
      <c r="H136" s="526">
        <f t="shared" si="18"/>
        <v>396225.54987417295</v>
      </c>
      <c r="I136" s="577">
        <f t="shared" si="19"/>
        <v>396225.54987417295</v>
      </c>
      <c r="J136" s="514">
        <f t="shared" si="21"/>
        <v>0</v>
      </c>
      <c r="K136" s="514"/>
      <c r="L136" s="525"/>
      <c r="M136" s="514">
        <f t="shared" si="22"/>
        <v>0</v>
      </c>
      <c r="N136" s="525"/>
      <c r="O136" s="514">
        <f t="shared" si="23"/>
        <v>0</v>
      </c>
      <c r="P136" s="514">
        <f t="shared" si="24"/>
        <v>0</v>
      </c>
    </row>
    <row r="137" spans="2:16" ht="12.5">
      <c r="B137" s="195" t="str">
        <f t="shared" si="15"/>
        <v/>
      </c>
      <c r="C137" s="507">
        <f>IF(D93="","-",+C136+1)</f>
        <v>2056</v>
      </c>
      <c r="D137" s="374">
        <f>IF(F136+SUM(E$99:E136)=D$92,F136,D$92-SUM(E$99:E136))</f>
        <v>953943.38345645554</v>
      </c>
      <c r="E137" s="522">
        <f>IF(+J96&lt;F136,J96,D137)</f>
        <v>272474.53658536583</v>
      </c>
      <c r="F137" s="523">
        <f t="shared" si="16"/>
        <v>681468.84687108966</v>
      </c>
      <c r="G137" s="523">
        <f t="shared" si="17"/>
        <v>817706.1151637726</v>
      </c>
      <c r="H137" s="526">
        <f t="shared" si="18"/>
        <v>365295.81364767067</v>
      </c>
      <c r="I137" s="577">
        <f t="shared" si="19"/>
        <v>365295.81364767067</v>
      </c>
      <c r="J137" s="514">
        <f t="shared" si="21"/>
        <v>0</v>
      </c>
      <c r="K137" s="514"/>
      <c r="L137" s="525"/>
      <c r="M137" s="514">
        <f t="shared" si="22"/>
        <v>0</v>
      </c>
      <c r="N137" s="525"/>
      <c r="O137" s="514">
        <f t="shared" si="23"/>
        <v>0</v>
      </c>
      <c r="P137" s="514">
        <f t="shared" si="24"/>
        <v>0</v>
      </c>
    </row>
    <row r="138" spans="2:16" ht="12.5">
      <c r="B138" s="195" t="str">
        <f t="shared" si="15"/>
        <v/>
      </c>
      <c r="C138" s="507">
        <f>IF(D93="","-",+C137+1)</f>
        <v>2057</v>
      </c>
      <c r="D138" s="374">
        <f>IF(F137+SUM(E$99:E137)=D$92,F137,D$92-SUM(E$99:E137))</f>
        <v>681468.84687108966</v>
      </c>
      <c r="E138" s="522">
        <f>IF(+J96&lt;F137,J96,D138)</f>
        <v>272474.53658536583</v>
      </c>
      <c r="F138" s="523">
        <f t="shared" si="16"/>
        <v>408994.31028572383</v>
      </c>
      <c r="G138" s="523">
        <f t="shared" si="17"/>
        <v>545231.57857840671</v>
      </c>
      <c r="H138" s="526">
        <f t="shared" si="18"/>
        <v>334366.07742116845</v>
      </c>
      <c r="I138" s="577">
        <f t="shared" si="19"/>
        <v>334366.07742116845</v>
      </c>
      <c r="J138" s="514">
        <f t="shared" si="21"/>
        <v>0</v>
      </c>
      <c r="K138" s="514"/>
      <c r="L138" s="525"/>
      <c r="M138" s="514">
        <f t="shared" si="22"/>
        <v>0</v>
      </c>
      <c r="N138" s="525"/>
      <c r="O138" s="514">
        <f t="shared" si="23"/>
        <v>0</v>
      </c>
      <c r="P138" s="514">
        <f t="shared" si="24"/>
        <v>0</v>
      </c>
    </row>
    <row r="139" spans="2:16" ht="12.5">
      <c r="B139" s="195" t="str">
        <f t="shared" si="15"/>
        <v/>
      </c>
      <c r="C139" s="507">
        <f>IF(D93="","-",+C138+1)</f>
        <v>2058</v>
      </c>
      <c r="D139" s="374">
        <f>IF(F138+SUM(E$99:E138)=D$92,F138,D$92-SUM(E$99:E138))</f>
        <v>408994.31028572383</v>
      </c>
      <c r="E139" s="522">
        <f>IF(+J96&lt;F138,J96,D139)</f>
        <v>272474.53658536583</v>
      </c>
      <c r="F139" s="523">
        <f t="shared" si="16"/>
        <v>136519.773700358</v>
      </c>
      <c r="G139" s="523">
        <f t="shared" si="17"/>
        <v>272757.04199304094</v>
      </c>
      <c r="H139" s="526">
        <f t="shared" si="18"/>
        <v>303436.34119466617</v>
      </c>
      <c r="I139" s="577">
        <f t="shared" si="19"/>
        <v>303436.34119466617</v>
      </c>
      <c r="J139" s="514">
        <f t="shared" si="21"/>
        <v>0</v>
      </c>
      <c r="K139" s="514"/>
      <c r="L139" s="525"/>
      <c r="M139" s="514">
        <f t="shared" si="22"/>
        <v>0</v>
      </c>
      <c r="N139" s="525"/>
      <c r="O139" s="514">
        <f t="shared" si="23"/>
        <v>0</v>
      </c>
      <c r="P139" s="514">
        <f t="shared" si="24"/>
        <v>0</v>
      </c>
    </row>
    <row r="140" spans="2:16" ht="12.5">
      <c r="B140" s="195" t="str">
        <f t="shared" si="15"/>
        <v/>
      </c>
      <c r="C140" s="507">
        <f>IF(D93="","-",+C139+1)</f>
        <v>2059</v>
      </c>
      <c r="D140" s="374">
        <f>IF(F139+SUM(E$99:E139)=D$92,F139,D$92-SUM(E$99:E139))</f>
        <v>136519.773700358</v>
      </c>
      <c r="E140" s="522">
        <f>IF(+J96&lt;F139,J96,D140)</f>
        <v>136519.773700358</v>
      </c>
      <c r="F140" s="523">
        <f t="shared" si="16"/>
        <v>0</v>
      </c>
      <c r="G140" s="523">
        <f t="shared" si="17"/>
        <v>68259.886850178998</v>
      </c>
      <c r="H140" s="526">
        <f t="shared" si="18"/>
        <v>144268.24194838261</v>
      </c>
      <c r="I140" s="577">
        <f t="shared" si="19"/>
        <v>144268.24194838261</v>
      </c>
      <c r="J140" s="514">
        <f t="shared" si="21"/>
        <v>0</v>
      </c>
      <c r="K140" s="514"/>
      <c r="L140" s="525"/>
      <c r="M140" s="514">
        <f t="shared" si="22"/>
        <v>0</v>
      </c>
      <c r="N140" s="525"/>
      <c r="O140" s="514">
        <f t="shared" si="23"/>
        <v>0</v>
      </c>
      <c r="P140" s="514">
        <f t="shared" si="24"/>
        <v>0</v>
      </c>
    </row>
    <row r="141" spans="2:16" ht="12.5">
      <c r="B141" s="195" t="str">
        <f t="shared" si="15"/>
        <v/>
      </c>
      <c r="C141" s="507">
        <f>IF(D93="","-",+C140+1)</f>
        <v>2060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16"/>
        <v>0</v>
      </c>
      <c r="G141" s="523">
        <f t="shared" si="17"/>
        <v>0</v>
      </c>
      <c r="H141" s="526">
        <f t="shared" si="18"/>
        <v>0</v>
      </c>
      <c r="I141" s="577">
        <f t="shared" si="19"/>
        <v>0</v>
      </c>
      <c r="J141" s="514">
        <f t="shared" si="21"/>
        <v>0</v>
      </c>
      <c r="K141" s="514"/>
      <c r="L141" s="525"/>
      <c r="M141" s="514">
        <f t="shared" si="22"/>
        <v>0</v>
      </c>
      <c r="N141" s="525"/>
      <c r="O141" s="514">
        <f t="shared" si="23"/>
        <v>0</v>
      </c>
      <c r="P141" s="514">
        <f t="shared" si="24"/>
        <v>0</v>
      </c>
    </row>
    <row r="142" spans="2:16" ht="12.5">
      <c r="B142" s="195" t="str">
        <f t="shared" si="15"/>
        <v/>
      </c>
      <c r="C142" s="507">
        <f>IF(D93="","-",+C141+1)</f>
        <v>2061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6"/>
        <v>0</v>
      </c>
      <c r="G142" s="523">
        <f t="shared" si="17"/>
        <v>0</v>
      </c>
      <c r="H142" s="526">
        <f t="shared" si="18"/>
        <v>0</v>
      </c>
      <c r="I142" s="577">
        <f t="shared" si="19"/>
        <v>0</v>
      </c>
      <c r="J142" s="514">
        <f t="shared" si="21"/>
        <v>0</v>
      </c>
      <c r="K142" s="514"/>
      <c r="L142" s="525"/>
      <c r="M142" s="514">
        <f t="shared" si="22"/>
        <v>0</v>
      </c>
      <c r="N142" s="525"/>
      <c r="O142" s="514">
        <f t="shared" si="23"/>
        <v>0</v>
      </c>
      <c r="P142" s="514">
        <f t="shared" si="24"/>
        <v>0</v>
      </c>
    </row>
    <row r="143" spans="2:16" ht="12.5">
      <c r="B143" s="195" t="str">
        <f t="shared" si="15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6"/>
        <v>0</v>
      </c>
      <c r="G143" s="523">
        <f t="shared" si="17"/>
        <v>0</v>
      </c>
      <c r="H143" s="526">
        <f t="shared" si="18"/>
        <v>0</v>
      </c>
      <c r="I143" s="577">
        <f t="shared" si="19"/>
        <v>0</v>
      </c>
      <c r="J143" s="514">
        <f t="shared" si="21"/>
        <v>0</v>
      </c>
      <c r="K143" s="514"/>
      <c r="L143" s="525"/>
      <c r="M143" s="514">
        <f t="shared" si="22"/>
        <v>0</v>
      </c>
      <c r="N143" s="525"/>
      <c r="O143" s="514">
        <f t="shared" si="23"/>
        <v>0</v>
      </c>
      <c r="P143" s="514">
        <f t="shared" si="24"/>
        <v>0</v>
      </c>
    </row>
    <row r="144" spans="2:16" ht="12.5">
      <c r="B144" s="195" t="str">
        <f t="shared" si="15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6"/>
        <v>0</v>
      </c>
      <c r="G144" s="523">
        <f t="shared" si="17"/>
        <v>0</v>
      </c>
      <c r="H144" s="526">
        <f t="shared" si="18"/>
        <v>0</v>
      </c>
      <c r="I144" s="577">
        <f t="shared" si="19"/>
        <v>0</v>
      </c>
      <c r="J144" s="514">
        <f t="shared" si="21"/>
        <v>0</v>
      </c>
      <c r="K144" s="514"/>
      <c r="L144" s="525"/>
      <c r="M144" s="514">
        <f t="shared" si="22"/>
        <v>0</v>
      </c>
      <c r="N144" s="525"/>
      <c r="O144" s="514">
        <f t="shared" si="23"/>
        <v>0</v>
      </c>
      <c r="P144" s="514">
        <f t="shared" si="24"/>
        <v>0</v>
      </c>
    </row>
    <row r="145" spans="2:16" ht="12.5">
      <c r="B145" s="195" t="str">
        <f t="shared" si="15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6"/>
        <v>0</v>
      </c>
      <c r="G145" s="523">
        <f t="shared" si="17"/>
        <v>0</v>
      </c>
      <c r="H145" s="526">
        <f t="shared" si="18"/>
        <v>0</v>
      </c>
      <c r="I145" s="577">
        <f t="shared" si="19"/>
        <v>0</v>
      </c>
      <c r="J145" s="514">
        <f t="shared" si="21"/>
        <v>0</v>
      </c>
      <c r="K145" s="514"/>
      <c r="L145" s="525"/>
      <c r="M145" s="514">
        <f t="shared" si="22"/>
        <v>0</v>
      </c>
      <c r="N145" s="525"/>
      <c r="O145" s="514">
        <f t="shared" si="23"/>
        <v>0</v>
      </c>
      <c r="P145" s="514">
        <f t="shared" si="24"/>
        <v>0</v>
      </c>
    </row>
    <row r="146" spans="2:16" ht="12.5">
      <c r="B146" s="195" t="str">
        <f t="shared" si="15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6"/>
        <v>0</v>
      </c>
      <c r="G146" s="523">
        <f t="shared" si="17"/>
        <v>0</v>
      </c>
      <c r="H146" s="526">
        <f t="shared" si="18"/>
        <v>0</v>
      </c>
      <c r="I146" s="577">
        <f t="shared" si="19"/>
        <v>0</v>
      </c>
      <c r="J146" s="514">
        <f t="shared" si="21"/>
        <v>0</v>
      </c>
      <c r="K146" s="514"/>
      <c r="L146" s="525"/>
      <c r="M146" s="514">
        <f t="shared" si="22"/>
        <v>0</v>
      </c>
      <c r="N146" s="525"/>
      <c r="O146" s="514">
        <f t="shared" si="23"/>
        <v>0</v>
      </c>
      <c r="P146" s="514">
        <f t="shared" si="24"/>
        <v>0</v>
      </c>
    </row>
    <row r="147" spans="2:16" ht="12.5">
      <c r="B147" s="195" t="str">
        <f t="shared" si="15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6"/>
        <v>0</v>
      </c>
      <c r="G147" s="523">
        <f t="shared" si="17"/>
        <v>0</v>
      </c>
      <c r="H147" s="526">
        <f t="shared" si="18"/>
        <v>0</v>
      </c>
      <c r="I147" s="577">
        <f t="shared" si="19"/>
        <v>0</v>
      </c>
      <c r="J147" s="514">
        <f t="shared" si="21"/>
        <v>0</v>
      </c>
      <c r="K147" s="514"/>
      <c r="L147" s="525"/>
      <c r="M147" s="514">
        <f t="shared" si="22"/>
        <v>0</v>
      </c>
      <c r="N147" s="525"/>
      <c r="O147" s="514">
        <f t="shared" si="23"/>
        <v>0</v>
      </c>
      <c r="P147" s="514">
        <f t="shared" si="24"/>
        <v>0</v>
      </c>
    </row>
    <row r="148" spans="2:16" ht="12.5">
      <c r="B148" s="195" t="str">
        <f t="shared" si="15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6"/>
        <v>0</v>
      </c>
      <c r="G148" s="523">
        <f t="shared" si="17"/>
        <v>0</v>
      </c>
      <c r="H148" s="526">
        <f t="shared" si="18"/>
        <v>0</v>
      </c>
      <c r="I148" s="577">
        <f t="shared" si="19"/>
        <v>0</v>
      </c>
      <c r="J148" s="514">
        <f t="shared" si="21"/>
        <v>0</v>
      </c>
      <c r="K148" s="514"/>
      <c r="L148" s="525"/>
      <c r="M148" s="514">
        <f t="shared" si="22"/>
        <v>0</v>
      </c>
      <c r="N148" s="525"/>
      <c r="O148" s="514">
        <f t="shared" si="23"/>
        <v>0</v>
      </c>
      <c r="P148" s="514">
        <f t="shared" si="24"/>
        <v>0</v>
      </c>
    </row>
    <row r="149" spans="2:16" ht="12.5">
      <c r="B149" s="195" t="str">
        <f t="shared" si="15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6"/>
        <v>0</v>
      </c>
      <c r="G149" s="523">
        <f t="shared" si="17"/>
        <v>0</v>
      </c>
      <c r="H149" s="526">
        <f t="shared" si="18"/>
        <v>0</v>
      </c>
      <c r="I149" s="577">
        <f t="shared" si="19"/>
        <v>0</v>
      </c>
      <c r="J149" s="514">
        <f t="shared" si="21"/>
        <v>0</v>
      </c>
      <c r="K149" s="514"/>
      <c r="L149" s="525"/>
      <c r="M149" s="514">
        <f t="shared" si="22"/>
        <v>0</v>
      </c>
      <c r="N149" s="525"/>
      <c r="O149" s="514">
        <f t="shared" si="23"/>
        <v>0</v>
      </c>
      <c r="P149" s="514">
        <f t="shared" si="24"/>
        <v>0</v>
      </c>
    </row>
    <row r="150" spans="2:16" ht="12.5">
      <c r="B150" s="195" t="str">
        <f t="shared" si="15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6"/>
        <v>0</v>
      </c>
      <c r="G150" s="523">
        <f t="shared" si="17"/>
        <v>0</v>
      </c>
      <c r="H150" s="526">
        <f t="shared" si="18"/>
        <v>0</v>
      </c>
      <c r="I150" s="577">
        <f t="shared" si="19"/>
        <v>0</v>
      </c>
      <c r="J150" s="514">
        <f t="shared" si="21"/>
        <v>0</v>
      </c>
      <c r="K150" s="514"/>
      <c r="L150" s="525"/>
      <c r="M150" s="514">
        <f t="shared" si="22"/>
        <v>0</v>
      </c>
      <c r="N150" s="525"/>
      <c r="O150" s="514">
        <f t="shared" si="23"/>
        <v>0</v>
      </c>
      <c r="P150" s="514">
        <f t="shared" si="24"/>
        <v>0</v>
      </c>
    </row>
    <row r="151" spans="2:16" ht="12.5">
      <c r="B151" s="195" t="str">
        <f t="shared" si="15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6"/>
        <v>0</v>
      </c>
      <c r="G151" s="523">
        <f t="shared" si="17"/>
        <v>0</v>
      </c>
      <c r="H151" s="526">
        <f t="shared" si="18"/>
        <v>0</v>
      </c>
      <c r="I151" s="577">
        <f t="shared" si="19"/>
        <v>0</v>
      </c>
      <c r="J151" s="514">
        <f t="shared" si="21"/>
        <v>0</v>
      </c>
      <c r="K151" s="514"/>
      <c r="L151" s="525"/>
      <c r="M151" s="514">
        <f t="shared" si="22"/>
        <v>0</v>
      </c>
      <c r="N151" s="525"/>
      <c r="O151" s="514">
        <f t="shared" si="23"/>
        <v>0</v>
      </c>
      <c r="P151" s="514">
        <f t="shared" si="24"/>
        <v>0</v>
      </c>
    </row>
    <row r="152" spans="2:16" ht="12.5">
      <c r="B152" s="195" t="str">
        <f t="shared" si="15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6"/>
        <v>0</v>
      </c>
      <c r="G152" s="523">
        <f t="shared" si="17"/>
        <v>0</v>
      </c>
      <c r="H152" s="526">
        <f t="shared" si="18"/>
        <v>0</v>
      </c>
      <c r="I152" s="577">
        <f t="shared" si="19"/>
        <v>0</v>
      </c>
      <c r="J152" s="514">
        <f t="shared" si="21"/>
        <v>0</v>
      </c>
      <c r="K152" s="514"/>
      <c r="L152" s="525"/>
      <c r="M152" s="514">
        <f t="shared" si="22"/>
        <v>0</v>
      </c>
      <c r="N152" s="525"/>
      <c r="O152" s="514">
        <f t="shared" si="23"/>
        <v>0</v>
      </c>
      <c r="P152" s="514">
        <f t="shared" si="24"/>
        <v>0</v>
      </c>
    </row>
    <row r="153" spans="2:16" ht="12.5">
      <c r="B153" s="195" t="str">
        <f t="shared" si="15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6"/>
        <v>0</v>
      </c>
      <c r="G153" s="523">
        <f t="shared" si="17"/>
        <v>0</v>
      </c>
      <c r="H153" s="526">
        <f t="shared" si="18"/>
        <v>0</v>
      </c>
      <c r="I153" s="577">
        <f t="shared" si="19"/>
        <v>0</v>
      </c>
      <c r="J153" s="514">
        <f t="shared" si="21"/>
        <v>0</v>
      </c>
      <c r="K153" s="514"/>
      <c r="L153" s="525"/>
      <c r="M153" s="514">
        <f t="shared" si="22"/>
        <v>0</v>
      </c>
      <c r="N153" s="525"/>
      <c r="O153" s="514">
        <f t="shared" si="23"/>
        <v>0</v>
      </c>
      <c r="P153" s="514">
        <f t="shared" si="24"/>
        <v>0</v>
      </c>
    </row>
    <row r="154" spans="2:16" ht="13" thickBot="1">
      <c r="B154" s="195" t="str">
        <f t="shared" si="15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6"/>
        <v>0</v>
      </c>
      <c r="G154" s="528">
        <f t="shared" si="17"/>
        <v>0</v>
      </c>
      <c r="H154" s="530">
        <f t="shared" si="18"/>
        <v>0</v>
      </c>
      <c r="I154" s="579">
        <f t="shared" si="19"/>
        <v>0</v>
      </c>
      <c r="J154" s="533">
        <f t="shared" si="21"/>
        <v>0</v>
      </c>
      <c r="K154" s="514"/>
      <c r="L154" s="532"/>
      <c r="M154" s="533">
        <f t="shared" si="22"/>
        <v>0</v>
      </c>
      <c r="N154" s="532"/>
      <c r="O154" s="533">
        <f t="shared" si="23"/>
        <v>0</v>
      </c>
      <c r="P154" s="533">
        <f t="shared" si="24"/>
        <v>0</v>
      </c>
    </row>
    <row r="155" spans="2:16" ht="12.5">
      <c r="C155" s="374" t="s">
        <v>78</v>
      </c>
      <c r="D155" s="375"/>
      <c r="E155" s="375">
        <f>SUM(E99:E154)</f>
        <v>11171456</v>
      </c>
      <c r="F155" s="375"/>
      <c r="G155" s="375"/>
      <c r="H155" s="375">
        <f>SUM(H99:H154)</f>
        <v>36988985.794421829</v>
      </c>
      <c r="I155" s="375">
        <f>SUM(I99:I154)</f>
        <v>36988985.794421829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5" priority="1" stopIfTrue="1" operator="equal">
      <formula>$I$10</formula>
    </cfRule>
  </conditionalFormatting>
  <conditionalFormatting sqref="C99:C154">
    <cfRule type="cellIs" dxfId="1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P162"/>
  <sheetViews>
    <sheetView zoomScale="80" zoomScaleNormal="80" workbookViewId="0"/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69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1305651.7696958741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1305651.7696958741</v>
      </c>
      <c r="O6" s="269"/>
      <c r="P6" s="269"/>
    </row>
    <row r="7" spans="1:16" ht="13.5" thickBot="1">
      <c r="C7" s="467" t="s">
        <v>48</v>
      </c>
      <c r="D7" s="624" t="s">
        <v>423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411</v>
      </c>
      <c r="E9" s="637" t="s">
        <v>422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9930039.3200000003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2017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236429.50761904762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2017</v>
      </c>
      <c r="D17" s="631">
        <v>0</v>
      </c>
      <c r="E17" s="630">
        <v>167414.63414634147</v>
      </c>
      <c r="F17" s="631">
        <v>8984585.3658536579</v>
      </c>
      <c r="G17" s="630">
        <v>738358.52480493963</v>
      </c>
      <c r="H17" s="639">
        <v>738358.52480493963</v>
      </c>
      <c r="I17" s="511">
        <f t="shared" ref="I17:I72" si="0">H17-G17</f>
        <v>0</v>
      </c>
      <c r="J17" s="511"/>
      <c r="K17" s="512">
        <f t="shared" ref="K17:K22" si="1">+G17</f>
        <v>738358.52480493963</v>
      </c>
      <c r="L17" s="513">
        <f t="shared" ref="L17:L72" si="2">IF(K17&lt;&gt;0,+G17-K17,0)</f>
        <v>0</v>
      </c>
      <c r="M17" s="512">
        <f t="shared" ref="M17:M22" si="3">+H17</f>
        <v>738358.52480493963</v>
      </c>
      <c r="N17" s="513">
        <f t="shared" ref="N17:N72" si="4">IF(M17&lt;&gt;0,+H17-M17,0)</f>
        <v>0</v>
      </c>
      <c r="O17" s="514">
        <f t="shared" ref="O17:O72" si="5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2018</v>
      </c>
      <c r="D18" s="631">
        <v>8984585.3658536579</v>
      </c>
      <c r="E18" s="630">
        <v>223219.51219512196</v>
      </c>
      <c r="F18" s="631">
        <v>8761365.8536585364</v>
      </c>
      <c r="G18" s="630">
        <v>1350922.3521294959</v>
      </c>
      <c r="H18" s="639">
        <v>1350922.3521294959</v>
      </c>
      <c r="I18" s="511">
        <f t="shared" si="0"/>
        <v>0</v>
      </c>
      <c r="J18" s="511"/>
      <c r="K18" s="518">
        <f t="shared" si="1"/>
        <v>1350922.3521294959</v>
      </c>
      <c r="L18" s="519">
        <f t="shared" si="2"/>
        <v>0</v>
      </c>
      <c r="M18" s="518">
        <f t="shared" si="3"/>
        <v>1350922.3521294959</v>
      </c>
      <c r="N18" s="514">
        <f t="shared" si="4"/>
        <v>0</v>
      </c>
      <c r="O18" s="514">
        <f t="shared" si="5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2019</v>
      </c>
      <c r="D19" s="631">
        <v>9539404.8536585364</v>
      </c>
      <c r="E19" s="630">
        <v>242196.07317073172</v>
      </c>
      <c r="F19" s="631">
        <v>9297208.7804878056</v>
      </c>
      <c r="G19" s="630">
        <v>1206022.789326702</v>
      </c>
      <c r="H19" s="639">
        <v>1206022.789326702</v>
      </c>
      <c r="I19" s="511">
        <f t="shared" si="0"/>
        <v>0</v>
      </c>
      <c r="J19" s="511"/>
      <c r="K19" s="518">
        <f t="shared" si="1"/>
        <v>1206022.789326702</v>
      </c>
      <c r="L19" s="519">
        <f t="shared" ref="L19" si="6">IF(K19&lt;&gt;0,+G19-K19,0)</f>
        <v>0</v>
      </c>
      <c r="M19" s="518">
        <f t="shared" si="3"/>
        <v>1206022.789326702</v>
      </c>
      <c r="N19" s="514">
        <f t="shared" si="4"/>
        <v>0</v>
      </c>
      <c r="O19" s="514">
        <f t="shared" si="5"/>
        <v>0</v>
      </c>
      <c r="P19" s="272"/>
    </row>
    <row r="20" spans="2:16" ht="12.5">
      <c r="B20" s="195" t="str">
        <f t="shared" ref="B20:B72" si="7">IF(D20=F19,"","IU")</f>
        <v>IU</v>
      </c>
      <c r="C20" s="507">
        <f>IF(D11="","-",+C19+1)</f>
        <v>2020</v>
      </c>
      <c r="D20" s="631">
        <v>9539404.8536585364</v>
      </c>
      <c r="E20" s="630">
        <v>242196.07317073172</v>
      </c>
      <c r="F20" s="631">
        <v>9297208.7804878056</v>
      </c>
      <c r="G20" s="630">
        <v>1206022.789326702</v>
      </c>
      <c r="H20" s="639">
        <v>1206022.789326702</v>
      </c>
      <c r="I20" s="511">
        <f t="shared" si="0"/>
        <v>0</v>
      </c>
      <c r="J20" s="511"/>
      <c r="K20" s="518">
        <f t="shared" si="1"/>
        <v>1206022.789326702</v>
      </c>
      <c r="L20" s="519">
        <f t="shared" ref="L20" si="8">IF(K20&lt;&gt;0,+G20-K20,0)</f>
        <v>0</v>
      </c>
      <c r="M20" s="518">
        <f t="shared" si="3"/>
        <v>1206022.789326702</v>
      </c>
      <c r="N20" s="514">
        <f t="shared" si="4"/>
        <v>0</v>
      </c>
      <c r="O20" s="514">
        <f t="shared" si="5"/>
        <v>0</v>
      </c>
      <c r="P20" s="272"/>
    </row>
    <row r="21" spans="2:16" ht="12.5">
      <c r="B21" s="195" t="str">
        <f t="shared" si="7"/>
        <v>IU</v>
      </c>
      <c r="C21" s="507">
        <f>IF(D11="","-",+C20+1)</f>
        <v>2021</v>
      </c>
      <c r="D21" s="631">
        <v>9084371.5711854789</v>
      </c>
      <c r="E21" s="630">
        <v>236429.5</v>
      </c>
      <c r="F21" s="631">
        <v>8847942.0711854789</v>
      </c>
      <c r="G21" s="630">
        <v>1186882.8746105693</v>
      </c>
      <c r="H21" s="639">
        <v>1186882.8746105693</v>
      </c>
      <c r="I21" s="511">
        <f t="shared" si="0"/>
        <v>0</v>
      </c>
      <c r="J21" s="511"/>
      <c r="K21" s="518">
        <f t="shared" si="1"/>
        <v>1186882.8746105693</v>
      </c>
      <c r="L21" s="519">
        <f t="shared" ref="L21" si="9">IF(K21&lt;&gt;0,+G21-K21,0)</f>
        <v>0</v>
      </c>
      <c r="M21" s="518">
        <f t="shared" si="3"/>
        <v>1186882.8746105693</v>
      </c>
      <c r="N21" s="514">
        <f t="shared" si="4"/>
        <v>0</v>
      </c>
      <c r="O21" s="514">
        <f t="shared" si="5"/>
        <v>0</v>
      </c>
      <c r="P21" s="272"/>
    </row>
    <row r="22" spans="2:16" ht="12.5">
      <c r="B22" s="195" t="str">
        <f t="shared" si="7"/>
        <v>IU</v>
      </c>
      <c r="C22" s="507">
        <f>IF(D11="","-",+C21+1)</f>
        <v>2022</v>
      </c>
      <c r="D22" s="631">
        <v>8818583.2073170729</v>
      </c>
      <c r="E22" s="630">
        <v>236429.5</v>
      </c>
      <c r="F22" s="631">
        <v>8582153.7073170729</v>
      </c>
      <c r="G22" s="630">
        <v>1214734.5737329707</v>
      </c>
      <c r="H22" s="639">
        <v>1214734.5737329707</v>
      </c>
      <c r="I22" s="511">
        <f t="shared" si="0"/>
        <v>0</v>
      </c>
      <c r="J22" s="511"/>
      <c r="K22" s="518">
        <f t="shared" si="1"/>
        <v>1214734.5737329707</v>
      </c>
      <c r="L22" s="519">
        <f t="shared" ref="L22" si="10">IF(K22&lt;&gt;0,+G22-K22,0)</f>
        <v>0</v>
      </c>
      <c r="M22" s="518">
        <f t="shared" si="3"/>
        <v>1214734.5737329707</v>
      </c>
      <c r="N22" s="514">
        <f t="shared" si="4"/>
        <v>0</v>
      </c>
      <c r="O22" s="514">
        <f t="shared" si="5"/>
        <v>0</v>
      </c>
      <c r="P22" s="272"/>
    </row>
    <row r="23" spans="2:16" ht="12.5">
      <c r="B23" s="195" t="str">
        <f t="shared" si="7"/>
        <v>IU</v>
      </c>
      <c r="C23" s="507">
        <f>IF(D11="","-",+C22+1)</f>
        <v>2023</v>
      </c>
      <c r="D23" s="523">
        <f>IF(F22+SUM(E$17:E22)=D$10,F22,D$10-SUM(E$17:E22))</f>
        <v>8582154.0273170732</v>
      </c>
      <c r="E23" s="522">
        <f>IF(+I14&lt;F22,I14,D23)</f>
        <v>236429.50761904762</v>
      </c>
      <c r="F23" s="523">
        <f t="shared" ref="F23:F72" si="11">+D23-E23</f>
        <v>8345724.5196980257</v>
      </c>
      <c r="G23" s="524">
        <f t="shared" ref="G23:G72" si="12">+I$12*((D23+F23)/2)+E23</f>
        <v>1305651.7696958741</v>
      </c>
      <c r="H23" s="491">
        <f t="shared" ref="H23:H72" si="13">+I$13*((D23+F23)/2)+E23</f>
        <v>1305651.7696958741</v>
      </c>
      <c r="I23" s="511">
        <f t="shared" si="0"/>
        <v>0</v>
      </c>
      <c r="J23" s="511"/>
      <c r="K23" s="525"/>
      <c r="L23" s="514">
        <f t="shared" si="2"/>
        <v>0</v>
      </c>
      <c r="M23" s="525"/>
      <c r="N23" s="514">
        <f t="shared" si="4"/>
        <v>0</v>
      </c>
      <c r="O23" s="514">
        <f t="shared" si="5"/>
        <v>0</v>
      </c>
      <c r="P23" s="272"/>
    </row>
    <row r="24" spans="2:16" ht="12.5">
      <c r="B24" s="195" t="str">
        <f t="shared" si="7"/>
        <v/>
      </c>
      <c r="C24" s="507">
        <f>IF(D11="","-",+C23+1)</f>
        <v>2024</v>
      </c>
      <c r="D24" s="523">
        <f>IF(F23+SUM(E$17:E23)=D$10,F23,D$10-SUM(E$17:E23))</f>
        <v>8345724.5196980257</v>
      </c>
      <c r="E24" s="522">
        <f>IF(+I14&lt;F23,I14,D24)</f>
        <v>236429.50761904762</v>
      </c>
      <c r="F24" s="523">
        <f t="shared" si="11"/>
        <v>8109295.0120789781</v>
      </c>
      <c r="G24" s="524">
        <f t="shared" si="12"/>
        <v>1275784.3894147552</v>
      </c>
      <c r="H24" s="491">
        <f t="shared" si="13"/>
        <v>1275784.3894147552</v>
      </c>
      <c r="I24" s="511">
        <f t="shared" si="0"/>
        <v>0</v>
      </c>
      <c r="J24" s="511"/>
      <c r="K24" s="525"/>
      <c r="L24" s="514">
        <f t="shared" si="2"/>
        <v>0</v>
      </c>
      <c r="M24" s="525"/>
      <c r="N24" s="514">
        <f t="shared" si="4"/>
        <v>0</v>
      </c>
      <c r="O24" s="514">
        <f t="shared" si="5"/>
        <v>0</v>
      </c>
      <c r="P24" s="272"/>
    </row>
    <row r="25" spans="2:16" ht="12.5">
      <c r="B25" s="195" t="str">
        <f t="shared" si="7"/>
        <v/>
      </c>
      <c r="C25" s="507">
        <f>IF(D11="","-",+C24+1)</f>
        <v>2025</v>
      </c>
      <c r="D25" s="523">
        <f>IF(F24+SUM(E$17:E24)=D$10,F24,D$10-SUM(E$17:E24))</f>
        <v>8109295.0120789781</v>
      </c>
      <c r="E25" s="522">
        <f>IF(+I14&lt;F24,I14,D25)</f>
        <v>236429.50761904762</v>
      </c>
      <c r="F25" s="523">
        <f t="shared" si="11"/>
        <v>7872865.5044599306</v>
      </c>
      <c r="G25" s="524">
        <f t="shared" si="12"/>
        <v>1245917.009133636</v>
      </c>
      <c r="H25" s="491">
        <f t="shared" si="13"/>
        <v>1245917.009133636</v>
      </c>
      <c r="I25" s="511">
        <f t="shared" si="0"/>
        <v>0</v>
      </c>
      <c r="J25" s="511"/>
      <c r="K25" s="525"/>
      <c r="L25" s="514">
        <f t="shared" si="2"/>
        <v>0</v>
      </c>
      <c r="M25" s="525"/>
      <c r="N25" s="514">
        <f t="shared" si="4"/>
        <v>0</v>
      </c>
      <c r="O25" s="514">
        <f t="shared" si="5"/>
        <v>0</v>
      </c>
      <c r="P25" s="272"/>
    </row>
    <row r="26" spans="2:16" ht="12.5">
      <c r="B26" s="195" t="str">
        <f t="shared" si="7"/>
        <v/>
      </c>
      <c r="C26" s="507">
        <f>IF(D11="","-",+C25+1)</f>
        <v>2026</v>
      </c>
      <c r="D26" s="523">
        <f>IF(F25+SUM(E$17:E25)=D$10,F25,D$10-SUM(E$17:E25))</f>
        <v>7872865.5044599306</v>
      </c>
      <c r="E26" s="522">
        <f>IF(+I14&lt;F25,I14,D26)</f>
        <v>236429.50761904762</v>
      </c>
      <c r="F26" s="523">
        <f t="shared" si="11"/>
        <v>7636435.996840883</v>
      </c>
      <c r="G26" s="524">
        <f t="shared" si="12"/>
        <v>1216049.6288525171</v>
      </c>
      <c r="H26" s="491">
        <f t="shared" si="13"/>
        <v>1216049.6288525171</v>
      </c>
      <c r="I26" s="511">
        <f t="shared" si="0"/>
        <v>0</v>
      </c>
      <c r="J26" s="511"/>
      <c r="K26" s="525"/>
      <c r="L26" s="514">
        <f t="shared" si="2"/>
        <v>0</v>
      </c>
      <c r="M26" s="525"/>
      <c r="N26" s="514">
        <f t="shared" si="4"/>
        <v>0</v>
      </c>
      <c r="O26" s="514">
        <f t="shared" si="5"/>
        <v>0</v>
      </c>
      <c r="P26" s="272"/>
    </row>
    <row r="27" spans="2:16" ht="12.5">
      <c r="B27" s="195" t="str">
        <f t="shared" si="7"/>
        <v/>
      </c>
      <c r="C27" s="507">
        <f>IF(D11="","-",+C26+1)</f>
        <v>2027</v>
      </c>
      <c r="D27" s="523">
        <f>IF(F26+SUM(E$17:E26)=D$10,F26,D$10-SUM(E$17:E26))</f>
        <v>7636435.996840883</v>
      </c>
      <c r="E27" s="522">
        <f>IF(+I14&lt;F26,I14,D27)</f>
        <v>236429.50761904762</v>
      </c>
      <c r="F27" s="523">
        <f t="shared" si="11"/>
        <v>7400006.4892218355</v>
      </c>
      <c r="G27" s="524">
        <f t="shared" si="12"/>
        <v>1186182.248571398</v>
      </c>
      <c r="H27" s="491">
        <f t="shared" si="13"/>
        <v>1186182.248571398</v>
      </c>
      <c r="I27" s="511">
        <f t="shared" si="0"/>
        <v>0</v>
      </c>
      <c r="J27" s="511"/>
      <c r="K27" s="525"/>
      <c r="L27" s="514">
        <f t="shared" si="2"/>
        <v>0</v>
      </c>
      <c r="M27" s="525"/>
      <c r="N27" s="514">
        <f t="shared" si="4"/>
        <v>0</v>
      </c>
      <c r="O27" s="514">
        <f t="shared" si="5"/>
        <v>0</v>
      </c>
      <c r="P27" s="272"/>
    </row>
    <row r="28" spans="2:16" ht="12.5">
      <c r="B28" s="195" t="str">
        <f t="shared" si="7"/>
        <v/>
      </c>
      <c r="C28" s="507">
        <f>IF(D11="","-",+C27+1)</f>
        <v>2028</v>
      </c>
      <c r="D28" s="523">
        <f>IF(F27+SUM(E$17:E27)=D$10,F27,D$10-SUM(E$17:E27))</f>
        <v>7400006.4892218355</v>
      </c>
      <c r="E28" s="522">
        <f>IF(+I14&lt;F27,I14,D28)</f>
        <v>236429.50761904762</v>
      </c>
      <c r="F28" s="523">
        <f t="shared" si="11"/>
        <v>7163576.981602788</v>
      </c>
      <c r="G28" s="524">
        <f t="shared" si="12"/>
        <v>1156314.8682902791</v>
      </c>
      <c r="H28" s="491">
        <f t="shared" si="13"/>
        <v>1156314.8682902791</v>
      </c>
      <c r="I28" s="511">
        <f t="shared" si="0"/>
        <v>0</v>
      </c>
      <c r="J28" s="511"/>
      <c r="K28" s="525"/>
      <c r="L28" s="514">
        <f t="shared" si="2"/>
        <v>0</v>
      </c>
      <c r="M28" s="525"/>
      <c r="N28" s="514">
        <f t="shared" si="4"/>
        <v>0</v>
      </c>
      <c r="O28" s="514">
        <f t="shared" si="5"/>
        <v>0</v>
      </c>
      <c r="P28" s="272"/>
    </row>
    <row r="29" spans="2:16" ht="12.5">
      <c r="B29" s="195" t="str">
        <f t="shared" si="7"/>
        <v/>
      </c>
      <c r="C29" s="507">
        <f>IF(D11="","-",+C28+1)</f>
        <v>2029</v>
      </c>
      <c r="D29" s="523">
        <f>IF(F28+SUM(E$17:E28)=D$10,F28,D$10-SUM(E$17:E28))</f>
        <v>7163576.981602788</v>
      </c>
      <c r="E29" s="522">
        <f>IF(+I14&lt;F28,I14,D29)</f>
        <v>236429.50761904762</v>
      </c>
      <c r="F29" s="523">
        <f t="shared" si="11"/>
        <v>6927147.4739837404</v>
      </c>
      <c r="G29" s="524">
        <f t="shared" si="12"/>
        <v>1126447.4880091599</v>
      </c>
      <c r="H29" s="491">
        <f t="shared" si="13"/>
        <v>1126447.4880091599</v>
      </c>
      <c r="I29" s="511">
        <f t="shared" si="0"/>
        <v>0</v>
      </c>
      <c r="J29" s="511"/>
      <c r="K29" s="525"/>
      <c r="L29" s="514">
        <f t="shared" si="2"/>
        <v>0</v>
      </c>
      <c r="M29" s="525"/>
      <c r="N29" s="514">
        <f t="shared" si="4"/>
        <v>0</v>
      </c>
      <c r="O29" s="514">
        <f t="shared" si="5"/>
        <v>0</v>
      </c>
      <c r="P29" s="272"/>
    </row>
    <row r="30" spans="2:16" ht="12.5">
      <c r="B30" s="195" t="str">
        <f t="shared" si="7"/>
        <v/>
      </c>
      <c r="C30" s="507">
        <f>IF(D11="","-",+C29+1)</f>
        <v>2030</v>
      </c>
      <c r="D30" s="523">
        <f>IF(F29+SUM(E$17:E29)=D$10,F29,D$10-SUM(E$17:E29))</f>
        <v>6927147.4739837404</v>
      </c>
      <c r="E30" s="522">
        <f>IF(+I14&lt;F29,I14,D30)</f>
        <v>236429.50761904762</v>
      </c>
      <c r="F30" s="523">
        <f t="shared" si="11"/>
        <v>6690717.9663646929</v>
      </c>
      <c r="G30" s="524">
        <f t="shared" si="12"/>
        <v>1096580.107728041</v>
      </c>
      <c r="H30" s="491">
        <f t="shared" si="13"/>
        <v>1096580.107728041</v>
      </c>
      <c r="I30" s="511">
        <f t="shared" si="0"/>
        <v>0</v>
      </c>
      <c r="J30" s="511"/>
      <c r="K30" s="525"/>
      <c r="L30" s="514">
        <f t="shared" si="2"/>
        <v>0</v>
      </c>
      <c r="M30" s="525"/>
      <c r="N30" s="514">
        <f t="shared" si="4"/>
        <v>0</v>
      </c>
      <c r="O30" s="514">
        <f t="shared" si="5"/>
        <v>0</v>
      </c>
      <c r="P30" s="272"/>
    </row>
    <row r="31" spans="2:16" ht="12.5">
      <c r="B31" s="195" t="str">
        <f t="shared" si="7"/>
        <v/>
      </c>
      <c r="C31" s="507">
        <f>IF(D11="","-",+C30+1)</f>
        <v>2031</v>
      </c>
      <c r="D31" s="523">
        <f>IF(F30+SUM(E$17:E30)=D$10,F30,D$10-SUM(E$17:E30))</f>
        <v>6690717.9663646929</v>
      </c>
      <c r="E31" s="522">
        <f>IF(+I14&lt;F30,I14,D31)</f>
        <v>236429.50761904762</v>
      </c>
      <c r="F31" s="523">
        <f t="shared" si="11"/>
        <v>6454288.4587456454</v>
      </c>
      <c r="G31" s="524">
        <f t="shared" si="12"/>
        <v>1066712.7274469219</v>
      </c>
      <c r="H31" s="491">
        <f t="shared" si="13"/>
        <v>1066712.7274469219</v>
      </c>
      <c r="I31" s="511">
        <f t="shared" si="0"/>
        <v>0</v>
      </c>
      <c r="J31" s="511"/>
      <c r="K31" s="525"/>
      <c r="L31" s="514">
        <f t="shared" si="2"/>
        <v>0</v>
      </c>
      <c r="M31" s="525"/>
      <c r="N31" s="514">
        <f t="shared" si="4"/>
        <v>0</v>
      </c>
      <c r="O31" s="514">
        <f t="shared" si="5"/>
        <v>0</v>
      </c>
      <c r="P31" s="272"/>
    </row>
    <row r="32" spans="2:16" ht="12.5">
      <c r="B32" s="195" t="str">
        <f t="shared" si="7"/>
        <v/>
      </c>
      <c r="C32" s="507">
        <f>IF(D11="","-",+C31+1)</f>
        <v>2032</v>
      </c>
      <c r="D32" s="523">
        <f>IF(F31+SUM(E$17:E31)=D$10,F31,D$10-SUM(E$17:E31))</f>
        <v>6454288.4587456454</v>
      </c>
      <c r="E32" s="522">
        <f>IF(+I14&lt;F31,I14,D32)</f>
        <v>236429.50761904762</v>
      </c>
      <c r="F32" s="523">
        <f t="shared" si="11"/>
        <v>6217858.9511265978</v>
      </c>
      <c r="G32" s="524">
        <f t="shared" si="12"/>
        <v>1036845.3471658028</v>
      </c>
      <c r="H32" s="491">
        <f t="shared" si="13"/>
        <v>1036845.3471658028</v>
      </c>
      <c r="I32" s="511">
        <f t="shared" si="0"/>
        <v>0</v>
      </c>
      <c r="J32" s="511"/>
      <c r="K32" s="525"/>
      <c r="L32" s="514">
        <f t="shared" si="2"/>
        <v>0</v>
      </c>
      <c r="M32" s="525"/>
      <c r="N32" s="514">
        <f t="shared" si="4"/>
        <v>0</v>
      </c>
      <c r="O32" s="514">
        <f t="shared" si="5"/>
        <v>0</v>
      </c>
      <c r="P32" s="272"/>
    </row>
    <row r="33" spans="2:16" ht="12.5">
      <c r="B33" s="195" t="str">
        <f t="shared" si="7"/>
        <v/>
      </c>
      <c r="C33" s="507">
        <f>IF(D11="","-",+C32+1)</f>
        <v>2033</v>
      </c>
      <c r="D33" s="523">
        <f>IF(F32+SUM(E$17:E32)=D$10,F32,D$10-SUM(E$17:E32))</f>
        <v>6217858.9511265978</v>
      </c>
      <c r="E33" s="522">
        <f>IF(+I14&lt;F32,I14,D33)</f>
        <v>236429.50761904762</v>
      </c>
      <c r="F33" s="523">
        <f t="shared" si="11"/>
        <v>5981429.4435075503</v>
      </c>
      <c r="G33" s="524">
        <f t="shared" si="12"/>
        <v>1006977.9668846838</v>
      </c>
      <c r="H33" s="491">
        <f t="shared" si="13"/>
        <v>1006977.9668846838</v>
      </c>
      <c r="I33" s="511">
        <f t="shared" si="0"/>
        <v>0</v>
      </c>
      <c r="J33" s="511"/>
      <c r="K33" s="525"/>
      <c r="L33" s="514">
        <f t="shared" si="2"/>
        <v>0</v>
      </c>
      <c r="M33" s="525"/>
      <c r="N33" s="514">
        <f t="shared" si="4"/>
        <v>0</v>
      </c>
      <c r="O33" s="514">
        <f t="shared" si="5"/>
        <v>0</v>
      </c>
      <c r="P33" s="272"/>
    </row>
    <row r="34" spans="2:16" ht="12.5">
      <c r="B34" s="195" t="str">
        <f t="shared" si="7"/>
        <v/>
      </c>
      <c r="C34" s="507">
        <f>IF(D11="","-",+C33+1)</f>
        <v>2034</v>
      </c>
      <c r="D34" s="523">
        <f>IF(F33+SUM(E$17:E33)=D$10,F33,D$10-SUM(E$17:E33))</f>
        <v>5981429.4435075503</v>
      </c>
      <c r="E34" s="522">
        <f>IF(+I14&lt;F33,I14,D34)</f>
        <v>236429.50761904762</v>
      </c>
      <c r="F34" s="523">
        <f t="shared" si="11"/>
        <v>5744999.9358885027</v>
      </c>
      <c r="G34" s="524">
        <f t="shared" si="12"/>
        <v>977110.58660356479</v>
      </c>
      <c r="H34" s="491">
        <f t="shared" si="13"/>
        <v>977110.58660356479</v>
      </c>
      <c r="I34" s="511">
        <f t="shared" si="0"/>
        <v>0</v>
      </c>
      <c r="J34" s="511"/>
      <c r="K34" s="525"/>
      <c r="L34" s="514">
        <f t="shared" si="2"/>
        <v>0</v>
      </c>
      <c r="M34" s="525"/>
      <c r="N34" s="514">
        <f t="shared" si="4"/>
        <v>0</v>
      </c>
      <c r="O34" s="514">
        <f t="shared" si="5"/>
        <v>0</v>
      </c>
      <c r="P34" s="272"/>
    </row>
    <row r="35" spans="2:16" ht="12.5">
      <c r="B35" s="195" t="str">
        <f t="shared" si="7"/>
        <v/>
      </c>
      <c r="C35" s="507">
        <f>IF(D11="","-",+C34+1)</f>
        <v>2035</v>
      </c>
      <c r="D35" s="523">
        <f>IF(F34+SUM(E$17:E34)=D$10,F34,D$10-SUM(E$17:E34))</f>
        <v>5744999.9358885027</v>
      </c>
      <c r="E35" s="522">
        <f>IF(+I14&lt;F34,I14,D35)</f>
        <v>236429.50761904762</v>
      </c>
      <c r="F35" s="523">
        <f t="shared" si="11"/>
        <v>5508570.4282694552</v>
      </c>
      <c r="G35" s="524">
        <f t="shared" si="12"/>
        <v>947243.20632244577</v>
      </c>
      <c r="H35" s="491">
        <f t="shared" si="13"/>
        <v>947243.20632244577</v>
      </c>
      <c r="I35" s="511">
        <f t="shared" si="0"/>
        <v>0</v>
      </c>
      <c r="J35" s="511"/>
      <c r="K35" s="525"/>
      <c r="L35" s="514">
        <f t="shared" si="2"/>
        <v>0</v>
      </c>
      <c r="M35" s="525"/>
      <c r="N35" s="514">
        <f t="shared" si="4"/>
        <v>0</v>
      </c>
      <c r="O35" s="514">
        <f t="shared" si="5"/>
        <v>0</v>
      </c>
      <c r="P35" s="272"/>
    </row>
    <row r="36" spans="2:16" ht="12.5">
      <c r="B36" s="195" t="str">
        <f t="shared" si="7"/>
        <v/>
      </c>
      <c r="C36" s="507">
        <f>IF(D11="","-",+C35+1)</f>
        <v>2036</v>
      </c>
      <c r="D36" s="523">
        <f>IF(F35+SUM(E$17:E35)=D$10,F35,D$10-SUM(E$17:E35))</f>
        <v>5508570.4282694552</v>
      </c>
      <c r="E36" s="522">
        <f>IF(+I14&lt;F35,I14,D36)</f>
        <v>236429.50761904762</v>
      </c>
      <c r="F36" s="523">
        <f t="shared" si="11"/>
        <v>5272140.9206504077</v>
      </c>
      <c r="G36" s="524">
        <f t="shared" si="12"/>
        <v>917375.82604132674</v>
      </c>
      <c r="H36" s="491">
        <f t="shared" si="13"/>
        <v>917375.82604132674</v>
      </c>
      <c r="I36" s="511">
        <f t="shared" si="0"/>
        <v>0</v>
      </c>
      <c r="J36" s="511"/>
      <c r="K36" s="525"/>
      <c r="L36" s="514">
        <f t="shared" si="2"/>
        <v>0</v>
      </c>
      <c r="M36" s="525"/>
      <c r="N36" s="514">
        <f t="shared" si="4"/>
        <v>0</v>
      </c>
      <c r="O36" s="514">
        <f t="shared" si="5"/>
        <v>0</v>
      </c>
      <c r="P36" s="272"/>
    </row>
    <row r="37" spans="2:16" ht="12.5">
      <c r="B37" s="195" t="str">
        <f t="shared" si="7"/>
        <v/>
      </c>
      <c r="C37" s="507">
        <f>IF(D11="","-",+C36+1)</f>
        <v>2037</v>
      </c>
      <c r="D37" s="523">
        <f>IF(F36+SUM(E$17:E36)=D$10,F36,D$10-SUM(E$17:E36))</f>
        <v>5272140.9206504077</v>
      </c>
      <c r="E37" s="522">
        <f>IF(+I14&lt;F36,I14,D37)</f>
        <v>236429.50761904762</v>
      </c>
      <c r="F37" s="523">
        <f t="shared" si="11"/>
        <v>5035711.4130313601</v>
      </c>
      <c r="G37" s="524">
        <f t="shared" si="12"/>
        <v>887508.44576020772</v>
      </c>
      <c r="H37" s="491">
        <f t="shared" si="13"/>
        <v>887508.44576020772</v>
      </c>
      <c r="I37" s="511">
        <f t="shared" si="0"/>
        <v>0</v>
      </c>
      <c r="J37" s="511"/>
      <c r="K37" s="525"/>
      <c r="L37" s="514">
        <f t="shared" si="2"/>
        <v>0</v>
      </c>
      <c r="M37" s="525"/>
      <c r="N37" s="514">
        <f t="shared" si="4"/>
        <v>0</v>
      </c>
      <c r="O37" s="514">
        <f t="shared" si="5"/>
        <v>0</v>
      </c>
      <c r="P37" s="272"/>
    </row>
    <row r="38" spans="2:16" ht="12.5">
      <c r="B38" s="195" t="str">
        <f t="shared" si="7"/>
        <v/>
      </c>
      <c r="C38" s="507">
        <f>IF(D11="","-",+C37+1)</f>
        <v>2038</v>
      </c>
      <c r="D38" s="523">
        <f>IF(F37+SUM(E$17:E37)=D$10,F37,D$10-SUM(E$17:E37))</f>
        <v>5035711.4130313601</v>
      </c>
      <c r="E38" s="522">
        <f>IF(+I14&lt;F37,I14,D38)</f>
        <v>236429.50761904762</v>
      </c>
      <c r="F38" s="523">
        <f t="shared" si="11"/>
        <v>4799281.9054123126</v>
      </c>
      <c r="G38" s="524">
        <f t="shared" si="12"/>
        <v>857641.06547908869</v>
      </c>
      <c r="H38" s="491">
        <f t="shared" si="13"/>
        <v>857641.06547908869</v>
      </c>
      <c r="I38" s="511">
        <f t="shared" si="0"/>
        <v>0</v>
      </c>
      <c r="J38" s="511"/>
      <c r="K38" s="525"/>
      <c r="L38" s="514">
        <f t="shared" si="2"/>
        <v>0</v>
      </c>
      <c r="M38" s="525"/>
      <c r="N38" s="514">
        <f t="shared" si="4"/>
        <v>0</v>
      </c>
      <c r="O38" s="514">
        <f t="shared" si="5"/>
        <v>0</v>
      </c>
      <c r="P38" s="272"/>
    </row>
    <row r="39" spans="2:16" ht="12.5">
      <c r="B39" s="195" t="str">
        <f t="shared" si="7"/>
        <v/>
      </c>
      <c r="C39" s="507">
        <f>IF(D11="","-",+C38+1)</f>
        <v>2039</v>
      </c>
      <c r="D39" s="523">
        <f>IF(F38+SUM(E$17:E38)=D$10,F38,D$10-SUM(E$17:E38))</f>
        <v>4799281.9054123126</v>
      </c>
      <c r="E39" s="522">
        <f>IF(+I14&lt;F38,I14,D39)</f>
        <v>236429.50761904762</v>
      </c>
      <c r="F39" s="523">
        <f t="shared" si="11"/>
        <v>4562852.3977932651</v>
      </c>
      <c r="G39" s="524">
        <f t="shared" si="12"/>
        <v>827773.68519796967</v>
      </c>
      <c r="H39" s="491">
        <f t="shared" si="13"/>
        <v>827773.68519796967</v>
      </c>
      <c r="I39" s="511">
        <f t="shared" si="0"/>
        <v>0</v>
      </c>
      <c r="J39" s="511"/>
      <c r="K39" s="525"/>
      <c r="L39" s="514">
        <f t="shared" si="2"/>
        <v>0</v>
      </c>
      <c r="M39" s="525"/>
      <c r="N39" s="514">
        <f t="shared" si="4"/>
        <v>0</v>
      </c>
      <c r="O39" s="514">
        <f t="shared" si="5"/>
        <v>0</v>
      </c>
      <c r="P39" s="272"/>
    </row>
    <row r="40" spans="2:16" ht="12.5">
      <c r="B40" s="195" t="str">
        <f t="shared" si="7"/>
        <v/>
      </c>
      <c r="C40" s="507">
        <f>IF(D11="","-",+C39+1)</f>
        <v>2040</v>
      </c>
      <c r="D40" s="523">
        <f>IF(F39+SUM(E$17:E39)=D$10,F39,D$10-SUM(E$17:E39))</f>
        <v>4562852.3977932651</v>
      </c>
      <c r="E40" s="522">
        <f>IF(+I14&lt;F39,I14,D40)</f>
        <v>236429.50761904762</v>
      </c>
      <c r="F40" s="523">
        <f t="shared" si="11"/>
        <v>4326422.8901742175</v>
      </c>
      <c r="G40" s="524">
        <f t="shared" si="12"/>
        <v>797906.30491685064</v>
      </c>
      <c r="H40" s="491">
        <f t="shared" si="13"/>
        <v>797906.30491685064</v>
      </c>
      <c r="I40" s="511">
        <f t="shared" si="0"/>
        <v>0</v>
      </c>
      <c r="J40" s="511"/>
      <c r="K40" s="525"/>
      <c r="L40" s="514">
        <f t="shared" si="2"/>
        <v>0</v>
      </c>
      <c r="M40" s="525"/>
      <c r="N40" s="514">
        <f t="shared" si="4"/>
        <v>0</v>
      </c>
      <c r="O40" s="514">
        <f t="shared" si="5"/>
        <v>0</v>
      </c>
      <c r="P40" s="272"/>
    </row>
    <row r="41" spans="2:16" ht="12.5">
      <c r="B41" s="195" t="str">
        <f t="shared" si="7"/>
        <v/>
      </c>
      <c r="C41" s="507">
        <f>IF(D11="","-",+C40+1)</f>
        <v>2041</v>
      </c>
      <c r="D41" s="523">
        <f>IF(F40+SUM(E$17:E40)=D$10,F40,D$10-SUM(E$17:E40))</f>
        <v>4326422.8901742175</v>
      </c>
      <c r="E41" s="522">
        <f>IF(+I14&lt;F40,I14,D41)</f>
        <v>236429.50761904762</v>
      </c>
      <c r="F41" s="523">
        <f t="shared" si="11"/>
        <v>4089993.38255517</v>
      </c>
      <c r="G41" s="524">
        <f t="shared" si="12"/>
        <v>768038.92463573162</v>
      </c>
      <c r="H41" s="491">
        <f t="shared" si="13"/>
        <v>768038.92463573162</v>
      </c>
      <c r="I41" s="511">
        <f t="shared" si="0"/>
        <v>0</v>
      </c>
      <c r="J41" s="511"/>
      <c r="K41" s="525"/>
      <c r="L41" s="514">
        <f t="shared" si="2"/>
        <v>0</v>
      </c>
      <c r="M41" s="525"/>
      <c r="N41" s="514">
        <f t="shared" si="4"/>
        <v>0</v>
      </c>
      <c r="O41" s="514">
        <f t="shared" si="5"/>
        <v>0</v>
      </c>
      <c r="P41" s="272"/>
    </row>
    <row r="42" spans="2:16" ht="12.5">
      <c r="B42" s="195" t="str">
        <f t="shared" si="7"/>
        <v/>
      </c>
      <c r="C42" s="507">
        <f>IF(D11="","-",+C41+1)</f>
        <v>2042</v>
      </c>
      <c r="D42" s="523">
        <f>IF(F41+SUM(E$17:E41)=D$10,F41,D$10-SUM(E$17:E41))</f>
        <v>4089993.38255517</v>
      </c>
      <c r="E42" s="522">
        <f>IF(+I14&lt;F41,I14,D42)</f>
        <v>236429.50761904762</v>
      </c>
      <c r="F42" s="523">
        <f t="shared" si="11"/>
        <v>3853563.8749361224</v>
      </c>
      <c r="G42" s="524">
        <f t="shared" si="12"/>
        <v>738171.54435461259</v>
      </c>
      <c r="H42" s="491">
        <f t="shared" si="13"/>
        <v>738171.54435461259</v>
      </c>
      <c r="I42" s="511">
        <f t="shared" si="0"/>
        <v>0</v>
      </c>
      <c r="J42" s="511"/>
      <c r="K42" s="525"/>
      <c r="L42" s="514">
        <f t="shared" si="2"/>
        <v>0</v>
      </c>
      <c r="M42" s="525"/>
      <c r="N42" s="514">
        <f t="shared" si="4"/>
        <v>0</v>
      </c>
      <c r="O42" s="514">
        <f t="shared" si="5"/>
        <v>0</v>
      </c>
      <c r="P42" s="272"/>
    </row>
    <row r="43" spans="2:16" ht="12.5">
      <c r="B43" s="195" t="str">
        <f t="shared" si="7"/>
        <v/>
      </c>
      <c r="C43" s="507">
        <f>IF(D11="","-",+C42+1)</f>
        <v>2043</v>
      </c>
      <c r="D43" s="523">
        <f>IF(F42+SUM(E$17:E42)=D$10,F42,D$10-SUM(E$17:E42))</f>
        <v>3853563.8749361224</v>
      </c>
      <c r="E43" s="522">
        <f>IF(+I14&lt;F42,I14,D43)</f>
        <v>236429.50761904762</v>
      </c>
      <c r="F43" s="523">
        <f t="shared" si="11"/>
        <v>3617134.3673170749</v>
      </c>
      <c r="G43" s="524">
        <f t="shared" si="12"/>
        <v>708304.16407349356</v>
      </c>
      <c r="H43" s="491">
        <f t="shared" si="13"/>
        <v>708304.16407349356</v>
      </c>
      <c r="I43" s="511">
        <f t="shared" si="0"/>
        <v>0</v>
      </c>
      <c r="J43" s="511"/>
      <c r="K43" s="525"/>
      <c r="L43" s="514">
        <f t="shared" si="2"/>
        <v>0</v>
      </c>
      <c r="M43" s="525"/>
      <c r="N43" s="514">
        <f t="shared" si="4"/>
        <v>0</v>
      </c>
      <c r="O43" s="514">
        <f t="shared" si="5"/>
        <v>0</v>
      </c>
      <c r="P43" s="272"/>
    </row>
    <row r="44" spans="2:16" ht="12.5">
      <c r="B44" s="195" t="str">
        <f t="shared" si="7"/>
        <v/>
      </c>
      <c r="C44" s="507">
        <f>IF(D11="","-",+C43+1)</f>
        <v>2044</v>
      </c>
      <c r="D44" s="523">
        <f>IF(F43+SUM(E$17:E43)=D$10,F43,D$10-SUM(E$17:E43))</f>
        <v>3617134.3673170749</v>
      </c>
      <c r="E44" s="522">
        <f>IF(+I14&lt;F43,I14,D44)</f>
        <v>236429.50761904762</v>
      </c>
      <c r="F44" s="523">
        <f t="shared" si="11"/>
        <v>3380704.8596980274</v>
      </c>
      <c r="G44" s="524">
        <f t="shared" si="12"/>
        <v>678436.78379237454</v>
      </c>
      <c r="H44" s="491">
        <f t="shared" si="13"/>
        <v>678436.78379237454</v>
      </c>
      <c r="I44" s="511">
        <f t="shared" si="0"/>
        <v>0</v>
      </c>
      <c r="J44" s="511"/>
      <c r="K44" s="525"/>
      <c r="L44" s="514">
        <f t="shared" si="2"/>
        <v>0</v>
      </c>
      <c r="M44" s="525"/>
      <c r="N44" s="514">
        <f t="shared" si="4"/>
        <v>0</v>
      </c>
      <c r="O44" s="514">
        <f t="shared" si="5"/>
        <v>0</v>
      </c>
      <c r="P44" s="272"/>
    </row>
    <row r="45" spans="2:16" ht="12.5">
      <c r="B45" s="195" t="str">
        <f t="shared" si="7"/>
        <v/>
      </c>
      <c r="C45" s="507">
        <f>IF(D11="","-",+C44+1)</f>
        <v>2045</v>
      </c>
      <c r="D45" s="523">
        <f>IF(F44+SUM(E$17:E44)=D$10,F44,D$10-SUM(E$17:E44))</f>
        <v>3380704.8596980274</v>
      </c>
      <c r="E45" s="522">
        <f>IF(+I14&lt;F44,I14,D45)</f>
        <v>236429.50761904762</v>
      </c>
      <c r="F45" s="523">
        <f t="shared" si="11"/>
        <v>3144275.3520789798</v>
      </c>
      <c r="G45" s="524">
        <f t="shared" si="12"/>
        <v>648569.40351125551</v>
      </c>
      <c r="H45" s="491">
        <f t="shared" si="13"/>
        <v>648569.40351125551</v>
      </c>
      <c r="I45" s="511">
        <f t="shared" si="0"/>
        <v>0</v>
      </c>
      <c r="J45" s="511"/>
      <c r="K45" s="525"/>
      <c r="L45" s="514">
        <f t="shared" si="2"/>
        <v>0</v>
      </c>
      <c r="M45" s="525"/>
      <c r="N45" s="514">
        <f t="shared" si="4"/>
        <v>0</v>
      </c>
      <c r="O45" s="514">
        <f t="shared" si="5"/>
        <v>0</v>
      </c>
      <c r="P45" s="272"/>
    </row>
    <row r="46" spans="2:16" ht="12.5">
      <c r="B46" s="195" t="str">
        <f t="shared" si="7"/>
        <v/>
      </c>
      <c r="C46" s="507">
        <f>IF(D11="","-",+C45+1)</f>
        <v>2046</v>
      </c>
      <c r="D46" s="523">
        <f>IF(F45+SUM(E$17:E45)=D$10,F45,D$10-SUM(E$17:E45))</f>
        <v>3144275.3520789798</v>
      </c>
      <c r="E46" s="522">
        <f>IF(+I14&lt;F45,I14,D46)</f>
        <v>236429.50761904762</v>
      </c>
      <c r="F46" s="523">
        <f t="shared" si="11"/>
        <v>2907845.8444599323</v>
      </c>
      <c r="G46" s="524">
        <f t="shared" si="12"/>
        <v>618702.02323013649</v>
      </c>
      <c r="H46" s="491">
        <f t="shared" si="13"/>
        <v>618702.02323013649</v>
      </c>
      <c r="I46" s="511">
        <f t="shared" si="0"/>
        <v>0</v>
      </c>
      <c r="J46" s="511"/>
      <c r="K46" s="525"/>
      <c r="L46" s="514">
        <f t="shared" si="2"/>
        <v>0</v>
      </c>
      <c r="M46" s="525"/>
      <c r="N46" s="514">
        <f t="shared" si="4"/>
        <v>0</v>
      </c>
      <c r="O46" s="514">
        <f t="shared" si="5"/>
        <v>0</v>
      </c>
      <c r="P46" s="272"/>
    </row>
    <row r="47" spans="2:16" ht="12.5">
      <c r="B47" s="195" t="str">
        <f t="shared" si="7"/>
        <v/>
      </c>
      <c r="C47" s="507">
        <f>IF(D11="","-",+C46+1)</f>
        <v>2047</v>
      </c>
      <c r="D47" s="523">
        <f>IF(F46+SUM(E$17:E46)=D$10,F46,D$10-SUM(E$17:E46))</f>
        <v>2907845.8444599323</v>
      </c>
      <c r="E47" s="522">
        <f>IF(+I14&lt;F46,I14,D47)</f>
        <v>236429.50761904762</v>
      </c>
      <c r="F47" s="523">
        <f t="shared" si="11"/>
        <v>2671416.3368408848</v>
      </c>
      <c r="G47" s="524">
        <f t="shared" si="12"/>
        <v>588834.64294901746</v>
      </c>
      <c r="H47" s="491">
        <f t="shared" si="13"/>
        <v>588834.64294901746</v>
      </c>
      <c r="I47" s="511">
        <f t="shared" si="0"/>
        <v>0</v>
      </c>
      <c r="J47" s="511"/>
      <c r="K47" s="525"/>
      <c r="L47" s="514">
        <f t="shared" si="2"/>
        <v>0</v>
      </c>
      <c r="M47" s="525"/>
      <c r="N47" s="514">
        <f t="shared" si="4"/>
        <v>0</v>
      </c>
      <c r="O47" s="514">
        <f t="shared" si="5"/>
        <v>0</v>
      </c>
      <c r="P47" s="272"/>
    </row>
    <row r="48" spans="2:16" ht="12.5">
      <c r="B48" s="195" t="str">
        <f t="shared" si="7"/>
        <v/>
      </c>
      <c r="C48" s="507">
        <f>IF(D11="","-",+C47+1)</f>
        <v>2048</v>
      </c>
      <c r="D48" s="523">
        <f>IF(F47+SUM(E$17:E47)=D$10,F47,D$10-SUM(E$17:E47))</f>
        <v>2671416.3368408848</v>
      </c>
      <c r="E48" s="522">
        <f>IF(+I14&lt;F47,I14,D48)</f>
        <v>236429.50761904762</v>
      </c>
      <c r="F48" s="523">
        <f t="shared" si="11"/>
        <v>2434986.8292218372</v>
      </c>
      <c r="G48" s="524">
        <f t="shared" si="12"/>
        <v>558967.26266789844</v>
      </c>
      <c r="H48" s="491">
        <f t="shared" si="13"/>
        <v>558967.26266789844</v>
      </c>
      <c r="I48" s="511">
        <f t="shared" si="0"/>
        <v>0</v>
      </c>
      <c r="J48" s="511"/>
      <c r="K48" s="525"/>
      <c r="L48" s="514">
        <f t="shared" si="2"/>
        <v>0</v>
      </c>
      <c r="M48" s="525"/>
      <c r="N48" s="514">
        <f t="shared" si="4"/>
        <v>0</v>
      </c>
      <c r="O48" s="514">
        <f t="shared" si="5"/>
        <v>0</v>
      </c>
      <c r="P48" s="272"/>
    </row>
    <row r="49" spans="2:16" ht="12.5">
      <c r="B49" s="195" t="str">
        <f t="shared" si="7"/>
        <v/>
      </c>
      <c r="C49" s="507">
        <f>IF(D11="","-",+C48+1)</f>
        <v>2049</v>
      </c>
      <c r="D49" s="523">
        <f>IF(F48+SUM(E$17:E48)=D$10,F48,D$10-SUM(E$17:E48))</f>
        <v>2434986.8292218372</v>
      </c>
      <c r="E49" s="522">
        <f>IF(+I14&lt;F48,I14,D49)</f>
        <v>236429.50761904762</v>
      </c>
      <c r="F49" s="523">
        <f t="shared" si="11"/>
        <v>2198557.3216027897</v>
      </c>
      <c r="G49" s="524">
        <f t="shared" si="12"/>
        <v>529099.88238677941</v>
      </c>
      <c r="H49" s="491">
        <f t="shared" si="13"/>
        <v>529099.88238677941</v>
      </c>
      <c r="I49" s="511">
        <f t="shared" si="0"/>
        <v>0</v>
      </c>
      <c r="J49" s="511"/>
      <c r="K49" s="525"/>
      <c r="L49" s="514">
        <f t="shared" si="2"/>
        <v>0</v>
      </c>
      <c r="M49" s="525"/>
      <c r="N49" s="514">
        <f t="shared" si="4"/>
        <v>0</v>
      </c>
      <c r="O49" s="514">
        <f t="shared" si="5"/>
        <v>0</v>
      </c>
      <c r="P49" s="272"/>
    </row>
    <row r="50" spans="2:16" ht="12.5">
      <c r="B50" s="195" t="str">
        <f t="shared" si="7"/>
        <v/>
      </c>
      <c r="C50" s="507">
        <f>IF(D11="","-",+C49+1)</f>
        <v>2050</v>
      </c>
      <c r="D50" s="523">
        <f>IF(F49+SUM(E$17:E49)=D$10,F49,D$10-SUM(E$17:E49))</f>
        <v>2198557.3216027897</v>
      </c>
      <c r="E50" s="522">
        <f>IF(+I14&lt;F49,I14,D50)</f>
        <v>236429.50761904762</v>
      </c>
      <c r="F50" s="523">
        <f t="shared" si="11"/>
        <v>1962127.8139837421</v>
      </c>
      <c r="G50" s="524">
        <f t="shared" si="12"/>
        <v>499232.50210566039</v>
      </c>
      <c r="H50" s="491">
        <f t="shared" si="13"/>
        <v>499232.50210566039</v>
      </c>
      <c r="I50" s="511">
        <f t="shared" si="0"/>
        <v>0</v>
      </c>
      <c r="J50" s="511"/>
      <c r="K50" s="525"/>
      <c r="L50" s="514">
        <f t="shared" si="2"/>
        <v>0</v>
      </c>
      <c r="M50" s="525"/>
      <c r="N50" s="514">
        <f t="shared" si="4"/>
        <v>0</v>
      </c>
      <c r="O50" s="514">
        <f t="shared" si="5"/>
        <v>0</v>
      </c>
      <c r="P50" s="272"/>
    </row>
    <row r="51" spans="2:16" ht="12.5">
      <c r="B51" s="195" t="str">
        <f t="shared" si="7"/>
        <v/>
      </c>
      <c r="C51" s="507">
        <f>IF(D11="","-",+C50+1)</f>
        <v>2051</v>
      </c>
      <c r="D51" s="523">
        <f>IF(F50+SUM(E$17:E50)=D$10,F50,D$10-SUM(E$17:E50))</f>
        <v>1962127.8139837421</v>
      </c>
      <c r="E51" s="522">
        <f>IF(+I14&lt;F50,I14,D51)</f>
        <v>236429.50761904762</v>
      </c>
      <c r="F51" s="523">
        <f t="shared" si="11"/>
        <v>1725698.3063646946</v>
      </c>
      <c r="G51" s="524">
        <f t="shared" si="12"/>
        <v>469365.12182454136</v>
      </c>
      <c r="H51" s="491">
        <f t="shared" si="13"/>
        <v>469365.12182454136</v>
      </c>
      <c r="I51" s="511">
        <f t="shared" si="0"/>
        <v>0</v>
      </c>
      <c r="J51" s="511"/>
      <c r="K51" s="525"/>
      <c r="L51" s="514">
        <f t="shared" si="2"/>
        <v>0</v>
      </c>
      <c r="M51" s="525"/>
      <c r="N51" s="514">
        <f t="shared" si="4"/>
        <v>0</v>
      </c>
      <c r="O51" s="514">
        <f t="shared" si="5"/>
        <v>0</v>
      </c>
      <c r="P51" s="272"/>
    </row>
    <row r="52" spans="2:16" ht="12.5">
      <c r="B52" s="195" t="str">
        <f t="shared" si="7"/>
        <v/>
      </c>
      <c r="C52" s="507">
        <f>IF(D11="","-",+C51+1)</f>
        <v>2052</v>
      </c>
      <c r="D52" s="523">
        <f>IF(F51+SUM(E$17:E51)=D$10,F51,D$10-SUM(E$17:E51))</f>
        <v>1725698.3063646946</v>
      </c>
      <c r="E52" s="522">
        <f>IF(+I14&lt;F51,I14,D52)</f>
        <v>236429.50761904762</v>
      </c>
      <c r="F52" s="523">
        <f t="shared" si="11"/>
        <v>1489268.7987456471</v>
      </c>
      <c r="G52" s="524">
        <f t="shared" si="12"/>
        <v>439497.74154342234</v>
      </c>
      <c r="H52" s="491">
        <f t="shared" si="13"/>
        <v>439497.74154342234</v>
      </c>
      <c r="I52" s="511">
        <f t="shared" si="0"/>
        <v>0</v>
      </c>
      <c r="J52" s="511"/>
      <c r="K52" s="525"/>
      <c r="L52" s="514">
        <f t="shared" si="2"/>
        <v>0</v>
      </c>
      <c r="M52" s="525"/>
      <c r="N52" s="514">
        <f t="shared" si="4"/>
        <v>0</v>
      </c>
      <c r="O52" s="514">
        <f t="shared" si="5"/>
        <v>0</v>
      </c>
      <c r="P52" s="272"/>
    </row>
    <row r="53" spans="2:16" ht="12.5">
      <c r="B53" s="195" t="str">
        <f t="shared" si="7"/>
        <v/>
      </c>
      <c r="C53" s="507">
        <f>IF(D11="","-",+C52+1)</f>
        <v>2053</v>
      </c>
      <c r="D53" s="523">
        <f>IF(F52+SUM(E$17:E52)=D$10,F52,D$10-SUM(E$17:E52))</f>
        <v>1489268.7987456471</v>
      </c>
      <c r="E53" s="522">
        <f>IF(+I14&lt;F52,I14,D53)</f>
        <v>236429.50761904762</v>
      </c>
      <c r="F53" s="523">
        <f t="shared" si="11"/>
        <v>1252839.2911265995</v>
      </c>
      <c r="G53" s="524">
        <f t="shared" si="12"/>
        <v>409630.36126230331</v>
      </c>
      <c r="H53" s="491">
        <f t="shared" si="13"/>
        <v>409630.36126230331</v>
      </c>
      <c r="I53" s="511">
        <f t="shared" si="0"/>
        <v>0</v>
      </c>
      <c r="J53" s="511"/>
      <c r="K53" s="525"/>
      <c r="L53" s="514">
        <f t="shared" si="2"/>
        <v>0</v>
      </c>
      <c r="M53" s="525"/>
      <c r="N53" s="514">
        <f t="shared" si="4"/>
        <v>0</v>
      </c>
      <c r="O53" s="514">
        <f t="shared" si="5"/>
        <v>0</v>
      </c>
      <c r="P53" s="272"/>
    </row>
    <row r="54" spans="2:16" ht="12.5">
      <c r="B54" s="195" t="str">
        <f t="shared" si="7"/>
        <v/>
      </c>
      <c r="C54" s="507">
        <f>IF(D11="","-",+C53+1)</f>
        <v>2054</v>
      </c>
      <c r="D54" s="523">
        <f>IF(F53+SUM(E$17:E53)=D$10,F53,D$10-SUM(E$17:E53))</f>
        <v>1252839.2911265995</v>
      </c>
      <c r="E54" s="522">
        <f>IF(+I14&lt;F53,I14,D54)</f>
        <v>236429.50761904762</v>
      </c>
      <c r="F54" s="523">
        <f t="shared" si="11"/>
        <v>1016409.7835075519</v>
      </c>
      <c r="G54" s="524">
        <f t="shared" si="12"/>
        <v>379762.98098118429</v>
      </c>
      <c r="H54" s="491">
        <f t="shared" si="13"/>
        <v>379762.98098118429</v>
      </c>
      <c r="I54" s="511">
        <f t="shared" si="0"/>
        <v>0</v>
      </c>
      <c r="J54" s="511"/>
      <c r="K54" s="525"/>
      <c r="L54" s="514">
        <f t="shared" si="2"/>
        <v>0</v>
      </c>
      <c r="M54" s="525"/>
      <c r="N54" s="514">
        <f t="shared" si="4"/>
        <v>0</v>
      </c>
      <c r="O54" s="514">
        <f t="shared" si="5"/>
        <v>0</v>
      </c>
      <c r="P54" s="272"/>
    </row>
    <row r="55" spans="2:16" ht="12.5">
      <c r="B55" s="195" t="str">
        <f t="shared" si="7"/>
        <v/>
      </c>
      <c r="C55" s="507">
        <f>IF(D11="","-",+C54+1)</f>
        <v>2055</v>
      </c>
      <c r="D55" s="523">
        <f>IF(F54+SUM(E$17:E54)=D$10,F54,D$10-SUM(E$17:E54))</f>
        <v>1016409.7835075519</v>
      </c>
      <c r="E55" s="522">
        <f>IF(+I14&lt;F54,I14,D55)</f>
        <v>236429.50761904762</v>
      </c>
      <c r="F55" s="523">
        <f t="shared" si="11"/>
        <v>779980.27588850423</v>
      </c>
      <c r="G55" s="524">
        <f t="shared" si="12"/>
        <v>349895.6007000652</v>
      </c>
      <c r="H55" s="491">
        <f t="shared" si="13"/>
        <v>349895.6007000652</v>
      </c>
      <c r="I55" s="511">
        <f t="shared" si="0"/>
        <v>0</v>
      </c>
      <c r="J55" s="511"/>
      <c r="K55" s="525"/>
      <c r="L55" s="514">
        <f t="shared" si="2"/>
        <v>0</v>
      </c>
      <c r="M55" s="525"/>
      <c r="N55" s="514">
        <f t="shared" si="4"/>
        <v>0</v>
      </c>
      <c r="O55" s="514">
        <f t="shared" si="5"/>
        <v>0</v>
      </c>
      <c r="P55" s="272"/>
    </row>
    <row r="56" spans="2:16" ht="12.5">
      <c r="B56" s="195" t="str">
        <f t="shared" si="7"/>
        <v/>
      </c>
      <c r="C56" s="507">
        <f>IF(D11="","-",+C55+1)</f>
        <v>2056</v>
      </c>
      <c r="D56" s="523">
        <f>IF(F55+SUM(E$17:E55)=D$10,F55,D$10-SUM(E$17:E55))</f>
        <v>779980.27588850423</v>
      </c>
      <c r="E56" s="522">
        <f>IF(+I14&lt;F55,I14,D56)</f>
        <v>236429.50761904762</v>
      </c>
      <c r="F56" s="523">
        <f t="shared" si="11"/>
        <v>543550.76826945657</v>
      </c>
      <c r="G56" s="524">
        <f t="shared" si="12"/>
        <v>320028.22041894618</v>
      </c>
      <c r="H56" s="491">
        <f t="shared" si="13"/>
        <v>320028.22041894618</v>
      </c>
      <c r="I56" s="511">
        <f t="shared" si="0"/>
        <v>0</v>
      </c>
      <c r="J56" s="511"/>
      <c r="K56" s="525"/>
      <c r="L56" s="514">
        <f t="shared" si="2"/>
        <v>0</v>
      </c>
      <c r="M56" s="525"/>
      <c r="N56" s="514">
        <f t="shared" si="4"/>
        <v>0</v>
      </c>
      <c r="O56" s="514">
        <f t="shared" si="5"/>
        <v>0</v>
      </c>
      <c r="P56" s="272"/>
    </row>
    <row r="57" spans="2:16" ht="12.5">
      <c r="B57" s="195" t="str">
        <f t="shared" si="7"/>
        <v/>
      </c>
      <c r="C57" s="507">
        <f>IF(D11="","-",+C56+1)</f>
        <v>2057</v>
      </c>
      <c r="D57" s="523">
        <f>IF(F56+SUM(E$17:E56)=D$10,F56,D$10-SUM(E$17:E56))</f>
        <v>543550.76826945657</v>
      </c>
      <c r="E57" s="522">
        <f>IF(+I14&lt;F56,I14,D57)</f>
        <v>236429.50761904762</v>
      </c>
      <c r="F57" s="523">
        <f t="shared" si="11"/>
        <v>307121.26065040892</v>
      </c>
      <c r="G57" s="524">
        <f t="shared" si="12"/>
        <v>290160.84013782709</v>
      </c>
      <c r="H57" s="491">
        <f t="shared" si="13"/>
        <v>290160.84013782709</v>
      </c>
      <c r="I57" s="511">
        <f t="shared" si="0"/>
        <v>0</v>
      </c>
      <c r="J57" s="511"/>
      <c r="K57" s="525"/>
      <c r="L57" s="514">
        <f t="shared" si="2"/>
        <v>0</v>
      </c>
      <c r="M57" s="525"/>
      <c r="N57" s="514">
        <f t="shared" si="4"/>
        <v>0</v>
      </c>
      <c r="O57" s="514">
        <f t="shared" si="5"/>
        <v>0</v>
      </c>
      <c r="P57" s="272"/>
    </row>
    <row r="58" spans="2:16" ht="12.5">
      <c r="B58" s="195" t="str">
        <f t="shared" si="7"/>
        <v/>
      </c>
      <c r="C58" s="507">
        <f>IF(D11="","-",+C57+1)</f>
        <v>2058</v>
      </c>
      <c r="D58" s="523">
        <f>IF(F57+SUM(E$17:E57)=D$10,F57,D$10-SUM(E$17:E57))</f>
        <v>307121.26065040892</v>
      </c>
      <c r="E58" s="522">
        <f>IF(+I14&lt;F57,I14,D58)</f>
        <v>236429.50761904762</v>
      </c>
      <c r="F58" s="523">
        <f t="shared" si="11"/>
        <v>70691.753031361295</v>
      </c>
      <c r="G58" s="524">
        <f t="shared" si="12"/>
        <v>260293.45985670807</v>
      </c>
      <c r="H58" s="491">
        <f t="shared" si="13"/>
        <v>260293.45985670807</v>
      </c>
      <c r="I58" s="511">
        <f t="shared" si="0"/>
        <v>0</v>
      </c>
      <c r="J58" s="511"/>
      <c r="K58" s="525"/>
      <c r="L58" s="514">
        <f t="shared" si="2"/>
        <v>0</v>
      </c>
      <c r="M58" s="525"/>
      <c r="N58" s="514">
        <f t="shared" si="4"/>
        <v>0</v>
      </c>
      <c r="O58" s="514">
        <f t="shared" si="5"/>
        <v>0</v>
      </c>
      <c r="P58" s="272"/>
    </row>
    <row r="59" spans="2:16" ht="12.5">
      <c r="B59" s="195" t="str">
        <f t="shared" si="7"/>
        <v/>
      </c>
      <c r="C59" s="507">
        <f>IF(D11="","-",+C58+1)</f>
        <v>2059</v>
      </c>
      <c r="D59" s="523">
        <f>IF(F58+SUM(E$17:E58)=D$10,F58,D$10-SUM(E$17:E58))</f>
        <v>70691.753031361295</v>
      </c>
      <c r="E59" s="522">
        <f>IF(+I14&lt;F58,I14,D59)</f>
        <v>70691.753031361295</v>
      </c>
      <c r="F59" s="523">
        <f t="shared" si="11"/>
        <v>0</v>
      </c>
      <c r="G59" s="524">
        <f t="shared" si="12"/>
        <v>75156.884079911761</v>
      </c>
      <c r="H59" s="491">
        <f t="shared" si="13"/>
        <v>75156.884079911761</v>
      </c>
      <c r="I59" s="511">
        <f t="shared" si="0"/>
        <v>0</v>
      </c>
      <c r="J59" s="511"/>
      <c r="K59" s="525"/>
      <c r="L59" s="514">
        <f t="shared" si="2"/>
        <v>0</v>
      </c>
      <c r="M59" s="525"/>
      <c r="N59" s="514">
        <f t="shared" si="4"/>
        <v>0</v>
      </c>
      <c r="O59" s="514">
        <f t="shared" si="5"/>
        <v>0</v>
      </c>
      <c r="P59" s="272"/>
    </row>
    <row r="60" spans="2:16" ht="12.5">
      <c r="B60" s="195" t="str">
        <f t="shared" si="7"/>
        <v/>
      </c>
      <c r="C60" s="507">
        <f>IF(D11="","-",+C59+1)</f>
        <v>2060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11"/>
        <v>0</v>
      </c>
      <c r="G60" s="524">
        <f t="shared" si="12"/>
        <v>0</v>
      </c>
      <c r="H60" s="491">
        <f t="shared" si="13"/>
        <v>0</v>
      </c>
      <c r="I60" s="511">
        <f t="shared" si="0"/>
        <v>0</v>
      </c>
      <c r="J60" s="511"/>
      <c r="K60" s="525"/>
      <c r="L60" s="514">
        <f t="shared" si="2"/>
        <v>0</v>
      </c>
      <c r="M60" s="525"/>
      <c r="N60" s="514">
        <f t="shared" si="4"/>
        <v>0</v>
      </c>
      <c r="O60" s="514">
        <f t="shared" si="5"/>
        <v>0</v>
      </c>
      <c r="P60" s="272"/>
    </row>
    <row r="61" spans="2:16" ht="12.5">
      <c r="B61" s="195" t="str">
        <f t="shared" si="7"/>
        <v/>
      </c>
      <c r="C61" s="507">
        <f>IF(D11="","-",+C60+1)</f>
        <v>2061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11"/>
        <v>0</v>
      </c>
      <c r="G61" s="526">
        <f t="shared" si="12"/>
        <v>0</v>
      </c>
      <c r="H61" s="491">
        <f t="shared" si="13"/>
        <v>0</v>
      </c>
      <c r="I61" s="511">
        <f t="shared" si="0"/>
        <v>0</v>
      </c>
      <c r="J61" s="511"/>
      <c r="K61" s="525"/>
      <c r="L61" s="514">
        <f t="shared" si="2"/>
        <v>0</v>
      </c>
      <c r="M61" s="525"/>
      <c r="N61" s="514">
        <f t="shared" si="4"/>
        <v>0</v>
      </c>
      <c r="O61" s="514">
        <f t="shared" si="5"/>
        <v>0</v>
      </c>
      <c r="P61" s="272"/>
    </row>
    <row r="62" spans="2:16" ht="12.5">
      <c r="B62" s="195" t="str">
        <f t="shared" si="7"/>
        <v/>
      </c>
      <c r="C62" s="507">
        <f>IF(D11="","-",+C61+1)</f>
        <v>2062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11"/>
        <v>0</v>
      </c>
      <c r="G62" s="526">
        <f t="shared" si="12"/>
        <v>0</v>
      </c>
      <c r="H62" s="491">
        <f t="shared" si="13"/>
        <v>0</v>
      </c>
      <c r="I62" s="511">
        <f t="shared" si="0"/>
        <v>0</v>
      </c>
      <c r="J62" s="511"/>
      <c r="K62" s="525"/>
      <c r="L62" s="514">
        <f t="shared" si="2"/>
        <v>0</v>
      </c>
      <c r="M62" s="525"/>
      <c r="N62" s="514">
        <f t="shared" si="4"/>
        <v>0</v>
      </c>
      <c r="O62" s="514">
        <f t="shared" si="5"/>
        <v>0</v>
      </c>
      <c r="P62" s="272"/>
    </row>
    <row r="63" spans="2:16" ht="12.5">
      <c r="B63" s="195" t="str">
        <f t="shared" si="7"/>
        <v/>
      </c>
      <c r="C63" s="507">
        <f>IF(D11="","-",+C62+1)</f>
        <v>2063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11"/>
        <v>0</v>
      </c>
      <c r="G63" s="526">
        <f t="shared" si="12"/>
        <v>0</v>
      </c>
      <c r="H63" s="491">
        <f t="shared" si="13"/>
        <v>0</v>
      </c>
      <c r="I63" s="511">
        <f t="shared" si="0"/>
        <v>0</v>
      </c>
      <c r="J63" s="511"/>
      <c r="K63" s="525"/>
      <c r="L63" s="514">
        <f t="shared" si="2"/>
        <v>0</v>
      </c>
      <c r="M63" s="525"/>
      <c r="N63" s="514">
        <f t="shared" si="4"/>
        <v>0</v>
      </c>
      <c r="O63" s="514">
        <f t="shared" si="5"/>
        <v>0</v>
      </c>
      <c r="P63" s="272"/>
    </row>
    <row r="64" spans="2:16" ht="12.5">
      <c r="B64" s="195" t="str">
        <f t="shared" si="7"/>
        <v/>
      </c>
      <c r="C64" s="507">
        <f>IF(D11="","-",+C63+1)</f>
        <v>2064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11"/>
        <v>0</v>
      </c>
      <c r="G64" s="526">
        <f t="shared" si="12"/>
        <v>0</v>
      </c>
      <c r="H64" s="491">
        <f t="shared" si="13"/>
        <v>0</v>
      </c>
      <c r="I64" s="511">
        <f t="shared" si="0"/>
        <v>0</v>
      </c>
      <c r="J64" s="511"/>
      <c r="K64" s="525"/>
      <c r="L64" s="514">
        <f t="shared" si="2"/>
        <v>0</v>
      </c>
      <c r="M64" s="525"/>
      <c r="N64" s="514">
        <f t="shared" si="4"/>
        <v>0</v>
      </c>
      <c r="O64" s="514">
        <f t="shared" si="5"/>
        <v>0</v>
      </c>
      <c r="P64" s="272"/>
    </row>
    <row r="65" spans="2:16" ht="12.5">
      <c r="B65" s="195" t="str">
        <f t="shared" si="7"/>
        <v/>
      </c>
      <c r="C65" s="507">
        <f>IF(D11="","-",+C64+1)</f>
        <v>2065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11"/>
        <v>0</v>
      </c>
      <c r="G65" s="526">
        <f t="shared" si="12"/>
        <v>0</v>
      </c>
      <c r="H65" s="491">
        <f t="shared" si="13"/>
        <v>0</v>
      </c>
      <c r="I65" s="511">
        <f t="shared" si="0"/>
        <v>0</v>
      </c>
      <c r="J65" s="511"/>
      <c r="K65" s="525"/>
      <c r="L65" s="514">
        <f t="shared" si="2"/>
        <v>0</v>
      </c>
      <c r="M65" s="525"/>
      <c r="N65" s="514">
        <f t="shared" si="4"/>
        <v>0</v>
      </c>
      <c r="O65" s="514">
        <f t="shared" si="5"/>
        <v>0</v>
      </c>
      <c r="P65" s="272"/>
    </row>
    <row r="66" spans="2:16" ht="12.5">
      <c r="B66" s="195" t="str">
        <f t="shared" si="7"/>
        <v/>
      </c>
      <c r="C66" s="507">
        <f>IF(D11="","-",+C65+1)</f>
        <v>2066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11"/>
        <v>0</v>
      </c>
      <c r="G66" s="526">
        <f t="shared" si="12"/>
        <v>0</v>
      </c>
      <c r="H66" s="491">
        <f t="shared" si="13"/>
        <v>0</v>
      </c>
      <c r="I66" s="511">
        <f t="shared" si="0"/>
        <v>0</v>
      </c>
      <c r="J66" s="511"/>
      <c r="K66" s="525"/>
      <c r="L66" s="514">
        <f t="shared" si="2"/>
        <v>0</v>
      </c>
      <c r="M66" s="525"/>
      <c r="N66" s="514">
        <f t="shared" si="4"/>
        <v>0</v>
      </c>
      <c r="O66" s="514">
        <f t="shared" si="5"/>
        <v>0</v>
      </c>
      <c r="P66" s="272"/>
    </row>
    <row r="67" spans="2:16" ht="12.5">
      <c r="B67" s="195" t="str">
        <f t="shared" si="7"/>
        <v/>
      </c>
      <c r="C67" s="507">
        <f>IF(D11="","-",+C66+1)</f>
        <v>2067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11"/>
        <v>0</v>
      </c>
      <c r="G67" s="526">
        <f t="shared" si="12"/>
        <v>0</v>
      </c>
      <c r="H67" s="491">
        <f t="shared" si="13"/>
        <v>0</v>
      </c>
      <c r="I67" s="511">
        <f t="shared" si="0"/>
        <v>0</v>
      </c>
      <c r="J67" s="511"/>
      <c r="K67" s="525"/>
      <c r="L67" s="514">
        <f t="shared" si="2"/>
        <v>0</v>
      </c>
      <c r="M67" s="525"/>
      <c r="N67" s="514">
        <f t="shared" si="4"/>
        <v>0</v>
      </c>
      <c r="O67" s="514">
        <f t="shared" si="5"/>
        <v>0</v>
      </c>
      <c r="P67" s="272"/>
    </row>
    <row r="68" spans="2:16" ht="12.5">
      <c r="B68" s="195" t="str">
        <f t="shared" si="7"/>
        <v/>
      </c>
      <c r="C68" s="507">
        <f>IF(D11="","-",+C67+1)</f>
        <v>2068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11"/>
        <v>0</v>
      </c>
      <c r="G68" s="526">
        <f t="shared" si="12"/>
        <v>0</v>
      </c>
      <c r="H68" s="491">
        <f t="shared" si="13"/>
        <v>0</v>
      </c>
      <c r="I68" s="511">
        <f t="shared" si="0"/>
        <v>0</v>
      </c>
      <c r="J68" s="511"/>
      <c r="K68" s="525"/>
      <c r="L68" s="514">
        <f t="shared" si="2"/>
        <v>0</v>
      </c>
      <c r="M68" s="525"/>
      <c r="N68" s="514">
        <f t="shared" si="4"/>
        <v>0</v>
      </c>
      <c r="O68" s="514">
        <f t="shared" si="5"/>
        <v>0</v>
      </c>
      <c r="P68" s="272"/>
    </row>
    <row r="69" spans="2:16" ht="12.5">
      <c r="B69" s="195" t="str">
        <f t="shared" si="7"/>
        <v/>
      </c>
      <c r="C69" s="507">
        <f>IF(D11="","-",+C68+1)</f>
        <v>2069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11"/>
        <v>0</v>
      </c>
      <c r="G69" s="526">
        <f t="shared" si="12"/>
        <v>0</v>
      </c>
      <c r="H69" s="491">
        <f t="shared" si="13"/>
        <v>0</v>
      </c>
      <c r="I69" s="511">
        <f t="shared" si="0"/>
        <v>0</v>
      </c>
      <c r="J69" s="511"/>
      <c r="K69" s="525"/>
      <c r="L69" s="514">
        <f t="shared" si="2"/>
        <v>0</v>
      </c>
      <c r="M69" s="525"/>
      <c r="N69" s="514">
        <f t="shared" si="4"/>
        <v>0</v>
      </c>
      <c r="O69" s="514">
        <f t="shared" si="5"/>
        <v>0</v>
      </c>
      <c r="P69" s="272"/>
    </row>
    <row r="70" spans="2:16" ht="12.5">
      <c r="B70" s="195" t="str">
        <f t="shared" si="7"/>
        <v/>
      </c>
      <c r="C70" s="507">
        <f>IF(D11="","-",+C69+1)</f>
        <v>2070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11"/>
        <v>0</v>
      </c>
      <c r="G70" s="526">
        <f t="shared" si="12"/>
        <v>0</v>
      </c>
      <c r="H70" s="491">
        <f t="shared" si="13"/>
        <v>0</v>
      </c>
      <c r="I70" s="511">
        <f t="shared" si="0"/>
        <v>0</v>
      </c>
      <c r="J70" s="511"/>
      <c r="K70" s="525"/>
      <c r="L70" s="514">
        <f t="shared" si="2"/>
        <v>0</v>
      </c>
      <c r="M70" s="525"/>
      <c r="N70" s="514">
        <f t="shared" si="4"/>
        <v>0</v>
      </c>
      <c r="O70" s="514">
        <f t="shared" si="5"/>
        <v>0</v>
      </c>
      <c r="P70" s="272"/>
    </row>
    <row r="71" spans="2:16" ht="12.5">
      <c r="B71" s="195" t="str">
        <f t="shared" si="7"/>
        <v/>
      </c>
      <c r="C71" s="507">
        <f>IF(D11="","-",+C70+1)</f>
        <v>2071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11"/>
        <v>0</v>
      </c>
      <c r="G71" s="526">
        <f t="shared" si="12"/>
        <v>0</v>
      </c>
      <c r="H71" s="491">
        <f t="shared" si="13"/>
        <v>0</v>
      </c>
      <c r="I71" s="511">
        <f t="shared" si="0"/>
        <v>0</v>
      </c>
      <c r="J71" s="511"/>
      <c r="K71" s="525"/>
      <c r="L71" s="514">
        <f t="shared" si="2"/>
        <v>0</v>
      </c>
      <c r="M71" s="525"/>
      <c r="N71" s="514">
        <f t="shared" si="4"/>
        <v>0</v>
      </c>
      <c r="O71" s="514">
        <f t="shared" si="5"/>
        <v>0</v>
      </c>
      <c r="P71" s="272"/>
    </row>
    <row r="72" spans="2:16" ht="13" thickBot="1">
      <c r="B72" s="195" t="str">
        <f t="shared" si="7"/>
        <v/>
      </c>
      <c r="C72" s="527">
        <f>IF(D11="","-",+C71+1)</f>
        <v>2072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11"/>
        <v>0</v>
      </c>
      <c r="G72" s="530">
        <f t="shared" si="12"/>
        <v>0</v>
      </c>
      <c r="H72" s="471">
        <f t="shared" si="13"/>
        <v>0</v>
      </c>
      <c r="I72" s="531">
        <f t="shared" si="0"/>
        <v>0</v>
      </c>
      <c r="J72" s="511"/>
      <c r="K72" s="532"/>
      <c r="L72" s="533">
        <f t="shared" si="2"/>
        <v>0</v>
      </c>
      <c r="M72" s="532"/>
      <c r="N72" s="533">
        <f t="shared" si="4"/>
        <v>0</v>
      </c>
      <c r="O72" s="533">
        <f t="shared" si="5"/>
        <v>0</v>
      </c>
      <c r="P72" s="272"/>
    </row>
    <row r="73" spans="2:16" ht="12.5">
      <c r="C73" s="374" t="s">
        <v>78</v>
      </c>
      <c r="D73" s="375"/>
      <c r="E73" s="375">
        <f>SUM(E17:E72)</f>
        <v>9930039.3200000003</v>
      </c>
      <c r="F73" s="375"/>
      <c r="G73" s="375">
        <f>SUM(G17:G72)</f>
        <v>35165114.919957772</v>
      </c>
      <c r="H73" s="375">
        <f>SUM(H17:H72)</f>
        <v>35165114.919957772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69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1186882.8746105693</v>
      </c>
      <c r="N87" s="546">
        <f>IF(J92&lt;D11,0,VLOOKUP(J92,C17:O72,11))</f>
        <v>1186882.8746105693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1256255.7832385232</v>
      </c>
      <c r="N88" s="550">
        <f>IF(J92&lt;D11,0,VLOOKUP(J92,C99:P154,7))</f>
        <v>1256255.7832385232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Hallsville - Longview Heights 69 KV Line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69372.908627953846</v>
      </c>
      <c r="N89" s="555">
        <f>+N88-N87</f>
        <v>69372.908627953846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TP2013167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9930039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v>2017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242196.07317073172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2017</v>
      </c>
      <c r="D99" s="629">
        <v>0</v>
      </c>
      <c r="E99" s="630">
        <v>177322.125</v>
      </c>
      <c r="F99" s="631">
        <v>9752716.875</v>
      </c>
      <c r="G99" s="631">
        <v>4876358.4375</v>
      </c>
      <c r="H99" s="633">
        <v>692287.9381010225</v>
      </c>
      <c r="I99" s="634">
        <v>692287.9381010225</v>
      </c>
      <c r="J99" s="514">
        <f t="shared" ref="J99:J130" si="14">+I99-H99</f>
        <v>0</v>
      </c>
      <c r="K99" s="514"/>
      <c r="L99" s="512">
        <f>+H99</f>
        <v>692287.9381010225</v>
      </c>
      <c r="M99" s="513">
        <f t="shared" ref="M99:M102" si="15">IF(L99&lt;&gt;0,+H99-L99,0)</f>
        <v>0</v>
      </c>
      <c r="N99" s="512">
        <f>+I99</f>
        <v>692287.9381010225</v>
      </c>
      <c r="O99" s="513">
        <f t="shared" ref="O99:O130" si="16">IF(N99&lt;&gt;0,+I99-N99,0)</f>
        <v>0</v>
      </c>
      <c r="P99" s="513">
        <f t="shared" ref="P99:P130" si="17">+O99-M99</f>
        <v>0</v>
      </c>
    </row>
    <row r="100" spans="1:16" ht="12.5">
      <c r="B100" s="195" t="str">
        <f>IF(D100=F99,"","IU")</f>
        <v/>
      </c>
      <c r="C100" s="507">
        <f>IF(D93="","-",+C99+1)</f>
        <v>2018</v>
      </c>
      <c r="D100" s="629">
        <v>9752716.875</v>
      </c>
      <c r="E100" s="630">
        <v>230931.13953488372</v>
      </c>
      <c r="F100" s="631">
        <v>9521785.7354651168</v>
      </c>
      <c r="G100" s="631">
        <v>9637251.3052325584</v>
      </c>
      <c r="H100" s="633">
        <v>1262507.7864101741</v>
      </c>
      <c r="I100" s="634">
        <v>1262507.7864101741</v>
      </c>
      <c r="J100" s="514">
        <f t="shared" si="14"/>
        <v>0</v>
      </c>
      <c r="K100" s="514"/>
      <c r="L100" s="655">
        <f>+H100</f>
        <v>1262507.7864101741</v>
      </c>
      <c r="M100" s="514">
        <f t="shared" si="15"/>
        <v>0</v>
      </c>
      <c r="N100" s="655">
        <f>+I100</f>
        <v>1262507.7864101741</v>
      </c>
      <c r="O100" s="514">
        <f t="shared" si="16"/>
        <v>0</v>
      </c>
      <c r="P100" s="514">
        <f t="shared" si="17"/>
        <v>0</v>
      </c>
    </row>
    <row r="101" spans="1:16" ht="12.5">
      <c r="B101" s="195" t="str">
        <f t="shared" ref="B101:B154" si="18">IF(D101=F100,"","IU")</f>
        <v/>
      </c>
      <c r="C101" s="507">
        <f>IF(D93="","-",+C100+1)</f>
        <v>2019</v>
      </c>
      <c r="D101" s="629">
        <v>9521785.7354651168</v>
      </c>
      <c r="E101" s="630">
        <v>230931.13953488372</v>
      </c>
      <c r="F101" s="631">
        <v>9290854.5959302336</v>
      </c>
      <c r="G101" s="631">
        <v>9406320.1656976752</v>
      </c>
      <c r="H101" s="633">
        <v>1237788.7910207789</v>
      </c>
      <c r="I101" s="634">
        <v>1237788.7910207789</v>
      </c>
      <c r="J101" s="514">
        <f t="shared" si="14"/>
        <v>0</v>
      </c>
      <c r="K101" s="514"/>
      <c r="L101" s="655">
        <f>+H101</f>
        <v>1237788.7910207789</v>
      </c>
      <c r="M101" s="514">
        <f t="shared" si="15"/>
        <v>0</v>
      </c>
      <c r="N101" s="655">
        <f>+I101</f>
        <v>1237788.7910207789</v>
      </c>
      <c r="O101" s="514">
        <f t="shared" si="16"/>
        <v>0</v>
      </c>
      <c r="P101" s="514">
        <f t="shared" si="17"/>
        <v>0</v>
      </c>
    </row>
    <row r="102" spans="1:16" ht="12.5">
      <c r="B102" s="195" t="str">
        <f t="shared" si="18"/>
        <v/>
      </c>
      <c r="C102" s="507">
        <f>IF(D93="","-",+C101+1)</f>
        <v>2020</v>
      </c>
      <c r="D102" s="629">
        <v>9290854.5959302336</v>
      </c>
      <c r="E102" s="630">
        <v>236429.5</v>
      </c>
      <c r="F102" s="631">
        <v>9054425.0959302336</v>
      </c>
      <c r="G102" s="631">
        <v>9172639.8459302336</v>
      </c>
      <c r="H102" s="633">
        <v>1223165.5223756898</v>
      </c>
      <c r="I102" s="634">
        <v>1223165.5223756898</v>
      </c>
      <c r="J102" s="514">
        <f t="shared" si="14"/>
        <v>0</v>
      </c>
      <c r="K102" s="514"/>
      <c r="L102" s="655">
        <f>+H102</f>
        <v>1223165.5223756898</v>
      </c>
      <c r="M102" s="514">
        <f t="shared" si="15"/>
        <v>0</v>
      </c>
      <c r="N102" s="655">
        <f>+I102</f>
        <v>1223165.5223756898</v>
      </c>
      <c r="O102" s="514">
        <f t="shared" si="16"/>
        <v>0</v>
      </c>
      <c r="P102" s="514">
        <f t="shared" si="17"/>
        <v>0</v>
      </c>
    </row>
    <row r="103" spans="1:16" ht="12.5">
      <c r="B103" s="195" t="str">
        <f t="shared" si="18"/>
        <v/>
      </c>
      <c r="C103" s="507">
        <f>IF(D93="","-",+C102+1)</f>
        <v>2021</v>
      </c>
      <c r="D103" s="374">
        <f>IF(F102+SUM(E$99:E102)=D$92,F102,D$92-SUM(E$99:E102))</f>
        <v>9054425.0959302336</v>
      </c>
      <c r="E103" s="522">
        <f>IF(+J96&lt;F102,J96,D103)</f>
        <v>242196.07317073172</v>
      </c>
      <c r="F103" s="523">
        <f t="shared" ref="F103:F154" si="19">+D103-E103</f>
        <v>8812229.0227595028</v>
      </c>
      <c r="G103" s="523">
        <f t="shared" ref="G103:G154" si="20">+(F103+D103)/2</f>
        <v>8933327.0593448691</v>
      </c>
      <c r="H103" s="526">
        <f t="shared" ref="H103:H154" si="21">+J$94*G103+E103</f>
        <v>1256255.7832385232</v>
      </c>
      <c r="I103" s="577">
        <f t="shared" ref="I103:I154" si="22">+J$95*G103+E103</f>
        <v>1256255.7832385232</v>
      </c>
      <c r="J103" s="514">
        <f t="shared" si="14"/>
        <v>0</v>
      </c>
      <c r="K103" s="514"/>
      <c r="L103" s="525"/>
      <c r="M103" s="514">
        <f t="shared" ref="M103:M130" si="23">IF(L103&lt;&gt;0,+H103-L103,0)</f>
        <v>0</v>
      </c>
      <c r="N103" s="525"/>
      <c r="O103" s="514">
        <f t="shared" si="16"/>
        <v>0</v>
      </c>
      <c r="P103" s="514">
        <f t="shared" si="17"/>
        <v>0</v>
      </c>
    </row>
    <row r="104" spans="1:16" ht="12.5">
      <c r="B104" s="195" t="str">
        <f t="shared" si="18"/>
        <v/>
      </c>
      <c r="C104" s="507">
        <f>IF(D93="","-",+C103+1)</f>
        <v>2022</v>
      </c>
      <c r="D104" s="374">
        <f>IF(F103+SUM(E$99:E103)=D$92,F103,D$92-SUM(E$99:E103))</f>
        <v>8812229.0227595028</v>
      </c>
      <c r="E104" s="522">
        <f>IF(+J96&lt;F103,J96,D104)</f>
        <v>242196.07317073172</v>
      </c>
      <c r="F104" s="523">
        <f t="shared" si="19"/>
        <v>8570032.9495887719</v>
      </c>
      <c r="G104" s="523">
        <f t="shared" si="20"/>
        <v>8691130.9861741364</v>
      </c>
      <c r="H104" s="526">
        <f t="shared" si="21"/>
        <v>1228763.0833622599</v>
      </c>
      <c r="I104" s="577">
        <f t="shared" si="22"/>
        <v>1228763.0833622599</v>
      </c>
      <c r="J104" s="514">
        <f t="shared" si="14"/>
        <v>0</v>
      </c>
      <c r="K104" s="514"/>
      <c r="L104" s="525"/>
      <c r="M104" s="514">
        <f t="shared" si="23"/>
        <v>0</v>
      </c>
      <c r="N104" s="525"/>
      <c r="O104" s="514">
        <f t="shared" si="16"/>
        <v>0</v>
      </c>
      <c r="P104" s="514">
        <f t="shared" si="17"/>
        <v>0</v>
      </c>
    </row>
    <row r="105" spans="1:16" ht="12.5">
      <c r="B105" s="195" t="str">
        <f t="shared" si="18"/>
        <v/>
      </c>
      <c r="C105" s="507">
        <f>IF(D93="","-",+C104+1)</f>
        <v>2023</v>
      </c>
      <c r="D105" s="374">
        <f>IF(F104+SUM(E$99:E104)=D$92,F104,D$92-SUM(E$99:E104))</f>
        <v>8570032.9495887719</v>
      </c>
      <c r="E105" s="522">
        <f>IF(+J96&lt;F104,J96,D105)</f>
        <v>242196.07317073172</v>
      </c>
      <c r="F105" s="523">
        <f t="shared" si="19"/>
        <v>8327836.8764180401</v>
      </c>
      <c r="G105" s="523">
        <f t="shared" si="20"/>
        <v>8448934.9130034056</v>
      </c>
      <c r="H105" s="526">
        <f t="shared" si="21"/>
        <v>1201270.3834859966</v>
      </c>
      <c r="I105" s="577">
        <f t="shared" si="22"/>
        <v>1201270.3834859966</v>
      </c>
      <c r="J105" s="514">
        <f t="shared" si="14"/>
        <v>0</v>
      </c>
      <c r="K105" s="514"/>
      <c r="L105" s="525"/>
      <c r="M105" s="514">
        <f t="shared" si="23"/>
        <v>0</v>
      </c>
      <c r="N105" s="525"/>
      <c r="O105" s="514">
        <f t="shared" si="16"/>
        <v>0</v>
      </c>
      <c r="P105" s="514">
        <f t="shared" si="17"/>
        <v>0</v>
      </c>
    </row>
    <row r="106" spans="1:16" ht="12.5">
      <c r="B106" s="195" t="str">
        <f t="shared" si="18"/>
        <v/>
      </c>
      <c r="C106" s="507">
        <f>IF(D93="","-",+C105+1)</f>
        <v>2024</v>
      </c>
      <c r="D106" s="374">
        <f>IF(F105+SUM(E$99:E105)=D$92,F105,D$92-SUM(E$99:E105))</f>
        <v>8327836.8764180401</v>
      </c>
      <c r="E106" s="522">
        <f>IF(+J96&lt;F105,J96,D106)</f>
        <v>242196.07317073172</v>
      </c>
      <c r="F106" s="523">
        <f t="shared" si="19"/>
        <v>8085640.8032473084</v>
      </c>
      <c r="G106" s="523">
        <f t="shared" si="20"/>
        <v>8206738.8398326747</v>
      </c>
      <c r="H106" s="526">
        <f t="shared" si="21"/>
        <v>1173777.6836097336</v>
      </c>
      <c r="I106" s="577">
        <f t="shared" si="22"/>
        <v>1173777.6836097336</v>
      </c>
      <c r="J106" s="514">
        <f t="shared" si="14"/>
        <v>0</v>
      </c>
      <c r="K106" s="514"/>
      <c r="L106" s="525"/>
      <c r="M106" s="514">
        <f t="shared" si="23"/>
        <v>0</v>
      </c>
      <c r="N106" s="525"/>
      <c r="O106" s="514">
        <f t="shared" si="16"/>
        <v>0</v>
      </c>
      <c r="P106" s="514">
        <f t="shared" si="17"/>
        <v>0</v>
      </c>
    </row>
    <row r="107" spans="1:16" ht="12.5">
      <c r="B107" s="195" t="str">
        <f t="shared" si="18"/>
        <v/>
      </c>
      <c r="C107" s="507">
        <f>IF(D93="","-",+C106+1)</f>
        <v>2025</v>
      </c>
      <c r="D107" s="374">
        <f>IF(F106+SUM(E$99:E106)=D$92,F106,D$92-SUM(E$99:E106))</f>
        <v>8085640.8032473084</v>
      </c>
      <c r="E107" s="522">
        <f>IF(+J96&lt;F106,J96,D107)</f>
        <v>242196.07317073172</v>
      </c>
      <c r="F107" s="523">
        <f t="shared" si="19"/>
        <v>7843444.7300765766</v>
      </c>
      <c r="G107" s="523">
        <f t="shared" si="20"/>
        <v>7964542.766661942</v>
      </c>
      <c r="H107" s="526">
        <f t="shared" si="21"/>
        <v>1146284.9837334701</v>
      </c>
      <c r="I107" s="577">
        <f t="shared" si="22"/>
        <v>1146284.9837334701</v>
      </c>
      <c r="J107" s="514">
        <f t="shared" si="14"/>
        <v>0</v>
      </c>
      <c r="K107" s="514"/>
      <c r="L107" s="525"/>
      <c r="M107" s="514">
        <f t="shared" si="23"/>
        <v>0</v>
      </c>
      <c r="N107" s="525"/>
      <c r="O107" s="514">
        <f t="shared" si="16"/>
        <v>0</v>
      </c>
      <c r="P107" s="514">
        <f t="shared" si="17"/>
        <v>0</v>
      </c>
    </row>
    <row r="108" spans="1:16" ht="12.5">
      <c r="B108" s="195" t="str">
        <f t="shared" si="18"/>
        <v/>
      </c>
      <c r="C108" s="507">
        <f>IF(D93="","-",+C107+1)</f>
        <v>2026</v>
      </c>
      <c r="D108" s="374">
        <f>IF(F107+SUM(E$99:E107)=D$92,F107,D$92-SUM(E$99:E107))</f>
        <v>7843444.7300765766</v>
      </c>
      <c r="E108" s="522">
        <f>IF(+J96&lt;F107,J96,D108)</f>
        <v>242196.07317073172</v>
      </c>
      <c r="F108" s="523">
        <f t="shared" si="19"/>
        <v>7601248.6569058448</v>
      </c>
      <c r="G108" s="523">
        <f t="shared" si="20"/>
        <v>7722346.6934912112</v>
      </c>
      <c r="H108" s="526">
        <f t="shared" si="21"/>
        <v>1118792.283857207</v>
      </c>
      <c r="I108" s="577">
        <f t="shared" si="22"/>
        <v>1118792.283857207</v>
      </c>
      <c r="J108" s="514">
        <f t="shared" si="14"/>
        <v>0</v>
      </c>
      <c r="K108" s="514"/>
      <c r="L108" s="525"/>
      <c r="M108" s="514">
        <f t="shared" si="23"/>
        <v>0</v>
      </c>
      <c r="N108" s="525"/>
      <c r="O108" s="514">
        <f t="shared" si="16"/>
        <v>0</v>
      </c>
      <c r="P108" s="514">
        <f t="shared" si="17"/>
        <v>0</v>
      </c>
    </row>
    <row r="109" spans="1:16" ht="12.5">
      <c r="B109" s="195" t="str">
        <f t="shared" si="18"/>
        <v/>
      </c>
      <c r="C109" s="507">
        <f>IF(D93="","-",+C108+1)</f>
        <v>2027</v>
      </c>
      <c r="D109" s="374">
        <f>IF(F108+SUM(E$99:E108)=D$92,F108,D$92-SUM(E$99:E108))</f>
        <v>7601248.6569058448</v>
      </c>
      <c r="E109" s="522">
        <f>IF(+J96&lt;F108,J96,D109)</f>
        <v>242196.07317073172</v>
      </c>
      <c r="F109" s="523">
        <f t="shared" si="19"/>
        <v>7359052.583735113</v>
      </c>
      <c r="G109" s="523">
        <f t="shared" si="20"/>
        <v>7480150.6203204785</v>
      </c>
      <c r="H109" s="526">
        <f t="shared" si="21"/>
        <v>1091299.5839809438</v>
      </c>
      <c r="I109" s="577">
        <f t="shared" si="22"/>
        <v>1091299.5839809438</v>
      </c>
      <c r="J109" s="514">
        <f t="shared" si="14"/>
        <v>0</v>
      </c>
      <c r="K109" s="514"/>
      <c r="L109" s="525"/>
      <c r="M109" s="514">
        <f t="shared" si="23"/>
        <v>0</v>
      </c>
      <c r="N109" s="525"/>
      <c r="O109" s="514">
        <f t="shared" si="16"/>
        <v>0</v>
      </c>
      <c r="P109" s="514">
        <f t="shared" si="17"/>
        <v>0</v>
      </c>
    </row>
    <row r="110" spans="1:16" ht="12.5">
      <c r="B110" s="195" t="str">
        <f t="shared" si="18"/>
        <v/>
      </c>
      <c r="C110" s="507">
        <f>IF(D93="","-",+C109+1)</f>
        <v>2028</v>
      </c>
      <c r="D110" s="374">
        <f>IF(F109+SUM(E$99:E109)=D$92,F109,D$92-SUM(E$99:E109))</f>
        <v>7359052.583735113</v>
      </c>
      <c r="E110" s="522">
        <f>IF(+J96&lt;F109,J96,D110)</f>
        <v>242196.07317073172</v>
      </c>
      <c r="F110" s="523">
        <f t="shared" si="19"/>
        <v>7116856.5105643813</v>
      </c>
      <c r="G110" s="523">
        <f t="shared" si="20"/>
        <v>7237954.5471497476</v>
      </c>
      <c r="H110" s="526">
        <f t="shared" si="21"/>
        <v>1063806.8841046805</v>
      </c>
      <c r="I110" s="577">
        <f t="shared" si="22"/>
        <v>1063806.8841046805</v>
      </c>
      <c r="J110" s="514">
        <f t="shared" si="14"/>
        <v>0</v>
      </c>
      <c r="K110" s="514"/>
      <c r="L110" s="525"/>
      <c r="M110" s="514">
        <f t="shared" si="23"/>
        <v>0</v>
      </c>
      <c r="N110" s="525"/>
      <c r="O110" s="514">
        <f t="shared" si="16"/>
        <v>0</v>
      </c>
      <c r="P110" s="514">
        <f t="shared" si="17"/>
        <v>0</v>
      </c>
    </row>
    <row r="111" spans="1:16" ht="12.5">
      <c r="B111" s="195" t="str">
        <f t="shared" si="18"/>
        <v/>
      </c>
      <c r="C111" s="507">
        <f>IF(D93="","-",+C110+1)</f>
        <v>2029</v>
      </c>
      <c r="D111" s="374">
        <f>IF(F110+SUM(E$99:E110)=D$92,F110,D$92-SUM(E$99:E110))</f>
        <v>7116856.5105643813</v>
      </c>
      <c r="E111" s="522">
        <f>IF(+J96&lt;F110,J96,D111)</f>
        <v>242196.07317073172</v>
      </c>
      <c r="F111" s="523">
        <f t="shared" si="19"/>
        <v>6874660.4373936495</v>
      </c>
      <c r="G111" s="523">
        <f t="shared" si="20"/>
        <v>6995758.4739790149</v>
      </c>
      <c r="H111" s="526">
        <f t="shared" si="21"/>
        <v>1036314.1842284172</v>
      </c>
      <c r="I111" s="577">
        <f t="shared" si="22"/>
        <v>1036314.1842284172</v>
      </c>
      <c r="J111" s="514">
        <f t="shared" si="14"/>
        <v>0</v>
      </c>
      <c r="K111" s="514"/>
      <c r="L111" s="525"/>
      <c r="M111" s="514">
        <f t="shared" si="23"/>
        <v>0</v>
      </c>
      <c r="N111" s="525"/>
      <c r="O111" s="514">
        <f t="shared" si="16"/>
        <v>0</v>
      </c>
      <c r="P111" s="514">
        <f t="shared" si="17"/>
        <v>0</v>
      </c>
    </row>
    <row r="112" spans="1:16" ht="12.5">
      <c r="B112" s="195" t="str">
        <f t="shared" si="18"/>
        <v/>
      </c>
      <c r="C112" s="507">
        <f>IF(D93="","-",+C111+1)</f>
        <v>2030</v>
      </c>
      <c r="D112" s="374">
        <f>IF(F111+SUM(E$99:E111)=D$92,F111,D$92-SUM(E$99:E111))</f>
        <v>6874660.4373936495</v>
      </c>
      <c r="E112" s="522">
        <f>IF(+J96&lt;F111,J96,D112)</f>
        <v>242196.07317073172</v>
      </c>
      <c r="F112" s="523">
        <f t="shared" si="19"/>
        <v>6632464.3642229177</v>
      </c>
      <c r="G112" s="523">
        <f t="shared" si="20"/>
        <v>6753562.4008082841</v>
      </c>
      <c r="H112" s="526">
        <f t="shared" si="21"/>
        <v>1008821.484352154</v>
      </c>
      <c r="I112" s="577">
        <f t="shared" si="22"/>
        <v>1008821.484352154</v>
      </c>
      <c r="J112" s="514">
        <f t="shared" si="14"/>
        <v>0</v>
      </c>
      <c r="K112" s="514"/>
      <c r="L112" s="525"/>
      <c r="M112" s="514">
        <f t="shared" si="23"/>
        <v>0</v>
      </c>
      <c r="N112" s="525"/>
      <c r="O112" s="514">
        <f t="shared" si="16"/>
        <v>0</v>
      </c>
      <c r="P112" s="514">
        <f t="shared" si="17"/>
        <v>0</v>
      </c>
    </row>
    <row r="113" spans="2:16" ht="12.5">
      <c r="B113" s="195" t="str">
        <f t="shared" si="18"/>
        <v/>
      </c>
      <c r="C113" s="507">
        <f>IF(D93="","-",+C112+1)</f>
        <v>2031</v>
      </c>
      <c r="D113" s="374">
        <f>IF(F112+SUM(E$99:E112)=D$92,F112,D$92-SUM(E$99:E112))</f>
        <v>6632464.3642229177</v>
      </c>
      <c r="E113" s="522">
        <f>IF(+J96&lt;F112,J96,D113)</f>
        <v>242196.07317073172</v>
      </c>
      <c r="F113" s="523">
        <f t="shared" si="19"/>
        <v>6390268.2910521859</v>
      </c>
      <c r="G113" s="523">
        <f t="shared" si="20"/>
        <v>6511366.3276375514</v>
      </c>
      <c r="H113" s="526">
        <f t="shared" si="21"/>
        <v>981328.78447589069</v>
      </c>
      <c r="I113" s="577">
        <f t="shared" si="22"/>
        <v>981328.78447589069</v>
      </c>
      <c r="J113" s="514">
        <f t="shared" si="14"/>
        <v>0</v>
      </c>
      <c r="K113" s="514"/>
      <c r="L113" s="525"/>
      <c r="M113" s="514">
        <f t="shared" si="23"/>
        <v>0</v>
      </c>
      <c r="N113" s="525"/>
      <c r="O113" s="514">
        <f t="shared" si="16"/>
        <v>0</v>
      </c>
      <c r="P113" s="514">
        <f t="shared" si="17"/>
        <v>0</v>
      </c>
    </row>
    <row r="114" spans="2:16" ht="12.5">
      <c r="B114" s="195" t="str">
        <f t="shared" si="18"/>
        <v/>
      </c>
      <c r="C114" s="507">
        <f>IF(D93="","-",+C113+1)</f>
        <v>2032</v>
      </c>
      <c r="D114" s="374">
        <f>IF(F113+SUM(E$99:E113)=D$92,F113,D$92-SUM(E$99:E113))</f>
        <v>6390268.2910521859</v>
      </c>
      <c r="E114" s="522">
        <f>IF(+J96&lt;F113,J96,D114)</f>
        <v>242196.07317073172</v>
      </c>
      <c r="F114" s="523">
        <f t="shared" si="19"/>
        <v>6148072.2178814542</v>
      </c>
      <c r="G114" s="523">
        <f t="shared" si="20"/>
        <v>6269170.2544668205</v>
      </c>
      <c r="H114" s="526">
        <f t="shared" si="21"/>
        <v>953836.08459962741</v>
      </c>
      <c r="I114" s="577">
        <f t="shared" si="22"/>
        <v>953836.08459962741</v>
      </c>
      <c r="J114" s="514">
        <f t="shared" si="14"/>
        <v>0</v>
      </c>
      <c r="K114" s="514"/>
      <c r="L114" s="525"/>
      <c r="M114" s="514">
        <f t="shared" si="23"/>
        <v>0</v>
      </c>
      <c r="N114" s="525"/>
      <c r="O114" s="514">
        <f t="shared" si="16"/>
        <v>0</v>
      </c>
      <c r="P114" s="514">
        <f t="shared" si="17"/>
        <v>0</v>
      </c>
    </row>
    <row r="115" spans="2:16" ht="12.5">
      <c r="B115" s="195" t="str">
        <f t="shared" si="18"/>
        <v/>
      </c>
      <c r="C115" s="507">
        <f>IF(D93="","-",+C114+1)</f>
        <v>2033</v>
      </c>
      <c r="D115" s="374">
        <f>IF(F114+SUM(E$99:E114)=D$92,F114,D$92-SUM(E$99:E114))</f>
        <v>6148072.2178814542</v>
      </c>
      <c r="E115" s="522">
        <f>IF(+J96&lt;F114,J96,D115)</f>
        <v>242196.07317073172</v>
      </c>
      <c r="F115" s="523">
        <f t="shared" si="19"/>
        <v>5905876.1447107224</v>
      </c>
      <c r="G115" s="523">
        <f t="shared" si="20"/>
        <v>6026974.1812960878</v>
      </c>
      <c r="H115" s="526">
        <f t="shared" si="21"/>
        <v>926343.38472336414</v>
      </c>
      <c r="I115" s="577">
        <f t="shared" si="22"/>
        <v>926343.38472336414</v>
      </c>
      <c r="J115" s="514">
        <f t="shared" si="14"/>
        <v>0</v>
      </c>
      <c r="K115" s="514"/>
      <c r="L115" s="525"/>
      <c r="M115" s="514">
        <f t="shared" si="23"/>
        <v>0</v>
      </c>
      <c r="N115" s="525"/>
      <c r="O115" s="514">
        <f t="shared" si="16"/>
        <v>0</v>
      </c>
      <c r="P115" s="514">
        <f t="shared" si="17"/>
        <v>0</v>
      </c>
    </row>
    <row r="116" spans="2:16" ht="12.5">
      <c r="B116" s="195" t="str">
        <f t="shared" si="18"/>
        <v/>
      </c>
      <c r="C116" s="507">
        <f>IF(D93="","-",+C115+1)</f>
        <v>2034</v>
      </c>
      <c r="D116" s="374">
        <f>IF(F115+SUM(E$99:E115)=D$92,F115,D$92-SUM(E$99:E115))</f>
        <v>5905876.1447107224</v>
      </c>
      <c r="E116" s="522">
        <f>IF(+J96&lt;F115,J96,D116)</f>
        <v>242196.07317073172</v>
      </c>
      <c r="F116" s="523">
        <f t="shared" si="19"/>
        <v>5663680.0715399906</v>
      </c>
      <c r="G116" s="523">
        <f t="shared" si="20"/>
        <v>5784778.108125357</v>
      </c>
      <c r="H116" s="526">
        <f t="shared" si="21"/>
        <v>898850.68484710087</v>
      </c>
      <c r="I116" s="577">
        <f t="shared" si="22"/>
        <v>898850.68484710087</v>
      </c>
      <c r="J116" s="514">
        <f t="shared" si="14"/>
        <v>0</v>
      </c>
      <c r="K116" s="514"/>
      <c r="L116" s="525"/>
      <c r="M116" s="514">
        <f t="shared" si="23"/>
        <v>0</v>
      </c>
      <c r="N116" s="525"/>
      <c r="O116" s="514">
        <f t="shared" si="16"/>
        <v>0</v>
      </c>
      <c r="P116" s="514">
        <f t="shared" si="17"/>
        <v>0</v>
      </c>
    </row>
    <row r="117" spans="2:16" ht="12.5">
      <c r="B117" s="195" t="str">
        <f t="shared" si="18"/>
        <v/>
      </c>
      <c r="C117" s="507">
        <f>IF(D93="","-",+C116+1)</f>
        <v>2035</v>
      </c>
      <c r="D117" s="374">
        <f>IF(F116+SUM(E$99:E116)=D$92,F116,D$92-SUM(E$99:E116))</f>
        <v>5663680.0715399906</v>
      </c>
      <c r="E117" s="522">
        <f>IF(+J96&lt;F116,J96,D117)</f>
        <v>242196.07317073172</v>
      </c>
      <c r="F117" s="523">
        <f t="shared" si="19"/>
        <v>5421483.9983692588</v>
      </c>
      <c r="G117" s="523">
        <f t="shared" si="20"/>
        <v>5542582.0349546243</v>
      </c>
      <c r="H117" s="526">
        <f t="shared" si="21"/>
        <v>871357.9849708376</v>
      </c>
      <c r="I117" s="577">
        <f t="shared" si="22"/>
        <v>871357.9849708376</v>
      </c>
      <c r="J117" s="514">
        <f t="shared" si="14"/>
        <v>0</v>
      </c>
      <c r="K117" s="514"/>
      <c r="L117" s="525"/>
      <c r="M117" s="514">
        <f t="shared" si="23"/>
        <v>0</v>
      </c>
      <c r="N117" s="525"/>
      <c r="O117" s="514">
        <f t="shared" si="16"/>
        <v>0</v>
      </c>
      <c r="P117" s="514">
        <f t="shared" si="17"/>
        <v>0</v>
      </c>
    </row>
    <row r="118" spans="2:16" ht="12.5">
      <c r="B118" s="195" t="str">
        <f t="shared" si="18"/>
        <v/>
      </c>
      <c r="C118" s="507">
        <f>IF(D93="","-",+C117+1)</f>
        <v>2036</v>
      </c>
      <c r="D118" s="374">
        <f>IF(F117+SUM(E$99:E117)=D$92,F117,D$92-SUM(E$99:E117))</f>
        <v>5421483.9983692588</v>
      </c>
      <c r="E118" s="522">
        <f>IF(+J96&lt;F117,J96,D118)</f>
        <v>242196.07317073172</v>
      </c>
      <c r="F118" s="523">
        <f t="shared" si="19"/>
        <v>5179287.9251985271</v>
      </c>
      <c r="G118" s="523">
        <f t="shared" si="20"/>
        <v>5300385.9617838934</v>
      </c>
      <c r="H118" s="526">
        <f t="shared" si="21"/>
        <v>843865.28509457456</v>
      </c>
      <c r="I118" s="577">
        <f t="shared" si="22"/>
        <v>843865.28509457456</v>
      </c>
      <c r="J118" s="514">
        <f t="shared" si="14"/>
        <v>0</v>
      </c>
      <c r="K118" s="514"/>
      <c r="L118" s="525"/>
      <c r="M118" s="514">
        <f t="shared" si="23"/>
        <v>0</v>
      </c>
      <c r="N118" s="525"/>
      <c r="O118" s="514">
        <f t="shared" si="16"/>
        <v>0</v>
      </c>
      <c r="P118" s="514">
        <f t="shared" si="17"/>
        <v>0</v>
      </c>
    </row>
    <row r="119" spans="2:16" ht="12.5">
      <c r="B119" s="195" t="str">
        <f t="shared" si="18"/>
        <v/>
      </c>
      <c r="C119" s="507">
        <f>IF(D93="","-",+C118+1)</f>
        <v>2037</v>
      </c>
      <c r="D119" s="374">
        <f>IF(F118+SUM(E$99:E118)=D$92,F118,D$92-SUM(E$99:E118))</f>
        <v>5179287.9251985271</v>
      </c>
      <c r="E119" s="522">
        <f>IF(+J96&lt;F118,J96,D119)</f>
        <v>242196.07317073172</v>
      </c>
      <c r="F119" s="523">
        <f t="shared" si="19"/>
        <v>4937091.8520277953</v>
      </c>
      <c r="G119" s="523">
        <f t="shared" si="20"/>
        <v>5058189.8886131607</v>
      </c>
      <c r="H119" s="526">
        <f t="shared" si="21"/>
        <v>816372.58521831105</v>
      </c>
      <c r="I119" s="577">
        <f t="shared" si="22"/>
        <v>816372.58521831105</v>
      </c>
      <c r="J119" s="514">
        <f t="shared" si="14"/>
        <v>0</v>
      </c>
      <c r="K119" s="514"/>
      <c r="L119" s="525"/>
      <c r="M119" s="514">
        <f t="shared" si="23"/>
        <v>0</v>
      </c>
      <c r="N119" s="525"/>
      <c r="O119" s="514">
        <f t="shared" si="16"/>
        <v>0</v>
      </c>
      <c r="P119" s="514">
        <f t="shared" si="17"/>
        <v>0</v>
      </c>
    </row>
    <row r="120" spans="2:16" ht="12.5">
      <c r="B120" s="195" t="str">
        <f t="shared" si="18"/>
        <v/>
      </c>
      <c r="C120" s="507">
        <f>IF(D93="","-",+C119+1)</f>
        <v>2038</v>
      </c>
      <c r="D120" s="374">
        <f>IF(F119+SUM(E$99:E119)=D$92,F119,D$92-SUM(E$99:E119))</f>
        <v>4937091.8520277953</v>
      </c>
      <c r="E120" s="522">
        <f>IF(+J96&lt;F119,J96,D120)</f>
        <v>242196.07317073172</v>
      </c>
      <c r="F120" s="523">
        <f t="shared" si="19"/>
        <v>4694895.7788570635</v>
      </c>
      <c r="G120" s="523">
        <f t="shared" si="20"/>
        <v>4815993.8154424299</v>
      </c>
      <c r="H120" s="526">
        <f t="shared" si="21"/>
        <v>788879.88534204802</v>
      </c>
      <c r="I120" s="577">
        <f t="shared" si="22"/>
        <v>788879.88534204802</v>
      </c>
      <c r="J120" s="514">
        <f t="shared" si="14"/>
        <v>0</v>
      </c>
      <c r="K120" s="514"/>
      <c r="L120" s="525"/>
      <c r="M120" s="514">
        <f t="shared" si="23"/>
        <v>0</v>
      </c>
      <c r="N120" s="525"/>
      <c r="O120" s="514">
        <f t="shared" si="16"/>
        <v>0</v>
      </c>
      <c r="P120" s="514">
        <f t="shared" si="17"/>
        <v>0</v>
      </c>
    </row>
    <row r="121" spans="2:16" ht="12.5">
      <c r="B121" s="195" t="str">
        <f t="shared" si="18"/>
        <v/>
      </c>
      <c r="C121" s="507">
        <f>IF(D93="","-",+C120+1)</f>
        <v>2039</v>
      </c>
      <c r="D121" s="374">
        <f>IF(F120+SUM(E$99:E120)=D$92,F120,D$92-SUM(E$99:E120))</f>
        <v>4694895.7788570635</v>
      </c>
      <c r="E121" s="522">
        <f>IF(+J96&lt;F120,J96,D121)</f>
        <v>242196.07317073172</v>
      </c>
      <c r="F121" s="523">
        <f t="shared" si="19"/>
        <v>4452699.7056863317</v>
      </c>
      <c r="G121" s="523">
        <f t="shared" si="20"/>
        <v>4573797.7422716971</v>
      </c>
      <c r="H121" s="526">
        <f t="shared" si="21"/>
        <v>761387.18546578463</v>
      </c>
      <c r="I121" s="577">
        <f t="shared" si="22"/>
        <v>761387.18546578463</v>
      </c>
      <c r="J121" s="514">
        <f t="shared" si="14"/>
        <v>0</v>
      </c>
      <c r="K121" s="514"/>
      <c r="L121" s="525"/>
      <c r="M121" s="514">
        <f t="shared" si="23"/>
        <v>0</v>
      </c>
      <c r="N121" s="525"/>
      <c r="O121" s="514">
        <f t="shared" si="16"/>
        <v>0</v>
      </c>
      <c r="P121" s="514">
        <f t="shared" si="17"/>
        <v>0</v>
      </c>
    </row>
    <row r="122" spans="2:16" ht="12.5">
      <c r="B122" s="195" t="str">
        <f t="shared" si="18"/>
        <v/>
      </c>
      <c r="C122" s="507">
        <f>IF(D93="","-",+C121+1)</f>
        <v>2040</v>
      </c>
      <c r="D122" s="374">
        <f>IF(F121+SUM(E$99:E121)=D$92,F121,D$92-SUM(E$99:E121))</f>
        <v>4452699.7056863317</v>
      </c>
      <c r="E122" s="522">
        <f>IF(+J96&lt;F121,J96,D122)</f>
        <v>242196.07317073172</v>
      </c>
      <c r="F122" s="523">
        <f t="shared" si="19"/>
        <v>4210503.6325156</v>
      </c>
      <c r="G122" s="523">
        <f t="shared" si="20"/>
        <v>4331601.6691009663</v>
      </c>
      <c r="H122" s="526">
        <f t="shared" si="21"/>
        <v>733894.48558952147</v>
      </c>
      <c r="I122" s="577">
        <f t="shared" si="22"/>
        <v>733894.48558952147</v>
      </c>
      <c r="J122" s="514">
        <f t="shared" si="14"/>
        <v>0</v>
      </c>
      <c r="K122" s="514"/>
      <c r="L122" s="525"/>
      <c r="M122" s="514">
        <f t="shared" si="23"/>
        <v>0</v>
      </c>
      <c r="N122" s="525"/>
      <c r="O122" s="514">
        <f t="shared" si="16"/>
        <v>0</v>
      </c>
      <c r="P122" s="514">
        <f t="shared" si="17"/>
        <v>0</v>
      </c>
    </row>
    <row r="123" spans="2:16" ht="12.5">
      <c r="B123" s="195" t="str">
        <f t="shared" si="18"/>
        <v/>
      </c>
      <c r="C123" s="507">
        <f>IF(D93="","-",+C122+1)</f>
        <v>2041</v>
      </c>
      <c r="D123" s="374">
        <f>IF(F122+SUM(E$99:E122)=D$92,F122,D$92-SUM(E$99:E122))</f>
        <v>4210503.6325156</v>
      </c>
      <c r="E123" s="522">
        <f>IF(+J96&lt;F122,J96,D123)</f>
        <v>242196.07317073172</v>
      </c>
      <c r="F123" s="523">
        <f t="shared" si="19"/>
        <v>3968307.5593448682</v>
      </c>
      <c r="G123" s="523">
        <f t="shared" si="20"/>
        <v>4089405.5959302341</v>
      </c>
      <c r="H123" s="526">
        <f t="shared" si="21"/>
        <v>706401.7857132582</v>
      </c>
      <c r="I123" s="577">
        <f t="shared" si="22"/>
        <v>706401.7857132582</v>
      </c>
      <c r="J123" s="514">
        <f t="shared" si="14"/>
        <v>0</v>
      </c>
      <c r="K123" s="514"/>
      <c r="L123" s="525"/>
      <c r="M123" s="514">
        <f t="shared" si="23"/>
        <v>0</v>
      </c>
      <c r="N123" s="525"/>
      <c r="O123" s="514">
        <f t="shared" si="16"/>
        <v>0</v>
      </c>
      <c r="P123" s="514">
        <f t="shared" si="17"/>
        <v>0</v>
      </c>
    </row>
    <row r="124" spans="2:16" ht="12.5">
      <c r="B124" s="195" t="str">
        <f t="shared" si="18"/>
        <v/>
      </c>
      <c r="C124" s="507">
        <f>IF(D93="","-",+C123+1)</f>
        <v>2042</v>
      </c>
      <c r="D124" s="374">
        <f>IF(F123+SUM(E$99:E123)=D$92,F123,D$92-SUM(E$99:E123))</f>
        <v>3968307.5593448682</v>
      </c>
      <c r="E124" s="522">
        <f>IF(+J96&lt;F123,J96,D124)</f>
        <v>242196.07317073172</v>
      </c>
      <c r="F124" s="523">
        <f t="shared" si="19"/>
        <v>3726111.4861741364</v>
      </c>
      <c r="G124" s="523">
        <f t="shared" si="20"/>
        <v>3847209.5227595023</v>
      </c>
      <c r="H124" s="526">
        <f t="shared" si="21"/>
        <v>678909.08583699493</v>
      </c>
      <c r="I124" s="577">
        <f t="shared" si="22"/>
        <v>678909.08583699493</v>
      </c>
      <c r="J124" s="514">
        <f t="shared" si="14"/>
        <v>0</v>
      </c>
      <c r="K124" s="514"/>
      <c r="L124" s="525"/>
      <c r="M124" s="514">
        <f t="shared" si="23"/>
        <v>0</v>
      </c>
      <c r="N124" s="525"/>
      <c r="O124" s="514">
        <f t="shared" si="16"/>
        <v>0</v>
      </c>
      <c r="P124" s="514">
        <f t="shared" si="17"/>
        <v>0</v>
      </c>
    </row>
    <row r="125" spans="2:16" ht="12.5">
      <c r="B125" s="195" t="str">
        <f t="shared" si="18"/>
        <v/>
      </c>
      <c r="C125" s="507">
        <f>IF(D93="","-",+C124+1)</f>
        <v>2043</v>
      </c>
      <c r="D125" s="374">
        <f>IF(F124+SUM(E$99:E124)=D$92,F124,D$92-SUM(E$99:E124))</f>
        <v>3726111.4861741364</v>
      </c>
      <c r="E125" s="522">
        <f>IF(+J96&lt;F124,J96,D125)</f>
        <v>242196.07317073172</v>
      </c>
      <c r="F125" s="523">
        <f t="shared" si="19"/>
        <v>3483915.4130034046</v>
      </c>
      <c r="G125" s="523">
        <f t="shared" si="20"/>
        <v>3605013.4495887705</v>
      </c>
      <c r="H125" s="526">
        <f t="shared" si="21"/>
        <v>651416.38596073166</v>
      </c>
      <c r="I125" s="577">
        <f t="shared" si="22"/>
        <v>651416.38596073166</v>
      </c>
      <c r="J125" s="514">
        <f t="shared" si="14"/>
        <v>0</v>
      </c>
      <c r="K125" s="514"/>
      <c r="L125" s="525"/>
      <c r="M125" s="514">
        <f t="shared" si="23"/>
        <v>0</v>
      </c>
      <c r="N125" s="525"/>
      <c r="O125" s="514">
        <f t="shared" si="16"/>
        <v>0</v>
      </c>
      <c r="P125" s="514">
        <f t="shared" si="17"/>
        <v>0</v>
      </c>
    </row>
    <row r="126" spans="2:16" ht="12.5">
      <c r="B126" s="195" t="str">
        <f t="shared" si="18"/>
        <v/>
      </c>
      <c r="C126" s="507">
        <f>IF(D93="","-",+C125+1)</f>
        <v>2044</v>
      </c>
      <c r="D126" s="374">
        <f>IF(F125+SUM(E$99:E125)=D$92,F125,D$92-SUM(E$99:E125))</f>
        <v>3483915.4130034046</v>
      </c>
      <c r="E126" s="522">
        <f>IF(+J96&lt;F125,J96,D126)</f>
        <v>242196.07317073172</v>
      </c>
      <c r="F126" s="523">
        <f t="shared" si="19"/>
        <v>3241719.3398326728</v>
      </c>
      <c r="G126" s="523">
        <f t="shared" si="20"/>
        <v>3362817.3764180387</v>
      </c>
      <c r="H126" s="526">
        <f t="shared" si="21"/>
        <v>623923.68608446838</v>
      </c>
      <c r="I126" s="577">
        <f t="shared" si="22"/>
        <v>623923.68608446838</v>
      </c>
      <c r="J126" s="514">
        <f t="shared" si="14"/>
        <v>0</v>
      </c>
      <c r="K126" s="514"/>
      <c r="L126" s="525"/>
      <c r="M126" s="514">
        <f t="shared" si="23"/>
        <v>0</v>
      </c>
      <c r="N126" s="525"/>
      <c r="O126" s="514">
        <f t="shared" si="16"/>
        <v>0</v>
      </c>
      <c r="P126" s="514">
        <f t="shared" si="17"/>
        <v>0</v>
      </c>
    </row>
    <row r="127" spans="2:16" ht="12.5">
      <c r="B127" s="195" t="str">
        <f t="shared" si="18"/>
        <v/>
      </c>
      <c r="C127" s="507">
        <f>IF(D93="","-",+C126+1)</f>
        <v>2045</v>
      </c>
      <c r="D127" s="374">
        <f>IF(F126+SUM(E$99:E126)=D$92,F126,D$92-SUM(E$99:E126))</f>
        <v>3241719.3398326728</v>
      </c>
      <c r="E127" s="522">
        <f>IF(+J96&lt;F126,J96,D127)</f>
        <v>242196.07317073172</v>
      </c>
      <c r="F127" s="523">
        <f t="shared" si="19"/>
        <v>2999523.2666619411</v>
      </c>
      <c r="G127" s="523">
        <f t="shared" si="20"/>
        <v>3120621.303247307</v>
      </c>
      <c r="H127" s="526">
        <f t="shared" si="21"/>
        <v>596430.98620820511</v>
      </c>
      <c r="I127" s="577">
        <f t="shared" si="22"/>
        <v>596430.98620820511</v>
      </c>
      <c r="J127" s="514">
        <f t="shared" si="14"/>
        <v>0</v>
      </c>
      <c r="K127" s="514"/>
      <c r="L127" s="525"/>
      <c r="M127" s="514">
        <f t="shared" si="23"/>
        <v>0</v>
      </c>
      <c r="N127" s="525"/>
      <c r="O127" s="514">
        <f t="shared" si="16"/>
        <v>0</v>
      </c>
      <c r="P127" s="514">
        <f t="shared" si="17"/>
        <v>0</v>
      </c>
    </row>
    <row r="128" spans="2:16" ht="12.5">
      <c r="B128" s="195" t="str">
        <f t="shared" si="18"/>
        <v/>
      </c>
      <c r="C128" s="507">
        <f>IF(D93="","-",+C127+1)</f>
        <v>2046</v>
      </c>
      <c r="D128" s="374">
        <f>IF(F127+SUM(E$99:E127)=D$92,F127,D$92-SUM(E$99:E127))</f>
        <v>2999523.2666619411</v>
      </c>
      <c r="E128" s="522">
        <f>IF(+J96&lt;F127,J96,D128)</f>
        <v>242196.07317073172</v>
      </c>
      <c r="F128" s="523">
        <f t="shared" si="19"/>
        <v>2757327.1934912093</v>
      </c>
      <c r="G128" s="523">
        <f t="shared" si="20"/>
        <v>2878425.2300765752</v>
      </c>
      <c r="H128" s="526">
        <f t="shared" si="21"/>
        <v>568938.28633194184</v>
      </c>
      <c r="I128" s="577">
        <f t="shared" si="22"/>
        <v>568938.28633194184</v>
      </c>
      <c r="J128" s="514">
        <f t="shared" si="14"/>
        <v>0</v>
      </c>
      <c r="K128" s="514"/>
      <c r="L128" s="525"/>
      <c r="M128" s="514">
        <f t="shared" si="23"/>
        <v>0</v>
      </c>
      <c r="N128" s="525"/>
      <c r="O128" s="514">
        <f t="shared" si="16"/>
        <v>0</v>
      </c>
      <c r="P128" s="514">
        <f t="shared" si="17"/>
        <v>0</v>
      </c>
    </row>
    <row r="129" spans="2:16" ht="12.5">
      <c r="B129" s="195" t="str">
        <f t="shared" si="18"/>
        <v/>
      </c>
      <c r="C129" s="507">
        <f>IF(D93="","-",+C128+1)</f>
        <v>2047</v>
      </c>
      <c r="D129" s="374">
        <f>IF(F128+SUM(E$99:E128)=D$92,F128,D$92-SUM(E$99:E128))</f>
        <v>2757327.1934912093</v>
      </c>
      <c r="E129" s="522">
        <f>IF(+J96&lt;F128,J96,D129)</f>
        <v>242196.07317073172</v>
      </c>
      <c r="F129" s="523">
        <f t="shared" si="19"/>
        <v>2515131.1203204775</v>
      </c>
      <c r="G129" s="523">
        <f t="shared" si="20"/>
        <v>2636229.1569058434</v>
      </c>
      <c r="H129" s="526">
        <f t="shared" si="21"/>
        <v>541445.58645567857</v>
      </c>
      <c r="I129" s="577">
        <f t="shared" si="22"/>
        <v>541445.58645567857</v>
      </c>
      <c r="J129" s="514">
        <f t="shared" si="14"/>
        <v>0</v>
      </c>
      <c r="K129" s="514"/>
      <c r="L129" s="525"/>
      <c r="M129" s="514">
        <f t="shared" si="23"/>
        <v>0</v>
      </c>
      <c r="N129" s="525"/>
      <c r="O129" s="514">
        <f t="shared" si="16"/>
        <v>0</v>
      </c>
      <c r="P129" s="514">
        <f t="shared" si="17"/>
        <v>0</v>
      </c>
    </row>
    <row r="130" spans="2:16" ht="12.5">
      <c r="B130" s="195" t="str">
        <f t="shared" si="18"/>
        <v/>
      </c>
      <c r="C130" s="507">
        <f>IF(D93="","-",+C129+1)</f>
        <v>2048</v>
      </c>
      <c r="D130" s="374">
        <f>IF(F129+SUM(E$99:E129)=D$92,F129,D$92-SUM(E$99:E129))</f>
        <v>2515131.1203204775</v>
      </c>
      <c r="E130" s="522">
        <f>IF(+J96&lt;F129,J96,D130)</f>
        <v>242196.07317073172</v>
      </c>
      <c r="F130" s="523">
        <f t="shared" si="19"/>
        <v>2272935.0471497457</v>
      </c>
      <c r="G130" s="523">
        <f t="shared" si="20"/>
        <v>2394033.0837351116</v>
      </c>
      <c r="H130" s="526">
        <f t="shared" si="21"/>
        <v>513952.88657941535</v>
      </c>
      <c r="I130" s="577">
        <f t="shared" si="22"/>
        <v>513952.88657941535</v>
      </c>
      <c r="J130" s="514">
        <f t="shared" si="14"/>
        <v>0</v>
      </c>
      <c r="K130" s="514"/>
      <c r="L130" s="525"/>
      <c r="M130" s="514">
        <f t="shared" si="23"/>
        <v>0</v>
      </c>
      <c r="N130" s="525"/>
      <c r="O130" s="514">
        <f t="shared" si="16"/>
        <v>0</v>
      </c>
      <c r="P130" s="514">
        <f t="shared" si="17"/>
        <v>0</v>
      </c>
    </row>
    <row r="131" spans="2:16" ht="12.5">
      <c r="B131" s="195" t="str">
        <f t="shared" si="18"/>
        <v/>
      </c>
      <c r="C131" s="507">
        <f>IF(D93="","-",+C130+1)</f>
        <v>2049</v>
      </c>
      <c r="D131" s="374">
        <f>IF(F130+SUM(E$99:E130)=D$92,F130,D$92-SUM(E$99:E130))</f>
        <v>2272935.0471497457</v>
      </c>
      <c r="E131" s="522">
        <f>IF(+J96&lt;F130,J96,D131)</f>
        <v>242196.07317073172</v>
      </c>
      <c r="F131" s="523">
        <f t="shared" si="19"/>
        <v>2030738.973979014</v>
      </c>
      <c r="G131" s="523">
        <f t="shared" si="20"/>
        <v>2151837.0105643799</v>
      </c>
      <c r="H131" s="526">
        <f t="shared" si="21"/>
        <v>486460.18670315214</v>
      </c>
      <c r="I131" s="577">
        <f t="shared" si="22"/>
        <v>486460.18670315214</v>
      </c>
      <c r="J131" s="514">
        <f t="shared" ref="J131:J154" si="24">+I541-H541</f>
        <v>0</v>
      </c>
      <c r="K131" s="514"/>
      <c r="L131" s="525"/>
      <c r="M131" s="514">
        <f t="shared" ref="M131:M154" si="25">IF(L541&lt;&gt;0,+H541-L541,0)</f>
        <v>0</v>
      </c>
      <c r="N131" s="525"/>
      <c r="O131" s="514">
        <f t="shared" ref="O131:O154" si="26">IF(N541&lt;&gt;0,+I541-N541,0)</f>
        <v>0</v>
      </c>
      <c r="P131" s="514">
        <f t="shared" ref="P131:P154" si="27">+O541-M541</f>
        <v>0</v>
      </c>
    </row>
    <row r="132" spans="2:16" ht="12.5">
      <c r="B132" s="195" t="str">
        <f t="shared" si="18"/>
        <v/>
      </c>
      <c r="C132" s="507">
        <f>IF(D93="","-",+C131+1)</f>
        <v>2050</v>
      </c>
      <c r="D132" s="374">
        <f>IF(F131+SUM(E$99:E131)=D$92,F131,D$92-SUM(E$99:E131))</f>
        <v>2030738.973979014</v>
      </c>
      <c r="E132" s="522">
        <f>IF(+J96&lt;F131,J96,D132)</f>
        <v>242196.07317073172</v>
      </c>
      <c r="F132" s="523">
        <f t="shared" si="19"/>
        <v>1788542.9008082822</v>
      </c>
      <c r="G132" s="523">
        <f t="shared" si="20"/>
        <v>1909640.9373936481</v>
      </c>
      <c r="H132" s="526">
        <f t="shared" si="21"/>
        <v>458967.48682688887</v>
      </c>
      <c r="I132" s="577">
        <f t="shared" si="22"/>
        <v>458967.48682688887</v>
      </c>
      <c r="J132" s="514">
        <f t="shared" si="24"/>
        <v>0</v>
      </c>
      <c r="K132" s="514"/>
      <c r="L132" s="525"/>
      <c r="M132" s="514">
        <f t="shared" si="25"/>
        <v>0</v>
      </c>
      <c r="N132" s="525"/>
      <c r="O132" s="514">
        <f t="shared" si="26"/>
        <v>0</v>
      </c>
      <c r="P132" s="514">
        <f t="shared" si="27"/>
        <v>0</v>
      </c>
    </row>
    <row r="133" spans="2:16" ht="12.5">
      <c r="B133" s="195" t="str">
        <f t="shared" si="18"/>
        <v/>
      </c>
      <c r="C133" s="507">
        <f>IF(D93="","-",+C132+1)</f>
        <v>2051</v>
      </c>
      <c r="D133" s="374">
        <f>IF(F132+SUM(E$99:E132)=D$92,F132,D$92-SUM(E$99:E132))</f>
        <v>1788542.9008082822</v>
      </c>
      <c r="E133" s="522">
        <f>IF(+J96&lt;F132,J96,D133)</f>
        <v>242196.07317073172</v>
      </c>
      <c r="F133" s="523">
        <f t="shared" si="19"/>
        <v>1546346.8276375504</v>
      </c>
      <c r="G133" s="523">
        <f t="shared" si="20"/>
        <v>1667444.8642229163</v>
      </c>
      <c r="H133" s="526">
        <f t="shared" si="21"/>
        <v>431474.7869506256</v>
      </c>
      <c r="I133" s="577">
        <f t="shared" si="22"/>
        <v>431474.7869506256</v>
      </c>
      <c r="J133" s="514">
        <f t="shared" si="24"/>
        <v>0</v>
      </c>
      <c r="K133" s="514"/>
      <c r="L133" s="525"/>
      <c r="M133" s="514">
        <f t="shared" si="25"/>
        <v>0</v>
      </c>
      <c r="N133" s="525"/>
      <c r="O133" s="514">
        <f t="shared" si="26"/>
        <v>0</v>
      </c>
      <c r="P133" s="514">
        <f t="shared" si="27"/>
        <v>0</v>
      </c>
    </row>
    <row r="134" spans="2:16" ht="12.5">
      <c r="B134" s="195" t="str">
        <f t="shared" si="18"/>
        <v/>
      </c>
      <c r="C134" s="507">
        <f>IF(D93="","-",+C133+1)</f>
        <v>2052</v>
      </c>
      <c r="D134" s="374">
        <f>IF(F133+SUM(E$99:E133)=D$92,F133,D$92-SUM(E$99:E133))</f>
        <v>1546346.8276375504</v>
      </c>
      <c r="E134" s="522">
        <f>IF(+J96&lt;F133,J96,D134)</f>
        <v>242196.07317073172</v>
      </c>
      <c r="F134" s="523">
        <f t="shared" si="19"/>
        <v>1304150.7544668186</v>
      </c>
      <c r="G134" s="523">
        <f t="shared" si="20"/>
        <v>1425248.7910521845</v>
      </c>
      <c r="H134" s="526">
        <f t="shared" si="21"/>
        <v>403982.08707436232</v>
      </c>
      <c r="I134" s="577">
        <f t="shared" si="22"/>
        <v>403982.08707436232</v>
      </c>
      <c r="J134" s="514">
        <f t="shared" si="24"/>
        <v>0</v>
      </c>
      <c r="K134" s="514"/>
      <c r="L134" s="525"/>
      <c r="M134" s="514">
        <f t="shared" si="25"/>
        <v>0</v>
      </c>
      <c r="N134" s="525"/>
      <c r="O134" s="514">
        <f t="shared" si="26"/>
        <v>0</v>
      </c>
      <c r="P134" s="514">
        <f t="shared" si="27"/>
        <v>0</v>
      </c>
    </row>
    <row r="135" spans="2:16" ht="12.5">
      <c r="B135" s="195" t="str">
        <f t="shared" si="18"/>
        <v/>
      </c>
      <c r="C135" s="507">
        <f>IF(D93="","-",+C134+1)</f>
        <v>2053</v>
      </c>
      <c r="D135" s="374">
        <f>IF(F134+SUM(E$99:E134)=D$92,F134,D$92-SUM(E$99:E134))</f>
        <v>1304150.7544668186</v>
      </c>
      <c r="E135" s="522">
        <f>IF(+J96&lt;F134,J96,D135)</f>
        <v>242196.07317073172</v>
      </c>
      <c r="F135" s="523">
        <f t="shared" si="19"/>
        <v>1061954.6812960869</v>
      </c>
      <c r="G135" s="523">
        <f t="shared" si="20"/>
        <v>1183052.7178814528</v>
      </c>
      <c r="H135" s="526">
        <f t="shared" si="21"/>
        <v>376489.38719809905</v>
      </c>
      <c r="I135" s="577">
        <f t="shared" si="22"/>
        <v>376489.38719809905</v>
      </c>
      <c r="J135" s="514">
        <f t="shared" si="24"/>
        <v>0</v>
      </c>
      <c r="K135" s="514"/>
      <c r="L135" s="525"/>
      <c r="M135" s="514">
        <f t="shared" si="25"/>
        <v>0</v>
      </c>
      <c r="N135" s="525"/>
      <c r="O135" s="514">
        <f t="shared" si="26"/>
        <v>0</v>
      </c>
      <c r="P135" s="514">
        <f t="shared" si="27"/>
        <v>0</v>
      </c>
    </row>
    <row r="136" spans="2:16" ht="12.5">
      <c r="B136" s="195" t="str">
        <f t="shared" si="18"/>
        <v/>
      </c>
      <c r="C136" s="507">
        <f>IF(D93="","-",+C135+1)</f>
        <v>2054</v>
      </c>
      <c r="D136" s="374">
        <f>IF(F135+SUM(E$99:E135)=D$92,F135,D$92-SUM(E$99:E135))</f>
        <v>1061954.6812960869</v>
      </c>
      <c r="E136" s="522">
        <f>IF(+J96&lt;F135,J96,D136)</f>
        <v>242196.07317073172</v>
      </c>
      <c r="F136" s="523">
        <f t="shared" si="19"/>
        <v>819758.60812535509</v>
      </c>
      <c r="G136" s="523">
        <f t="shared" si="20"/>
        <v>940856.64471072098</v>
      </c>
      <c r="H136" s="526">
        <f t="shared" si="21"/>
        <v>348996.68732183584</v>
      </c>
      <c r="I136" s="577">
        <f t="shared" si="22"/>
        <v>348996.68732183584</v>
      </c>
      <c r="J136" s="514">
        <f t="shared" si="24"/>
        <v>0</v>
      </c>
      <c r="K136" s="514"/>
      <c r="L136" s="525"/>
      <c r="M136" s="514">
        <f t="shared" si="25"/>
        <v>0</v>
      </c>
      <c r="N136" s="525"/>
      <c r="O136" s="514">
        <f t="shared" si="26"/>
        <v>0</v>
      </c>
      <c r="P136" s="514">
        <f t="shared" si="27"/>
        <v>0</v>
      </c>
    </row>
    <row r="137" spans="2:16" ht="12.5">
      <c r="B137" s="195" t="str">
        <f t="shared" si="18"/>
        <v/>
      </c>
      <c r="C137" s="507">
        <f>IF(D93="","-",+C136+1)</f>
        <v>2055</v>
      </c>
      <c r="D137" s="374">
        <f>IF(F136+SUM(E$99:E136)=D$92,F136,D$92-SUM(E$99:E136))</f>
        <v>819758.60812535509</v>
      </c>
      <c r="E137" s="522">
        <f>IF(+J96&lt;F136,J96,D137)</f>
        <v>242196.07317073172</v>
      </c>
      <c r="F137" s="523">
        <f t="shared" si="19"/>
        <v>577562.53495462332</v>
      </c>
      <c r="G137" s="523">
        <f t="shared" si="20"/>
        <v>698660.57153998921</v>
      </c>
      <c r="H137" s="526">
        <f t="shared" si="21"/>
        <v>321503.98744557257</v>
      </c>
      <c r="I137" s="577">
        <f t="shared" si="22"/>
        <v>321503.98744557257</v>
      </c>
      <c r="J137" s="514">
        <f t="shared" si="24"/>
        <v>0</v>
      </c>
      <c r="K137" s="514"/>
      <c r="L137" s="525"/>
      <c r="M137" s="514">
        <f t="shared" si="25"/>
        <v>0</v>
      </c>
      <c r="N137" s="525"/>
      <c r="O137" s="514">
        <f t="shared" si="26"/>
        <v>0</v>
      </c>
      <c r="P137" s="514">
        <f t="shared" si="27"/>
        <v>0</v>
      </c>
    </row>
    <row r="138" spans="2:16" ht="12.5">
      <c r="B138" s="195" t="str">
        <f t="shared" si="18"/>
        <v/>
      </c>
      <c r="C138" s="507">
        <f>IF(D93="","-",+C137+1)</f>
        <v>2056</v>
      </c>
      <c r="D138" s="374">
        <f>IF(F137+SUM(E$99:E137)=D$92,F137,D$92-SUM(E$99:E137))</f>
        <v>577562.53495462332</v>
      </c>
      <c r="E138" s="522">
        <f>IF(+J96&lt;F137,J96,D138)</f>
        <v>242196.07317073172</v>
      </c>
      <c r="F138" s="523">
        <f t="shared" si="19"/>
        <v>335366.4617838916</v>
      </c>
      <c r="G138" s="523">
        <f t="shared" si="20"/>
        <v>456464.49836925743</v>
      </c>
      <c r="H138" s="526">
        <f t="shared" si="21"/>
        <v>294011.28756930929</v>
      </c>
      <c r="I138" s="577">
        <f t="shared" si="22"/>
        <v>294011.28756930929</v>
      </c>
      <c r="J138" s="514">
        <f t="shared" si="24"/>
        <v>0</v>
      </c>
      <c r="K138" s="514"/>
      <c r="L138" s="525"/>
      <c r="M138" s="514">
        <f t="shared" si="25"/>
        <v>0</v>
      </c>
      <c r="N138" s="525"/>
      <c r="O138" s="514">
        <f t="shared" si="26"/>
        <v>0</v>
      </c>
      <c r="P138" s="514">
        <f t="shared" si="27"/>
        <v>0</v>
      </c>
    </row>
    <row r="139" spans="2:16" ht="12.5">
      <c r="B139" s="195" t="str">
        <f t="shared" si="18"/>
        <v/>
      </c>
      <c r="C139" s="507">
        <f>IF(D93="","-",+C138+1)</f>
        <v>2057</v>
      </c>
      <c r="D139" s="374">
        <f>IF(F138+SUM(E$99:E138)=D$92,F138,D$92-SUM(E$99:E138))</f>
        <v>335366.4617838916</v>
      </c>
      <c r="E139" s="522">
        <f>IF(+J96&lt;F138,J96,D139)</f>
        <v>242196.07317073172</v>
      </c>
      <c r="F139" s="523">
        <f t="shared" si="19"/>
        <v>93170.388613159885</v>
      </c>
      <c r="G139" s="523">
        <f t="shared" si="20"/>
        <v>214268.42519852574</v>
      </c>
      <c r="H139" s="526">
        <f t="shared" si="21"/>
        <v>266518.58769304608</v>
      </c>
      <c r="I139" s="577">
        <f t="shared" si="22"/>
        <v>266518.58769304608</v>
      </c>
      <c r="J139" s="514">
        <f t="shared" si="24"/>
        <v>0</v>
      </c>
      <c r="K139" s="514"/>
      <c r="L139" s="525"/>
      <c r="M139" s="514">
        <f t="shared" si="25"/>
        <v>0</v>
      </c>
      <c r="N139" s="525"/>
      <c r="O139" s="514">
        <f t="shared" si="26"/>
        <v>0</v>
      </c>
      <c r="P139" s="514">
        <f t="shared" si="27"/>
        <v>0</v>
      </c>
    </row>
    <row r="140" spans="2:16" ht="12.5">
      <c r="B140" s="195" t="str">
        <f t="shared" si="18"/>
        <v/>
      </c>
      <c r="C140" s="507">
        <f>IF(D93="","-",+C139+1)</f>
        <v>2058</v>
      </c>
      <c r="D140" s="374">
        <f>IF(F139+SUM(E$99:E139)=D$92,F139,D$92-SUM(E$99:E139))</f>
        <v>93170.388613159885</v>
      </c>
      <c r="E140" s="522">
        <f>IF(+J96&lt;F139,J96,D140)</f>
        <v>93170.388613159885</v>
      </c>
      <c r="F140" s="523">
        <f t="shared" si="19"/>
        <v>0</v>
      </c>
      <c r="G140" s="523">
        <f t="shared" si="20"/>
        <v>46585.194306579942</v>
      </c>
      <c r="H140" s="526">
        <f t="shared" si="21"/>
        <v>98458.470905251248</v>
      </c>
      <c r="I140" s="577">
        <f t="shared" si="22"/>
        <v>98458.470905251248</v>
      </c>
      <c r="J140" s="514">
        <f t="shared" si="24"/>
        <v>0</v>
      </c>
      <c r="K140" s="514"/>
      <c r="L140" s="525"/>
      <c r="M140" s="514">
        <f t="shared" si="25"/>
        <v>0</v>
      </c>
      <c r="N140" s="525"/>
      <c r="O140" s="514">
        <f t="shared" si="26"/>
        <v>0</v>
      </c>
      <c r="P140" s="514">
        <f t="shared" si="27"/>
        <v>0</v>
      </c>
    </row>
    <row r="141" spans="2:16" ht="12.5">
      <c r="B141" s="195" t="str">
        <f t="shared" si="18"/>
        <v/>
      </c>
      <c r="C141" s="507">
        <f>IF(D93="","-",+C140+1)</f>
        <v>2059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19"/>
        <v>0</v>
      </c>
      <c r="G141" s="523">
        <f t="shared" si="20"/>
        <v>0</v>
      </c>
      <c r="H141" s="526">
        <f t="shared" si="21"/>
        <v>0</v>
      </c>
      <c r="I141" s="577">
        <f t="shared" si="22"/>
        <v>0</v>
      </c>
      <c r="J141" s="514">
        <f t="shared" si="24"/>
        <v>0</v>
      </c>
      <c r="K141" s="514"/>
      <c r="L141" s="525"/>
      <c r="M141" s="514">
        <f t="shared" si="25"/>
        <v>0</v>
      </c>
      <c r="N141" s="525"/>
      <c r="O141" s="514">
        <f t="shared" si="26"/>
        <v>0</v>
      </c>
      <c r="P141" s="514">
        <f t="shared" si="27"/>
        <v>0</v>
      </c>
    </row>
    <row r="142" spans="2:16" ht="12.5">
      <c r="B142" s="195" t="str">
        <f t="shared" si="18"/>
        <v/>
      </c>
      <c r="C142" s="507">
        <f>IF(D93="","-",+C141+1)</f>
        <v>2060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9"/>
        <v>0</v>
      </c>
      <c r="G142" s="523">
        <f t="shared" si="20"/>
        <v>0</v>
      </c>
      <c r="H142" s="526">
        <f t="shared" si="21"/>
        <v>0</v>
      </c>
      <c r="I142" s="577">
        <f t="shared" si="22"/>
        <v>0</v>
      </c>
      <c r="J142" s="514">
        <f t="shared" si="24"/>
        <v>0</v>
      </c>
      <c r="K142" s="514"/>
      <c r="L142" s="525"/>
      <c r="M142" s="514">
        <f t="shared" si="25"/>
        <v>0</v>
      </c>
      <c r="N142" s="525"/>
      <c r="O142" s="514">
        <f t="shared" si="26"/>
        <v>0</v>
      </c>
      <c r="P142" s="514">
        <f t="shared" si="27"/>
        <v>0</v>
      </c>
    </row>
    <row r="143" spans="2:16" ht="12.5">
      <c r="B143" s="195" t="str">
        <f t="shared" si="18"/>
        <v/>
      </c>
      <c r="C143" s="507">
        <f>IF(D93="","-",+C142+1)</f>
        <v>2061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9"/>
        <v>0</v>
      </c>
      <c r="G143" s="523">
        <f t="shared" si="20"/>
        <v>0</v>
      </c>
      <c r="H143" s="526">
        <f t="shared" si="21"/>
        <v>0</v>
      </c>
      <c r="I143" s="577">
        <f t="shared" si="22"/>
        <v>0</v>
      </c>
      <c r="J143" s="514">
        <f t="shared" si="24"/>
        <v>0</v>
      </c>
      <c r="K143" s="514"/>
      <c r="L143" s="525"/>
      <c r="M143" s="514">
        <f t="shared" si="25"/>
        <v>0</v>
      </c>
      <c r="N143" s="525"/>
      <c r="O143" s="514">
        <f t="shared" si="26"/>
        <v>0</v>
      </c>
      <c r="P143" s="514">
        <f t="shared" si="27"/>
        <v>0</v>
      </c>
    </row>
    <row r="144" spans="2:16" ht="12.5">
      <c r="B144" s="195" t="str">
        <f t="shared" si="18"/>
        <v/>
      </c>
      <c r="C144" s="507">
        <f>IF(D93="","-",+C143+1)</f>
        <v>2062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9"/>
        <v>0</v>
      </c>
      <c r="G144" s="523">
        <f t="shared" si="20"/>
        <v>0</v>
      </c>
      <c r="H144" s="526">
        <f t="shared" si="21"/>
        <v>0</v>
      </c>
      <c r="I144" s="577">
        <f t="shared" si="22"/>
        <v>0</v>
      </c>
      <c r="J144" s="514">
        <f t="shared" si="24"/>
        <v>0</v>
      </c>
      <c r="K144" s="514"/>
      <c r="L144" s="525"/>
      <c r="M144" s="514">
        <f t="shared" si="25"/>
        <v>0</v>
      </c>
      <c r="N144" s="525"/>
      <c r="O144" s="514">
        <f t="shared" si="26"/>
        <v>0</v>
      </c>
      <c r="P144" s="514">
        <f t="shared" si="27"/>
        <v>0</v>
      </c>
    </row>
    <row r="145" spans="2:16" ht="12.5">
      <c r="B145" s="195" t="str">
        <f t="shared" si="18"/>
        <v/>
      </c>
      <c r="C145" s="507">
        <f>IF(D93="","-",+C144+1)</f>
        <v>2063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9"/>
        <v>0</v>
      </c>
      <c r="G145" s="523">
        <f t="shared" si="20"/>
        <v>0</v>
      </c>
      <c r="H145" s="526">
        <f t="shared" si="21"/>
        <v>0</v>
      </c>
      <c r="I145" s="577">
        <f t="shared" si="22"/>
        <v>0</v>
      </c>
      <c r="J145" s="514">
        <f t="shared" si="24"/>
        <v>0</v>
      </c>
      <c r="K145" s="514"/>
      <c r="L145" s="525"/>
      <c r="M145" s="514">
        <f t="shared" si="25"/>
        <v>0</v>
      </c>
      <c r="N145" s="525"/>
      <c r="O145" s="514">
        <f t="shared" si="26"/>
        <v>0</v>
      </c>
      <c r="P145" s="514">
        <f t="shared" si="27"/>
        <v>0</v>
      </c>
    </row>
    <row r="146" spans="2:16" ht="12.5">
      <c r="B146" s="195" t="str">
        <f t="shared" si="18"/>
        <v/>
      </c>
      <c r="C146" s="507">
        <f>IF(D93="","-",+C145+1)</f>
        <v>2064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9"/>
        <v>0</v>
      </c>
      <c r="G146" s="523">
        <f t="shared" si="20"/>
        <v>0</v>
      </c>
      <c r="H146" s="526">
        <f t="shared" si="21"/>
        <v>0</v>
      </c>
      <c r="I146" s="577">
        <f t="shared" si="22"/>
        <v>0</v>
      </c>
      <c r="J146" s="514">
        <f t="shared" si="24"/>
        <v>0</v>
      </c>
      <c r="K146" s="514"/>
      <c r="L146" s="525"/>
      <c r="M146" s="514">
        <f t="shared" si="25"/>
        <v>0</v>
      </c>
      <c r="N146" s="525"/>
      <c r="O146" s="514">
        <f t="shared" si="26"/>
        <v>0</v>
      </c>
      <c r="P146" s="514">
        <f t="shared" si="27"/>
        <v>0</v>
      </c>
    </row>
    <row r="147" spans="2:16" ht="12.5">
      <c r="B147" s="195" t="str">
        <f t="shared" si="18"/>
        <v/>
      </c>
      <c r="C147" s="507">
        <f>IF(D93="","-",+C146+1)</f>
        <v>2065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9"/>
        <v>0</v>
      </c>
      <c r="G147" s="523">
        <f t="shared" si="20"/>
        <v>0</v>
      </c>
      <c r="H147" s="526">
        <f t="shared" si="21"/>
        <v>0</v>
      </c>
      <c r="I147" s="577">
        <f t="shared" si="22"/>
        <v>0</v>
      </c>
      <c r="J147" s="514">
        <f t="shared" si="24"/>
        <v>0</v>
      </c>
      <c r="K147" s="514"/>
      <c r="L147" s="525"/>
      <c r="M147" s="514">
        <f t="shared" si="25"/>
        <v>0</v>
      </c>
      <c r="N147" s="525"/>
      <c r="O147" s="514">
        <f t="shared" si="26"/>
        <v>0</v>
      </c>
      <c r="P147" s="514">
        <f t="shared" si="27"/>
        <v>0</v>
      </c>
    </row>
    <row r="148" spans="2:16" ht="12.5">
      <c r="B148" s="195" t="str">
        <f t="shared" si="18"/>
        <v/>
      </c>
      <c r="C148" s="507">
        <f>IF(D93="","-",+C147+1)</f>
        <v>2066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9"/>
        <v>0</v>
      </c>
      <c r="G148" s="523">
        <f t="shared" si="20"/>
        <v>0</v>
      </c>
      <c r="H148" s="526">
        <f t="shared" si="21"/>
        <v>0</v>
      </c>
      <c r="I148" s="577">
        <f t="shared" si="22"/>
        <v>0</v>
      </c>
      <c r="J148" s="514">
        <f t="shared" si="24"/>
        <v>0</v>
      </c>
      <c r="K148" s="514"/>
      <c r="L148" s="525"/>
      <c r="M148" s="514">
        <f t="shared" si="25"/>
        <v>0</v>
      </c>
      <c r="N148" s="525"/>
      <c r="O148" s="514">
        <f t="shared" si="26"/>
        <v>0</v>
      </c>
      <c r="P148" s="514">
        <f t="shared" si="27"/>
        <v>0</v>
      </c>
    </row>
    <row r="149" spans="2:16" ht="12.5">
      <c r="B149" s="195" t="str">
        <f t="shared" si="18"/>
        <v/>
      </c>
      <c r="C149" s="507">
        <f>IF(D93="","-",+C148+1)</f>
        <v>2067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9"/>
        <v>0</v>
      </c>
      <c r="G149" s="523">
        <f t="shared" si="20"/>
        <v>0</v>
      </c>
      <c r="H149" s="526">
        <f t="shared" si="21"/>
        <v>0</v>
      </c>
      <c r="I149" s="577">
        <f t="shared" si="22"/>
        <v>0</v>
      </c>
      <c r="J149" s="514">
        <f t="shared" si="24"/>
        <v>0</v>
      </c>
      <c r="K149" s="514"/>
      <c r="L149" s="525"/>
      <c r="M149" s="514">
        <f t="shared" si="25"/>
        <v>0</v>
      </c>
      <c r="N149" s="525"/>
      <c r="O149" s="514">
        <f t="shared" si="26"/>
        <v>0</v>
      </c>
      <c r="P149" s="514">
        <f t="shared" si="27"/>
        <v>0</v>
      </c>
    </row>
    <row r="150" spans="2:16" ht="12.5">
      <c r="B150" s="195" t="str">
        <f t="shared" si="18"/>
        <v/>
      </c>
      <c r="C150" s="507">
        <f>IF(D93="","-",+C149+1)</f>
        <v>2068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9"/>
        <v>0</v>
      </c>
      <c r="G150" s="523">
        <f t="shared" si="20"/>
        <v>0</v>
      </c>
      <c r="H150" s="526">
        <f t="shared" si="21"/>
        <v>0</v>
      </c>
      <c r="I150" s="577">
        <f t="shared" si="22"/>
        <v>0</v>
      </c>
      <c r="J150" s="514">
        <f t="shared" si="24"/>
        <v>0</v>
      </c>
      <c r="K150" s="514"/>
      <c r="L150" s="525"/>
      <c r="M150" s="514">
        <f t="shared" si="25"/>
        <v>0</v>
      </c>
      <c r="N150" s="525"/>
      <c r="O150" s="514">
        <f t="shared" si="26"/>
        <v>0</v>
      </c>
      <c r="P150" s="514">
        <f t="shared" si="27"/>
        <v>0</v>
      </c>
    </row>
    <row r="151" spans="2:16" ht="12.5">
      <c r="B151" s="195" t="str">
        <f t="shared" si="18"/>
        <v/>
      </c>
      <c r="C151" s="507">
        <f>IF(D93="","-",+C150+1)</f>
        <v>2069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9"/>
        <v>0</v>
      </c>
      <c r="G151" s="523">
        <f t="shared" si="20"/>
        <v>0</v>
      </c>
      <c r="H151" s="526">
        <f t="shared" si="21"/>
        <v>0</v>
      </c>
      <c r="I151" s="577">
        <f t="shared" si="22"/>
        <v>0</v>
      </c>
      <c r="J151" s="514">
        <f t="shared" si="24"/>
        <v>0</v>
      </c>
      <c r="K151" s="514"/>
      <c r="L151" s="525"/>
      <c r="M151" s="514">
        <f t="shared" si="25"/>
        <v>0</v>
      </c>
      <c r="N151" s="525"/>
      <c r="O151" s="514">
        <f t="shared" si="26"/>
        <v>0</v>
      </c>
      <c r="P151" s="514">
        <f t="shared" si="27"/>
        <v>0</v>
      </c>
    </row>
    <row r="152" spans="2:16" ht="12.5">
      <c r="B152" s="195" t="str">
        <f t="shared" si="18"/>
        <v/>
      </c>
      <c r="C152" s="507">
        <f>IF(D93="","-",+C151+1)</f>
        <v>2070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9"/>
        <v>0</v>
      </c>
      <c r="G152" s="523">
        <f t="shared" si="20"/>
        <v>0</v>
      </c>
      <c r="H152" s="526">
        <f t="shared" si="21"/>
        <v>0</v>
      </c>
      <c r="I152" s="577">
        <f t="shared" si="22"/>
        <v>0</v>
      </c>
      <c r="J152" s="514">
        <f t="shared" si="24"/>
        <v>0</v>
      </c>
      <c r="K152" s="514"/>
      <c r="L152" s="525"/>
      <c r="M152" s="514">
        <f t="shared" si="25"/>
        <v>0</v>
      </c>
      <c r="N152" s="525"/>
      <c r="O152" s="514">
        <f t="shared" si="26"/>
        <v>0</v>
      </c>
      <c r="P152" s="514">
        <f t="shared" si="27"/>
        <v>0</v>
      </c>
    </row>
    <row r="153" spans="2:16" ht="12.5">
      <c r="B153" s="195" t="str">
        <f t="shared" si="18"/>
        <v/>
      </c>
      <c r="C153" s="507">
        <f>IF(D93="","-",+C152+1)</f>
        <v>2071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9"/>
        <v>0</v>
      </c>
      <c r="G153" s="523">
        <f t="shared" si="20"/>
        <v>0</v>
      </c>
      <c r="H153" s="526">
        <f t="shared" si="21"/>
        <v>0</v>
      </c>
      <c r="I153" s="577">
        <f t="shared" si="22"/>
        <v>0</v>
      </c>
      <c r="J153" s="514">
        <f t="shared" si="24"/>
        <v>0</v>
      </c>
      <c r="K153" s="514"/>
      <c r="L153" s="525"/>
      <c r="M153" s="514">
        <f t="shared" si="25"/>
        <v>0</v>
      </c>
      <c r="N153" s="525"/>
      <c r="O153" s="514">
        <f t="shared" si="26"/>
        <v>0</v>
      </c>
      <c r="P153" s="514">
        <f t="shared" si="27"/>
        <v>0</v>
      </c>
    </row>
    <row r="154" spans="2:16" ht="13" thickBot="1">
      <c r="B154" s="195" t="str">
        <f t="shared" si="18"/>
        <v/>
      </c>
      <c r="C154" s="527">
        <f>IF(D93="","-",+C153+1)</f>
        <v>2072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9"/>
        <v>0</v>
      </c>
      <c r="G154" s="528">
        <f t="shared" si="20"/>
        <v>0</v>
      </c>
      <c r="H154" s="530">
        <f t="shared" si="21"/>
        <v>0</v>
      </c>
      <c r="I154" s="579">
        <f t="shared" si="22"/>
        <v>0</v>
      </c>
      <c r="J154" s="533">
        <f t="shared" si="24"/>
        <v>0</v>
      </c>
      <c r="K154" s="514"/>
      <c r="L154" s="532"/>
      <c r="M154" s="533">
        <f t="shared" si="25"/>
        <v>0</v>
      </c>
      <c r="N154" s="532"/>
      <c r="O154" s="533">
        <f t="shared" si="26"/>
        <v>0</v>
      </c>
      <c r="P154" s="533">
        <f t="shared" si="27"/>
        <v>0</v>
      </c>
    </row>
    <row r="155" spans="2:16" ht="12.5">
      <c r="C155" s="374" t="s">
        <v>78</v>
      </c>
      <c r="D155" s="375"/>
      <c r="E155" s="375">
        <f>SUM(E99:E154)</f>
        <v>9930038.9999999981</v>
      </c>
      <c r="F155" s="375"/>
      <c r="G155" s="375"/>
      <c r="H155" s="375">
        <f>SUM(H99:H154)</f>
        <v>32685534.371046949</v>
      </c>
      <c r="I155" s="375">
        <f>SUM(I99:I154)</f>
        <v>32685534.371046949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3" priority="1" stopIfTrue="1" operator="equal">
      <formula>$I$10</formula>
    </cfRule>
  </conditionalFormatting>
  <conditionalFormatting sqref="C99:C154">
    <cfRule type="cellIs" dxfId="1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162"/>
  <sheetViews>
    <sheetView zoomScale="80" zoomScaleNormal="80" workbookViewId="0"/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70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967710.61723506683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967710.61723506683</v>
      </c>
      <c r="O6" s="269"/>
      <c r="P6" s="269"/>
    </row>
    <row r="7" spans="1:16" ht="13.5" thickBot="1">
      <c r="C7" s="467" t="s">
        <v>48</v>
      </c>
      <c r="D7" s="624" t="s">
        <v>432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424</v>
      </c>
      <c r="E9" s="637" t="s">
        <v>425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7196364.3600000003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5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171342.00857142857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2018</v>
      </c>
      <c r="D17" s="631">
        <v>0</v>
      </c>
      <c r="E17" s="630">
        <v>96158.536585365859</v>
      </c>
      <c r="F17" s="631">
        <v>7788841.4634146346</v>
      </c>
      <c r="G17" s="630">
        <v>591116.43032923993</v>
      </c>
      <c r="H17" s="639">
        <v>591116.43032923993</v>
      </c>
      <c r="I17" s="511">
        <f t="shared" ref="I17:I72" si="0">H17-G17</f>
        <v>0</v>
      </c>
      <c r="J17" s="511"/>
      <c r="K17" s="512">
        <f>+G17</f>
        <v>591116.43032923993</v>
      </c>
      <c r="L17" s="513">
        <f t="shared" ref="L17:L72" si="1">IF(K17&lt;&gt;0,+G17-K17,0)</f>
        <v>0</v>
      </c>
      <c r="M17" s="512">
        <f>+H17</f>
        <v>591116.43032923993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2019</v>
      </c>
      <c r="D18" s="631">
        <v>7788841.4634146346</v>
      </c>
      <c r="E18" s="630">
        <v>192317.07317073172</v>
      </c>
      <c r="F18" s="631">
        <v>7596524.3902439028</v>
      </c>
      <c r="G18" s="630">
        <v>1170011.6780969028</v>
      </c>
      <c r="H18" s="639">
        <v>1170011.6780969028</v>
      </c>
      <c r="I18" s="511">
        <f t="shared" si="0"/>
        <v>0</v>
      </c>
      <c r="J18" s="511"/>
      <c r="K18" s="518">
        <f>+G18</f>
        <v>1170011.6780969028</v>
      </c>
      <c r="L18" s="519">
        <f t="shared" si="1"/>
        <v>0</v>
      </c>
      <c r="M18" s="518">
        <f>+H18</f>
        <v>1170011.6780969028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2020</v>
      </c>
      <c r="D19" s="631">
        <v>6906935.3902439028</v>
      </c>
      <c r="E19" s="630">
        <v>175497.82926829267</v>
      </c>
      <c r="F19" s="631">
        <v>6731437.5609756103</v>
      </c>
      <c r="G19" s="630">
        <v>873342.3819354173</v>
      </c>
      <c r="H19" s="639">
        <v>873342.3819354173</v>
      </c>
      <c r="I19" s="511">
        <f t="shared" si="0"/>
        <v>0</v>
      </c>
      <c r="J19" s="511"/>
      <c r="K19" s="518">
        <f>+G19</f>
        <v>873342.3819354173</v>
      </c>
      <c r="L19" s="519">
        <f t="shared" ref="L19" si="4">IF(K19&lt;&gt;0,+G19-K19,0)</f>
        <v>0</v>
      </c>
      <c r="M19" s="518">
        <f>+H19</f>
        <v>873342.3819354173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2021</v>
      </c>
      <c r="D20" s="631">
        <v>6741335.5411230857</v>
      </c>
      <c r="E20" s="630">
        <v>171342</v>
      </c>
      <c r="F20" s="631">
        <v>6569993.5411230857</v>
      </c>
      <c r="G20" s="630">
        <v>876872.6916380648</v>
      </c>
      <c r="H20" s="639">
        <v>876872.6916380648</v>
      </c>
      <c r="I20" s="511">
        <f t="shared" si="0"/>
        <v>0</v>
      </c>
      <c r="J20" s="511"/>
      <c r="K20" s="518">
        <f>+G20</f>
        <v>876872.6916380648</v>
      </c>
      <c r="L20" s="519">
        <f t="shared" ref="L20" si="6">IF(K20&lt;&gt;0,+G20-K20,0)</f>
        <v>0</v>
      </c>
      <c r="M20" s="518">
        <f>+H20</f>
        <v>876872.6916380648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>IU</v>
      </c>
      <c r="C21" s="507">
        <f>IF(D11="","-",+C20+1)</f>
        <v>2022</v>
      </c>
      <c r="D21" s="631">
        <v>6561048.5609756093</v>
      </c>
      <c r="E21" s="630">
        <v>171342</v>
      </c>
      <c r="F21" s="631">
        <v>6389706.5609756093</v>
      </c>
      <c r="G21" s="630">
        <v>899459.98182080162</v>
      </c>
      <c r="H21" s="639">
        <v>899459.98182080162</v>
      </c>
      <c r="I21" s="511">
        <f t="shared" si="0"/>
        <v>0</v>
      </c>
      <c r="J21" s="511"/>
      <c r="K21" s="518">
        <f>+G21</f>
        <v>899459.98182080162</v>
      </c>
      <c r="L21" s="519">
        <f t="shared" ref="L21" si="7">IF(K21&lt;&gt;0,+G21-K21,0)</f>
        <v>0</v>
      </c>
      <c r="M21" s="518">
        <f>+H21</f>
        <v>899459.98182080162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2023</v>
      </c>
      <c r="D22" s="523">
        <f>IF(F21+SUM(E$17:E21)=D$10,F21,D$10-SUM(E$17:E21))</f>
        <v>6389706.9209756106</v>
      </c>
      <c r="E22" s="522">
        <f>IF(+I14&lt;F21,I14,D22)</f>
        <v>171342.00857142857</v>
      </c>
      <c r="F22" s="523">
        <f t="shared" ref="F22:F72" si="8">+D22-E22</f>
        <v>6218364.9124041824</v>
      </c>
      <c r="G22" s="524">
        <f t="shared" ref="G22:G72" si="9">+I$12*((D22+F22)/2)+E22</f>
        <v>967710.61723506683</v>
      </c>
      <c r="H22" s="491">
        <f t="shared" ref="H22:H72" si="10">+I$13*((D22+F22)/2)+E22</f>
        <v>967710.61723506683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2024</v>
      </c>
      <c r="D23" s="523">
        <f>IF(F22+SUM(E$17:E22)=D$10,F22,D$10-SUM(E$17:E22))</f>
        <v>6218364.9124041824</v>
      </c>
      <c r="E23" s="522">
        <f>IF(+I14&lt;F22,I14,D23)</f>
        <v>171342.00857142857</v>
      </c>
      <c r="F23" s="523">
        <f t="shared" si="8"/>
        <v>6047022.9038327541</v>
      </c>
      <c r="G23" s="524">
        <f t="shared" si="9"/>
        <v>946065.53164626053</v>
      </c>
      <c r="H23" s="491">
        <f t="shared" si="10"/>
        <v>946065.53164626053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2025</v>
      </c>
      <c r="D24" s="523">
        <f>IF(F23+SUM(E$17:E23)=D$10,F23,D$10-SUM(E$17:E23))</f>
        <v>6047022.9038327541</v>
      </c>
      <c r="E24" s="522">
        <f>IF(+I14&lt;F23,I14,D24)</f>
        <v>171342.00857142857</v>
      </c>
      <c r="F24" s="523">
        <f t="shared" si="8"/>
        <v>5875680.8952613259</v>
      </c>
      <c r="G24" s="524">
        <f t="shared" si="9"/>
        <v>924420.44605745433</v>
      </c>
      <c r="H24" s="491">
        <f t="shared" si="10"/>
        <v>924420.44605745433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2026</v>
      </c>
      <c r="D25" s="523">
        <f>IF(F24+SUM(E$17:E24)=D$10,F24,D$10-SUM(E$17:E24))</f>
        <v>5875680.8952613259</v>
      </c>
      <c r="E25" s="522">
        <f>IF(+I14&lt;F24,I14,D25)</f>
        <v>171342.00857142857</v>
      </c>
      <c r="F25" s="523">
        <f t="shared" si="8"/>
        <v>5704338.8866898976</v>
      </c>
      <c r="G25" s="524">
        <f t="shared" si="9"/>
        <v>902775.36046864802</v>
      </c>
      <c r="H25" s="491">
        <f t="shared" si="10"/>
        <v>902775.36046864802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2027</v>
      </c>
      <c r="D26" s="523">
        <f>IF(F25+SUM(E$17:E25)=D$10,F25,D$10-SUM(E$17:E25))</f>
        <v>5704338.8866898976</v>
      </c>
      <c r="E26" s="522">
        <f>IF(+I14&lt;F25,I14,D26)</f>
        <v>171342.00857142857</v>
      </c>
      <c r="F26" s="523">
        <f t="shared" si="8"/>
        <v>5532996.8781184694</v>
      </c>
      <c r="G26" s="524">
        <f t="shared" si="9"/>
        <v>881130.27487984183</v>
      </c>
      <c r="H26" s="491">
        <f t="shared" si="10"/>
        <v>881130.27487984183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2028</v>
      </c>
      <c r="D27" s="523">
        <f>IF(F26+SUM(E$17:E26)=D$10,F26,D$10-SUM(E$17:E26))</f>
        <v>5532996.8781184694</v>
      </c>
      <c r="E27" s="522">
        <f>IF(+I14&lt;F26,I14,D27)</f>
        <v>171342.00857142857</v>
      </c>
      <c r="F27" s="523">
        <f t="shared" si="8"/>
        <v>5361654.8695470411</v>
      </c>
      <c r="G27" s="524">
        <f t="shared" si="9"/>
        <v>859485.18929103552</v>
      </c>
      <c r="H27" s="491">
        <f t="shared" si="10"/>
        <v>859485.18929103552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2029</v>
      </c>
      <c r="D28" s="523">
        <f>IF(F27+SUM(E$17:E27)=D$10,F27,D$10-SUM(E$17:E27))</f>
        <v>5361654.8695470411</v>
      </c>
      <c r="E28" s="522">
        <f>IF(+I14&lt;F27,I14,D28)</f>
        <v>171342.00857142857</v>
      </c>
      <c r="F28" s="523">
        <f t="shared" si="8"/>
        <v>5190312.8609756129</v>
      </c>
      <c r="G28" s="524">
        <f t="shared" si="9"/>
        <v>837840.10370222933</v>
      </c>
      <c r="H28" s="491">
        <f t="shared" si="10"/>
        <v>837840.10370222933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2030</v>
      </c>
      <c r="D29" s="523">
        <f>IF(F28+SUM(E$17:E28)=D$10,F28,D$10-SUM(E$17:E28))</f>
        <v>5190312.8609756129</v>
      </c>
      <c r="E29" s="522">
        <f>IF(+I14&lt;F28,I14,D29)</f>
        <v>171342.00857142857</v>
      </c>
      <c r="F29" s="523">
        <f t="shared" si="8"/>
        <v>5018970.8524041846</v>
      </c>
      <c r="G29" s="524">
        <f t="shared" si="9"/>
        <v>816195.01811342302</v>
      </c>
      <c r="H29" s="491">
        <f t="shared" si="10"/>
        <v>816195.01811342302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2031</v>
      </c>
      <c r="D30" s="523">
        <f>IF(F29+SUM(E$17:E29)=D$10,F29,D$10-SUM(E$17:E29))</f>
        <v>5018970.8524041846</v>
      </c>
      <c r="E30" s="522">
        <f>IF(+I14&lt;F29,I14,D30)</f>
        <v>171342.00857142857</v>
      </c>
      <c r="F30" s="523">
        <f t="shared" si="8"/>
        <v>4847628.8438327564</v>
      </c>
      <c r="G30" s="524">
        <f t="shared" si="9"/>
        <v>794549.93252461683</v>
      </c>
      <c r="H30" s="491">
        <f t="shared" si="10"/>
        <v>794549.93252461683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2032</v>
      </c>
      <c r="D31" s="523">
        <f>IF(F30+SUM(E$17:E30)=D$10,F30,D$10-SUM(E$17:E30))</f>
        <v>4847628.8438327564</v>
      </c>
      <c r="E31" s="522">
        <f>IF(+I14&lt;F30,I14,D31)</f>
        <v>171342.00857142857</v>
      </c>
      <c r="F31" s="523">
        <f t="shared" si="8"/>
        <v>4676286.8352613281</v>
      </c>
      <c r="G31" s="524">
        <f t="shared" si="9"/>
        <v>772904.84693581052</v>
      </c>
      <c r="H31" s="491">
        <f t="shared" si="10"/>
        <v>772904.84693581052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2033</v>
      </c>
      <c r="D32" s="523">
        <f>IF(F31+SUM(E$17:E31)=D$10,F31,D$10-SUM(E$17:E31))</f>
        <v>4676286.8352613281</v>
      </c>
      <c r="E32" s="522">
        <f>IF(+I14&lt;F31,I14,D32)</f>
        <v>171342.00857142857</v>
      </c>
      <c r="F32" s="523">
        <f t="shared" si="8"/>
        <v>4504944.8266898999</v>
      </c>
      <c r="G32" s="524">
        <f t="shared" si="9"/>
        <v>751259.76134700433</v>
      </c>
      <c r="H32" s="491">
        <f t="shared" si="10"/>
        <v>751259.76134700433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2034</v>
      </c>
      <c r="D33" s="523">
        <f>IF(F32+SUM(E$17:E32)=D$10,F32,D$10-SUM(E$17:E32))</f>
        <v>4504944.8266898999</v>
      </c>
      <c r="E33" s="522">
        <f>IF(+I14&lt;F32,I14,D33)</f>
        <v>171342.00857142857</v>
      </c>
      <c r="F33" s="523">
        <f t="shared" si="8"/>
        <v>4333602.8181184717</v>
      </c>
      <c r="G33" s="524">
        <f t="shared" si="9"/>
        <v>729614.6757581979</v>
      </c>
      <c r="H33" s="491">
        <f t="shared" si="10"/>
        <v>729614.6757581979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2035</v>
      </c>
      <c r="D34" s="523">
        <f>IF(F33+SUM(E$17:E33)=D$10,F33,D$10-SUM(E$17:E33))</f>
        <v>4333602.8181184717</v>
      </c>
      <c r="E34" s="522">
        <f>IF(+I14&lt;F33,I14,D34)</f>
        <v>171342.00857142857</v>
      </c>
      <c r="F34" s="523">
        <f t="shared" si="8"/>
        <v>4162260.8095470429</v>
      </c>
      <c r="G34" s="524">
        <f t="shared" si="9"/>
        <v>707969.59016939171</v>
      </c>
      <c r="H34" s="491">
        <f t="shared" si="10"/>
        <v>707969.59016939171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2036</v>
      </c>
      <c r="D35" s="523">
        <f>IF(F34+SUM(E$17:E34)=D$10,F34,D$10-SUM(E$17:E34))</f>
        <v>4162260.8095470429</v>
      </c>
      <c r="E35" s="522">
        <f>IF(+I14&lt;F34,I14,D35)</f>
        <v>171342.00857142857</v>
      </c>
      <c r="F35" s="523">
        <f t="shared" si="8"/>
        <v>3990918.8009756142</v>
      </c>
      <c r="G35" s="524">
        <f t="shared" si="9"/>
        <v>686324.5045805854</v>
      </c>
      <c r="H35" s="491">
        <f t="shared" si="10"/>
        <v>686324.5045805854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2037</v>
      </c>
      <c r="D36" s="523">
        <f>IF(F35+SUM(E$17:E35)=D$10,F35,D$10-SUM(E$17:E35))</f>
        <v>3990918.8009756142</v>
      </c>
      <c r="E36" s="522">
        <f>IF(+I14&lt;F35,I14,D36)</f>
        <v>171342.00857142857</v>
      </c>
      <c r="F36" s="523">
        <f t="shared" si="8"/>
        <v>3819576.7924041855</v>
      </c>
      <c r="G36" s="524">
        <f t="shared" si="9"/>
        <v>664679.41899177909</v>
      </c>
      <c r="H36" s="491">
        <f t="shared" si="10"/>
        <v>664679.41899177909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2038</v>
      </c>
      <c r="D37" s="523">
        <f>IF(F36+SUM(E$17:E36)=D$10,F36,D$10-SUM(E$17:E36))</f>
        <v>3819576.7924041855</v>
      </c>
      <c r="E37" s="522">
        <f>IF(+I14&lt;F36,I14,D37)</f>
        <v>171342.00857142857</v>
      </c>
      <c r="F37" s="523">
        <f t="shared" si="8"/>
        <v>3648234.7838327568</v>
      </c>
      <c r="G37" s="524">
        <f t="shared" si="9"/>
        <v>643034.33340297278</v>
      </c>
      <c r="H37" s="491">
        <f t="shared" si="10"/>
        <v>643034.33340297278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2039</v>
      </c>
      <c r="D38" s="523">
        <f>IF(F37+SUM(E$17:E37)=D$10,F37,D$10-SUM(E$17:E37))</f>
        <v>3648234.7838327568</v>
      </c>
      <c r="E38" s="522">
        <f>IF(+I14&lt;F37,I14,D38)</f>
        <v>171342.00857142857</v>
      </c>
      <c r="F38" s="523">
        <f t="shared" si="8"/>
        <v>3476892.7752613281</v>
      </c>
      <c r="G38" s="524">
        <f t="shared" si="9"/>
        <v>621389.24781416648</v>
      </c>
      <c r="H38" s="491">
        <f t="shared" si="10"/>
        <v>621389.24781416648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2040</v>
      </c>
      <c r="D39" s="523">
        <f>IF(F38+SUM(E$17:E38)=D$10,F38,D$10-SUM(E$17:E38))</f>
        <v>3476892.7752613281</v>
      </c>
      <c r="E39" s="522">
        <f>IF(+I14&lt;F38,I14,D39)</f>
        <v>171342.00857142857</v>
      </c>
      <c r="F39" s="523">
        <f t="shared" si="8"/>
        <v>3305550.7666898994</v>
      </c>
      <c r="G39" s="524">
        <f t="shared" si="9"/>
        <v>599744.16222536017</v>
      </c>
      <c r="H39" s="491">
        <f t="shared" si="10"/>
        <v>599744.16222536017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2041</v>
      </c>
      <c r="D40" s="523">
        <f>IF(F39+SUM(E$17:E39)=D$10,F39,D$10-SUM(E$17:E39))</f>
        <v>3305550.7666898994</v>
      </c>
      <c r="E40" s="522">
        <f>IF(+I14&lt;F39,I14,D40)</f>
        <v>171342.00857142857</v>
      </c>
      <c r="F40" s="523">
        <f t="shared" si="8"/>
        <v>3134208.7581184707</v>
      </c>
      <c r="G40" s="524">
        <f t="shared" si="9"/>
        <v>578099.07663655386</v>
      </c>
      <c r="H40" s="491">
        <f t="shared" si="10"/>
        <v>578099.07663655386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2042</v>
      </c>
      <c r="D41" s="523">
        <f>IF(F40+SUM(E$17:E40)=D$10,F40,D$10-SUM(E$17:E40))</f>
        <v>3134208.7581184707</v>
      </c>
      <c r="E41" s="522">
        <f>IF(+I14&lt;F40,I14,D41)</f>
        <v>171342.00857142857</v>
      </c>
      <c r="F41" s="523">
        <f t="shared" si="8"/>
        <v>2962866.749547042</v>
      </c>
      <c r="G41" s="524">
        <f t="shared" si="9"/>
        <v>556453.99104774755</v>
      </c>
      <c r="H41" s="491">
        <f t="shared" si="10"/>
        <v>556453.99104774755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2043</v>
      </c>
      <c r="D42" s="523">
        <f>IF(F41+SUM(E$17:E41)=D$10,F41,D$10-SUM(E$17:E41))</f>
        <v>2962866.749547042</v>
      </c>
      <c r="E42" s="522">
        <f>IF(+I14&lt;F41,I14,D42)</f>
        <v>171342.00857142857</v>
      </c>
      <c r="F42" s="523">
        <f t="shared" si="8"/>
        <v>2791524.7409756132</v>
      </c>
      <c r="G42" s="524">
        <f t="shared" si="9"/>
        <v>534808.90545894124</v>
      </c>
      <c r="H42" s="491">
        <f t="shared" si="10"/>
        <v>534808.90545894124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2044</v>
      </c>
      <c r="D43" s="523">
        <f>IF(F42+SUM(E$17:E42)=D$10,F42,D$10-SUM(E$17:E42))</f>
        <v>2791524.7409756132</v>
      </c>
      <c r="E43" s="522">
        <f>IF(+I14&lt;F42,I14,D43)</f>
        <v>171342.00857142857</v>
      </c>
      <c r="F43" s="523">
        <f t="shared" si="8"/>
        <v>2620182.7324041845</v>
      </c>
      <c r="G43" s="524">
        <f t="shared" si="9"/>
        <v>513163.81987013493</v>
      </c>
      <c r="H43" s="491">
        <f t="shared" si="10"/>
        <v>513163.81987013493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2045</v>
      </c>
      <c r="D44" s="523">
        <f>IF(F43+SUM(E$17:E43)=D$10,F43,D$10-SUM(E$17:E43))</f>
        <v>2620182.7324041845</v>
      </c>
      <c r="E44" s="522">
        <f>IF(+I14&lt;F43,I14,D44)</f>
        <v>171342.00857142857</v>
      </c>
      <c r="F44" s="523">
        <f t="shared" si="8"/>
        <v>2448840.7238327558</v>
      </c>
      <c r="G44" s="524">
        <f t="shared" si="9"/>
        <v>491518.73428132862</v>
      </c>
      <c r="H44" s="491">
        <f t="shared" si="10"/>
        <v>491518.73428132862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2046</v>
      </c>
      <c r="D45" s="523">
        <f>IF(F44+SUM(E$17:E44)=D$10,F44,D$10-SUM(E$17:E44))</f>
        <v>2448840.7238327558</v>
      </c>
      <c r="E45" s="522">
        <f>IF(+I14&lt;F44,I14,D45)</f>
        <v>171342.00857142857</v>
      </c>
      <c r="F45" s="523">
        <f t="shared" si="8"/>
        <v>2277498.7152613271</v>
      </c>
      <c r="G45" s="524">
        <f t="shared" si="9"/>
        <v>469873.64869252231</v>
      </c>
      <c r="H45" s="491">
        <f t="shared" si="10"/>
        <v>469873.64869252231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2047</v>
      </c>
      <c r="D46" s="523">
        <f>IF(F45+SUM(E$17:E45)=D$10,F45,D$10-SUM(E$17:E45))</f>
        <v>2277498.7152613271</v>
      </c>
      <c r="E46" s="522">
        <f>IF(+I14&lt;F45,I14,D46)</f>
        <v>171342.00857142857</v>
      </c>
      <c r="F46" s="523">
        <f t="shared" si="8"/>
        <v>2106156.7066898984</v>
      </c>
      <c r="G46" s="524">
        <f t="shared" si="9"/>
        <v>448228.56310371601</v>
      </c>
      <c r="H46" s="491">
        <f t="shared" si="10"/>
        <v>448228.56310371601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2048</v>
      </c>
      <c r="D47" s="523">
        <f>IF(F46+SUM(E$17:E46)=D$10,F46,D$10-SUM(E$17:E46))</f>
        <v>2106156.7066898984</v>
      </c>
      <c r="E47" s="522">
        <f>IF(+I14&lt;F46,I14,D47)</f>
        <v>171342.00857142857</v>
      </c>
      <c r="F47" s="523">
        <f t="shared" si="8"/>
        <v>1934814.6981184699</v>
      </c>
      <c r="G47" s="524">
        <f t="shared" si="9"/>
        <v>426583.4775149097</v>
      </c>
      <c r="H47" s="491">
        <f t="shared" si="10"/>
        <v>426583.4775149097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2049</v>
      </c>
      <c r="D48" s="523">
        <f>IF(F47+SUM(E$17:E47)=D$10,F47,D$10-SUM(E$17:E47))</f>
        <v>1934814.6981184699</v>
      </c>
      <c r="E48" s="522">
        <f>IF(+I14&lt;F47,I14,D48)</f>
        <v>171342.00857142857</v>
      </c>
      <c r="F48" s="523">
        <f t="shared" si="8"/>
        <v>1763472.6895470414</v>
      </c>
      <c r="G48" s="524">
        <f t="shared" si="9"/>
        <v>404938.39192610339</v>
      </c>
      <c r="H48" s="491">
        <f t="shared" si="10"/>
        <v>404938.39192610339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2050</v>
      </c>
      <c r="D49" s="523">
        <f>IF(F48+SUM(E$17:E48)=D$10,F48,D$10-SUM(E$17:E48))</f>
        <v>1763472.6895470414</v>
      </c>
      <c r="E49" s="522">
        <f>IF(+I14&lt;F48,I14,D49)</f>
        <v>171342.00857142857</v>
      </c>
      <c r="F49" s="523">
        <f t="shared" si="8"/>
        <v>1592130.680975613</v>
      </c>
      <c r="G49" s="524">
        <f t="shared" si="9"/>
        <v>383293.3063372972</v>
      </c>
      <c r="H49" s="491">
        <f t="shared" si="10"/>
        <v>383293.3063372972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2051</v>
      </c>
      <c r="D50" s="523">
        <f>IF(F49+SUM(E$17:E49)=D$10,F49,D$10-SUM(E$17:E49))</f>
        <v>1592130.680975613</v>
      </c>
      <c r="E50" s="522">
        <f>IF(+I14&lt;F49,I14,D50)</f>
        <v>171342.00857142857</v>
      </c>
      <c r="F50" s="523">
        <f t="shared" si="8"/>
        <v>1420788.6724041845</v>
      </c>
      <c r="G50" s="524">
        <f t="shared" si="9"/>
        <v>361648.22074849089</v>
      </c>
      <c r="H50" s="491">
        <f t="shared" si="10"/>
        <v>361648.22074849089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2052</v>
      </c>
      <c r="D51" s="523">
        <f>IF(F50+SUM(E$17:E50)=D$10,F50,D$10-SUM(E$17:E50))</f>
        <v>1420788.6724041845</v>
      </c>
      <c r="E51" s="522">
        <f>IF(+I14&lt;F50,I14,D51)</f>
        <v>171342.00857142857</v>
      </c>
      <c r="F51" s="523">
        <f t="shared" si="8"/>
        <v>1249446.663832756</v>
      </c>
      <c r="G51" s="524">
        <f t="shared" si="9"/>
        <v>340003.13515968458</v>
      </c>
      <c r="H51" s="491">
        <f t="shared" si="10"/>
        <v>340003.13515968458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2053</v>
      </c>
      <c r="D52" s="523">
        <f>IF(F51+SUM(E$17:E51)=D$10,F51,D$10-SUM(E$17:E51))</f>
        <v>1249446.663832756</v>
      </c>
      <c r="E52" s="522">
        <f>IF(+I14&lt;F51,I14,D52)</f>
        <v>171342.00857142857</v>
      </c>
      <c r="F52" s="523">
        <f t="shared" si="8"/>
        <v>1078104.6552613275</v>
      </c>
      <c r="G52" s="524">
        <f t="shared" si="9"/>
        <v>318358.04957087827</v>
      </c>
      <c r="H52" s="491">
        <f t="shared" si="10"/>
        <v>318358.04957087827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2054</v>
      </c>
      <c r="D53" s="523">
        <f>IF(F52+SUM(E$17:E52)=D$10,F52,D$10-SUM(E$17:E52))</f>
        <v>1078104.6552613275</v>
      </c>
      <c r="E53" s="522">
        <f>IF(+I14&lt;F52,I14,D53)</f>
        <v>171342.00857142857</v>
      </c>
      <c r="F53" s="523">
        <f t="shared" si="8"/>
        <v>906762.64668989892</v>
      </c>
      <c r="G53" s="524">
        <f t="shared" si="9"/>
        <v>296712.96398207202</v>
      </c>
      <c r="H53" s="491">
        <f t="shared" si="10"/>
        <v>296712.96398207202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2055</v>
      </c>
      <c r="D54" s="523">
        <f>IF(F53+SUM(E$17:E53)=D$10,F53,D$10-SUM(E$17:E53))</f>
        <v>906762.64668989892</v>
      </c>
      <c r="E54" s="522">
        <f>IF(+I14&lt;F53,I14,D54)</f>
        <v>171342.00857142857</v>
      </c>
      <c r="F54" s="523">
        <f t="shared" si="8"/>
        <v>735420.63811847032</v>
      </c>
      <c r="G54" s="524">
        <f t="shared" si="9"/>
        <v>275067.87839326571</v>
      </c>
      <c r="H54" s="491">
        <f t="shared" si="10"/>
        <v>275067.87839326571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2056</v>
      </c>
      <c r="D55" s="523">
        <f>IF(F54+SUM(E$17:E54)=D$10,F54,D$10-SUM(E$17:E54))</f>
        <v>735420.63811847032</v>
      </c>
      <c r="E55" s="522">
        <f>IF(+I14&lt;F54,I14,D55)</f>
        <v>171342.00857142857</v>
      </c>
      <c r="F55" s="523">
        <f t="shared" si="8"/>
        <v>564078.62954704172</v>
      </c>
      <c r="G55" s="524">
        <f t="shared" si="9"/>
        <v>253422.7928044594</v>
      </c>
      <c r="H55" s="491">
        <f t="shared" si="10"/>
        <v>253422.7928044594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2057</v>
      </c>
      <c r="D56" s="523">
        <f>IF(F55+SUM(E$17:E55)=D$10,F55,D$10-SUM(E$17:E55))</f>
        <v>564078.62954704172</v>
      </c>
      <c r="E56" s="522">
        <f>IF(+I14&lt;F55,I14,D56)</f>
        <v>171342.00857142857</v>
      </c>
      <c r="F56" s="523">
        <f t="shared" si="8"/>
        <v>392736.62097561313</v>
      </c>
      <c r="G56" s="524">
        <f t="shared" si="9"/>
        <v>231777.70721565312</v>
      </c>
      <c r="H56" s="491">
        <f t="shared" si="10"/>
        <v>231777.70721565312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2058</v>
      </c>
      <c r="D57" s="523">
        <f>IF(F56+SUM(E$17:E56)=D$10,F56,D$10-SUM(E$17:E56))</f>
        <v>392736.62097561313</v>
      </c>
      <c r="E57" s="522">
        <f>IF(+I14&lt;F56,I14,D57)</f>
        <v>171342.00857142857</v>
      </c>
      <c r="F57" s="523">
        <f t="shared" si="8"/>
        <v>221394.61240418456</v>
      </c>
      <c r="G57" s="524">
        <f t="shared" si="9"/>
        <v>210132.62162684684</v>
      </c>
      <c r="H57" s="491">
        <f t="shared" si="10"/>
        <v>210132.62162684684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2059</v>
      </c>
      <c r="D58" s="523">
        <f>IF(F57+SUM(E$17:E57)=D$10,F57,D$10-SUM(E$17:E57))</f>
        <v>221394.61240418456</v>
      </c>
      <c r="E58" s="522">
        <f>IF(+I14&lt;F57,I14,D58)</f>
        <v>171342.00857142857</v>
      </c>
      <c r="F58" s="523">
        <f t="shared" si="8"/>
        <v>50052.603832755995</v>
      </c>
      <c r="G58" s="524">
        <f t="shared" si="9"/>
        <v>188487.53603804053</v>
      </c>
      <c r="H58" s="491">
        <f t="shared" si="10"/>
        <v>188487.53603804053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2060</v>
      </c>
      <c r="D59" s="523">
        <f>IF(F58+SUM(E$17:E58)=D$10,F58,D$10-SUM(E$17:E58))</f>
        <v>50052.603832755995</v>
      </c>
      <c r="E59" s="522">
        <f>IF(+I14&lt;F58,I14,D59)</f>
        <v>50052.603832755995</v>
      </c>
      <c r="F59" s="523">
        <f t="shared" si="8"/>
        <v>0</v>
      </c>
      <c r="G59" s="524">
        <f t="shared" si="9"/>
        <v>53214.096168860415</v>
      </c>
      <c r="H59" s="491">
        <f t="shared" si="10"/>
        <v>53214.096168860415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2061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8"/>
        <v>0</v>
      </c>
      <c r="G60" s="524">
        <f t="shared" si="9"/>
        <v>0</v>
      </c>
      <c r="H60" s="491">
        <f t="shared" si="10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9"/>
        <v>0</v>
      </c>
      <c r="H61" s="491">
        <f t="shared" si="10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9"/>
        <v>0</v>
      </c>
      <c r="H62" s="491">
        <f t="shared" si="10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9"/>
        <v>0</v>
      </c>
      <c r="H63" s="491">
        <f t="shared" si="10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9"/>
        <v>0</v>
      </c>
      <c r="H64" s="491">
        <f t="shared" si="10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9"/>
        <v>0</v>
      </c>
      <c r="H65" s="491">
        <f t="shared" si="10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9"/>
        <v>0</v>
      </c>
      <c r="H66" s="491">
        <f t="shared" si="10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9"/>
        <v>0</v>
      </c>
      <c r="H67" s="491">
        <f t="shared" si="10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9"/>
        <v>0</v>
      </c>
      <c r="H68" s="491">
        <f t="shared" si="10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9"/>
        <v>0</v>
      </c>
      <c r="H69" s="491">
        <f t="shared" si="10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9"/>
        <v>0</v>
      </c>
      <c r="H70" s="491">
        <f t="shared" si="10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9"/>
        <v>0</v>
      </c>
      <c r="H71" s="491">
        <f t="shared" si="10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9"/>
        <v>0</v>
      </c>
      <c r="H72" s="471">
        <f t="shared" si="10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7196364.3599999994</v>
      </c>
      <c r="F73" s="375"/>
      <c r="G73" s="375">
        <f>SUM(G17:G72)</f>
        <v>25853683.095541786</v>
      </c>
      <c r="H73" s="375">
        <f>SUM(H17:H72)</f>
        <v>25853683.095541786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70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876872.6916380648</v>
      </c>
      <c r="N87" s="546">
        <f>IF(J92&lt;D11,0,VLOOKUP(J92,C17:O72,11))</f>
        <v>876872.6916380648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934277.91718640598</v>
      </c>
      <c r="N88" s="550">
        <f>IF(J92&lt;D11,0,VLOOKUP(J92,C99:P154,7))</f>
        <v>934277.91718640598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Linwood - South Shreveport 138 KV Kine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57405.225548341172</v>
      </c>
      <c r="N89" s="555">
        <f>+N88-N87</f>
        <v>57405.225548341172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TP2014139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7196364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5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175521.07317073172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2018</v>
      </c>
      <c r="D99" s="629">
        <v>0</v>
      </c>
      <c r="E99" s="630">
        <v>85659.654761904763</v>
      </c>
      <c r="F99" s="631">
        <v>7109751.3452380951</v>
      </c>
      <c r="G99" s="631">
        <v>3554875.6726190476</v>
      </c>
      <c r="H99" s="633">
        <v>461070.82780968421</v>
      </c>
      <c r="I99" s="634">
        <v>461070.82780968421</v>
      </c>
      <c r="J99" s="514">
        <f t="shared" ref="J99:J130" si="11">+I99-H99</f>
        <v>0</v>
      </c>
      <c r="K99" s="514"/>
      <c r="L99" s="512">
        <f>+H99</f>
        <v>461070.82780968421</v>
      </c>
      <c r="M99" s="513">
        <f t="shared" ref="M99:M101" si="12">IF(L99&lt;&gt;0,+H99-L99,0)</f>
        <v>0</v>
      </c>
      <c r="N99" s="512">
        <f>+I99</f>
        <v>461070.82780968421</v>
      </c>
      <c r="O99" s="513">
        <f t="shared" ref="O99:O130" si="13">IF(N99&lt;&gt;0,+I99-N99,0)</f>
        <v>0</v>
      </c>
      <c r="P99" s="513">
        <f t="shared" ref="P99:P130" si="14">+O99-M99</f>
        <v>0</v>
      </c>
    </row>
    <row r="100" spans="1:16" ht="12.5">
      <c r="B100" s="195" t="str">
        <f>IF(D100=F99,"","IU")</f>
        <v>IU</v>
      </c>
      <c r="C100" s="507">
        <f>IF(D93="","-",+C99+1)</f>
        <v>2019</v>
      </c>
      <c r="D100" s="629">
        <v>7110704.3452380951</v>
      </c>
      <c r="E100" s="630">
        <v>167357.3023255814</v>
      </c>
      <c r="F100" s="631">
        <v>6943347.0429125139</v>
      </c>
      <c r="G100" s="631">
        <v>7027025.694075305</v>
      </c>
      <c r="H100" s="633">
        <v>919533.97318451235</v>
      </c>
      <c r="I100" s="634">
        <v>919533.97318451235</v>
      </c>
      <c r="J100" s="514">
        <f t="shared" si="11"/>
        <v>0</v>
      </c>
      <c r="K100" s="514"/>
      <c r="L100" s="655">
        <f>+H100</f>
        <v>919533.97318451235</v>
      </c>
      <c r="M100" s="514">
        <f t="shared" si="12"/>
        <v>0</v>
      </c>
      <c r="N100" s="655">
        <f>+I100</f>
        <v>919533.97318451235</v>
      </c>
      <c r="O100" s="514">
        <f t="shared" si="13"/>
        <v>0</v>
      </c>
      <c r="P100" s="514">
        <f t="shared" si="14"/>
        <v>0</v>
      </c>
    </row>
    <row r="101" spans="1:16" ht="12.5">
      <c r="B101" s="195" t="str">
        <f t="shared" ref="B101:B154" si="15">IF(D101=F100,"","IU")</f>
        <v/>
      </c>
      <c r="C101" s="507">
        <f>IF(D93="","-",+C100+1)</f>
        <v>2020</v>
      </c>
      <c r="D101" s="629">
        <v>6943347.0429125139</v>
      </c>
      <c r="E101" s="630">
        <v>171342</v>
      </c>
      <c r="F101" s="631">
        <v>6772005.0429125139</v>
      </c>
      <c r="G101" s="631">
        <v>6857676.0429125139</v>
      </c>
      <c r="H101" s="633">
        <v>909048.49398459145</v>
      </c>
      <c r="I101" s="634">
        <v>909048.49398459145</v>
      </c>
      <c r="J101" s="514">
        <f t="shared" si="11"/>
        <v>0</v>
      </c>
      <c r="K101" s="514"/>
      <c r="L101" s="655">
        <f>+H101</f>
        <v>909048.49398459145</v>
      </c>
      <c r="M101" s="514">
        <f t="shared" si="12"/>
        <v>0</v>
      </c>
      <c r="N101" s="655">
        <f>+I101</f>
        <v>909048.49398459145</v>
      </c>
      <c r="O101" s="514">
        <f t="shared" si="13"/>
        <v>0</v>
      </c>
      <c r="P101" s="514">
        <f t="shared" si="14"/>
        <v>0</v>
      </c>
    </row>
    <row r="102" spans="1:16" ht="12.5">
      <c r="B102" s="195" t="str">
        <f t="shared" si="15"/>
        <v/>
      </c>
      <c r="C102" s="507">
        <f>IF(D93="","-",+C101+1)</f>
        <v>2021</v>
      </c>
      <c r="D102" s="374">
        <f>IF(F101+SUM(E$99:E101)=D$92,F101,D$92-SUM(E$99:E101))</f>
        <v>6772005.0429125139</v>
      </c>
      <c r="E102" s="522">
        <f>IF(+J96&lt;F101,J96,D102)</f>
        <v>175521.07317073172</v>
      </c>
      <c r="F102" s="523">
        <f t="shared" ref="F102:F154" si="16">+D102-E102</f>
        <v>6596483.9697417822</v>
      </c>
      <c r="G102" s="523">
        <f t="shared" ref="G102:G154" si="17">+(F102+D102)/2</f>
        <v>6684244.5063271485</v>
      </c>
      <c r="H102" s="526">
        <f t="shared" ref="H102:H154" si="18">+J$94*G102+E102</f>
        <v>934277.91718640598</v>
      </c>
      <c r="I102" s="577">
        <f t="shared" ref="I102:I154" si="19">+J$95*G102+E102</f>
        <v>934277.91718640598</v>
      </c>
      <c r="J102" s="514">
        <f t="shared" si="11"/>
        <v>0</v>
      </c>
      <c r="K102" s="514"/>
      <c r="L102" s="525"/>
      <c r="M102" s="514">
        <f t="shared" ref="M102:M130" si="20">IF(L102&lt;&gt;0,+H102-L102,0)</f>
        <v>0</v>
      </c>
      <c r="N102" s="525"/>
      <c r="O102" s="514">
        <f t="shared" si="13"/>
        <v>0</v>
      </c>
      <c r="P102" s="514">
        <f t="shared" si="14"/>
        <v>0</v>
      </c>
    </row>
    <row r="103" spans="1:16" ht="12.5">
      <c r="B103" s="195" t="str">
        <f t="shared" si="15"/>
        <v/>
      </c>
      <c r="C103" s="507">
        <f>IF(D93="","-",+C102+1)</f>
        <v>2022</v>
      </c>
      <c r="D103" s="374">
        <f>IF(F102+SUM(E$99:E102)=D$92,F102,D$92-SUM(E$99:E102))</f>
        <v>6596483.9697417822</v>
      </c>
      <c r="E103" s="522">
        <f>IF(+J96&lt;F102,J96,D103)</f>
        <v>175521.07317073172</v>
      </c>
      <c r="F103" s="523">
        <f t="shared" si="16"/>
        <v>6420962.8965710504</v>
      </c>
      <c r="G103" s="523">
        <f t="shared" si="17"/>
        <v>6508723.4331564158</v>
      </c>
      <c r="H103" s="526">
        <f t="shared" si="18"/>
        <v>914353.77835348225</v>
      </c>
      <c r="I103" s="577">
        <f t="shared" si="19"/>
        <v>914353.77835348225</v>
      </c>
      <c r="J103" s="514">
        <f t="shared" si="11"/>
        <v>0</v>
      </c>
      <c r="K103" s="514"/>
      <c r="L103" s="525"/>
      <c r="M103" s="514">
        <f t="shared" si="20"/>
        <v>0</v>
      </c>
      <c r="N103" s="525"/>
      <c r="O103" s="514">
        <f t="shared" si="13"/>
        <v>0</v>
      </c>
      <c r="P103" s="514">
        <f t="shared" si="14"/>
        <v>0</v>
      </c>
    </row>
    <row r="104" spans="1:16" ht="12.5">
      <c r="B104" s="195" t="str">
        <f t="shared" si="15"/>
        <v/>
      </c>
      <c r="C104" s="507">
        <f>IF(D93="","-",+C103+1)</f>
        <v>2023</v>
      </c>
      <c r="D104" s="374">
        <f>IF(F103+SUM(E$99:E103)=D$92,F103,D$92-SUM(E$99:E103))</f>
        <v>6420962.8965710504</v>
      </c>
      <c r="E104" s="522">
        <f>IF(+J96&lt;F103,J96,D104)</f>
        <v>175521.07317073172</v>
      </c>
      <c r="F104" s="523">
        <f t="shared" si="16"/>
        <v>6245441.8234003186</v>
      </c>
      <c r="G104" s="523">
        <f t="shared" si="17"/>
        <v>6333202.359985685</v>
      </c>
      <c r="H104" s="526">
        <f t="shared" si="18"/>
        <v>894429.63952055876</v>
      </c>
      <c r="I104" s="577">
        <f t="shared" si="19"/>
        <v>894429.63952055876</v>
      </c>
      <c r="J104" s="514">
        <f t="shared" si="11"/>
        <v>0</v>
      </c>
      <c r="K104" s="514"/>
      <c r="L104" s="525"/>
      <c r="M104" s="514">
        <f t="shared" si="20"/>
        <v>0</v>
      </c>
      <c r="N104" s="525"/>
      <c r="O104" s="514">
        <f t="shared" si="13"/>
        <v>0</v>
      </c>
      <c r="P104" s="514">
        <f t="shared" si="14"/>
        <v>0</v>
      </c>
    </row>
    <row r="105" spans="1:16" ht="12.5">
      <c r="B105" s="195" t="str">
        <f t="shared" si="15"/>
        <v/>
      </c>
      <c r="C105" s="507">
        <f>IF(D93="","-",+C104+1)</f>
        <v>2024</v>
      </c>
      <c r="D105" s="374">
        <f>IF(F104+SUM(E$99:E104)=D$92,F104,D$92-SUM(E$99:E104))</f>
        <v>6245441.8234003186</v>
      </c>
      <c r="E105" s="522">
        <f>IF(+J96&lt;F104,J96,D105)</f>
        <v>175521.07317073172</v>
      </c>
      <c r="F105" s="523">
        <f t="shared" si="16"/>
        <v>6069920.7502295868</v>
      </c>
      <c r="G105" s="523">
        <f t="shared" si="17"/>
        <v>6157681.2868149523</v>
      </c>
      <c r="H105" s="526">
        <f t="shared" si="18"/>
        <v>874505.50068763504</v>
      </c>
      <c r="I105" s="577">
        <f t="shared" si="19"/>
        <v>874505.50068763504</v>
      </c>
      <c r="J105" s="514">
        <f t="shared" si="11"/>
        <v>0</v>
      </c>
      <c r="K105" s="514"/>
      <c r="L105" s="525"/>
      <c r="M105" s="514">
        <f t="shared" si="20"/>
        <v>0</v>
      </c>
      <c r="N105" s="525"/>
      <c r="O105" s="514">
        <f t="shared" si="13"/>
        <v>0</v>
      </c>
      <c r="P105" s="514">
        <f t="shared" si="14"/>
        <v>0</v>
      </c>
    </row>
    <row r="106" spans="1:16" ht="12.5">
      <c r="B106" s="195" t="str">
        <f t="shared" si="15"/>
        <v/>
      </c>
      <c r="C106" s="507">
        <f>IF(D93="","-",+C105+1)</f>
        <v>2025</v>
      </c>
      <c r="D106" s="374">
        <f>IF(F105+SUM(E$99:E105)=D$92,F105,D$92-SUM(E$99:E105))</f>
        <v>6069920.7502295868</v>
      </c>
      <c r="E106" s="522">
        <f>IF(+J96&lt;F105,J96,D106)</f>
        <v>175521.07317073172</v>
      </c>
      <c r="F106" s="523">
        <f t="shared" si="16"/>
        <v>5894399.6770588551</v>
      </c>
      <c r="G106" s="523">
        <f t="shared" si="17"/>
        <v>5982160.2136442214</v>
      </c>
      <c r="H106" s="526">
        <f t="shared" si="18"/>
        <v>854581.36185471178</v>
      </c>
      <c r="I106" s="577">
        <f t="shared" si="19"/>
        <v>854581.36185471178</v>
      </c>
      <c r="J106" s="514">
        <f t="shared" si="11"/>
        <v>0</v>
      </c>
      <c r="K106" s="514"/>
      <c r="L106" s="525"/>
      <c r="M106" s="514">
        <f t="shared" si="20"/>
        <v>0</v>
      </c>
      <c r="N106" s="525"/>
      <c r="O106" s="514">
        <f t="shared" si="13"/>
        <v>0</v>
      </c>
      <c r="P106" s="514">
        <f t="shared" si="14"/>
        <v>0</v>
      </c>
    </row>
    <row r="107" spans="1:16" ht="12.5">
      <c r="B107" s="195" t="str">
        <f t="shared" si="15"/>
        <v/>
      </c>
      <c r="C107" s="507">
        <f>IF(D93="","-",+C106+1)</f>
        <v>2026</v>
      </c>
      <c r="D107" s="374">
        <f>IF(F106+SUM(E$99:E106)=D$92,F106,D$92-SUM(E$99:E106))</f>
        <v>5894399.6770588551</v>
      </c>
      <c r="E107" s="522">
        <f>IF(+J96&lt;F106,J96,D107)</f>
        <v>175521.07317073172</v>
      </c>
      <c r="F107" s="523">
        <f t="shared" si="16"/>
        <v>5718878.6038881233</v>
      </c>
      <c r="G107" s="523">
        <f t="shared" si="17"/>
        <v>5806639.1404734887</v>
      </c>
      <c r="H107" s="526">
        <f t="shared" si="18"/>
        <v>834657.22302178806</v>
      </c>
      <c r="I107" s="577">
        <f t="shared" si="19"/>
        <v>834657.22302178806</v>
      </c>
      <c r="J107" s="514">
        <f t="shared" si="11"/>
        <v>0</v>
      </c>
      <c r="K107" s="514"/>
      <c r="L107" s="525"/>
      <c r="M107" s="514">
        <f t="shared" si="20"/>
        <v>0</v>
      </c>
      <c r="N107" s="525"/>
      <c r="O107" s="514">
        <f t="shared" si="13"/>
        <v>0</v>
      </c>
      <c r="P107" s="514">
        <f t="shared" si="14"/>
        <v>0</v>
      </c>
    </row>
    <row r="108" spans="1:16" ht="12.5">
      <c r="B108" s="195" t="str">
        <f t="shared" si="15"/>
        <v/>
      </c>
      <c r="C108" s="507">
        <f>IF(D93="","-",+C107+1)</f>
        <v>2027</v>
      </c>
      <c r="D108" s="374">
        <f>IF(F107+SUM(E$99:E107)=D$92,F107,D$92-SUM(E$99:E107))</f>
        <v>5718878.6038881233</v>
      </c>
      <c r="E108" s="522">
        <f>IF(+J96&lt;F107,J96,D108)</f>
        <v>175521.07317073172</v>
      </c>
      <c r="F108" s="523">
        <f t="shared" si="16"/>
        <v>5543357.5307173915</v>
      </c>
      <c r="G108" s="523">
        <f t="shared" si="17"/>
        <v>5631118.0673027579</v>
      </c>
      <c r="H108" s="526">
        <f t="shared" si="18"/>
        <v>814733.08418886457</v>
      </c>
      <c r="I108" s="577">
        <f t="shared" si="19"/>
        <v>814733.08418886457</v>
      </c>
      <c r="J108" s="514">
        <f t="shared" si="11"/>
        <v>0</v>
      </c>
      <c r="K108" s="514"/>
      <c r="L108" s="525"/>
      <c r="M108" s="514">
        <f t="shared" si="20"/>
        <v>0</v>
      </c>
      <c r="N108" s="525"/>
      <c r="O108" s="514">
        <f t="shared" si="13"/>
        <v>0</v>
      </c>
      <c r="P108" s="514">
        <f t="shared" si="14"/>
        <v>0</v>
      </c>
    </row>
    <row r="109" spans="1:16" ht="12.5">
      <c r="B109" s="195" t="str">
        <f t="shared" si="15"/>
        <v/>
      </c>
      <c r="C109" s="507">
        <f>IF(D93="","-",+C108+1)</f>
        <v>2028</v>
      </c>
      <c r="D109" s="374">
        <f>IF(F108+SUM(E$99:E108)=D$92,F108,D$92-SUM(E$99:E108))</f>
        <v>5543357.5307173915</v>
      </c>
      <c r="E109" s="522">
        <f>IF(+J96&lt;F108,J96,D109)</f>
        <v>175521.07317073172</v>
      </c>
      <c r="F109" s="523">
        <f t="shared" si="16"/>
        <v>5367836.4575466597</v>
      </c>
      <c r="G109" s="523">
        <f t="shared" si="17"/>
        <v>5455596.9941320252</v>
      </c>
      <c r="H109" s="526">
        <f t="shared" si="18"/>
        <v>794808.94535594084</v>
      </c>
      <c r="I109" s="577">
        <f t="shared" si="19"/>
        <v>794808.94535594084</v>
      </c>
      <c r="J109" s="514">
        <f t="shared" si="11"/>
        <v>0</v>
      </c>
      <c r="K109" s="514"/>
      <c r="L109" s="525"/>
      <c r="M109" s="514">
        <f t="shared" si="20"/>
        <v>0</v>
      </c>
      <c r="N109" s="525"/>
      <c r="O109" s="514">
        <f t="shared" si="13"/>
        <v>0</v>
      </c>
      <c r="P109" s="514">
        <f t="shared" si="14"/>
        <v>0</v>
      </c>
    </row>
    <row r="110" spans="1:16" ht="12.5">
      <c r="B110" s="195" t="str">
        <f t="shared" si="15"/>
        <v/>
      </c>
      <c r="C110" s="507">
        <f>IF(D93="","-",+C109+1)</f>
        <v>2029</v>
      </c>
      <c r="D110" s="374">
        <f>IF(F109+SUM(E$99:E109)=D$92,F109,D$92-SUM(E$99:E109))</f>
        <v>5367836.4575466597</v>
      </c>
      <c r="E110" s="522">
        <f>IF(+J96&lt;F109,J96,D110)</f>
        <v>175521.07317073172</v>
      </c>
      <c r="F110" s="523">
        <f t="shared" si="16"/>
        <v>5192315.384375928</v>
      </c>
      <c r="G110" s="523">
        <f t="shared" si="17"/>
        <v>5280075.9209612943</v>
      </c>
      <c r="H110" s="526">
        <f t="shared" si="18"/>
        <v>774884.80652301759</v>
      </c>
      <c r="I110" s="577">
        <f t="shared" si="19"/>
        <v>774884.80652301759</v>
      </c>
      <c r="J110" s="514">
        <f t="shared" si="11"/>
        <v>0</v>
      </c>
      <c r="K110" s="514"/>
      <c r="L110" s="525"/>
      <c r="M110" s="514">
        <f t="shared" si="20"/>
        <v>0</v>
      </c>
      <c r="N110" s="525"/>
      <c r="O110" s="514">
        <f t="shared" si="13"/>
        <v>0</v>
      </c>
      <c r="P110" s="514">
        <f t="shared" si="14"/>
        <v>0</v>
      </c>
    </row>
    <row r="111" spans="1:16" ht="12.5">
      <c r="B111" s="195" t="str">
        <f t="shared" si="15"/>
        <v/>
      </c>
      <c r="C111" s="507">
        <f>IF(D93="","-",+C110+1)</f>
        <v>2030</v>
      </c>
      <c r="D111" s="374">
        <f>IF(F110+SUM(E$99:E110)=D$92,F110,D$92-SUM(E$99:E110))</f>
        <v>5192315.384375928</v>
      </c>
      <c r="E111" s="522">
        <f>IF(+J96&lt;F110,J96,D111)</f>
        <v>175521.07317073172</v>
      </c>
      <c r="F111" s="523">
        <f t="shared" si="16"/>
        <v>5016794.3112051962</v>
      </c>
      <c r="G111" s="523">
        <f t="shared" si="17"/>
        <v>5104554.8477905616</v>
      </c>
      <c r="H111" s="526">
        <f t="shared" si="18"/>
        <v>754960.66769009386</v>
      </c>
      <c r="I111" s="577">
        <f t="shared" si="19"/>
        <v>754960.66769009386</v>
      </c>
      <c r="J111" s="514">
        <f t="shared" si="11"/>
        <v>0</v>
      </c>
      <c r="K111" s="514"/>
      <c r="L111" s="525"/>
      <c r="M111" s="514">
        <f t="shared" si="20"/>
        <v>0</v>
      </c>
      <c r="N111" s="525"/>
      <c r="O111" s="514">
        <f t="shared" si="13"/>
        <v>0</v>
      </c>
      <c r="P111" s="514">
        <f t="shared" si="14"/>
        <v>0</v>
      </c>
    </row>
    <row r="112" spans="1:16" ht="12.5">
      <c r="B112" s="195" t="str">
        <f t="shared" si="15"/>
        <v/>
      </c>
      <c r="C112" s="507">
        <f>IF(D93="","-",+C111+1)</f>
        <v>2031</v>
      </c>
      <c r="D112" s="374">
        <f>IF(F111+SUM(E$99:E111)=D$92,F111,D$92-SUM(E$99:E111))</f>
        <v>5016794.3112051962</v>
      </c>
      <c r="E112" s="522">
        <f>IF(+J96&lt;F111,J96,D112)</f>
        <v>175521.07317073172</v>
      </c>
      <c r="F112" s="523">
        <f t="shared" si="16"/>
        <v>4841273.2380344644</v>
      </c>
      <c r="G112" s="523">
        <f t="shared" si="17"/>
        <v>4929033.7746198308</v>
      </c>
      <c r="H112" s="526">
        <f t="shared" si="18"/>
        <v>735036.52885717037</v>
      </c>
      <c r="I112" s="577">
        <f t="shared" si="19"/>
        <v>735036.52885717037</v>
      </c>
      <c r="J112" s="514">
        <f t="shared" si="11"/>
        <v>0</v>
      </c>
      <c r="K112" s="514"/>
      <c r="L112" s="525"/>
      <c r="M112" s="514">
        <f t="shared" si="20"/>
        <v>0</v>
      </c>
      <c r="N112" s="525"/>
      <c r="O112" s="514">
        <f t="shared" si="13"/>
        <v>0</v>
      </c>
      <c r="P112" s="514">
        <f t="shared" si="14"/>
        <v>0</v>
      </c>
    </row>
    <row r="113" spans="2:16" ht="12.5">
      <c r="B113" s="195" t="str">
        <f t="shared" si="15"/>
        <v/>
      </c>
      <c r="C113" s="507">
        <f>IF(D93="","-",+C112+1)</f>
        <v>2032</v>
      </c>
      <c r="D113" s="374">
        <f>IF(F112+SUM(E$99:E112)=D$92,F112,D$92-SUM(E$99:E112))</f>
        <v>4841273.2380344644</v>
      </c>
      <c r="E113" s="522">
        <f>IF(+J96&lt;F112,J96,D113)</f>
        <v>175521.07317073172</v>
      </c>
      <c r="F113" s="523">
        <f t="shared" si="16"/>
        <v>4665752.1648637326</v>
      </c>
      <c r="G113" s="523">
        <f t="shared" si="17"/>
        <v>4753512.7014490981</v>
      </c>
      <c r="H113" s="526">
        <f t="shared" si="18"/>
        <v>715112.39002424665</v>
      </c>
      <c r="I113" s="577">
        <f t="shared" si="19"/>
        <v>715112.39002424665</v>
      </c>
      <c r="J113" s="514">
        <f t="shared" si="11"/>
        <v>0</v>
      </c>
      <c r="K113" s="514"/>
      <c r="L113" s="525"/>
      <c r="M113" s="514">
        <f t="shared" si="20"/>
        <v>0</v>
      </c>
      <c r="N113" s="525"/>
      <c r="O113" s="514">
        <f t="shared" si="13"/>
        <v>0</v>
      </c>
      <c r="P113" s="514">
        <f t="shared" si="14"/>
        <v>0</v>
      </c>
    </row>
    <row r="114" spans="2:16" ht="12.5">
      <c r="B114" s="195" t="str">
        <f t="shared" si="15"/>
        <v/>
      </c>
      <c r="C114" s="507">
        <f>IF(D93="","-",+C113+1)</f>
        <v>2033</v>
      </c>
      <c r="D114" s="374">
        <f>IF(F113+SUM(E$99:E113)=D$92,F113,D$92-SUM(E$99:E113))</f>
        <v>4665752.1648637326</v>
      </c>
      <c r="E114" s="522">
        <f>IF(+J96&lt;F113,J96,D114)</f>
        <v>175521.07317073172</v>
      </c>
      <c r="F114" s="523">
        <f t="shared" si="16"/>
        <v>4490231.0916930009</v>
      </c>
      <c r="G114" s="523">
        <f t="shared" si="17"/>
        <v>4577991.6282783672</v>
      </c>
      <c r="H114" s="526">
        <f t="shared" si="18"/>
        <v>695188.25119132327</v>
      </c>
      <c r="I114" s="577">
        <f t="shared" si="19"/>
        <v>695188.25119132327</v>
      </c>
      <c r="J114" s="514">
        <f t="shared" si="11"/>
        <v>0</v>
      </c>
      <c r="K114" s="514"/>
      <c r="L114" s="525"/>
      <c r="M114" s="514">
        <f t="shared" si="20"/>
        <v>0</v>
      </c>
      <c r="N114" s="525"/>
      <c r="O114" s="514">
        <f t="shared" si="13"/>
        <v>0</v>
      </c>
      <c r="P114" s="514">
        <f t="shared" si="14"/>
        <v>0</v>
      </c>
    </row>
    <row r="115" spans="2:16" ht="12.5">
      <c r="B115" s="195" t="str">
        <f t="shared" si="15"/>
        <v/>
      </c>
      <c r="C115" s="507">
        <f>IF(D93="","-",+C114+1)</f>
        <v>2034</v>
      </c>
      <c r="D115" s="374">
        <f>IF(F114+SUM(E$99:E114)=D$92,F114,D$92-SUM(E$99:E114))</f>
        <v>4490231.0916930009</v>
      </c>
      <c r="E115" s="522">
        <f>IF(+J96&lt;F114,J96,D115)</f>
        <v>175521.07317073172</v>
      </c>
      <c r="F115" s="523">
        <f t="shared" si="16"/>
        <v>4314710.0185222691</v>
      </c>
      <c r="G115" s="523">
        <f t="shared" si="17"/>
        <v>4402470.5551076345</v>
      </c>
      <c r="H115" s="526">
        <f t="shared" si="18"/>
        <v>675264.11235839967</v>
      </c>
      <c r="I115" s="577">
        <f t="shared" si="19"/>
        <v>675264.11235839967</v>
      </c>
      <c r="J115" s="514">
        <f t="shared" si="11"/>
        <v>0</v>
      </c>
      <c r="K115" s="514"/>
      <c r="L115" s="525"/>
      <c r="M115" s="514">
        <f t="shared" si="20"/>
        <v>0</v>
      </c>
      <c r="N115" s="525"/>
      <c r="O115" s="514">
        <f t="shared" si="13"/>
        <v>0</v>
      </c>
      <c r="P115" s="514">
        <f t="shared" si="14"/>
        <v>0</v>
      </c>
    </row>
    <row r="116" spans="2:16" ht="12.5">
      <c r="B116" s="195" t="str">
        <f t="shared" si="15"/>
        <v/>
      </c>
      <c r="C116" s="507">
        <f>IF(D93="","-",+C115+1)</f>
        <v>2035</v>
      </c>
      <c r="D116" s="374">
        <f>IF(F115+SUM(E$99:E115)=D$92,F115,D$92-SUM(E$99:E115))</f>
        <v>4314710.0185222691</v>
      </c>
      <c r="E116" s="522">
        <f>IF(+J96&lt;F115,J96,D116)</f>
        <v>175521.07317073172</v>
      </c>
      <c r="F116" s="523">
        <f t="shared" si="16"/>
        <v>4139188.9453515373</v>
      </c>
      <c r="G116" s="523">
        <f t="shared" si="17"/>
        <v>4226949.4819369037</v>
      </c>
      <c r="H116" s="526">
        <f t="shared" si="18"/>
        <v>655339.97352547618</v>
      </c>
      <c r="I116" s="577">
        <f t="shared" si="19"/>
        <v>655339.97352547618</v>
      </c>
      <c r="J116" s="514">
        <f t="shared" si="11"/>
        <v>0</v>
      </c>
      <c r="K116" s="514"/>
      <c r="L116" s="525"/>
      <c r="M116" s="514">
        <f t="shared" si="20"/>
        <v>0</v>
      </c>
      <c r="N116" s="525"/>
      <c r="O116" s="514">
        <f t="shared" si="13"/>
        <v>0</v>
      </c>
      <c r="P116" s="514">
        <f t="shared" si="14"/>
        <v>0</v>
      </c>
    </row>
    <row r="117" spans="2:16" ht="12.5">
      <c r="B117" s="195" t="str">
        <f t="shared" si="15"/>
        <v/>
      </c>
      <c r="C117" s="507">
        <f>IF(D93="","-",+C116+1)</f>
        <v>2036</v>
      </c>
      <c r="D117" s="374">
        <f>IF(F116+SUM(E$99:E116)=D$92,F116,D$92-SUM(E$99:E116))</f>
        <v>4139188.9453515373</v>
      </c>
      <c r="E117" s="522">
        <f>IF(+J96&lt;F116,J96,D117)</f>
        <v>175521.07317073172</v>
      </c>
      <c r="F117" s="523">
        <f t="shared" si="16"/>
        <v>3963667.8721808055</v>
      </c>
      <c r="G117" s="523">
        <f t="shared" si="17"/>
        <v>4051428.4087661714</v>
      </c>
      <c r="H117" s="526">
        <f t="shared" si="18"/>
        <v>635415.83469255257</v>
      </c>
      <c r="I117" s="577">
        <f t="shared" si="19"/>
        <v>635415.83469255257</v>
      </c>
      <c r="J117" s="514">
        <f t="shared" si="11"/>
        <v>0</v>
      </c>
      <c r="K117" s="514"/>
      <c r="L117" s="525"/>
      <c r="M117" s="514">
        <f t="shared" si="20"/>
        <v>0</v>
      </c>
      <c r="N117" s="525"/>
      <c r="O117" s="514">
        <f t="shared" si="13"/>
        <v>0</v>
      </c>
      <c r="P117" s="514">
        <f t="shared" si="14"/>
        <v>0</v>
      </c>
    </row>
    <row r="118" spans="2:16" ht="12.5">
      <c r="B118" s="195" t="str">
        <f t="shared" si="15"/>
        <v/>
      </c>
      <c r="C118" s="507">
        <f>IF(D93="","-",+C117+1)</f>
        <v>2037</v>
      </c>
      <c r="D118" s="374">
        <f>IF(F117+SUM(E$99:E117)=D$92,F117,D$92-SUM(E$99:E117))</f>
        <v>3963667.8721808055</v>
      </c>
      <c r="E118" s="522">
        <f>IF(+J96&lt;F117,J96,D118)</f>
        <v>175521.07317073172</v>
      </c>
      <c r="F118" s="523">
        <f t="shared" si="16"/>
        <v>3788146.7990100738</v>
      </c>
      <c r="G118" s="523">
        <f t="shared" si="17"/>
        <v>3875907.3355954397</v>
      </c>
      <c r="H118" s="526">
        <f t="shared" si="18"/>
        <v>615491.69585962896</v>
      </c>
      <c r="I118" s="577">
        <f t="shared" si="19"/>
        <v>615491.69585962896</v>
      </c>
      <c r="J118" s="514">
        <f t="shared" si="11"/>
        <v>0</v>
      </c>
      <c r="K118" s="514"/>
      <c r="L118" s="525"/>
      <c r="M118" s="514">
        <f t="shared" si="20"/>
        <v>0</v>
      </c>
      <c r="N118" s="525"/>
      <c r="O118" s="514">
        <f t="shared" si="13"/>
        <v>0</v>
      </c>
      <c r="P118" s="514">
        <f t="shared" si="14"/>
        <v>0</v>
      </c>
    </row>
    <row r="119" spans="2:16" ht="12.5">
      <c r="B119" s="195" t="str">
        <f t="shared" si="15"/>
        <v/>
      </c>
      <c r="C119" s="507">
        <f>IF(D93="","-",+C118+1)</f>
        <v>2038</v>
      </c>
      <c r="D119" s="374">
        <f>IF(F118+SUM(E$99:E118)=D$92,F118,D$92-SUM(E$99:E118))</f>
        <v>3788146.7990100738</v>
      </c>
      <c r="E119" s="522">
        <f>IF(+J96&lt;F118,J96,D119)</f>
        <v>175521.07317073172</v>
      </c>
      <c r="F119" s="523">
        <f t="shared" si="16"/>
        <v>3612625.725839342</v>
      </c>
      <c r="G119" s="523">
        <f t="shared" si="17"/>
        <v>3700386.2624247079</v>
      </c>
      <c r="H119" s="526">
        <f t="shared" si="18"/>
        <v>595567.55702670547</v>
      </c>
      <c r="I119" s="577">
        <f t="shared" si="19"/>
        <v>595567.55702670547</v>
      </c>
      <c r="J119" s="514">
        <f t="shared" si="11"/>
        <v>0</v>
      </c>
      <c r="K119" s="514"/>
      <c r="L119" s="525"/>
      <c r="M119" s="514">
        <f t="shared" si="20"/>
        <v>0</v>
      </c>
      <c r="N119" s="525"/>
      <c r="O119" s="514">
        <f t="shared" si="13"/>
        <v>0</v>
      </c>
      <c r="P119" s="514">
        <f t="shared" si="14"/>
        <v>0</v>
      </c>
    </row>
    <row r="120" spans="2:16" ht="12.5">
      <c r="B120" s="195" t="str">
        <f t="shared" si="15"/>
        <v/>
      </c>
      <c r="C120" s="507">
        <f>IF(D93="","-",+C119+1)</f>
        <v>2039</v>
      </c>
      <c r="D120" s="374">
        <f>IF(F119+SUM(E$99:E119)=D$92,F119,D$92-SUM(E$99:E119))</f>
        <v>3612625.725839342</v>
      </c>
      <c r="E120" s="522">
        <f>IF(+J96&lt;F119,J96,D120)</f>
        <v>175521.07317073172</v>
      </c>
      <c r="F120" s="523">
        <f t="shared" si="16"/>
        <v>3437104.6526686102</v>
      </c>
      <c r="G120" s="523">
        <f t="shared" si="17"/>
        <v>3524865.1892539761</v>
      </c>
      <c r="H120" s="526">
        <f t="shared" si="18"/>
        <v>575643.41819378198</v>
      </c>
      <c r="I120" s="577">
        <f t="shared" si="19"/>
        <v>575643.41819378198</v>
      </c>
      <c r="J120" s="514">
        <f t="shared" si="11"/>
        <v>0</v>
      </c>
      <c r="K120" s="514"/>
      <c r="L120" s="525"/>
      <c r="M120" s="514">
        <f t="shared" si="20"/>
        <v>0</v>
      </c>
      <c r="N120" s="525"/>
      <c r="O120" s="514">
        <f t="shared" si="13"/>
        <v>0</v>
      </c>
      <c r="P120" s="514">
        <f t="shared" si="14"/>
        <v>0</v>
      </c>
    </row>
    <row r="121" spans="2:16" ht="12.5">
      <c r="B121" s="195" t="str">
        <f t="shared" si="15"/>
        <v/>
      </c>
      <c r="C121" s="507">
        <f>IF(D93="","-",+C120+1)</f>
        <v>2040</v>
      </c>
      <c r="D121" s="374">
        <f>IF(F120+SUM(E$99:E120)=D$92,F120,D$92-SUM(E$99:E120))</f>
        <v>3437104.6526686102</v>
      </c>
      <c r="E121" s="522">
        <f>IF(+J96&lt;F120,J96,D121)</f>
        <v>175521.07317073172</v>
      </c>
      <c r="F121" s="523">
        <f t="shared" si="16"/>
        <v>3261583.5794978784</v>
      </c>
      <c r="G121" s="523">
        <f t="shared" si="17"/>
        <v>3349344.1160832443</v>
      </c>
      <c r="H121" s="526">
        <f t="shared" si="18"/>
        <v>555719.27936085826</v>
      </c>
      <c r="I121" s="577">
        <f t="shared" si="19"/>
        <v>555719.27936085826</v>
      </c>
      <c r="J121" s="514">
        <f t="shared" si="11"/>
        <v>0</v>
      </c>
      <c r="K121" s="514"/>
      <c r="L121" s="525"/>
      <c r="M121" s="514">
        <f t="shared" si="20"/>
        <v>0</v>
      </c>
      <c r="N121" s="525"/>
      <c r="O121" s="514">
        <f t="shared" si="13"/>
        <v>0</v>
      </c>
      <c r="P121" s="514">
        <f t="shared" si="14"/>
        <v>0</v>
      </c>
    </row>
    <row r="122" spans="2:16" ht="12.5">
      <c r="B122" s="195" t="str">
        <f t="shared" si="15"/>
        <v/>
      </c>
      <c r="C122" s="507">
        <f>IF(D93="","-",+C121+1)</f>
        <v>2041</v>
      </c>
      <c r="D122" s="374">
        <f>IF(F121+SUM(E$99:E121)=D$92,F121,D$92-SUM(E$99:E121))</f>
        <v>3261583.5794978784</v>
      </c>
      <c r="E122" s="522">
        <f>IF(+J96&lt;F121,J96,D122)</f>
        <v>175521.07317073172</v>
      </c>
      <c r="F122" s="523">
        <f t="shared" si="16"/>
        <v>3086062.5063271467</v>
      </c>
      <c r="G122" s="523">
        <f t="shared" si="17"/>
        <v>3173823.0429125126</v>
      </c>
      <c r="H122" s="526">
        <f t="shared" si="18"/>
        <v>535795.14052793477</v>
      </c>
      <c r="I122" s="577">
        <f t="shared" si="19"/>
        <v>535795.14052793477</v>
      </c>
      <c r="J122" s="514">
        <f t="shared" si="11"/>
        <v>0</v>
      </c>
      <c r="K122" s="514"/>
      <c r="L122" s="525"/>
      <c r="M122" s="514">
        <f t="shared" si="20"/>
        <v>0</v>
      </c>
      <c r="N122" s="525"/>
      <c r="O122" s="514">
        <f t="shared" si="13"/>
        <v>0</v>
      </c>
      <c r="P122" s="514">
        <f t="shared" si="14"/>
        <v>0</v>
      </c>
    </row>
    <row r="123" spans="2:16" ht="12.5">
      <c r="B123" s="195" t="str">
        <f t="shared" si="15"/>
        <v/>
      </c>
      <c r="C123" s="507">
        <f>IF(D93="","-",+C122+1)</f>
        <v>2042</v>
      </c>
      <c r="D123" s="374">
        <f>IF(F122+SUM(E$99:E122)=D$92,F122,D$92-SUM(E$99:E122))</f>
        <v>3086062.5063271467</v>
      </c>
      <c r="E123" s="522">
        <f>IF(+J96&lt;F122,J96,D123)</f>
        <v>175521.07317073172</v>
      </c>
      <c r="F123" s="523">
        <f t="shared" si="16"/>
        <v>2910541.4331564149</v>
      </c>
      <c r="G123" s="523">
        <f t="shared" si="17"/>
        <v>2998301.9697417808</v>
      </c>
      <c r="H123" s="526">
        <f t="shared" si="18"/>
        <v>515871.00169501122</v>
      </c>
      <c r="I123" s="577">
        <f t="shared" si="19"/>
        <v>515871.00169501122</v>
      </c>
      <c r="J123" s="514">
        <f t="shared" si="11"/>
        <v>0</v>
      </c>
      <c r="K123" s="514"/>
      <c r="L123" s="525"/>
      <c r="M123" s="514">
        <f t="shared" si="20"/>
        <v>0</v>
      </c>
      <c r="N123" s="525"/>
      <c r="O123" s="514">
        <f t="shared" si="13"/>
        <v>0</v>
      </c>
      <c r="P123" s="514">
        <f t="shared" si="14"/>
        <v>0</v>
      </c>
    </row>
    <row r="124" spans="2:16" ht="12.5">
      <c r="B124" s="195" t="str">
        <f t="shared" si="15"/>
        <v/>
      </c>
      <c r="C124" s="507">
        <f>IF(D93="","-",+C123+1)</f>
        <v>2043</v>
      </c>
      <c r="D124" s="374">
        <f>IF(F123+SUM(E$99:E123)=D$92,F123,D$92-SUM(E$99:E123))</f>
        <v>2910541.4331564149</v>
      </c>
      <c r="E124" s="522">
        <f>IF(+J96&lt;F123,J96,D124)</f>
        <v>175521.07317073172</v>
      </c>
      <c r="F124" s="523">
        <f t="shared" si="16"/>
        <v>2735020.3599856831</v>
      </c>
      <c r="G124" s="523">
        <f t="shared" si="17"/>
        <v>2822780.896571049</v>
      </c>
      <c r="H124" s="526">
        <f t="shared" si="18"/>
        <v>495946.86286208767</v>
      </c>
      <c r="I124" s="577">
        <f t="shared" si="19"/>
        <v>495946.86286208767</v>
      </c>
      <c r="J124" s="514">
        <f t="shared" si="11"/>
        <v>0</v>
      </c>
      <c r="K124" s="514"/>
      <c r="L124" s="525"/>
      <c r="M124" s="514">
        <f t="shared" si="20"/>
        <v>0</v>
      </c>
      <c r="N124" s="525"/>
      <c r="O124" s="514">
        <f t="shared" si="13"/>
        <v>0</v>
      </c>
      <c r="P124" s="514">
        <f t="shared" si="14"/>
        <v>0</v>
      </c>
    </row>
    <row r="125" spans="2:16" ht="12.5">
      <c r="B125" s="195" t="str">
        <f t="shared" si="15"/>
        <v/>
      </c>
      <c r="C125" s="507">
        <f>IF(D93="","-",+C124+1)</f>
        <v>2044</v>
      </c>
      <c r="D125" s="374">
        <f>IF(F124+SUM(E$99:E124)=D$92,F124,D$92-SUM(E$99:E124))</f>
        <v>2735020.3599856831</v>
      </c>
      <c r="E125" s="522">
        <f>IF(+J96&lt;F124,J96,D125)</f>
        <v>175521.07317073172</v>
      </c>
      <c r="F125" s="523">
        <f t="shared" si="16"/>
        <v>2559499.2868149513</v>
      </c>
      <c r="G125" s="523">
        <f t="shared" si="17"/>
        <v>2647259.8234003172</v>
      </c>
      <c r="H125" s="526">
        <f t="shared" si="18"/>
        <v>476022.72402916412</v>
      </c>
      <c r="I125" s="577">
        <f t="shared" si="19"/>
        <v>476022.72402916412</v>
      </c>
      <c r="J125" s="514">
        <f t="shared" si="11"/>
        <v>0</v>
      </c>
      <c r="K125" s="514"/>
      <c r="L125" s="525"/>
      <c r="M125" s="514">
        <f t="shared" si="20"/>
        <v>0</v>
      </c>
      <c r="N125" s="525"/>
      <c r="O125" s="514">
        <f t="shared" si="13"/>
        <v>0</v>
      </c>
      <c r="P125" s="514">
        <f t="shared" si="14"/>
        <v>0</v>
      </c>
    </row>
    <row r="126" spans="2:16" ht="12.5">
      <c r="B126" s="195" t="str">
        <f t="shared" si="15"/>
        <v/>
      </c>
      <c r="C126" s="507">
        <f>IF(D93="","-",+C125+1)</f>
        <v>2045</v>
      </c>
      <c r="D126" s="374">
        <f>IF(F125+SUM(E$99:E125)=D$92,F125,D$92-SUM(E$99:E125))</f>
        <v>2559499.2868149513</v>
      </c>
      <c r="E126" s="522">
        <f>IF(+J96&lt;F125,J96,D126)</f>
        <v>175521.07317073172</v>
      </c>
      <c r="F126" s="523">
        <f t="shared" si="16"/>
        <v>2383978.2136442196</v>
      </c>
      <c r="G126" s="523">
        <f t="shared" si="17"/>
        <v>2471738.7502295855</v>
      </c>
      <c r="H126" s="526">
        <f t="shared" si="18"/>
        <v>456098.58519624057</v>
      </c>
      <c r="I126" s="577">
        <f t="shared" si="19"/>
        <v>456098.58519624057</v>
      </c>
      <c r="J126" s="514">
        <f t="shared" si="11"/>
        <v>0</v>
      </c>
      <c r="K126" s="514"/>
      <c r="L126" s="525"/>
      <c r="M126" s="514">
        <f t="shared" si="20"/>
        <v>0</v>
      </c>
      <c r="N126" s="525"/>
      <c r="O126" s="514">
        <f t="shared" si="13"/>
        <v>0</v>
      </c>
      <c r="P126" s="514">
        <f t="shared" si="14"/>
        <v>0</v>
      </c>
    </row>
    <row r="127" spans="2:16" ht="12.5">
      <c r="B127" s="195" t="str">
        <f t="shared" si="15"/>
        <v/>
      </c>
      <c r="C127" s="507">
        <f>IF(D93="","-",+C126+1)</f>
        <v>2046</v>
      </c>
      <c r="D127" s="374">
        <f>IF(F126+SUM(E$99:E126)=D$92,F126,D$92-SUM(E$99:E126))</f>
        <v>2383978.2136442196</v>
      </c>
      <c r="E127" s="522">
        <f>IF(+J96&lt;F126,J96,D127)</f>
        <v>175521.07317073172</v>
      </c>
      <c r="F127" s="523">
        <f t="shared" si="16"/>
        <v>2208457.1404734878</v>
      </c>
      <c r="G127" s="523">
        <f t="shared" si="17"/>
        <v>2296217.6770588537</v>
      </c>
      <c r="H127" s="526">
        <f t="shared" si="18"/>
        <v>436174.44636331702</v>
      </c>
      <c r="I127" s="577">
        <f t="shared" si="19"/>
        <v>436174.44636331702</v>
      </c>
      <c r="J127" s="514">
        <f t="shared" si="11"/>
        <v>0</v>
      </c>
      <c r="K127" s="514"/>
      <c r="L127" s="525"/>
      <c r="M127" s="514">
        <f t="shared" si="20"/>
        <v>0</v>
      </c>
      <c r="N127" s="525"/>
      <c r="O127" s="514">
        <f t="shared" si="13"/>
        <v>0</v>
      </c>
      <c r="P127" s="514">
        <f t="shared" si="14"/>
        <v>0</v>
      </c>
    </row>
    <row r="128" spans="2:16" ht="12.5">
      <c r="B128" s="195" t="str">
        <f t="shared" si="15"/>
        <v/>
      </c>
      <c r="C128" s="507">
        <f>IF(D93="","-",+C127+1)</f>
        <v>2047</v>
      </c>
      <c r="D128" s="374">
        <f>IF(F127+SUM(E$99:E127)=D$92,F127,D$92-SUM(E$99:E127))</f>
        <v>2208457.1404734878</v>
      </c>
      <c r="E128" s="522">
        <f>IF(+J96&lt;F127,J96,D128)</f>
        <v>175521.07317073172</v>
      </c>
      <c r="F128" s="523">
        <f t="shared" si="16"/>
        <v>2032936.067302756</v>
      </c>
      <c r="G128" s="523">
        <f t="shared" si="17"/>
        <v>2120696.6038881219</v>
      </c>
      <c r="H128" s="526">
        <f t="shared" si="18"/>
        <v>416250.30753039347</v>
      </c>
      <c r="I128" s="577">
        <f t="shared" si="19"/>
        <v>416250.30753039347</v>
      </c>
      <c r="J128" s="514">
        <f t="shared" si="11"/>
        <v>0</v>
      </c>
      <c r="K128" s="514"/>
      <c r="L128" s="525"/>
      <c r="M128" s="514">
        <f t="shared" si="20"/>
        <v>0</v>
      </c>
      <c r="N128" s="525"/>
      <c r="O128" s="514">
        <f t="shared" si="13"/>
        <v>0</v>
      </c>
      <c r="P128" s="514">
        <f t="shared" si="14"/>
        <v>0</v>
      </c>
    </row>
    <row r="129" spans="2:16" ht="12.5">
      <c r="B129" s="195" t="str">
        <f t="shared" si="15"/>
        <v/>
      </c>
      <c r="C129" s="507">
        <f>IF(D93="","-",+C128+1)</f>
        <v>2048</v>
      </c>
      <c r="D129" s="374">
        <f>IF(F128+SUM(E$99:E128)=D$92,F128,D$92-SUM(E$99:E128))</f>
        <v>2032936.067302756</v>
      </c>
      <c r="E129" s="522">
        <f>IF(+J96&lt;F128,J96,D129)</f>
        <v>175521.07317073172</v>
      </c>
      <c r="F129" s="523">
        <f t="shared" si="16"/>
        <v>1857414.9941320242</v>
      </c>
      <c r="G129" s="523">
        <f t="shared" si="17"/>
        <v>1945175.5307173901</v>
      </c>
      <c r="H129" s="526">
        <f t="shared" si="18"/>
        <v>396326.16869746993</v>
      </c>
      <c r="I129" s="577">
        <f t="shared" si="19"/>
        <v>396326.16869746993</v>
      </c>
      <c r="J129" s="514">
        <f t="shared" si="11"/>
        <v>0</v>
      </c>
      <c r="K129" s="514"/>
      <c r="L129" s="525"/>
      <c r="M129" s="514">
        <f t="shared" si="20"/>
        <v>0</v>
      </c>
      <c r="N129" s="525"/>
      <c r="O129" s="514">
        <f t="shared" si="13"/>
        <v>0</v>
      </c>
      <c r="P129" s="514">
        <f t="shared" si="14"/>
        <v>0</v>
      </c>
    </row>
    <row r="130" spans="2:16" ht="12.5">
      <c r="B130" s="195" t="str">
        <f t="shared" si="15"/>
        <v/>
      </c>
      <c r="C130" s="507">
        <f>IF(D93="","-",+C129+1)</f>
        <v>2049</v>
      </c>
      <c r="D130" s="374">
        <f>IF(F129+SUM(E$99:E129)=D$92,F129,D$92-SUM(E$99:E129))</f>
        <v>1857414.9941320242</v>
      </c>
      <c r="E130" s="522">
        <f>IF(+J96&lt;F129,J96,D130)</f>
        <v>175521.07317073172</v>
      </c>
      <c r="F130" s="523">
        <f t="shared" si="16"/>
        <v>1681893.9209612925</v>
      </c>
      <c r="G130" s="523">
        <f t="shared" si="17"/>
        <v>1769654.4575466583</v>
      </c>
      <c r="H130" s="526">
        <f t="shared" si="18"/>
        <v>376402.02986454638</v>
      </c>
      <c r="I130" s="577">
        <f t="shared" si="19"/>
        <v>376402.02986454638</v>
      </c>
      <c r="J130" s="514">
        <f t="shared" si="11"/>
        <v>0</v>
      </c>
      <c r="K130" s="514"/>
      <c r="L130" s="525"/>
      <c r="M130" s="514">
        <f t="shared" si="20"/>
        <v>0</v>
      </c>
      <c r="N130" s="525"/>
      <c r="O130" s="514">
        <f t="shared" si="13"/>
        <v>0</v>
      </c>
      <c r="P130" s="514">
        <f t="shared" si="14"/>
        <v>0</v>
      </c>
    </row>
    <row r="131" spans="2:16" ht="12.5">
      <c r="B131" s="195" t="str">
        <f t="shared" si="15"/>
        <v/>
      </c>
      <c r="C131" s="507">
        <f>IF(D93="","-",+C130+1)</f>
        <v>2050</v>
      </c>
      <c r="D131" s="374">
        <f>IF(F130+SUM(E$99:E130)=D$92,F130,D$92-SUM(E$99:E130))</f>
        <v>1681893.9209612925</v>
      </c>
      <c r="E131" s="522">
        <f>IF(+J96&lt;F130,J96,D131)</f>
        <v>175521.07317073172</v>
      </c>
      <c r="F131" s="523">
        <f t="shared" si="16"/>
        <v>1506372.8477905607</v>
      </c>
      <c r="G131" s="523">
        <f t="shared" si="17"/>
        <v>1594133.3843759266</v>
      </c>
      <c r="H131" s="526">
        <f t="shared" si="18"/>
        <v>356477.89103162277</v>
      </c>
      <c r="I131" s="577">
        <f t="shared" si="19"/>
        <v>356477.89103162277</v>
      </c>
      <c r="J131" s="514">
        <f t="shared" ref="J131:J154" si="21">+I541-H541</f>
        <v>0</v>
      </c>
      <c r="K131" s="514"/>
      <c r="L131" s="525"/>
      <c r="M131" s="514">
        <f t="shared" ref="M131:M154" si="22">IF(L541&lt;&gt;0,+H541-L541,0)</f>
        <v>0</v>
      </c>
      <c r="N131" s="525"/>
      <c r="O131" s="514">
        <f t="shared" ref="O131:O154" si="23">IF(N541&lt;&gt;0,+I541-N541,0)</f>
        <v>0</v>
      </c>
      <c r="P131" s="514">
        <f t="shared" ref="P131:P154" si="24">+O541-M541</f>
        <v>0</v>
      </c>
    </row>
    <row r="132" spans="2:16" ht="12.5">
      <c r="B132" s="195" t="str">
        <f t="shared" si="15"/>
        <v/>
      </c>
      <c r="C132" s="507">
        <f>IF(D93="","-",+C131+1)</f>
        <v>2051</v>
      </c>
      <c r="D132" s="374">
        <f>IF(F131+SUM(E$99:E131)=D$92,F131,D$92-SUM(E$99:E131))</f>
        <v>1506372.8477905607</v>
      </c>
      <c r="E132" s="522">
        <f>IF(+J96&lt;F131,J96,D132)</f>
        <v>175521.07317073172</v>
      </c>
      <c r="F132" s="523">
        <f t="shared" si="16"/>
        <v>1330851.7746198289</v>
      </c>
      <c r="G132" s="523">
        <f t="shared" si="17"/>
        <v>1418612.3112051948</v>
      </c>
      <c r="H132" s="526">
        <f t="shared" si="18"/>
        <v>336553.75219869928</v>
      </c>
      <c r="I132" s="577">
        <f t="shared" si="19"/>
        <v>336553.75219869928</v>
      </c>
      <c r="J132" s="514">
        <f t="shared" si="21"/>
        <v>0</v>
      </c>
      <c r="K132" s="514"/>
      <c r="L132" s="525"/>
      <c r="M132" s="514">
        <f t="shared" si="22"/>
        <v>0</v>
      </c>
      <c r="N132" s="525"/>
      <c r="O132" s="514">
        <f t="shared" si="23"/>
        <v>0</v>
      </c>
      <c r="P132" s="514">
        <f t="shared" si="24"/>
        <v>0</v>
      </c>
    </row>
    <row r="133" spans="2:16" ht="12.5">
      <c r="B133" s="195" t="str">
        <f t="shared" si="15"/>
        <v/>
      </c>
      <c r="C133" s="507">
        <f>IF(D93="","-",+C132+1)</f>
        <v>2052</v>
      </c>
      <c r="D133" s="374">
        <f>IF(F132+SUM(E$99:E132)=D$92,F132,D$92-SUM(E$99:E132))</f>
        <v>1330851.7746198289</v>
      </c>
      <c r="E133" s="522">
        <f>IF(+J96&lt;F132,J96,D133)</f>
        <v>175521.07317073172</v>
      </c>
      <c r="F133" s="523">
        <f t="shared" si="16"/>
        <v>1155330.7014490971</v>
      </c>
      <c r="G133" s="523">
        <f t="shared" si="17"/>
        <v>1243091.238034463</v>
      </c>
      <c r="H133" s="526">
        <f t="shared" si="18"/>
        <v>316629.61336577567</v>
      </c>
      <c r="I133" s="577">
        <f t="shared" si="19"/>
        <v>316629.61336577567</v>
      </c>
      <c r="J133" s="514">
        <f t="shared" si="21"/>
        <v>0</v>
      </c>
      <c r="K133" s="514"/>
      <c r="L133" s="525"/>
      <c r="M133" s="514">
        <f t="shared" si="22"/>
        <v>0</v>
      </c>
      <c r="N133" s="525"/>
      <c r="O133" s="514">
        <f t="shared" si="23"/>
        <v>0</v>
      </c>
      <c r="P133" s="514">
        <f t="shared" si="24"/>
        <v>0</v>
      </c>
    </row>
    <row r="134" spans="2:16" ht="12.5">
      <c r="B134" s="195" t="str">
        <f t="shared" si="15"/>
        <v/>
      </c>
      <c r="C134" s="507">
        <f>IF(D93="","-",+C133+1)</f>
        <v>2053</v>
      </c>
      <c r="D134" s="374">
        <f>IF(F133+SUM(E$99:E133)=D$92,F133,D$92-SUM(E$99:E133))</f>
        <v>1155330.7014490971</v>
      </c>
      <c r="E134" s="522">
        <f>IF(+J96&lt;F133,J96,D134)</f>
        <v>175521.07317073172</v>
      </c>
      <c r="F134" s="523">
        <f t="shared" si="16"/>
        <v>979809.62827836536</v>
      </c>
      <c r="G134" s="523">
        <f t="shared" si="17"/>
        <v>1067570.1648637312</v>
      </c>
      <c r="H134" s="526">
        <f t="shared" si="18"/>
        <v>296705.47453285218</v>
      </c>
      <c r="I134" s="577">
        <f t="shared" si="19"/>
        <v>296705.47453285218</v>
      </c>
      <c r="J134" s="514">
        <f t="shared" si="21"/>
        <v>0</v>
      </c>
      <c r="K134" s="514"/>
      <c r="L134" s="525"/>
      <c r="M134" s="514">
        <f t="shared" si="22"/>
        <v>0</v>
      </c>
      <c r="N134" s="525"/>
      <c r="O134" s="514">
        <f t="shared" si="23"/>
        <v>0</v>
      </c>
      <c r="P134" s="514">
        <f t="shared" si="24"/>
        <v>0</v>
      </c>
    </row>
    <row r="135" spans="2:16" ht="12.5">
      <c r="B135" s="195" t="str">
        <f t="shared" si="15"/>
        <v/>
      </c>
      <c r="C135" s="507">
        <f>IF(D93="","-",+C134+1)</f>
        <v>2054</v>
      </c>
      <c r="D135" s="374">
        <f>IF(F134+SUM(E$99:E134)=D$92,F134,D$92-SUM(E$99:E134))</f>
        <v>979809.62827836536</v>
      </c>
      <c r="E135" s="522">
        <f>IF(+J96&lt;F134,J96,D135)</f>
        <v>175521.07317073172</v>
      </c>
      <c r="F135" s="523">
        <f t="shared" si="16"/>
        <v>804288.55510763358</v>
      </c>
      <c r="G135" s="523">
        <f t="shared" si="17"/>
        <v>892049.09169299947</v>
      </c>
      <c r="H135" s="526">
        <f t="shared" si="18"/>
        <v>276781.33569992858</v>
      </c>
      <c r="I135" s="577">
        <f t="shared" si="19"/>
        <v>276781.33569992858</v>
      </c>
      <c r="J135" s="514">
        <f t="shared" si="21"/>
        <v>0</v>
      </c>
      <c r="K135" s="514"/>
      <c r="L135" s="525"/>
      <c r="M135" s="514">
        <f t="shared" si="22"/>
        <v>0</v>
      </c>
      <c r="N135" s="525"/>
      <c r="O135" s="514">
        <f t="shared" si="23"/>
        <v>0</v>
      </c>
      <c r="P135" s="514">
        <f t="shared" si="24"/>
        <v>0</v>
      </c>
    </row>
    <row r="136" spans="2:16" ht="12.5">
      <c r="B136" s="195" t="str">
        <f t="shared" si="15"/>
        <v/>
      </c>
      <c r="C136" s="507">
        <f>IF(D93="","-",+C135+1)</f>
        <v>2055</v>
      </c>
      <c r="D136" s="374">
        <f>IF(F135+SUM(E$99:E135)=D$92,F135,D$92-SUM(E$99:E135))</f>
        <v>804288.55510763358</v>
      </c>
      <c r="E136" s="522">
        <f>IF(+J96&lt;F135,J96,D136)</f>
        <v>175521.07317073172</v>
      </c>
      <c r="F136" s="523">
        <f t="shared" si="16"/>
        <v>628767.48193690181</v>
      </c>
      <c r="G136" s="523">
        <f t="shared" si="17"/>
        <v>716528.0185222677</v>
      </c>
      <c r="H136" s="526">
        <f t="shared" si="18"/>
        <v>256857.19686700503</v>
      </c>
      <c r="I136" s="577">
        <f t="shared" si="19"/>
        <v>256857.19686700503</v>
      </c>
      <c r="J136" s="514">
        <f t="shared" si="21"/>
        <v>0</v>
      </c>
      <c r="K136" s="514"/>
      <c r="L136" s="525"/>
      <c r="M136" s="514">
        <f t="shared" si="22"/>
        <v>0</v>
      </c>
      <c r="N136" s="525"/>
      <c r="O136" s="514">
        <f t="shared" si="23"/>
        <v>0</v>
      </c>
      <c r="P136" s="514">
        <f t="shared" si="24"/>
        <v>0</v>
      </c>
    </row>
    <row r="137" spans="2:16" ht="12.5">
      <c r="B137" s="195" t="str">
        <f t="shared" si="15"/>
        <v/>
      </c>
      <c r="C137" s="507">
        <f>IF(D93="","-",+C136+1)</f>
        <v>2056</v>
      </c>
      <c r="D137" s="374">
        <f>IF(F136+SUM(E$99:E136)=D$92,F136,D$92-SUM(E$99:E136))</f>
        <v>628767.48193690181</v>
      </c>
      <c r="E137" s="522">
        <f>IF(+J96&lt;F136,J96,D137)</f>
        <v>175521.07317073172</v>
      </c>
      <c r="F137" s="523">
        <f t="shared" si="16"/>
        <v>453246.40876617009</v>
      </c>
      <c r="G137" s="523">
        <f t="shared" si="17"/>
        <v>541006.94535153592</v>
      </c>
      <c r="H137" s="526">
        <f t="shared" si="18"/>
        <v>236933.05803408148</v>
      </c>
      <c r="I137" s="577">
        <f t="shared" si="19"/>
        <v>236933.05803408148</v>
      </c>
      <c r="J137" s="514">
        <f t="shared" si="21"/>
        <v>0</v>
      </c>
      <c r="K137" s="514"/>
      <c r="L137" s="525"/>
      <c r="M137" s="514">
        <f t="shared" si="22"/>
        <v>0</v>
      </c>
      <c r="N137" s="525"/>
      <c r="O137" s="514">
        <f t="shared" si="23"/>
        <v>0</v>
      </c>
      <c r="P137" s="514">
        <f t="shared" si="24"/>
        <v>0</v>
      </c>
    </row>
    <row r="138" spans="2:16" ht="12.5">
      <c r="B138" s="195" t="str">
        <f t="shared" si="15"/>
        <v/>
      </c>
      <c r="C138" s="507">
        <f>IF(D93="","-",+C137+1)</f>
        <v>2057</v>
      </c>
      <c r="D138" s="374">
        <f>IF(F137+SUM(E$99:E137)=D$92,F137,D$92-SUM(E$99:E137))</f>
        <v>453246.40876617009</v>
      </c>
      <c r="E138" s="522">
        <f>IF(+J96&lt;F137,J96,D138)</f>
        <v>175521.07317073172</v>
      </c>
      <c r="F138" s="523">
        <f t="shared" si="16"/>
        <v>277725.33559543837</v>
      </c>
      <c r="G138" s="523">
        <f t="shared" si="17"/>
        <v>365485.87218080426</v>
      </c>
      <c r="H138" s="526">
        <f t="shared" si="18"/>
        <v>217008.91920115796</v>
      </c>
      <c r="I138" s="577">
        <f t="shared" si="19"/>
        <v>217008.91920115796</v>
      </c>
      <c r="J138" s="514">
        <f t="shared" si="21"/>
        <v>0</v>
      </c>
      <c r="K138" s="514"/>
      <c r="L138" s="525"/>
      <c r="M138" s="514">
        <f t="shared" si="22"/>
        <v>0</v>
      </c>
      <c r="N138" s="525"/>
      <c r="O138" s="514">
        <f t="shared" si="23"/>
        <v>0</v>
      </c>
      <c r="P138" s="514">
        <f t="shared" si="24"/>
        <v>0</v>
      </c>
    </row>
    <row r="139" spans="2:16" ht="12.5">
      <c r="B139" s="195" t="str">
        <f t="shared" si="15"/>
        <v/>
      </c>
      <c r="C139" s="507">
        <f>IF(D93="","-",+C138+1)</f>
        <v>2058</v>
      </c>
      <c r="D139" s="374">
        <f>IF(F138+SUM(E$99:E138)=D$92,F138,D$92-SUM(E$99:E138))</f>
        <v>277725.33559543837</v>
      </c>
      <c r="E139" s="522">
        <f>IF(+J96&lt;F138,J96,D139)</f>
        <v>175521.07317073172</v>
      </c>
      <c r="F139" s="523">
        <f t="shared" si="16"/>
        <v>102204.26242470666</v>
      </c>
      <c r="G139" s="523">
        <f t="shared" si="17"/>
        <v>189964.79901007251</v>
      </c>
      <c r="H139" s="526">
        <f t="shared" si="18"/>
        <v>197084.78036823441</v>
      </c>
      <c r="I139" s="577">
        <f t="shared" si="19"/>
        <v>197084.78036823441</v>
      </c>
      <c r="J139" s="514">
        <f t="shared" si="21"/>
        <v>0</v>
      </c>
      <c r="K139" s="514"/>
      <c r="L139" s="525"/>
      <c r="M139" s="514">
        <f t="shared" si="22"/>
        <v>0</v>
      </c>
      <c r="N139" s="525"/>
      <c r="O139" s="514">
        <f t="shared" si="23"/>
        <v>0</v>
      </c>
      <c r="P139" s="514">
        <f t="shared" si="24"/>
        <v>0</v>
      </c>
    </row>
    <row r="140" spans="2:16" ht="12.5">
      <c r="B140" s="195" t="str">
        <f t="shared" si="15"/>
        <v/>
      </c>
      <c r="C140" s="507">
        <f>IF(D93="","-",+C139+1)</f>
        <v>2059</v>
      </c>
      <c r="D140" s="374">
        <f>IF(F139+SUM(E$99:E139)=D$92,F139,D$92-SUM(E$99:E139))</f>
        <v>102204.26242470666</v>
      </c>
      <c r="E140" s="522">
        <f>IF(+J96&lt;F139,J96,D140)</f>
        <v>102204.26242470666</v>
      </c>
      <c r="F140" s="523">
        <f t="shared" si="16"/>
        <v>0</v>
      </c>
      <c r="G140" s="523">
        <f t="shared" si="17"/>
        <v>51102.131212353328</v>
      </c>
      <c r="H140" s="526">
        <f t="shared" si="18"/>
        <v>108005.08131522711</v>
      </c>
      <c r="I140" s="577">
        <f t="shared" si="19"/>
        <v>108005.08131522711</v>
      </c>
      <c r="J140" s="514">
        <f t="shared" si="21"/>
        <v>0</v>
      </c>
      <c r="K140" s="514"/>
      <c r="L140" s="525"/>
      <c r="M140" s="514">
        <f t="shared" si="22"/>
        <v>0</v>
      </c>
      <c r="N140" s="525"/>
      <c r="O140" s="514">
        <f t="shared" si="23"/>
        <v>0</v>
      </c>
      <c r="P140" s="514">
        <f t="shared" si="24"/>
        <v>0</v>
      </c>
    </row>
    <row r="141" spans="2:16" ht="12.5">
      <c r="B141" s="195" t="str">
        <f t="shared" si="15"/>
        <v/>
      </c>
      <c r="C141" s="507">
        <f>IF(D93="","-",+C140+1)</f>
        <v>2060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16"/>
        <v>0</v>
      </c>
      <c r="G141" s="523">
        <f t="shared" si="17"/>
        <v>0</v>
      </c>
      <c r="H141" s="526">
        <f t="shared" si="18"/>
        <v>0</v>
      </c>
      <c r="I141" s="577">
        <f t="shared" si="19"/>
        <v>0</v>
      </c>
      <c r="J141" s="514">
        <f t="shared" si="21"/>
        <v>0</v>
      </c>
      <c r="K141" s="514"/>
      <c r="L141" s="525"/>
      <c r="M141" s="514">
        <f t="shared" si="22"/>
        <v>0</v>
      </c>
      <c r="N141" s="525"/>
      <c r="O141" s="514">
        <f t="shared" si="23"/>
        <v>0</v>
      </c>
      <c r="P141" s="514">
        <f t="shared" si="24"/>
        <v>0</v>
      </c>
    </row>
    <row r="142" spans="2:16" ht="12.5">
      <c r="B142" s="195" t="str">
        <f t="shared" si="15"/>
        <v/>
      </c>
      <c r="C142" s="507">
        <f>IF(D93="","-",+C141+1)</f>
        <v>2061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6"/>
        <v>0</v>
      </c>
      <c r="G142" s="523">
        <f t="shared" si="17"/>
        <v>0</v>
      </c>
      <c r="H142" s="526">
        <f t="shared" si="18"/>
        <v>0</v>
      </c>
      <c r="I142" s="577">
        <f t="shared" si="19"/>
        <v>0</v>
      </c>
      <c r="J142" s="514">
        <f t="shared" si="21"/>
        <v>0</v>
      </c>
      <c r="K142" s="514"/>
      <c r="L142" s="525"/>
      <c r="M142" s="514">
        <f t="shared" si="22"/>
        <v>0</v>
      </c>
      <c r="N142" s="525"/>
      <c r="O142" s="514">
        <f t="shared" si="23"/>
        <v>0</v>
      </c>
      <c r="P142" s="514">
        <f t="shared" si="24"/>
        <v>0</v>
      </c>
    </row>
    <row r="143" spans="2:16" ht="12.5">
      <c r="B143" s="195" t="str">
        <f t="shared" si="15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6"/>
        <v>0</v>
      </c>
      <c r="G143" s="523">
        <f t="shared" si="17"/>
        <v>0</v>
      </c>
      <c r="H143" s="526">
        <f t="shared" si="18"/>
        <v>0</v>
      </c>
      <c r="I143" s="577">
        <f t="shared" si="19"/>
        <v>0</v>
      </c>
      <c r="J143" s="514">
        <f t="shared" si="21"/>
        <v>0</v>
      </c>
      <c r="K143" s="514"/>
      <c r="L143" s="525"/>
      <c r="M143" s="514">
        <f t="shared" si="22"/>
        <v>0</v>
      </c>
      <c r="N143" s="525"/>
      <c r="O143" s="514">
        <f t="shared" si="23"/>
        <v>0</v>
      </c>
      <c r="P143" s="514">
        <f t="shared" si="24"/>
        <v>0</v>
      </c>
    </row>
    <row r="144" spans="2:16" ht="12.5">
      <c r="B144" s="195" t="str">
        <f t="shared" si="15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6"/>
        <v>0</v>
      </c>
      <c r="G144" s="523">
        <f t="shared" si="17"/>
        <v>0</v>
      </c>
      <c r="H144" s="526">
        <f t="shared" si="18"/>
        <v>0</v>
      </c>
      <c r="I144" s="577">
        <f t="shared" si="19"/>
        <v>0</v>
      </c>
      <c r="J144" s="514">
        <f t="shared" si="21"/>
        <v>0</v>
      </c>
      <c r="K144" s="514"/>
      <c r="L144" s="525"/>
      <c r="M144" s="514">
        <f t="shared" si="22"/>
        <v>0</v>
      </c>
      <c r="N144" s="525"/>
      <c r="O144" s="514">
        <f t="shared" si="23"/>
        <v>0</v>
      </c>
      <c r="P144" s="514">
        <f t="shared" si="24"/>
        <v>0</v>
      </c>
    </row>
    <row r="145" spans="2:16" ht="12.5">
      <c r="B145" s="195" t="str">
        <f t="shared" si="15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6"/>
        <v>0</v>
      </c>
      <c r="G145" s="523">
        <f t="shared" si="17"/>
        <v>0</v>
      </c>
      <c r="H145" s="526">
        <f t="shared" si="18"/>
        <v>0</v>
      </c>
      <c r="I145" s="577">
        <f t="shared" si="19"/>
        <v>0</v>
      </c>
      <c r="J145" s="514">
        <f t="shared" si="21"/>
        <v>0</v>
      </c>
      <c r="K145" s="514"/>
      <c r="L145" s="525"/>
      <c r="M145" s="514">
        <f t="shared" si="22"/>
        <v>0</v>
      </c>
      <c r="N145" s="525"/>
      <c r="O145" s="514">
        <f t="shared" si="23"/>
        <v>0</v>
      </c>
      <c r="P145" s="514">
        <f t="shared" si="24"/>
        <v>0</v>
      </c>
    </row>
    <row r="146" spans="2:16" ht="12.5">
      <c r="B146" s="195" t="str">
        <f t="shared" si="15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6"/>
        <v>0</v>
      </c>
      <c r="G146" s="523">
        <f t="shared" si="17"/>
        <v>0</v>
      </c>
      <c r="H146" s="526">
        <f t="shared" si="18"/>
        <v>0</v>
      </c>
      <c r="I146" s="577">
        <f t="shared" si="19"/>
        <v>0</v>
      </c>
      <c r="J146" s="514">
        <f t="shared" si="21"/>
        <v>0</v>
      </c>
      <c r="K146" s="514"/>
      <c r="L146" s="525"/>
      <c r="M146" s="514">
        <f t="shared" si="22"/>
        <v>0</v>
      </c>
      <c r="N146" s="525"/>
      <c r="O146" s="514">
        <f t="shared" si="23"/>
        <v>0</v>
      </c>
      <c r="P146" s="514">
        <f t="shared" si="24"/>
        <v>0</v>
      </c>
    </row>
    <row r="147" spans="2:16" ht="12.5">
      <c r="B147" s="195" t="str">
        <f t="shared" si="15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6"/>
        <v>0</v>
      </c>
      <c r="G147" s="523">
        <f t="shared" si="17"/>
        <v>0</v>
      </c>
      <c r="H147" s="526">
        <f t="shared" si="18"/>
        <v>0</v>
      </c>
      <c r="I147" s="577">
        <f t="shared" si="19"/>
        <v>0</v>
      </c>
      <c r="J147" s="514">
        <f t="shared" si="21"/>
        <v>0</v>
      </c>
      <c r="K147" s="514"/>
      <c r="L147" s="525"/>
      <c r="M147" s="514">
        <f t="shared" si="22"/>
        <v>0</v>
      </c>
      <c r="N147" s="525"/>
      <c r="O147" s="514">
        <f t="shared" si="23"/>
        <v>0</v>
      </c>
      <c r="P147" s="514">
        <f t="shared" si="24"/>
        <v>0</v>
      </c>
    </row>
    <row r="148" spans="2:16" ht="12.5">
      <c r="B148" s="195" t="str">
        <f t="shared" si="15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6"/>
        <v>0</v>
      </c>
      <c r="G148" s="523">
        <f t="shared" si="17"/>
        <v>0</v>
      </c>
      <c r="H148" s="526">
        <f t="shared" si="18"/>
        <v>0</v>
      </c>
      <c r="I148" s="577">
        <f t="shared" si="19"/>
        <v>0</v>
      </c>
      <c r="J148" s="514">
        <f t="shared" si="21"/>
        <v>0</v>
      </c>
      <c r="K148" s="514"/>
      <c r="L148" s="525"/>
      <c r="M148" s="514">
        <f t="shared" si="22"/>
        <v>0</v>
      </c>
      <c r="N148" s="525"/>
      <c r="O148" s="514">
        <f t="shared" si="23"/>
        <v>0</v>
      </c>
      <c r="P148" s="514">
        <f t="shared" si="24"/>
        <v>0</v>
      </c>
    </row>
    <row r="149" spans="2:16" ht="12.5">
      <c r="B149" s="195" t="str">
        <f t="shared" si="15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6"/>
        <v>0</v>
      </c>
      <c r="G149" s="523">
        <f t="shared" si="17"/>
        <v>0</v>
      </c>
      <c r="H149" s="526">
        <f t="shared" si="18"/>
        <v>0</v>
      </c>
      <c r="I149" s="577">
        <f t="shared" si="19"/>
        <v>0</v>
      </c>
      <c r="J149" s="514">
        <f t="shared" si="21"/>
        <v>0</v>
      </c>
      <c r="K149" s="514"/>
      <c r="L149" s="525"/>
      <c r="M149" s="514">
        <f t="shared" si="22"/>
        <v>0</v>
      </c>
      <c r="N149" s="525"/>
      <c r="O149" s="514">
        <f t="shared" si="23"/>
        <v>0</v>
      </c>
      <c r="P149" s="514">
        <f t="shared" si="24"/>
        <v>0</v>
      </c>
    </row>
    <row r="150" spans="2:16" ht="12.5">
      <c r="B150" s="195" t="str">
        <f t="shared" si="15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6"/>
        <v>0</v>
      </c>
      <c r="G150" s="523">
        <f t="shared" si="17"/>
        <v>0</v>
      </c>
      <c r="H150" s="526">
        <f t="shared" si="18"/>
        <v>0</v>
      </c>
      <c r="I150" s="577">
        <f t="shared" si="19"/>
        <v>0</v>
      </c>
      <c r="J150" s="514">
        <f t="shared" si="21"/>
        <v>0</v>
      </c>
      <c r="K150" s="514"/>
      <c r="L150" s="525"/>
      <c r="M150" s="514">
        <f t="shared" si="22"/>
        <v>0</v>
      </c>
      <c r="N150" s="525"/>
      <c r="O150" s="514">
        <f t="shared" si="23"/>
        <v>0</v>
      </c>
      <c r="P150" s="514">
        <f t="shared" si="24"/>
        <v>0</v>
      </c>
    </row>
    <row r="151" spans="2:16" ht="12.5">
      <c r="B151" s="195" t="str">
        <f t="shared" si="15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6"/>
        <v>0</v>
      </c>
      <c r="G151" s="523">
        <f t="shared" si="17"/>
        <v>0</v>
      </c>
      <c r="H151" s="526">
        <f t="shared" si="18"/>
        <v>0</v>
      </c>
      <c r="I151" s="577">
        <f t="shared" si="19"/>
        <v>0</v>
      </c>
      <c r="J151" s="514">
        <f t="shared" si="21"/>
        <v>0</v>
      </c>
      <c r="K151" s="514"/>
      <c r="L151" s="525"/>
      <c r="M151" s="514">
        <f t="shared" si="22"/>
        <v>0</v>
      </c>
      <c r="N151" s="525"/>
      <c r="O151" s="514">
        <f t="shared" si="23"/>
        <v>0</v>
      </c>
      <c r="P151" s="514">
        <f t="shared" si="24"/>
        <v>0</v>
      </c>
    </row>
    <row r="152" spans="2:16" ht="12.5">
      <c r="B152" s="195" t="str">
        <f t="shared" si="15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6"/>
        <v>0</v>
      </c>
      <c r="G152" s="523">
        <f t="shared" si="17"/>
        <v>0</v>
      </c>
      <c r="H152" s="526">
        <f t="shared" si="18"/>
        <v>0</v>
      </c>
      <c r="I152" s="577">
        <f t="shared" si="19"/>
        <v>0</v>
      </c>
      <c r="J152" s="514">
        <f t="shared" si="21"/>
        <v>0</v>
      </c>
      <c r="K152" s="514"/>
      <c r="L152" s="525"/>
      <c r="M152" s="514">
        <f t="shared" si="22"/>
        <v>0</v>
      </c>
      <c r="N152" s="525"/>
      <c r="O152" s="514">
        <f t="shared" si="23"/>
        <v>0</v>
      </c>
      <c r="P152" s="514">
        <f t="shared" si="24"/>
        <v>0</v>
      </c>
    </row>
    <row r="153" spans="2:16" ht="12.5">
      <c r="B153" s="195" t="str">
        <f t="shared" si="15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6"/>
        <v>0</v>
      </c>
      <c r="G153" s="523">
        <f t="shared" si="17"/>
        <v>0</v>
      </c>
      <c r="H153" s="526">
        <f t="shared" si="18"/>
        <v>0</v>
      </c>
      <c r="I153" s="577">
        <f t="shared" si="19"/>
        <v>0</v>
      </c>
      <c r="J153" s="514">
        <f t="shared" si="21"/>
        <v>0</v>
      </c>
      <c r="K153" s="514"/>
      <c r="L153" s="525"/>
      <c r="M153" s="514">
        <f t="shared" si="22"/>
        <v>0</v>
      </c>
      <c r="N153" s="525"/>
      <c r="O153" s="514">
        <f t="shared" si="23"/>
        <v>0</v>
      </c>
      <c r="P153" s="514">
        <f t="shared" si="24"/>
        <v>0</v>
      </c>
    </row>
    <row r="154" spans="2:16" ht="13" thickBot="1">
      <c r="B154" s="195" t="str">
        <f t="shared" si="15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6"/>
        <v>0</v>
      </c>
      <c r="G154" s="528">
        <f t="shared" si="17"/>
        <v>0</v>
      </c>
      <c r="H154" s="530">
        <f t="shared" si="18"/>
        <v>0</v>
      </c>
      <c r="I154" s="579">
        <f t="shared" si="19"/>
        <v>0</v>
      </c>
      <c r="J154" s="533">
        <f t="shared" si="21"/>
        <v>0</v>
      </c>
      <c r="K154" s="514"/>
      <c r="L154" s="532"/>
      <c r="M154" s="533">
        <f t="shared" si="22"/>
        <v>0</v>
      </c>
      <c r="N154" s="532"/>
      <c r="O154" s="533">
        <f t="shared" si="23"/>
        <v>0</v>
      </c>
      <c r="P154" s="533">
        <f t="shared" si="24"/>
        <v>0</v>
      </c>
    </row>
    <row r="155" spans="2:16" ht="12.5">
      <c r="C155" s="374" t="s">
        <v>78</v>
      </c>
      <c r="D155" s="375"/>
      <c r="E155" s="375">
        <f>SUM(E99:E154)</f>
        <v>7196364</v>
      </c>
      <c r="F155" s="375"/>
      <c r="G155" s="375"/>
      <c r="H155" s="375">
        <f>SUM(H99:H154)</f>
        <v>23893549.629832178</v>
      </c>
      <c r="I155" s="375">
        <f>SUM(I99:I154)</f>
        <v>23893549.629832178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11" priority="1" stopIfTrue="1" operator="equal">
      <formula>$I$10</formula>
    </cfRule>
  </conditionalFormatting>
  <conditionalFormatting sqref="C99:C154">
    <cfRule type="cellIs" dxfId="1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P162"/>
  <sheetViews>
    <sheetView zoomScale="80" zoomScaleNormal="80" workbookViewId="0"/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71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239500.55805520574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239500.55805520574</v>
      </c>
      <c r="O6" s="269"/>
      <c r="P6" s="269"/>
    </row>
    <row r="7" spans="1:16" ht="13.5" thickBot="1">
      <c r="C7" s="467" t="s">
        <v>48</v>
      </c>
      <c r="D7" s="624" t="s">
        <v>433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6" ht="13.5" thickBot="1">
      <c r="C9" s="476" t="s">
        <v>50</v>
      </c>
      <c r="D9" s="477" t="s">
        <v>426</v>
      </c>
      <c r="E9" s="637" t="s">
        <v>427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1742923.9700000002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2018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41498.189761904767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2018</v>
      </c>
      <c r="D17" s="631">
        <v>0</v>
      </c>
      <c r="E17" s="630">
        <v>0</v>
      </c>
      <c r="F17" s="631">
        <v>1254000</v>
      </c>
      <c r="G17" s="630">
        <v>79688.000028018621</v>
      </c>
      <c r="H17" s="639">
        <v>79688.000028018621</v>
      </c>
      <c r="I17" s="511">
        <f t="shared" ref="I17:I72" si="0">H17-G17</f>
        <v>0</v>
      </c>
      <c r="J17" s="511"/>
      <c r="K17" s="512">
        <f>+G17</f>
        <v>79688.000028018621</v>
      </c>
      <c r="L17" s="513">
        <f t="shared" ref="L17:L72" si="1">IF(K17&lt;&gt;0,+G17-K17,0)</f>
        <v>0</v>
      </c>
      <c r="M17" s="512">
        <f>+H17</f>
        <v>79688.000028018621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2019</v>
      </c>
      <c r="D18" s="631">
        <v>1254000</v>
      </c>
      <c r="E18" s="630">
        <v>30585.365853658535</v>
      </c>
      <c r="F18" s="631">
        <v>1223414.6341463414</v>
      </c>
      <c r="G18" s="630">
        <v>188017.75615291481</v>
      </c>
      <c r="H18" s="639">
        <v>188017.75615291481</v>
      </c>
      <c r="I18" s="511">
        <f t="shared" si="0"/>
        <v>0</v>
      </c>
      <c r="J18" s="511"/>
      <c r="K18" s="518">
        <f>+G18</f>
        <v>188017.75615291481</v>
      </c>
      <c r="L18" s="519">
        <f t="shared" si="1"/>
        <v>0</v>
      </c>
      <c r="M18" s="518">
        <f>+H18</f>
        <v>188017.75615291481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2020</v>
      </c>
      <c r="D19" s="631">
        <v>1659059.6341463414</v>
      </c>
      <c r="E19" s="630">
        <v>41210.853658536587</v>
      </c>
      <c r="F19" s="631">
        <v>1617848.7804878047</v>
      </c>
      <c r="G19" s="630">
        <v>208882.8109309049</v>
      </c>
      <c r="H19" s="639">
        <v>208882.8109309049</v>
      </c>
      <c r="I19" s="511">
        <f t="shared" si="0"/>
        <v>0</v>
      </c>
      <c r="J19" s="511"/>
      <c r="K19" s="518">
        <f>+G19</f>
        <v>208882.8109309049</v>
      </c>
      <c r="L19" s="519">
        <f t="shared" ref="L19" si="4">IF(K19&lt;&gt;0,+G19-K19,0)</f>
        <v>0</v>
      </c>
      <c r="M19" s="518">
        <f>+H19</f>
        <v>208882.8109309049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2021</v>
      </c>
      <c r="D20" s="631">
        <v>1662410.820760068</v>
      </c>
      <c r="E20" s="630">
        <v>41498.190476190473</v>
      </c>
      <c r="F20" s="631">
        <v>1620912.6302838775</v>
      </c>
      <c r="G20" s="630">
        <v>215521.79480403315</v>
      </c>
      <c r="H20" s="639">
        <v>215521.79480403315</v>
      </c>
      <c r="I20" s="511">
        <f t="shared" si="0"/>
        <v>0</v>
      </c>
      <c r="J20" s="511"/>
      <c r="K20" s="518">
        <f>+G20</f>
        <v>215521.79480403315</v>
      </c>
      <c r="L20" s="519">
        <f t="shared" ref="L20" si="6">IF(K20&lt;&gt;0,+G20-K20,0)</f>
        <v>0</v>
      </c>
      <c r="M20" s="518">
        <f>+H20</f>
        <v>215521.79480403315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>IU</v>
      </c>
      <c r="C21" s="507">
        <f>IF(D11="","-",+C20+1)</f>
        <v>2022</v>
      </c>
      <c r="D21" s="631">
        <v>1629629.5900116144</v>
      </c>
      <c r="E21" s="630">
        <v>41498.190476190473</v>
      </c>
      <c r="F21" s="631">
        <v>1588131.3995354238</v>
      </c>
      <c r="G21" s="630">
        <v>222407.30470378633</v>
      </c>
      <c r="H21" s="639">
        <v>222407.30470378633</v>
      </c>
      <c r="I21" s="511">
        <f t="shared" si="0"/>
        <v>0</v>
      </c>
      <c r="J21" s="511"/>
      <c r="K21" s="518">
        <f>+G21</f>
        <v>222407.30470378633</v>
      </c>
      <c r="L21" s="519">
        <f t="shared" ref="L21" si="7">IF(K21&lt;&gt;0,+G21-K21,0)</f>
        <v>0</v>
      </c>
      <c r="M21" s="518">
        <f>+H21</f>
        <v>222407.30470378633</v>
      </c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>IU</v>
      </c>
      <c r="C22" s="507">
        <f>IF(D11="","-",+C21+1)</f>
        <v>2023</v>
      </c>
      <c r="D22" s="523">
        <f>IF(F21+SUM(E$17:E21)=D$10,F21,D$10-SUM(E$17:E21))</f>
        <v>1588131.369535424</v>
      </c>
      <c r="E22" s="522">
        <f>IF(+I14&lt;F21,I14,D22)</f>
        <v>41498.189761904767</v>
      </c>
      <c r="F22" s="523">
        <f t="shared" ref="F22:F72" si="8">+D22-E22</f>
        <v>1546633.1797735193</v>
      </c>
      <c r="G22" s="524">
        <f t="shared" ref="G22:G72" si="9">+I$12*((D22+F22)/2)+E22</f>
        <v>239500.55805520574</v>
      </c>
      <c r="H22" s="491">
        <f t="shared" ref="H22:H72" si="10">+I$13*((D22+F22)/2)+E22</f>
        <v>239500.55805520574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2024</v>
      </c>
      <c r="D23" s="523">
        <f>IF(F22+SUM(E$17:E22)=D$10,F22,D$10-SUM(E$17:E22))</f>
        <v>1546633.1797735193</v>
      </c>
      <c r="E23" s="522">
        <f>IF(+I14&lt;F22,I14,D23)</f>
        <v>41498.189761904767</v>
      </c>
      <c r="F23" s="523">
        <f t="shared" si="8"/>
        <v>1505134.9900116145</v>
      </c>
      <c r="G23" s="524">
        <f t="shared" si="9"/>
        <v>234258.22503561524</v>
      </c>
      <c r="H23" s="491">
        <f t="shared" si="10"/>
        <v>234258.22503561524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2025</v>
      </c>
      <c r="D24" s="523">
        <f>IF(F23+SUM(E$17:E23)=D$10,F23,D$10-SUM(E$17:E23))</f>
        <v>1505134.9900116145</v>
      </c>
      <c r="E24" s="522">
        <f>IF(+I14&lt;F23,I14,D24)</f>
        <v>41498.189761904767</v>
      </c>
      <c r="F24" s="523">
        <f t="shared" si="8"/>
        <v>1463636.8002497097</v>
      </c>
      <c r="G24" s="524">
        <f t="shared" si="9"/>
        <v>229015.89201602479</v>
      </c>
      <c r="H24" s="491">
        <f t="shared" si="10"/>
        <v>229015.89201602479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2026</v>
      </c>
      <c r="D25" s="523">
        <f>IF(F24+SUM(E$17:E24)=D$10,F24,D$10-SUM(E$17:E24))</f>
        <v>1463636.8002497097</v>
      </c>
      <c r="E25" s="522">
        <f>IF(+I14&lt;F24,I14,D25)</f>
        <v>41498.189761904767</v>
      </c>
      <c r="F25" s="523">
        <f t="shared" si="8"/>
        <v>1422138.610487805</v>
      </c>
      <c r="G25" s="524">
        <f t="shared" si="9"/>
        <v>223773.55899643429</v>
      </c>
      <c r="H25" s="491">
        <f t="shared" si="10"/>
        <v>223773.55899643429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2027</v>
      </c>
      <c r="D26" s="523">
        <f>IF(F25+SUM(E$17:E25)=D$10,F25,D$10-SUM(E$17:E25))</f>
        <v>1422138.610487805</v>
      </c>
      <c r="E26" s="522">
        <f>IF(+I14&lt;F25,I14,D26)</f>
        <v>41498.189761904767</v>
      </c>
      <c r="F26" s="523">
        <f t="shared" si="8"/>
        <v>1380640.4207259002</v>
      </c>
      <c r="G26" s="524">
        <f t="shared" si="9"/>
        <v>218531.22597684385</v>
      </c>
      <c r="H26" s="491">
        <f t="shared" si="10"/>
        <v>218531.22597684385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2028</v>
      </c>
      <c r="D27" s="523">
        <f>IF(F26+SUM(E$17:E26)=D$10,F26,D$10-SUM(E$17:E26))</f>
        <v>1380640.4207259002</v>
      </c>
      <c r="E27" s="522">
        <f>IF(+I14&lt;F26,I14,D27)</f>
        <v>41498.189761904767</v>
      </c>
      <c r="F27" s="523">
        <f t="shared" si="8"/>
        <v>1339142.2309639954</v>
      </c>
      <c r="G27" s="524">
        <f t="shared" si="9"/>
        <v>213288.89295725335</v>
      </c>
      <c r="H27" s="491">
        <f t="shared" si="10"/>
        <v>213288.89295725335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2029</v>
      </c>
      <c r="D28" s="523">
        <f>IF(F27+SUM(E$17:E27)=D$10,F27,D$10-SUM(E$17:E27))</f>
        <v>1339142.2309639954</v>
      </c>
      <c r="E28" s="522">
        <f>IF(+I14&lt;F27,I14,D28)</f>
        <v>41498.189761904767</v>
      </c>
      <c r="F28" s="523">
        <f t="shared" si="8"/>
        <v>1297644.0412020907</v>
      </c>
      <c r="G28" s="524">
        <f t="shared" si="9"/>
        <v>208046.55993766291</v>
      </c>
      <c r="H28" s="491">
        <f t="shared" si="10"/>
        <v>208046.55993766291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2030</v>
      </c>
      <c r="D29" s="523">
        <f>IF(F28+SUM(E$17:E28)=D$10,F28,D$10-SUM(E$17:E28))</f>
        <v>1297644.0412020907</v>
      </c>
      <c r="E29" s="522">
        <f>IF(+I14&lt;F28,I14,D29)</f>
        <v>41498.189761904767</v>
      </c>
      <c r="F29" s="523">
        <f t="shared" si="8"/>
        <v>1256145.8514401859</v>
      </c>
      <c r="G29" s="524">
        <f t="shared" si="9"/>
        <v>202804.22691807241</v>
      </c>
      <c r="H29" s="491">
        <f t="shared" si="10"/>
        <v>202804.22691807241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2031</v>
      </c>
      <c r="D30" s="523">
        <f>IF(F29+SUM(E$17:E29)=D$10,F29,D$10-SUM(E$17:E29))</f>
        <v>1256145.8514401859</v>
      </c>
      <c r="E30" s="522">
        <f>IF(+I14&lt;F29,I14,D30)</f>
        <v>41498.189761904767</v>
      </c>
      <c r="F30" s="523">
        <f t="shared" si="8"/>
        <v>1214647.6616782811</v>
      </c>
      <c r="G30" s="524">
        <f t="shared" si="9"/>
        <v>197561.89389848197</v>
      </c>
      <c r="H30" s="491">
        <f t="shared" si="10"/>
        <v>197561.89389848197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2032</v>
      </c>
      <c r="D31" s="523">
        <f>IF(F30+SUM(E$17:E30)=D$10,F30,D$10-SUM(E$17:E30))</f>
        <v>1214647.6616782811</v>
      </c>
      <c r="E31" s="522">
        <f>IF(+I14&lt;F30,I14,D31)</f>
        <v>41498.189761904767</v>
      </c>
      <c r="F31" s="523">
        <f t="shared" si="8"/>
        <v>1173149.4719163764</v>
      </c>
      <c r="G31" s="524">
        <f t="shared" si="9"/>
        <v>192319.56087889147</v>
      </c>
      <c r="H31" s="491">
        <f t="shared" si="10"/>
        <v>192319.56087889147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2033</v>
      </c>
      <c r="D32" s="523">
        <f>IF(F31+SUM(E$17:E31)=D$10,F31,D$10-SUM(E$17:E31))</f>
        <v>1173149.4719163764</v>
      </c>
      <c r="E32" s="522">
        <f>IF(+I14&lt;F31,I14,D32)</f>
        <v>41498.189761904767</v>
      </c>
      <c r="F32" s="523">
        <f t="shared" si="8"/>
        <v>1131651.2821544716</v>
      </c>
      <c r="G32" s="524">
        <f t="shared" si="9"/>
        <v>187077.22785930103</v>
      </c>
      <c r="H32" s="491">
        <f t="shared" si="10"/>
        <v>187077.22785930103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2034</v>
      </c>
      <c r="D33" s="523">
        <f>IF(F32+SUM(E$17:E32)=D$10,F32,D$10-SUM(E$17:E32))</f>
        <v>1131651.2821544716</v>
      </c>
      <c r="E33" s="522">
        <f>IF(+I14&lt;F32,I14,D33)</f>
        <v>41498.189761904767</v>
      </c>
      <c r="F33" s="523">
        <f t="shared" si="8"/>
        <v>1090153.0923925668</v>
      </c>
      <c r="G33" s="524">
        <f t="shared" si="9"/>
        <v>181834.89483971053</v>
      </c>
      <c r="H33" s="491">
        <f t="shared" si="10"/>
        <v>181834.89483971053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2035</v>
      </c>
      <c r="D34" s="523">
        <f>IF(F33+SUM(E$17:E33)=D$10,F33,D$10-SUM(E$17:E33))</f>
        <v>1090153.0923925668</v>
      </c>
      <c r="E34" s="522">
        <f>IF(+I14&lt;F33,I14,D34)</f>
        <v>41498.189761904767</v>
      </c>
      <c r="F34" s="523">
        <f t="shared" si="8"/>
        <v>1048654.9026306621</v>
      </c>
      <c r="G34" s="524">
        <f t="shared" si="9"/>
        <v>176592.56182012009</v>
      </c>
      <c r="H34" s="491">
        <f t="shared" si="10"/>
        <v>176592.56182012009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2036</v>
      </c>
      <c r="D35" s="523">
        <f>IF(F34+SUM(E$17:E34)=D$10,F34,D$10-SUM(E$17:E34))</f>
        <v>1048654.9026306621</v>
      </c>
      <c r="E35" s="522">
        <f>IF(+I14&lt;F34,I14,D35)</f>
        <v>41498.189761904767</v>
      </c>
      <c r="F35" s="523">
        <f t="shared" si="8"/>
        <v>1007156.7128687573</v>
      </c>
      <c r="G35" s="524">
        <f t="shared" si="9"/>
        <v>171350.22880052958</v>
      </c>
      <c r="H35" s="491">
        <f t="shared" si="10"/>
        <v>171350.22880052958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2037</v>
      </c>
      <c r="D36" s="523">
        <f>IF(F35+SUM(E$17:E35)=D$10,F35,D$10-SUM(E$17:E35))</f>
        <v>1007156.7128687573</v>
      </c>
      <c r="E36" s="522">
        <f>IF(+I14&lt;F35,I14,D36)</f>
        <v>41498.189761904767</v>
      </c>
      <c r="F36" s="523">
        <f t="shared" si="8"/>
        <v>965658.52310685255</v>
      </c>
      <c r="G36" s="524">
        <f t="shared" si="9"/>
        <v>166107.89578093911</v>
      </c>
      <c r="H36" s="491">
        <f t="shared" si="10"/>
        <v>166107.89578093911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2038</v>
      </c>
      <c r="D37" s="523">
        <f>IF(F36+SUM(E$17:E36)=D$10,F36,D$10-SUM(E$17:E36))</f>
        <v>965658.52310685255</v>
      </c>
      <c r="E37" s="522">
        <f>IF(+I14&lt;F36,I14,D37)</f>
        <v>41498.189761904767</v>
      </c>
      <c r="F37" s="523">
        <f t="shared" si="8"/>
        <v>924160.33334494778</v>
      </c>
      <c r="G37" s="524">
        <f t="shared" si="9"/>
        <v>160865.56276134864</v>
      </c>
      <c r="H37" s="491">
        <f t="shared" si="10"/>
        <v>160865.56276134864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2039</v>
      </c>
      <c r="D38" s="523">
        <f>IF(F37+SUM(E$17:E37)=D$10,F37,D$10-SUM(E$17:E37))</f>
        <v>924160.33334494778</v>
      </c>
      <c r="E38" s="522">
        <f>IF(+I14&lt;F37,I14,D38)</f>
        <v>41498.189761904767</v>
      </c>
      <c r="F38" s="523">
        <f t="shared" si="8"/>
        <v>882662.14358304301</v>
      </c>
      <c r="G38" s="524">
        <f t="shared" si="9"/>
        <v>155623.22974175817</v>
      </c>
      <c r="H38" s="491">
        <f t="shared" si="10"/>
        <v>155623.22974175817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2040</v>
      </c>
      <c r="D39" s="523">
        <f>IF(F38+SUM(E$17:E38)=D$10,F38,D$10-SUM(E$17:E38))</f>
        <v>882662.14358304301</v>
      </c>
      <c r="E39" s="522">
        <f>IF(+I14&lt;F38,I14,D39)</f>
        <v>41498.189761904767</v>
      </c>
      <c r="F39" s="523">
        <f t="shared" si="8"/>
        <v>841163.95382113825</v>
      </c>
      <c r="G39" s="524">
        <f t="shared" si="9"/>
        <v>150380.8967221677</v>
      </c>
      <c r="H39" s="491">
        <f t="shared" si="10"/>
        <v>150380.8967221677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2041</v>
      </c>
      <c r="D40" s="523">
        <f>IF(F39+SUM(E$17:E39)=D$10,F39,D$10-SUM(E$17:E39))</f>
        <v>841163.95382113825</v>
      </c>
      <c r="E40" s="522">
        <f>IF(+I14&lt;F39,I14,D40)</f>
        <v>41498.189761904767</v>
      </c>
      <c r="F40" s="523">
        <f t="shared" si="8"/>
        <v>799665.76405923348</v>
      </c>
      <c r="G40" s="524">
        <f t="shared" si="9"/>
        <v>145138.56370257723</v>
      </c>
      <c r="H40" s="491">
        <f t="shared" si="10"/>
        <v>145138.56370257723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2042</v>
      </c>
      <c r="D41" s="523">
        <f>IF(F40+SUM(E$17:E40)=D$10,F40,D$10-SUM(E$17:E40))</f>
        <v>799665.76405923348</v>
      </c>
      <c r="E41" s="522">
        <f>IF(+I14&lt;F40,I14,D41)</f>
        <v>41498.189761904767</v>
      </c>
      <c r="F41" s="523">
        <f t="shared" si="8"/>
        <v>758167.57429732871</v>
      </c>
      <c r="G41" s="524">
        <f t="shared" si="9"/>
        <v>139896.23068298676</v>
      </c>
      <c r="H41" s="491">
        <f t="shared" si="10"/>
        <v>139896.23068298676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2043</v>
      </c>
      <c r="D42" s="523">
        <f>IF(F41+SUM(E$17:E41)=D$10,F41,D$10-SUM(E$17:E41))</f>
        <v>758167.57429732871</v>
      </c>
      <c r="E42" s="522">
        <f>IF(+I14&lt;F41,I14,D42)</f>
        <v>41498.189761904767</v>
      </c>
      <c r="F42" s="523">
        <f t="shared" si="8"/>
        <v>716669.38453542395</v>
      </c>
      <c r="G42" s="524">
        <f t="shared" si="9"/>
        <v>134653.89766339629</v>
      </c>
      <c r="H42" s="491">
        <f t="shared" si="10"/>
        <v>134653.89766339629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2044</v>
      </c>
      <c r="D43" s="523">
        <f>IF(F42+SUM(E$17:E42)=D$10,F42,D$10-SUM(E$17:E42))</f>
        <v>716669.38453542395</v>
      </c>
      <c r="E43" s="522">
        <f>IF(+I14&lt;F42,I14,D43)</f>
        <v>41498.189761904767</v>
      </c>
      <c r="F43" s="523">
        <f t="shared" si="8"/>
        <v>675171.19477351918</v>
      </c>
      <c r="G43" s="524">
        <f t="shared" si="9"/>
        <v>129411.56464380582</v>
      </c>
      <c r="H43" s="491">
        <f t="shared" si="10"/>
        <v>129411.56464380582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2045</v>
      </c>
      <c r="D44" s="523">
        <f>IF(F43+SUM(E$17:E43)=D$10,F43,D$10-SUM(E$17:E43))</f>
        <v>675171.19477351918</v>
      </c>
      <c r="E44" s="522">
        <f>IF(+I14&lt;F43,I14,D44)</f>
        <v>41498.189761904767</v>
      </c>
      <c r="F44" s="523">
        <f t="shared" si="8"/>
        <v>633673.00501161441</v>
      </c>
      <c r="G44" s="524">
        <f t="shared" si="9"/>
        <v>124169.23162421535</v>
      </c>
      <c r="H44" s="491">
        <f t="shared" si="10"/>
        <v>124169.23162421535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2046</v>
      </c>
      <c r="D45" s="523">
        <f>IF(F44+SUM(E$17:E44)=D$10,F44,D$10-SUM(E$17:E44))</f>
        <v>633673.00501161441</v>
      </c>
      <c r="E45" s="522">
        <f>IF(+I14&lt;F44,I14,D45)</f>
        <v>41498.189761904767</v>
      </c>
      <c r="F45" s="523">
        <f t="shared" si="8"/>
        <v>592174.81524970965</v>
      </c>
      <c r="G45" s="524">
        <f t="shared" si="9"/>
        <v>118926.89860462488</v>
      </c>
      <c r="H45" s="491">
        <f t="shared" si="10"/>
        <v>118926.89860462488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2047</v>
      </c>
      <c r="D46" s="523">
        <f>IF(F45+SUM(E$17:E45)=D$10,F45,D$10-SUM(E$17:E45))</f>
        <v>592174.81524970965</v>
      </c>
      <c r="E46" s="522">
        <f>IF(+I14&lt;F45,I14,D46)</f>
        <v>41498.189761904767</v>
      </c>
      <c r="F46" s="523">
        <f t="shared" si="8"/>
        <v>550676.62548780488</v>
      </c>
      <c r="G46" s="524">
        <f t="shared" si="9"/>
        <v>113684.5655850344</v>
      </c>
      <c r="H46" s="491">
        <f t="shared" si="10"/>
        <v>113684.5655850344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2048</v>
      </c>
      <c r="D47" s="523">
        <f>IF(F46+SUM(E$17:E46)=D$10,F46,D$10-SUM(E$17:E46))</f>
        <v>550676.62548780488</v>
      </c>
      <c r="E47" s="522">
        <f>IF(+I14&lt;F46,I14,D47)</f>
        <v>41498.189761904767</v>
      </c>
      <c r="F47" s="523">
        <f t="shared" si="8"/>
        <v>509178.43572590011</v>
      </c>
      <c r="G47" s="524">
        <f t="shared" si="9"/>
        <v>108442.23256544393</v>
      </c>
      <c r="H47" s="491">
        <f t="shared" si="10"/>
        <v>108442.23256544393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2049</v>
      </c>
      <c r="D48" s="523">
        <f>IF(F47+SUM(E$17:E47)=D$10,F47,D$10-SUM(E$17:E47))</f>
        <v>509178.43572590011</v>
      </c>
      <c r="E48" s="522">
        <f>IF(+I14&lt;F47,I14,D48)</f>
        <v>41498.189761904767</v>
      </c>
      <c r="F48" s="523">
        <f t="shared" si="8"/>
        <v>467680.24596399534</v>
      </c>
      <c r="G48" s="524">
        <f t="shared" si="9"/>
        <v>103199.89954585346</v>
      </c>
      <c r="H48" s="491">
        <f t="shared" si="10"/>
        <v>103199.89954585346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2050</v>
      </c>
      <c r="D49" s="523">
        <f>IF(F48+SUM(E$17:E48)=D$10,F48,D$10-SUM(E$17:E48))</f>
        <v>467680.24596399534</v>
      </c>
      <c r="E49" s="522">
        <f>IF(+I14&lt;F48,I14,D49)</f>
        <v>41498.189761904767</v>
      </c>
      <c r="F49" s="523">
        <f t="shared" si="8"/>
        <v>426182.05620209058</v>
      </c>
      <c r="G49" s="524">
        <f t="shared" si="9"/>
        <v>97957.566526262992</v>
      </c>
      <c r="H49" s="491">
        <f t="shared" si="10"/>
        <v>97957.566526262992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2051</v>
      </c>
      <c r="D50" s="523">
        <f>IF(F49+SUM(E$17:E49)=D$10,F49,D$10-SUM(E$17:E49))</f>
        <v>426182.05620209058</v>
      </c>
      <c r="E50" s="522">
        <f>IF(+I14&lt;F49,I14,D50)</f>
        <v>41498.189761904767</v>
      </c>
      <c r="F50" s="523">
        <f t="shared" si="8"/>
        <v>384683.86644018581</v>
      </c>
      <c r="G50" s="524">
        <f t="shared" si="9"/>
        <v>92715.233506672521</v>
      </c>
      <c r="H50" s="491">
        <f t="shared" si="10"/>
        <v>92715.233506672521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2052</v>
      </c>
      <c r="D51" s="523">
        <f>IF(F50+SUM(E$17:E50)=D$10,F50,D$10-SUM(E$17:E50))</f>
        <v>384683.86644018581</v>
      </c>
      <c r="E51" s="522">
        <f>IF(+I14&lt;F50,I14,D51)</f>
        <v>41498.189761904767</v>
      </c>
      <c r="F51" s="523">
        <f t="shared" si="8"/>
        <v>343185.67667828104</v>
      </c>
      <c r="G51" s="524">
        <f t="shared" si="9"/>
        <v>87472.90048708205</v>
      </c>
      <c r="H51" s="491">
        <f t="shared" si="10"/>
        <v>87472.90048708205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2053</v>
      </c>
      <c r="D52" s="523">
        <f>IF(F51+SUM(E$17:E51)=D$10,F51,D$10-SUM(E$17:E51))</f>
        <v>343185.67667828104</v>
      </c>
      <c r="E52" s="522">
        <f>IF(+I14&lt;F51,I14,D52)</f>
        <v>41498.189761904767</v>
      </c>
      <c r="F52" s="523">
        <f t="shared" si="8"/>
        <v>301687.48691637628</v>
      </c>
      <c r="G52" s="524">
        <f t="shared" si="9"/>
        <v>82230.567467491564</v>
      </c>
      <c r="H52" s="491">
        <f t="shared" si="10"/>
        <v>82230.567467491564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2054</v>
      </c>
      <c r="D53" s="523">
        <f>IF(F52+SUM(E$17:E52)=D$10,F52,D$10-SUM(E$17:E52))</f>
        <v>301687.48691637628</v>
      </c>
      <c r="E53" s="522">
        <f>IF(+I14&lt;F52,I14,D53)</f>
        <v>41498.189761904767</v>
      </c>
      <c r="F53" s="523">
        <f t="shared" si="8"/>
        <v>260189.29715447151</v>
      </c>
      <c r="G53" s="524">
        <f t="shared" si="9"/>
        <v>76988.234447901094</v>
      </c>
      <c r="H53" s="491">
        <f t="shared" si="10"/>
        <v>76988.234447901094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2055</v>
      </c>
      <c r="D54" s="523">
        <f>IF(F53+SUM(E$17:E53)=D$10,F53,D$10-SUM(E$17:E53))</f>
        <v>260189.29715447151</v>
      </c>
      <c r="E54" s="522">
        <f>IF(+I14&lt;F53,I14,D54)</f>
        <v>41498.189761904767</v>
      </c>
      <c r="F54" s="523">
        <f t="shared" si="8"/>
        <v>218691.10739256674</v>
      </c>
      <c r="G54" s="524">
        <f t="shared" si="9"/>
        <v>71745.901428310623</v>
      </c>
      <c r="H54" s="491">
        <f t="shared" si="10"/>
        <v>71745.901428310623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2056</v>
      </c>
      <c r="D55" s="523">
        <f>IF(F54+SUM(E$17:E54)=D$10,F54,D$10-SUM(E$17:E54))</f>
        <v>218691.10739256674</v>
      </c>
      <c r="E55" s="522">
        <f>IF(+I14&lt;F54,I14,D55)</f>
        <v>41498.189761904767</v>
      </c>
      <c r="F55" s="523">
        <f t="shared" si="8"/>
        <v>177192.91763066198</v>
      </c>
      <c r="G55" s="524">
        <f t="shared" si="9"/>
        <v>66503.568408720152</v>
      </c>
      <c r="H55" s="491">
        <f t="shared" si="10"/>
        <v>66503.568408720152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2057</v>
      </c>
      <c r="D56" s="523">
        <f>IF(F55+SUM(E$17:E55)=D$10,F55,D$10-SUM(E$17:E55))</f>
        <v>177192.91763066198</v>
      </c>
      <c r="E56" s="522">
        <f>IF(+I14&lt;F55,I14,D56)</f>
        <v>41498.189761904767</v>
      </c>
      <c r="F56" s="523">
        <f t="shared" si="8"/>
        <v>135694.72786875721</v>
      </c>
      <c r="G56" s="524">
        <f t="shared" si="9"/>
        <v>61261.235389129681</v>
      </c>
      <c r="H56" s="491">
        <f t="shared" si="10"/>
        <v>61261.235389129681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2058</v>
      </c>
      <c r="D57" s="523">
        <f>IF(F56+SUM(E$17:E56)=D$10,F56,D$10-SUM(E$17:E56))</f>
        <v>135694.72786875721</v>
      </c>
      <c r="E57" s="522">
        <f>IF(+I14&lt;F56,I14,D57)</f>
        <v>41498.189761904767</v>
      </c>
      <c r="F57" s="523">
        <f t="shared" si="8"/>
        <v>94196.538106852444</v>
      </c>
      <c r="G57" s="524">
        <f t="shared" si="9"/>
        <v>56018.90236953921</v>
      </c>
      <c r="H57" s="491">
        <f t="shared" si="10"/>
        <v>56018.90236953921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2059</v>
      </c>
      <c r="D58" s="523">
        <f>IF(F57+SUM(E$17:E57)=D$10,F57,D$10-SUM(E$17:E57))</f>
        <v>94196.538106852444</v>
      </c>
      <c r="E58" s="522">
        <f>IF(+I14&lt;F57,I14,D58)</f>
        <v>41498.189761904767</v>
      </c>
      <c r="F58" s="523">
        <f t="shared" si="8"/>
        <v>52698.348344947677</v>
      </c>
      <c r="G58" s="524">
        <f t="shared" si="9"/>
        <v>50776.569349948739</v>
      </c>
      <c r="H58" s="491">
        <f t="shared" si="10"/>
        <v>50776.569349948739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2060</v>
      </c>
      <c r="D59" s="523">
        <f>IF(F58+SUM(E$17:E58)=D$10,F58,D$10-SUM(E$17:E58))</f>
        <v>52698.348344947677</v>
      </c>
      <c r="E59" s="522">
        <f>IF(+I14&lt;F58,I14,D59)</f>
        <v>41498.189761904767</v>
      </c>
      <c r="F59" s="523">
        <f t="shared" si="8"/>
        <v>11200.15858304291</v>
      </c>
      <c r="G59" s="524">
        <f t="shared" si="9"/>
        <v>45534.236330358268</v>
      </c>
      <c r="H59" s="491">
        <f t="shared" si="10"/>
        <v>45534.236330358268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2061</v>
      </c>
      <c r="D60" s="523">
        <f>IF(F59+SUM(E$17:E59)=D$10,F59,D$10-SUM(E$17:E59))</f>
        <v>11200.15858304291</v>
      </c>
      <c r="E60" s="522">
        <f>IF(+I14&lt;F59,I14,D60)</f>
        <v>11200.15858304291</v>
      </c>
      <c r="F60" s="523">
        <f t="shared" si="8"/>
        <v>0</v>
      </c>
      <c r="G60" s="524">
        <f t="shared" si="9"/>
        <v>11907.598612372041</v>
      </c>
      <c r="H60" s="491">
        <f t="shared" si="10"/>
        <v>11907.598612372041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2062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8"/>
        <v>0</v>
      </c>
      <c r="G61" s="526">
        <f t="shared" si="9"/>
        <v>0</v>
      </c>
      <c r="H61" s="491">
        <f t="shared" si="10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2063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8"/>
        <v>0</v>
      </c>
      <c r="G62" s="526">
        <f t="shared" si="9"/>
        <v>0</v>
      </c>
      <c r="H62" s="491">
        <f t="shared" si="10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2064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8"/>
        <v>0</v>
      </c>
      <c r="G63" s="526">
        <f t="shared" si="9"/>
        <v>0</v>
      </c>
      <c r="H63" s="491">
        <f t="shared" si="10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2065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8"/>
        <v>0</v>
      </c>
      <c r="G64" s="526">
        <f t="shared" si="9"/>
        <v>0</v>
      </c>
      <c r="H64" s="491">
        <f t="shared" si="10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2066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8"/>
        <v>0</v>
      </c>
      <c r="G65" s="526">
        <f t="shared" si="9"/>
        <v>0</v>
      </c>
      <c r="H65" s="491">
        <f t="shared" si="10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2067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8"/>
        <v>0</v>
      </c>
      <c r="G66" s="526">
        <f t="shared" si="9"/>
        <v>0</v>
      </c>
      <c r="H66" s="491">
        <f t="shared" si="10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2068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8"/>
        <v>0</v>
      </c>
      <c r="G67" s="526">
        <f t="shared" si="9"/>
        <v>0</v>
      </c>
      <c r="H67" s="491">
        <f t="shared" si="10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2069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8"/>
        <v>0</v>
      </c>
      <c r="G68" s="526">
        <f t="shared" si="9"/>
        <v>0</v>
      </c>
      <c r="H68" s="491">
        <f t="shared" si="10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2070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8"/>
        <v>0</v>
      </c>
      <c r="G69" s="526">
        <f t="shared" si="9"/>
        <v>0</v>
      </c>
      <c r="H69" s="491">
        <f t="shared" si="10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2071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8"/>
        <v>0</v>
      </c>
      <c r="G70" s="526">
        <f t="shared" si="9"/>
        <v>0</v>
      </c>
      <c r="H70" s="491">
        <f t="shared" si="10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2072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8"/>
        <v>0</v>
      </c>
      <c r="G71" s="526">
        <f t="shared" si="9"/>
        <v>0</v>
      </c>
      <c r="H71" s="491">
        <f t="shared" si="10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2073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8"/>
        <v>0</v>
      </c>
      <c r="G72" s="530">
        <f t="shared" si="9"/>
        <v>0</v>
      </c>
      <c r="H72" s="471">
        <f t="shared" si="10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1742923.97</v>
      </c>
      <c r="F73" s="375"/>
      <c r="G73" s="375">
        <f>SUM(G17:G72)</f>
        <v>6342086.3585577412</v>
      </c>
      <c r="H73" s="375">
        <f>SUM(H17:H72)</f>
        <v>6342086.3585577412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71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215521.79480403315</v>
      </c>
      <c r="N87" s="546">
        <f>IF(J92&lt;D11,0,VLOOKUP(J92,C17:O72,11))</f>
        <v>215521.79480403315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228632.52636165477</v>
      </c>
      <c r="N88" s="550">
        <f>IF(J92&lt;D11,0,VLOOKUP(J92,C99:P154,7))</f>
        <v>228632.52636165477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IPC 138 KV Capacitor Bank Addition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13110.731557621621</v>
      </c>
      <c r="N89" s="555">
        <f>+N88-N87</f>
        <v>13110.731557621621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TP2017012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1742924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v>2018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42510.341463414632</v>
      </c>
      <c r="K96" s="375"/>
      <c r="L96" s="375"/>
      <c r="M96" s="375"/>
      <c r="N96" s="375"/>
      <c r="O96" s="375"/>
      <c r="P96" s="272"/>
    </row>
    <row r="97" spans="1:16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2018</v>
      </c>
      <c r="D99" s="629">
        <v>0</v>
      </c>
      <c r="E99" s="630">
        <v>0</v>
      </c>
      <c r="F99" s="631">
        <v>1689645</v>
      </c>
      <c r="G99" s="631">
        <v>844822.5</v>
      </c>
      <c r="H99" s="633">
        <v>89217.130203738969</v>
      </c>
      <c r="I99" s="634">
        <v>89217.130203738969</v>
      </c>
      <c r="J99" s="514">
        <f t="shared" ref="J99:J130" si="11">+I99-H99</f>
        <v>0</v>
      </c>
      <c r="K99" s="514"/>
      <c r="L99" s="512">
        <f>+H99</f>
        <v>89217.130203738969</v>
      </c>
      <c r="M99" s="513">
        <f t="shared" ref="M99:M101" si="12">IF(L99&lt;&gt;0,+H99-L99,0)</f>
        <v>0</v>
      </c>
      <c r="N99" s="512">
        <f>+I99</f>
        <v>89217.130203738969</v>
      </c>
      <c r="O99" s="513">
        <f t="shared" ref="O99:O130" si="13">IF(N99&lt;&gt;0,+I99-N99,0)</f>
        <v>0</v>
      </c>
      <c r="P99" s="513">
        <f t="shared" ref="P99:P130" si="14">+O99-M99</f>
        <v>0</v>
      </c>
    </row>
    <row r="100" spans="1:16" ht="12.5">
      <c r="B100" s="195" t="str">
        <f>IF(D100=F99,"","IU")</f>
        <v>IU</v>
      </c>
      <c r="C100" s="507">
        <f>IF(D93="","-",+C99+1)</f>
        <v>2019</v>
      </c>
      <c r="D100" s="629">
        <v>1742924</v>
      </c>
      <c r="E100" s="630">
        <v>40533.116279069771</v>
      </c>
      <c r="F100" s="631">
        <v>1702390.8837209302</v>
      </c>
      <c r="G100" s="631">
        <v>1722657.4418604651</v>
      </c>
      <c r="H100" s="633">
        <v>224927.31036056377</v>
      </c>
      <c r="I100" s="634">
        <v>224927.31036056377</v>
      </c>
      <c r="J100" s="514">
        <f t="shared" si="11"/>
        <v>0</v>
      </c>
      <c r="K100" s="514"/>
      <c r="L100" s="655">
        <f>+H100</f>
        <v>224927.31036056377</v>
      </c>
      <c r="M100" s="514">
        <f t="shared" si="12"/>
        <v>0</v>
      </c>
      <c r="N100" s="655">
        <f>+I100</f>
        <v>224927.31036056377</v>
      </c>
      <c r="O100" s="514">
        <f t="shared" si="13"/>
        <v>0</v>
      </c>
      <c r="P100" s="514">
        <f t="shared" si="14"/>
        <v>0</v>
      </c>
    </row>
    <row r="101" spans="1:16" ht="12.5">
      <c r="B101" s="195" t="str">
        <f t="shared" ref="B101:B154" si="15">IF(D101=F100,"","IU")</f>
        <v/>
      </c>
      <c r="C101" s="507">
        <f>IF(D93="","-",+C100+1)</f>
        <v>2020</v>
      </c>
      <c r="D101" s="629">
        <v>1702390.8837209302</v>
      </c>
      <c r="E101" s="630">
        <v>41498.190476190473</v>
      </c>
      <c r="F101" s="631">
        <v>1660892.6932447397</v>
      </c>
      <c r="G101" s="631">
        <v>1681641.7884828351</v>
      </c>
      <c r="H101" s="633">
        <v>222398.8425566837</v>
      </c>
      <c r="I101" s="634">
        <v>222398.8425566837</v>
      </c>
      <c r="J101" s="514">
        <f t="shared" si="11"/>
        <v>0</v>
      </c>
      <c r="K101" s="514"/>
      <c r="L101" s="655">
        <f>+H101</f>
        <v>222398.8425566837</v>
      </c>
      <c r="M101" s="514">
        <f t="shared" si="12"/>
        <v>0</v>
      </c>
      <c r="N101" s="655">
        <f>+I101</f>
        <v>222398.8425566837</v>
      </c>
      <c r="O101" s="514">
        <f t="shared" si="13"/>
        <v>0</v>
      </c>
      <c r="P101" s="514">
        <f t="shared" si="14"/>
        <v>0</v>
      </c>
    </row>
    <row r="102" spans="1:16" ht="12.5">
      <c r="B102" s="195" t="str">
        <f t="shared" si="15"/>
        <v/>
      </c>
      <c r="C102" s="507">
        <f>IF(D93="","-",+C101+1)</f>
        <v>2021</v>
      </c>
      <c r="D102" s="374">
        <f>IF(F101+SUM(E$99:E101)=D$92,F101,D$92-SUM(E$99:E101))</f>
        <v>1660892.6932447397</v>
      </c>
      <c r="E102" s="522">
        <f>IF(+J96&lt;F101,J96,D102)</f>
        <v>42510.341463414632</v>
      </c>
      <c r="F102" s="523">
        <f t="shared" ref="F102:F154" si="16">+D102-E102</f>
        <v>1618382.3517813249</v>
      </c>
      <c r="G102" s="523">
        <f t="shared" ref="G102:G154" si="17">+(F102+D102)/2</f>
        <v>1639637.5225130324</v>
      </c>
      <c r="H102" s="526">
        <f t="shared" ref="H102:H154" si="18">+J$94*G102+E102</f>
        <v>228632.52636165477</v>
      </c>
      <c r="I102" s="577">
        <f t="shared" ref="I102:I154" si="19">+J$95*G102+E102</f>
        <v>228632.52636165477</v>
      </c>
      <c r="J102" s="514">
        <f t="shared" si="11"/>
        <v>0</v>
      </c>
      <c r="K102" s="514"/>
      <c r="L102" s="525"/>
      <c r="M102" s="514">
        <f t="shared" ref="M102:M130" si="20">IF(L102&lt;&gt;0,+H102-L102,0)</f>
        <v>0</v>
      </c>
      <c r="N102" s="525"/>
      <c r="O102" s="514">
        <f t="shared" si="13"/>
        <v>0</v>
      </c>
      <c r="P102" s="514">
        <f t="shared" si="14"/>
        <v>0</v>
      </c>
    </row>
    <row r="103" spans="1:16" ht="12.5">
      <c r="B103" s="195" t="str">
        <f t="shared" si="15"/>
        <v/>
      </c>
      <c r="C103" s="507">
        <f>IF(D93="","-",+C102+1)</f>
        <v>2022</v>
      </c>
      <c r="D103" s="374">
        <f>IF(F102+SUM(E$99:E102)=D$92,F102,D$92-SUM(E$99:E102))</f>
        <v>1618382.3517813249</v>
      </c>
      <c r="E103" s="522">
        <f>IF(+J96&lt;F102,J96,D103)</f>
        <v>42510.341463414632</v>
      </c>
      <c r="F103" s="523">
        <f t="shared" si="16"/>
        <v>1575872.0103179102</v>
      </c>
      <c r="G103" s="523">
        <f t="shared" si="17"/>
        <v>1597127.1810496175</v>
      </c>
      <c r="H103" s="526">
        <f t="shared" si="18"/>
        <v>223806.9978376342</v>
      </c>
      <c r="I103" s="577">
        <f t="shared" si="19"/>
        <v>223806.9978376342</v>
      </c>
      <c r="J103" s="514">
        <f t="shared" si="11"/>
        <v>0</v>
      </c>
      <c r="K103" s="514"/>
      <c r="L103" s="525"/>
      <c r="M103" s="514">
        <f t="shared" si="20"/>
        <v>0</v>
      </c>
      <c r="N103" s="525"/>
      <c r="O103" s="514">
        <f t="shared" si="13"/>
        <v>0</v>
      </c>
      <c r="P103" s="514">
        <f t="shared" si="14"/>
        <v>0</v>
      </c>
    </row>
    <row r="104" spans="1:16" ht="12.5">
      <c r="B104" s="195" t="str">
        <f t="shared" si="15"/>
        <v/>
      </c>
      <c r="C104" s="507">
        <f>IF(D93="","-",+C103+1)</f>
        <v>2023</v>
      </c>
      <c r="D104" s="374">
        <f>IF(F103+SUM(E$99:E103)=D$92,F103,D$92-SUM(E$99:E103))</f>
        <v>1575872.0103179102</v>
      </c>
      <c r="E104" s="522">
        <f>IF(+J96&lt;F103,J96,D104)</f>
        <v>42510.341463414632</v>
      </c>
      <c r="F104" s="523">
        <f t="shared" si="16"/>
        <v>1533361.6688544955</v>
      </c>
      <c r="G104" s="523">
        <f t="shared" si="17"/>
        <v>1554616.839586203</v>
      </c>
      <c r="H104" s="526">
        <f t="shared" si="18"/>
        <v>218981.46931361369</v>
      </c>
      <c r="I104" s="577">
        <f t="shared" si="19"/>
        <v>218981.46931361369</v>
      </c>
      <c r="J104" s="514">
        <f t="shared" si="11"/>
        <v>0</v>
      </c>
      <c r="K104" s="514"/>
      <c r="L104" s="525"/>
      <c r="M104" s="514">
        <f t="shared" si="20"/>
        <v>0</v>
      </c>
      <c r="N104" s="525"/>
      <c r="O104" s="514">
        <f t="shared" si="13"/>
        <v>0</v>
      </c>
      <c r="P104" s="514">
        <f t="shared" si="14"/>
        <v>0</v>
      </c>
    </row>
    <row r="105" spans="1:16" ht="12.5">
      <c r="B105" s="195" t="str">
        <f t="shared" si="15"/>
        <v/>
      </c>
      <c r="C105" s="507">
        <f>IF(D93="","-",+C104+1)</f>
        <v>2024</v>
      </c>
      <c r="D105" s="374">
        <f>IF(F104+SUM(E$99:E104)=D$92,F104,D$92-SUM(E$99:E104))</f>
        <v>1533361.6688544955</v>
      </c>
      <c r="E105" s="522">
        <f>IF(+J96&lt;F104,J96,D105)</f>
        <v>42510.341463414632</v>
      </c>
      <c r="F105" s="523">
        <f t="shared" si="16"/>
        <v>1490851.3273910808</v>
      </c>
      <c r="G105" s="523">
        <f t="shared" si="17"/>
        <v>1512106.498122788</v>
      </c>
      <c r="H105" s="526">
        <f t="shared" si="18"/>
        <v>214155.94078959315</v>
      </c>
      <c r="I105" s="577">
        <f t="shared" si="19"/>
        <v>214155.94078959315</v>
      </c>
      <c r="J105" s="514">
        <f t="shared" si="11"/>
        <v>0</v>
      </c>
      <c r="K105" s="514"/>
      <c r="L105" s="525"/>
      <c r="M105" s="514">
        <f t="shared" si="20"/>
        <v>0</v>
      </c>
      <c r="N105" s="525"/>
      <c r="O105" s="514">
        <f t="shared" si="13"/>
        <v>0</v>
      </c>
      <c r="P105" s="514">
        <f t="shared" si="14"/>
        <v>0</v>
      </c>
    </row>
    <row r="106" spans="1:16" ht="12.5">
      <c r="B106" s="195" t="str">
        <f t="shared" si="15"/>
        <v/>
      </c>
      <c r="C106" s="507">
        <f>IF(D93="","-",+C105+1)</f>
        <v>2025</v>
      </c>
      <c r="D106" s="374">
        <f>IF(F105+SUM(E$99:E105)=D$92,F105,D$92-SUM(E$99:E105))</f>
        <v>1490851.3273910808</v>
      </c>
      <c r="E106" s="522">
        <f>IF(+J96&lt;F105,J96,D106)</f>
        <v>42510.341463414632</v>
      </c>
      <c r="F106" s="523">
        <f t="shared" si="16"/>
        <v>1448340.9859276661</v>
      </c>
      <c r="G106" s="523">
        <f t="shared" si="17"/>
        <v>1469596.1566593735</v>
      </c>
      <c r="H106" s="526">
        <f t="shared" si="18"/>
        <v>209330.41226557264</v>
      </c>
      <c r="I106" s="577">
        <f t="shared" si="19"/>
        <v>209330.41226557264</v>
      </c>
      <c r="J106" s="514">
        <f t="shared" si="11"/>
        <v>0</v>
      </c>
      <c r="K106" s="514"/>
      <c r="L106" s="525"/>
      <c r="M106" s="514">
        <f t="shared" si="20"/>
        <v>0</v>
      </c>
      <c r="N106" s="525"/>
      <c r="O106" s="514">
        <f t="shared" si="13"/>
        <v>0</v>
      </c>
      <c r="P106" s="514">
        <f t="shared" si="14"/>
        <v>0</v>
      </c>
    </row>
    <row r="107" spans="1:16" ht="12.5">
      <c r="B107" s="195" t="str">
        <f t="shared" si="15"/>
        <v/>
      </c>
      <c r="C107" s="507">
        <f>IF(D93="","-",+C106+1)</f>
        <v>2026</v>
      </c>
      <c r="D107" s="374">
        <f>IF(F106+SUM(E$99:E106)=D$92,F106,D$92-SUM(E$99:E106))</f>
        <v>1448340.9859276661</v>
      </c>
      <c r="E107" s="522">
        <f>IF(+J96&lt;F106,J96,D107)</f>
        <v>42510.341463414632</v>
      </c>
      <c r="F107" s="523">
        <f t="shared" si="16"/>
        <v>1405830.6444642514</v>
      </c>
      <c r="G107" s="523">
        <f t="shared" si="17"/>
        <v>1427085.8151959586</v>
      </c>
      <c r="H107" s="526">
        <f t="shared" si="18"/>
        <v>204504.88374155207</v>
      </c>
      <c r="I107" s="577">
        <f t="shared" si="19"/>
        <v>204504.88374155207</v>
      </c>
      <c r="J107" s="514">
        <f t="shared" si="11"/>
        <v>0</v>
      </c>
      <c r="K107" s="514"/>
      <c r="L107" s="525"/>
      <c r="M107" s="514">
        <f t="shared" si="20"/>
        <v>0</v>
      </c>
      <c r="N107" s="525"/>
      <c r="O107" s="514">
        <f t="shared" si="13"/>
        <v>0</v>
      </c>
      <c r="P107" s="514">
        <f t="shared" si="14"/>
        <v>0</v>
      </c>
    </row>
    <row r="108" spans="1:16" ht="12.5">
      <c r="B108" s="195" t="str">
        <f t="shared" si="15"/>
        <v/>
      </c>
      <c r="C108" s="507">
        <f>IF(D93="","-",+C107+1)</f>
        <v>2027</v>
      </c>
      <c r="D108" s="374">
        <f>IF(F107+SUM(E$99:E107)=D$92,F107,D$92-SUM(E$99:E107))</f>
        <v>1405830.6444642514</v>
      </c>
      <c r="E108" s="522">
        <f>IF(+J96&lt;F107,J96,D108)</f>
        <v>42510.341463414632</v>
      </c>
      <c r="F108" s="523">
        <f t="shared" si="16"/>
        <v>1363320.3030008366</v>
      </c>
      <c r="G108" s="523">
        <f t="shared" si="17"/>
        <v>1384575.4737325441</v>
      </c>
      <c r="H108" s="526">
        <f t="shared" si="18"/>
        <v>199679.35521753156</v>
      </c>
      <c r="I108" s="577">
        <f t="shared" si="19"/>
        <v>199679.35521753156</v>
      </c>
      <c r="J108" s="514">
        <f t="shared" si="11"/>
        <v>0</v>
      </c>
      <c r="K108" s="514"/>
      <c r="L108" s="525"/>
      <c r="M108" s="514">
        <f t="shared" si="20"/>
        <v>0</v>
      </c>
      <c r="N108" s="525"/>
      <c r="O108" s="514">
        <f t="shared" si="13"/>
        <v>0</v>
      </c>
      <c r="P108" s="514">
        <f t="shared" si="14"/>
        <v>0</v>
      </c>
    </row>
    <row r="109" spans="1:16" ht="12.5">
      <c r="B109" s="195" t="str">
        <f t="shared" si="15"/>
        <v/>
      </c>
      <c r="C109" s="507">
        <f>IF(D93="","-",+C108+1)</f>
        <v>2028</v>
      </c>
      <c r="D109" s="374">
        <f>IF(F108+SUM(E$99:E108)=D$92,F108,D$92-SUM(E$99:E108))</f>
        <v>1363320.3030008366</v>
      </c>
      <c r="E109" s="522">
        <f>IF(+J96&lt;F108,J96,D109)</f>
        <v>42510.341463414632</v>
      </c>
      <c r="F109" s="523">
        <f t="shared" si="16"/>
        <v>1320809.9615374219</v>
      </c>
      <c r="G109" s="523">
        <f t="shared" si="17"/>
        <v>1342065.1322691292</v>
      </c>
      <c r="H109" s="526">
        <f t="shared" si="18"/>
        <v>194853.82669351102</v>
      </c>
      <c r="I109" s="577">
        <f t="shared" si="19"/>
        <v>194853.82669351102</v>
      </c>
      <c r="J109" s="514">
        <f t="shared" si="11"/>
        <v>0</v>
      </c>
      <c r="K109" s="514"/>
      <c r="L109" s="525"/>
      <c r="M109" s="514">
        <f t="shared" si="20"/>
        <v>0</v>
      </c>
      <c r="N109" s="525"/>
      <c r="O109" s="514">
        <f t="shared" si="13"/>
        <v>0</v>
      </c>
      <c r="P109" s="514">
        <f t="shared" si="14"/>
        <v>0</v>
      </c>
    </row>
    <row r="110" spans="1:16" ht="12.5">
      <c r="B110" s="195" t="str">
        <f t="shared" si="15"/>
        <v/>
      </c>
      <c r="C110" s="507">
        <f>IF(D93="","-",+C109+1)</f>
        <v>2029</v>
      </c>
      <c r="D110" s="374">
        <f>IF(F109+SUM(E$99:E109)=D$92,F109,D$92-SUM(E$99:E109))</f>
        <v>1320809.9615374219</v>
      </c>
      <c r="E110" s="522">
        <f>IF(+J96&lt;F109,J96,D110)</f>
        <v>42510.341463414632</v>
      </c>
      <c r="F110" s="523">
        <f t="shared" si="16"/>
        <v>1278299.6200740072</v>
      </c>
      <c r="G110" s="523">
        <f t="shared" si="17"/>
        <v>1299554.7908057147</v>
      </c>
      <c r="H110" s="526">
        <f t="shared" si="18"/>
        <v>190028.2981694905</v>
      </c>
      <c r="I110" s="577">
        <f t="shared" si="19"/>
        <v>190028.2981694905</v>
      </c>
      <c r="J110" s="514">
        <f t="shared" si="11"/>
        <v>0</v>
      </c>
      <c r="K110" s="514"/>
      <c r="L110" s="525"/>
      <c r="M110" s="514">
        <f t="shared" si="20"/>
        <v>0</v>
      </c>
      <c r="N110" s="525"/>
      <c r="O110" s="514">
        <f t="shared" si="13"/>
        <v>0</v>
      </c>
      <c r="P110" s="514">
        <f t="shared" si="14"/>
        <v>0</v>
      </c>
    </row>
    <row r="111" spans="1:16" ht="12.5">
      <c r="B111" s="195" t="str">
        <f t="shared" si="15"/>
        <v/>
      </c>
      <c r="C111" s="507">
        <f>IF(D93="","-",+C110+1)</f>
        <v>2030</v>
      </c>
      <c r="D111" s="374">
        <f>IF(F110+SUM(E$99:E110)=D$92,F110,D$92-SUM(E$99:E110))</f>
        <v>1278299.6200740072</v>
      </c>
      <c r="E111" s="522">
        <f>IF(+J96&lt;F110,J96,D111)</f>
        <v>42510.341463414632</v>
      </c>
      <c r="F111" s="523">
        <f t="shared" si="16"/>
        <v>1235789.2786105925</v>
      </c>
      <c r="G111" s="523">
        <f t="shared" si="17"/>
        <v>1257044.4493422997</v>
      </c>
      <c r="H111" s="526">
        <f t="shared" si="18"/>
        <v>185202.76964546993</v>
      </c>
      <c r="I111" s="577">
        <f t="shared" si="19"/>
        <v>185202.76964546993</v>
      </c>
      <c r="J111" s="514">
        <f t="shared" si="11"/>
        <v>0</v>
      </c>
      <c r="K111" s="514"/>
      <c r="L111" s="525"/>
      <c r="M111" s="514">
        <f t="shared" si="20"/>
        <v>0</v>
      </c>
      <c r="N111" s="525"/>
      <c r="O111" s="514">
        <f t="shared" si="13"/>
        <v>0</v>
      </c>
      <c r="P111" s="514">
        <f t="shared" si="14"/>
        <v>0</v>
      </c>
    </row>
    <row r="112" spans="1:16" ht="12.5">
      <c r="B112" s="195" t="str">
        <f t="shared" si="15"/>
        <v/>
      </c>
      <c r="C112" s="507">
        <f>IF(D93="","-",+C111+1)</f>
        <v>2031</v>
      </c>
      <c r="D112" s="374">
        <f>IF(F111+SUM(E$99:E111)=D$92,F111,D$92-SUM(E$99:E111))</f>
        <v>1235789.2786105925</v>
      </c>
      <c r="E112" s="522">
        <f>IF(+J96&lt;F111,J96,D112)</f>
        <v>42510.341463414632</v>
      </c>
      <c r="F112" s="523">
        <f t="shared" si="16"/>
        <v>1193278.9371471778</v>
      </c>
      <c r="G112" s="523">
        <f t="shared" si="17"/>
        <v>1214534.1078788852</v>
      </c>
      <c r="H112" s="526">
        <f t="shared" si="18"/>
        <v>180377.24112144942</v>
      </c>
      <c r="I112" s="577">
        <f t="shared" si="19"/>
        <v>180377.24112144942</v>
      </c>
      <c r="J112" s="514">
        <f t="shared" si="11"/>
        <v>0</v>
      </c>
      <c r="K112" s="514"/>
      <c r="L112" s="525"/>
      <c r="M112" s="514">
        <f t="shared" si="20"/>
        <v>0</v>
      </c>
      <c r="N112" s="525"/>
      <c r="O112" s="514">
        <f t="shared" si="13"/>
        <v>0</v>
      </c>
      <c r="P112" s="514">
        <f t="shared" si="14"/>
        <v>0</v>
      </c>
    </row>
    <row r="113" spans="2:16" ht="12.5">
      <c r="B113" s="195" t="str">
        <f t="shared" si="15"/>
        <v/>
      </c>
      <c r="C113" s="507">
        <f>IF(D93="","-",+C112+1)</f>
        <v>2032</v>
      </c>
      <c r="D113" s="374">
        <f>IF(F112+SUM(E$99:E112)=D$92,F112,D$92-SUM(E$99:E112))</f>
        <v>1193278.9371471778</v>
      </c>
      <c r="E113" s="522">
        <f>IF(+J96&lt;F112,J96,D113)</f>
        <v>42510.341463414632</v>
      </c>
      <c r="F113" s="523">
        <f t="shared" si="16"/>
        <v>1150768.595683763</v>
      </c>
      <c r="G113" s="523">
        <f t="shared" si="17"/>
        <v>1172023.7664154703</v>
      </c>
      <c r="H113" s="526">
        <f t="shared" si="18"/>
        <v>175551.71259742888</v>
      </c>
      <c r="I113" s="577">
        <f t="shared" si="19"/>
        <v>175551.71259742888</v>
      </c>
      <c r="J113" s="514">
        <f t="shared" si="11"/>
        <v>0</v>
      </c>
      <c r="K113" s="514"/>
      <c r="L113" s="525"/>
      <c r="M113" s="514">
        <f t="shared" si="20"/>
        <v>0</v>
      </c>
      <c r="N113" s="525"/>
      <c r="O113" s="514">
        <f t="shared" si="13"/>
        <v>0</v>
      </c>
      <c r="P113" s="514">
        <f t="shared" si="14"/>
        <v>0</v>
      </c>
    </row>
    <row r="114" spans="2:16" ht="12.5">
      <c r="B114" s="195" t="str">
        <f t="shared" si="15"/>
        <v/>
      </c>
      <c r="C114" s="507">
        <f>IF(D93="","-",+C113+1)</f>
        <v>2033</v>
      </c>
      <c r="D114" s="374">
        <f>IF(F113+SUM(E$99:E113)=D$92,F113,D$92-SUM(E$99:E113))</f>
        <v>1150768.595683763</v>
      </c>
      <c r="E114" s="522">
        <f>IF(+J96&lt;F113,J96,D114)</f>
        <v>42510.341463414632</v>
      </c>
      <c r="F114" s="523">
        <f t="shared" si="16"/>
        <v>1108258.2542203483</v>
      </c>
      <c r="G114" s="523">
        <f t="shared" si="17"/>
        <v>1129513.4249520558</v>
      </c>
      <c r="H114" s="526">
        <f t="shared" si="18"/>
        <v>170726.18407340837</v>
      </c>
      <c r="I114" s="577">
        <f t="shared" si="19"/>
        <v>170726.18407340837</v>
      </c>
      <c r="J114" s="514">
        <f t="shared" si="11"/>
        <v>0</v>
      </c>
      <c r="K114" s="514"/>
      <c r="L114" s="525"/>
      <c r="M114" s="514">
        <f t="shared" si="20"/>
        <v>0</v>
      </c>
      <c r="N114" s="525"/>
      <c r="O114" s="514">
        <f t="shared" si="13"/>
        <v>0</v>
      </c>
      <c r="P114" s="514">
        <f t="shared" si="14"/>
        <v>0</v>
      </c>
    </row>
    <row r="115" spans="2:16" ht="12.5">
      <c r="B115" s="195" t="str">
        <f t="shared" si="15"/>
        <v/>
      </c>
      <c r="C115" s="507">
        <f>IF(D93="","-",+C114+1)</f>
        <v>2034</v>
      </c>
      <c r="D115" s="374">
        <f>IF(F114+SUM(E$99:E114)=D$92,F114,D$92-SUM(E$99:E114))</f>
        <v>1108258.2542203483</v>
      </c>
      <c r="E115" s="522">
        <f>IF(+J96&lt;F114,J96,D115)</f>
        <v>42510.341463414632</v>
      </c>
      <c r="F115" s="523">
        <f t="shared" si="16"/>
        <v>1065747.9127569336</v>
      </c>
      <c r="G115" s="523">
        <f t="shared" si="17"/>
        <v>1087003.0834886408</v>
      </c>
      <c r="H115" s="526">
        <f t="shared" si="18"/>
        <v>165900.6555493878</v>
      </c>
      <c r="I115" s="577">
        <f t="shared" si="19"/>
        <v>165900.6555493878</v>
      </c>
      <c r="J115" s="514">
        <f t="shared" si="11"/>
        <v>0</v>
      </c>
      <c r="K115" s="514"/>
      <c r="L115" s="525"/>
      <c r="M115" s="514">
        <f t="shared" si="20"/>
        <v>0</v>
      </c>
      <c r="N115" s="525"/>
      <c r="O115" s="514">
        <f t="shared" si="13"/>
        <v>0</v>
      </c>
      <c r="P115" s="514">
        <f t="shared" si="14"/>
        <v>0</v>
      </c>
    </row>
    <row r="116" spans="2:16" ht="12.5">
      <c r="B116" s="195" t="str">
        <f t="shared" si="15"/>
        <v/>
      </c>
      <c r="C116" s="507">
        <f>IF(D93="","-",+C115+1)</f>
        <v>2035</v>
      </c>
      <c r="D116" s="374">
        <f>IF(F115+SUM(E$99:E115)=D$92,F115,D$92-SUM(E$99:E115))</f>
        <v>1065747.9127569336</v>
      </c>
      <c r="E116" s="522">
        <f>IF(+J96&lt;F115,J96,D116)</f>
        <v>42510.341463414632</v>
      </c>
      <c r="F116" s="523">
        <f t="shared" si="16"/>
        <v>1023237.571293519</v>
      </c>
      <c r="G116" s="523">
        <f t="shared" si="17"/>
        <v>1044492.7420252264</v>
      </c>
      <c r="H116" s="526">
        <f t="shared" si="18"/>
        <v>161075.12702536728</v>
      </c>
      <c r="I116" s="577">
        <f t="shared" si="19"/>
        <v>161075.12702536728</v>
      </c>
      <c r="J116" s="514">
        <f t="shared" si="11"/>
        <v>0</v>
      </c>
      <c r="K116" s="514"/>
      <c r="L116" s="525"/>
      <c r="M116" s="514">
        <f t="shared" si="20"/>
        <v>0</v>
      </c>
      <c r="N116" s="525"/>
      <c r="O116" s="514">
        <f t="shared" si="13"/>
        <v>0</v>
      </c>
      <c r="P116" s="514">
        <f t="shared" si="14"/>
        <v>0</v>
      </c>
    </row>
    <row r="117" spans="2:16" ht="12.5">
      <c r="B117" s="195" t="str">
        <f t="shared" si="15"/>
        <v/>
      </c>
      <c r="C117" s="507">
        <f>IF(D93="","-",+C116+1)</f>
        <v>2036</v>
      </c>
      <c r="D117" s="374">
        <f>IF(F116+SUM(E$99:E116)=D$92,F116,D$92-SUM(E$99:E116))</f>
        <v>1023237.571293519</v>
      </c>
      <c r="E117" s="522">
        <f>IF(+J96&lt;F116,J96,D117)</f>
        <v>42510.341463414632</v>
      </c>
      <c r="F117" s="523">
        <f t="shared" si="16"/>
        <v>980727.22983010439</v>
      </c>
      <c r="G117" s="523">
        <f t="shared" si="17"/>
        <v>1001982.4005618116</v>
      </c>
      <c r="H117" s="526">
        <f t="shared" si="18"/>
        <v>156249.59850134677</v>
      </c>
      <c r="I117" s="577">
        <f t="shared" si="19"/>
        <v>156249.59850134677</v>
      </c>
      <c r="J117" s="514">
        <f t="shared" si="11"/>
        <v>0</v>
      </c>
      <c r="K117" s="514"/>
      <c r="L117" s="525"/>
      <c r="M117" s="514">
        <f t="shared" si="20"/>
        <v>0</v>
      </c>
      <c r="N117" s="525"/>
      <c r="O117" s="514">
        <f t="shared" si="13"/>
        <v>0</v>
      </c>
      <c r="P117" s="514">
        <f t="shared" si="14"/>
        <v>0</v>
      </c>
    </row>
    <row r="118" spans="2:16" ht="12.5">
      <c r="B118" s="195" t="str">
        <f t="shared" si="15"/>
        <v/>
      </c>
      <c r="C118" s="507">
        <f>IF(D93="","-",+C117+1)</f>
        <v>2037</v>
      </c>
      <c r="D118" s="374">
        <f>IF(F117+SUM(E$99:E117)=D$92,F117,D$92-SUM(E$99:E117))</f>
        <v>980727.22983010439</v>
      </c>
      <c r="E118" s="522">
        <f>IF(+J96&lt;F117,J96,D118)</f>
        <v>42510.341463414632</v>
      </c>
      <c r="F118" s="523">
        <f t="shared" si="16"/>
        <v>938216.88836668979</v>
      </c>
      <c r="G118" s="523">
        <f t="shared" si="17"/>
        <v>959472.05909839715</v>
      </c>
      <c r="H118" s="526">
        <f t="shared" si="18"/>
        <v>151424.06997732626</v>
      </c>
      <c r="I118" s="577">
        <f t="shared" si="19"/>
        <v>151424.06997732626</v>
      </c>
      <c r="J118" s="514">
        <f t="shared" si="11"/>
        <v>0</v>
      </c>
      <c r="K118" s="514"/>
      <c r="L118" s="525"/>
      <c r="M118" s="514">
        <f t="shared" si="20"/>
        <v>0</v>
      </c>
      <c r="N118" s="525"/>
      <c r="O118" s="514">
        <f t="shared" si="13"/>
        <v>0</v>
      </c>
      <c r="P118" s="514">
        <f t="shared" si="14"/>
        <v>0</v>
      </c>
    </row>
    <row r="119" spans="2:16" ht="12.5">
      <c r="B119" s="195" t="str">
        <f t="shared" si="15"/>
        <v/>
      </c>
      <c r="C119" s="507">
        <f>IF(D93="","-",+C118+1)</f>
        <v>2038</v>
      </c>
      <c r="D119" s="374">
        <f>IF(F118+SUM(E$99:E118)=D$92,F118,D$92-SUM(E$99:E118))</f>
        <v>938216.88836668979</v>
      </c>
      <c r="E119" s="522">
        <f>IF(+J96&lt;F118,J96,D119)</f>
        <v>42510.341463414632</v>
      </c>
      <c r="F119" s="523">
        <f t="shared" si="16"/>
        <v>895706.54690327519</v>
      </c>
      <c r="G119" s="523">
        <f t="shared" si="17"/>
        <v>916961.71763498243</v>
      </c>
      <c r="H119" s="526">
        <f t="shared" si="18"/>
        <v>146598.54145330572</v>
      </c>
      <c r="I119" s="577">
        <f t="shared" si="19"/>
        <v>146598.54145330572</v>
      </c>
      <c r="J119" s="514">
        <f t="shared" si="11"/>
        <v>0</v>
      </c>
      <c r="K119" s="514"/>
      <c r="L119" s="525"/>
      <c r="M119" s="514">
        <f t="shared" si="20"/>
        <v>0</v>
      </c>
      <c r="N119" s="525"/>
      <c r="O119" s="514">
        <f t="shared" si="13"/>
        <v>0</v>
      </c>
      <c r="P119" s="514">
        <f t="shared" si="14"/>
        <v>0</v>
      </c>
    </row>
    <row r="120" spans="2:16" ht="12.5">
      <c r="B120" s="195" t="str">
        <f t="shared" si="15"/>
        <v/>
      </c>
      <c r="C120" s="507">
        <f>IF(D93="","-",+C119+1)</f>
        <v>2039</v>
      </c>
      <c r="D120" s="374">
        <f>IF(F119+SUM(E$99:E119)=D$92,F119,D$92-SUM(E$99:E119))</f>
        <v>895706.54690327519</v>
      </c>
      <c r="E120" s="522">
        <f>IF(+J96&lt;F119,J96,D120)</f>
        <v>42510.341463414632</v>
      </c>
      <c r="F120" s="523">
        <f t="shared" si="16"/>
        <v>853196.20543986058</v>
      </c>
      <c r="G120" s="523">
        <f t="shared" si="17"/>
        <v>874451.37617156794</v>
      </c>
      <c r="H120" s="526">
        <f t="shared" si="18"/>
        <v>141773.01292928521</v>
      </c>
      <c r="I120" s="577">
        <f t="shared" si="19"/>
        <v>141773.01292928521</v>
      </c>
      <c r="J120" s="514">
        <f t="shared" si="11"/>
        <v>0</v>
      </c>
      <c r="K120" s="514"/>
      <c r="L120" s="525"/>
      <c r="M120" s="514">
        <f t="shared" si="20"/>
        <v>0</v>
      </c>
      <c r="N120" s="525"/>
      <c r="O120" s="514">
        <f t="shared" si="13"/>
        <v>0</v>
      </c>
      <c r="P120" s="514">
        <f t="shared" si="14"/>
        <v>0</v>
      </c>
    </row>
    <row r="121" spans="2:16" ht="12.5">
      <c r="B121" s="195" t="str">
        <f t="shared" si="15"/>
        <v/>
      </c>
      <c r="C121" s="507">
        <f>IF(D93="","-",+C120+1)</f>
        <v>2040</v>
      </c>
      <c r="D121" s="374">
        <f>IF(F120+SUM(E$99:E120)=D$92,F120,D$92-SUM(E$99:E120))</f>
        <v>853196.20543986058</v>
      </c>
      <c r="E121" s="522">
        <f>IF(+J96&lt;F120,J96,D121)</f>
        <v>42510.341463414632</v>
      </c>
      <c r="F121" s="523">
        <f t="shared" si="16"/>
        <v>810685.86397644598</v>
      </c>
      <c r="G121" s="523">
        <f t="shared" si="17"/>
        <v>831941.03470815322</v>
      </c>
      <c r="H121" s="526">
        <f t="shared" si="18"/>
        <v>136947.48440526467</v>
      </c>
      <c r="I121" s="577">
        <f t="shared" si="19"/>
        <v>136947.48440526467</v>
      </c>
      <c r="J121" s="514">
        <f t="shared" si="11"/>
        <v>0</v>
      </c>
      <c r="K121" s="514"/>
      <c r="L121" s="525"/>
      <c r="M121" s="514">
        <f t="shared" si="20"/>
        <v>0</v>
      </c>
      <c r="N121" s="525"/>
      <c r="O121" s="514">
        <f t="shared" si="13"/>
        <v>0</v>
      </c>
      <c r="P121" s="514">
        <f t="shared" si="14"/>
        <v>0</v>
      </c>
    </row>
    <row r="122" spans="2:16" ht="12.5">
      <c r="B122" s="195" t="str">
        <f t="shared" si="15"/>
        <v/>
      </c>
      <c r="C122" s="507">
        <f>IF(D93="","-",+C121+1)</f>
        <v>2041</v>
      </c>
      <c r="D122" s="374">
        <f>IF(F121+SUM(E$99:E121)=D$92,F121,D$92-SUM(E$99:E121))</f>
        <v>810685.86397644598</v>
      </c>
      <c r="E122" s="522">
        <f>IF(+J96&lt;F121,J96,D122)</f>
        <v>42510.341463414632</v>
      </c>
      <c r="F122" s="523">
        <f t="shared" si="16"/>
        <v>768175.52251303138</v>
      </c>
      <c r="G122" s="523">
        <f t="shared" si="17"/>
        <v>789430.69324473874</v>
      </c>
      <c r="H122" s="526">
        <f t="shared" si="18"/>
        <v>132121.95588124415</v>
      </c>
      <c r="I122" s="577">
        <f t="shared" si="19"/>
        <v>132121.95588124415</v>
      </c>
      <c r="J122" s="514">
        <f t="shared" si="11"/>
        <v>0</v>
      </c>
      <c r="K122" s="514"/>
      <c r="L122" s="525"/>
      <c r="M122" s="514">
        <f t="shared" si="20"/>
        <v>0</v>
      </c>
      <c r="N122" s="525"/>
      <c r="O122" s="514">
        <f t="shared" si="13"/>
        <v>0</v>
      </c>
      <c r="P122" s="514">
        <f t="shared" si="14"/>
        <v>0</v>
      </c>
    </row>
    <row r="123" spans="2:16" ht="12.5">
      <c r="B123" s="195" t="str">
        <f t="shared" si="15"/>
        <v/>
      </c>
      <c r="C123" s="507">
        <f>IF(D93="","-",+C122+1)</f>
        <v>2042</v>
      </c>
      <c r="D123" s="374">
        <f>IF(F122+SUM(E$99:E122)=D$92,F122,D$92-SUM(E$99:E122))</f>
        <v>768175.52251303138</v>
      </c>
      <c r="E123" s="522">
        <f>IF(+J96&lt;F122,J96,D123)</f>
        <v>42510.341463414632</v>
      </c>
      <c r="F123" s="523">
        <f t="shared" si="16"/>
        <v>725665.18104961677</v>
      </c>
      <c r="G123" s="523">
        <f t="shared" si="17"/>
        <v>746920.35178132402</v>
      </c>
      <c r="H123" s="526">
        <f t="shared" si="18"/>
        <v>127296.42735722363</v>
      </c>
      <c r="I123" s="577">
        <f t="shared" si="19"/>
        <v>127296.42735722363</v>
      </c>
      <c r="J123" s="514">
        <f t="shared" si="11"/>
        <v>0</v>
      </c>
      <c r="K123" s="514"/>
      <c r="L123" s="525"/>
      <c r="M123" s="514">
        <f t="shared" si="20"/>
        <v>0</v>
      </c>
      <c r="N123" s="525"/>
      <c r="O123" s="514">
        <f t="shared" si="13"/>
        <v>0</v>
      </c>
      <c r="P123" s="514">
        <f t="shared" si="14"/>
        <v>0</v>
      </c>
    </row>
    <row r="124" spans="2:16" ht="12.5">
      <c r="B124" s="195" t="str">
        <f t="shared" si="15"/>
        <v/>
      </c>
      <c r="C124" s="507">
        <f>IF(D93="","-",+C123+1)</f>
        <v>2043</v>
      </c>
      <c r="D124" s="374">
        <f>IF(F123+SUM(E$99:E123)=D$92,F123,D$92-SUM(E$99:E123))</f>
        <v>725665.18104961677</v>
      </c>
      <c r="E124" s="522">
        <f>IF(+J96&lt;F123,J96,D124)</f>
        <v>42510.341463414632</v>
      </c>
      <c r="F124" s="523">
        <f t="shared" si="16"/>
        <v>683154.83958620217</v>
      </c>
      <c r="G124" s="523">
        <f t="shared" si="17"/>
        <v>704410.01031790953</v>
      </c>
      <c r="H124" s="526">
        <f t="shared" si="18"/>
        <v>122470.89883320313</v>
      </c>
      <c r="I124" s="577">
        <f t="shared" si="19"/>
        <v>122470.89883320313</v>
      </c>
      <c r="J124" s="514">
        <f t="shared" si="11"/>
        <v>0</v>
      </c>
      <c r="K124" s="514"/>
      <c r="L124" s="525"/>
      <c r="M124" s="514">
        <f t="shared" si="20"/>
        <v>0</v>
      </c>
      <c r="N124" s="525"/>
      <c r="O124" s="514">
        <f t="shared" si="13"/>
        <v>0</v>
      </c>
      <c r="P124" s="514">
        <f t="shared" si="14"/>
        <v>0</v>
      </c>
    </row>
    <row r="125" spans="2:16" ht="12.5">
      <c r="B125" s="195" t="str">
        <f t="shared" si="15"/>
        <v/>
      </c>
      <c r="C125" s="507">
        <f>IF(D93="","-",+C124+1)</f>
        <v>2044</v>
      </c>
      <c r="D125" s="374">
        <f>IF(F124+SUM(E$99:E124)=D$92,F124,D$92-SUM(E$99:E124))</f>
        <v>683154.83958620217</v>
      </c>
      <c r="E125" s="522">
        <f>IF(+J96&lt;F124,J96,D125)</f>
        <v>42510.341463414632</v>
      </c>
      <c r="F125" s="523">
        <f t="shared" si="16"/>
        <v>640644.49812278757</v>
      </c>
      <c r="G125" s="523">
        <f t="shared" si="17"/>
        <v>661899.66885449481</v>
      </c>
      <c r="H125" s="526">
        <f t="shared" si="18"/>
        <v>117645.37030918259</v>
      </c>
      <c r="I125" s="577">
        <f t="shared" si="19"/>
        <v>117645.37030918259</v>
      </c>
      <c r="J125" s="514">
        <f t="shared" si="11"/>
        <v>0</v>
      </c>
      <c r="K125" s="514"/>
      <c r="L125" s="525"/>
      <c r="M125" s="514">
        <f t="shared" si="20"/>
        <v>0</v>
      </c>
      <c r="N125" s="525"/>
      <c r="O125" s="514">
        <f t="shared" si="13"/>
        <v>0</v>
      </c>
      <c r="P125" s="514">
        <f t="shared" si="14"/>
        <v>0</v>
      </c>
    </row>
    <row r="126" spans="2:16" ht="12.5">
      <c r="B126" s="195" t="str">
        <f t="shared" si="15"/>
        <v/>
      </c>
      <c r="C126" s="507">
        <f>IF(D93="","-",+C125+1)</f>
        <v>2045</v>
      </c>
      <c r="D126" s="374">
        <f>IF(F125+SUM(E$99:E125)=D$92,F125,D$92-SUM(E$99:E125))</f>
        <v>640644.49812278757</v>
      </c>
      <c r="E126" s="522">
        <f>IF(+J96&lt;F125,J96,D126)</f>
        <v>42510.341463414632</v>
      </c>
      <c r="F126" s="523">
        <f t="shared" si="16"/>
        <v>598134.15665937297</v>
      </c>
      <c r="G126" s="523">
        <f t="shared" si="17"/>
        <v>619389.32739108033</v>
      </c>
      <c r="H126" s="526">
        <f t="shared" si="18"/>
        <v>112819.84178516209</v>
      </c>
      <c r="I126" s="577">
        <f t="shared" si="19"/>
        <v>112819.84178516209</v>
      </c>
      <c r="J126" s="514">
        <f t="shared" si="11"/>
        <v>0</v>
      </c>
      <c r="K126" s="514"/>
      <c r="L126" s="525"/>
      <c r="M126" s="514">
        <f t="shared" si="20"/>
        <v>0</v>
      </c>
      <c r="N126" s="525"/>
      <c r="O126" s="514">
        <f t="shared" si="13"/>
        <v>0</v>
      </c>
      <c r="P126" s="514">
        <f t="shared" si="14"/>
        <v>0</v>
      </c>
    </row>
    <row r="127" spans="2:16" ht="12.5">
      <c r="B127" s="195" t="str">
        <f t="shared" si="15"/>
        <v/>
      </c>
      <c r="C127" s="507">
        <f>IF(D93="","-",+C126+1)</f>
        <v>2046</v>
      </c>
      <c r="D127" s="374">
        <f>IF(F126+SUM(E$99:E126)=D$92,F126,D$92-SUM(E$99:E126))</f>
        <v>598134.15665937297</v>
      </c>
      <c r="E127" s="522">
        <f>IF(+J96&lt;F126,J96,D127)</f>
        <v>42510.341463414632</v>
      </c>
      <c r="F127" s="523">
        <f t="shared" si="16"/>
        <v>555623.81519595836</v>
      </c>
      <c r="G127" s="523">
        <f t="shared" si="17"/>
        <v>576878.98592766561</v>
      </c>
      <c r="H127" s="526">
        <f t="shared" si="18"/>
        <v>107994.31326114155</v>
      </c>
      <c r="I127" s="577">
        <f t="shared" si="19"/>
        <v>107994.31326114155</v>
      </c>
      <c r="J127" s="514">
        <f t="shared" si="11"/>
        <v>0</v>
      </c>
      <c r="K127" s="514"/>
      <c r="L127" s="525"/>
      <c r="M127" s="514">
        <f t="shared" si="20"/>
        <v>0</v>
      </c>
      <c r="N127" s="525"/>
      <c r="O127" s="514">
        <f t="shared" si="13"/>
        <v>0</v>
      </c>
      <c r="P127" s="514">
        <f t="shared" si="14"/>
        <v>0</v>
      </c>
    </row>
    <row r="128" spans="2:16" ht="12.5">
      <c r="B128" s="195" t="str">
        <f t="shared" si="15"/>
        <v/>
      </c>
      <c r="C128" s="507">
        <f>IF(D93="","-",+C127+1)</f>
        <v>2047</v>
      </c>
      <c r="D128" s="374">
        <f>IF(F127+SUM(E$99:E127)=D$92,F127,D$92-SUM(E$99:E127))</f>
        <v>555623.81519595836</v>
      </c>
      <c r="E128" s="522">
        <f>IF(+J96&lt;F127,J96,D128)</f>
        <v>42510.341463414632</v>
      </c>
      <c r="F128" s="523">
        <f t="shared" si="16"/>
        <v>513113.47373254376</v>
      </c>
      <c r="G128" s="523">
        <f t="shared" si="17"/>
        <v>534368.64446425112</v>
      </c>
      <c r="H128" s="526">
        <f t="shared" si="18"/>
        <v>103168.78473712105</v>
      </c>
      <c r="I128" s="577">
        <f t="shared" si="19"/>
        <v>103168.78473712105</v>
      </c>
      <c r="J128" s="514">
        <f t="shared" si="11"/>
        <v>0</v>
      </c>
      <c r="K128" s="514"/>
      <c r="L128" s="525"/>
      <c r="M128" s="514">
        <f t="shared" si="20"/>
        <v>0</v>
      </c>
      <c r="N128" s="525"/>
      <c r="O128" s="514">
        <f t="shared" si="13"/>
        <v>0</v>
      </c>
      <c r="P128" s="514">
        <f t="shared" si="14"/>
        <v>0</v>
      </c>
    </row>
    <row r="129" spans="2:16" ht="12.5">
      <c r="B129" s="195" t="str">
        <f t="shared" si="15"/>
        <v/>
      </c>
      <c r="C129" s="507">
        <f>IF(D93="","-",+C128+1)</f>
        <v>2048</v>
      </c>
      <c r="D129" s="374">
        <f>IF(F128+SUM(E$99:E128)=D$92,F128,D$92-SUM(E$99:E128))</f>
        <v>513113.47373254376</v>
      </c>
      <c r="E129" s="522">
        <f>IF(+J96&lt;F128,J96,D129)</f>
        <v>42510.341463414632</v>
      </c>
      <c r="F129" s="523">
        <f t="shared" si="16"/>
        <v>470603.13226912916</v>
      </c>
      <c r="G129" s="523">
        <f t="shared" si="17"/>
        <v>491858.30300083646</v>
      </c>
      <c r="H129" s="526">
        <f t="shared" si="18"/>
        <v>98343.256213100511</v>
      </c>
      <c r="I129" s="577">
        <f t="shared" si="19"/>
        <v>98343.256213100511</v>
      </c>
      <c r="J129" s="514">
        <f t="shared" si="11"/>
        <v>0</v>
      </c>
      <c r="K129" s="514"/>
      <c r="L129" s="525"/>
      <c r="M129" s="514">
        <f t="shared" si="20"/>
        <v>0</v>
      </c>
      <c r="N129" s="525"/>
      <c r="O129" s="514">
        <f t="shared" si="13"/>
        <v>0</v>
      </c>
      <c r="P129" s="514">
        <f t="shared" si="14"/>
        <v>0</v>
      </c>
    </row>
    <row r="130" spans="2:16" ht="12.5">
      <c r="B130" s="195" t="str">
        <f t="shared" si="15"/>
        <v/>
      </c>
      <c r="C130" s="507">
        <f>IF(D93="","-",+C129+1)</f>
        <v>2049</v>
      </c>
      <c r="D130" s="374">
        <f>IF(F129+SUM(E$99:E129)=D$92,F129,D$92-SUM(E$99:E129))</f>
        <v>470603.13226912916</v>
      </c>
      <c r="E130" s="522">
        <f>IF(+J96&lt;F129,J96,D130)</f>
        <v>42510.341463414632</v>
      </c>
      <c r="F130" s="523">
        <f t="shared" si="16"/>
        <v>428092.79080571455</v>
      </c>
      <c r="G130" s="523">
        <f t="shared" si="17"/>
        <v>449347.96153742186</v>
      </c>
      <c r="H130" s="526">
        <f t="shared" si="18"/>
        <v>93517.727689079999</v>
      </c>
      <c r="I130" s="577">
        <f t="shared" si="19"/>
        <v>93517.727689079999</v>
      </c>
      <c r="J130" s="514">
        <f t="shared" si="11"/>
        <v>0</v>
      </c>
      <c r="K130" s="514"/>
      <c r="L130" s="525"/>
      <c r="M130" s="514">
        <f t="shared" si="20"/>
        <v>0</v>
      </c>
      <c r="N130" s="525"/>
      <c r="O130" s="514">
        <f t="shared" si="13"/>
        <v>0</v>
      </c>
      <c r="P130" s="514">
        <f t="shared" si="14"/>
        <v>0</v>
      </c>
    </row>
    <row r="131" spans="2:16" ht="12.5">
      <c r="B131" s="195" t="str">
        <f t="shared" si="15"/>
        <v/>
      </c>
      <c r="C131" s="507">
        <f>IF(D93="","-",+C130+1)</f>
        <v>2050</v>
      </c>
      <c r="D131" s="374">
        <f>IF(F130+SUM(E$99:E130)=D$92,F130,D$92-SUM(E$99:E130))</f>
        <v>428092.79080571455</v>
      </c>
      <c r="E131" s="522">
        <f>IF(+J96&lt;F130,J96,D131)</f>
        <v>42510.341463414632</v>
      </c>
      <c r="F131" s="523">
        <f t="shared" si="16"/>
        <v>385582.44934229995</v>
      </c>
      <c r="G131" s="523">
        <f t="shared" si="17"/>
        <v>406837.62007400725</v>
      </c>
      <c r="H131" s="526">
        <f t="shared" si="18"/>
        <v>88692.199165059472</v>
      </c>
      <c r="I131" s="577">
        <f t="shared" si="19"/>
        <v>88692.199165059472</v>
      </c>
      <c r="J131" s="514">
        <f t="shared" ref="J131:J154" si="21">+I541-H541</f>
        <v>0</v>
      </c>
      <c r="K131" s="514"/>
      <c r="L131" s="525"/>
      <c r="M131" s="514">
        <f t="shared" ref="M131:M154" si="22">IF(L541&lt;&gt;0,+H541-L541,0)</f>
        <v>0</v>
      </c>
      <c r="N131" s="525"/>
      <c r="O131" s="514">
        <f t="shared" ref="O131:O154" si="23">IF(N541&lt;&gt;0,+I541-N541,0)</f>
        <v>0</v>
      </c>
      <c r="P131" s="514">
        <f t="shared" ref="P131:P154" si="24">+O541-M541</f>
        <v>0</v>
      </c>
    </row>
    <row r="132" spans="2:16" ht="12.5">
      <c r="B132" s="195" t="str">
        <f t="shared" si="15"/>
        <v/>
      </c>
      <c r="C132" s="507">
        <f>IF(D93="","-",+C131+1)</f>
        <v>2051</v>
      </c>
      <c r="D132" s="374">
        <f>IF(F131+SUM(E$99:E131)=D$92,F131,D$92-SUM(E$99:E131))</f>
        <v>385582.44934229995</v>
      </c>
      <c r="E132" s="522">
        <f>IF(+J96&lt;F131,J96,D132)</f>
        <v>42510.341463414632</v>
      </c>
      <c r="F132" s="523">
        <f t="shared" si="16"/>
        <v>343072.10787888535</v>
      </c>
      <c r="G132" s="523">
        <f t="shared" si="17"/>
        <v>364327.27861059265</v>
      </c>
      <c r="H132" s="526">
        <f t="shared" si="18"/>
        <v>83866.670641038945</v>
      </c>
      <c r="I132" s="577">
        <f t="shared" si="19"/>
        <v>83866.670641038945</v>
      </c>
      <c r="J132" s="514">
        <f t="shared" si="21"/>
        <v>0</v>
      </c>
      <c r="K132" s="514"/>
      <c r="L132" s="525"/>
      <c r="M132" s="514">
        <f t="shared" si="22"/>
        <v>0</v>
      </c>
      <c r="N132" s="525"/>
      <c r="O132" s="514">
        <f t="shared" si="23"/>
        <v>0</v>
      </c>
      <c r="P132" s="514">
        <f t="shared" si="24"/>
        <v>0</v>
      </c>
    </row>
    <row r="133" spans="2:16" ht="12.5">
      <c r="B133" s="195" t="str">
        <f t="shared" si="15"/>
        <v/>
      </c>
      <c r="C133" s="507">
        <f>IF(D93="","-",+C132+1)</f>
        <v>2052</v>
      </c>
      <c r="D133" s="374">
        <f>IF(F132+SUM(E$99:E132)=D$92,F132,D$92-SUM(E$99:E132))</f>
        <v>343072.10787888535</v>
      </c>
      <c r="E133" s="522">
        <f>IF(+J96&lt;F132,J96,D133)</f>
        <v>42510.341463414632</v>
      </c>
      <c r="F133" s="523">
        <f t="shared" si="16"/>
        <v>300561.76641547075</v>
      </c>
      <c r="G133" s="523">
        <f t="shared" si="17"/>
        <v>321816.93714717805</v>
      </c>
      <c r="H133" s="526">
        <f t="shared" si="18"/>
        <v>79041.142117018433</v>
      </c>
      <c r="I133" s="577">
        <f t="shared" si="19"/>
        <v>79041.142117018433</v>
      </c>
      <c r="J133" s="514">
        <f t="shared" si="21"/>
        <v>0</v>
      </c>
      <c r="K133" s="514"/>
      <c r="L133" s="525"/>
      <c r="M133" s="514">
        <f t="shared" si="22"/>
        <v>0</v>
      </c>
      <c r="N133" s="525"/>
      <c r="O133" s="514">
        <f t="shared" si="23"/>
        <v>0</v>
      </c>
      <c r="P133" s="514">
        <f t="shared" si="24"/>
        <v>0</v>
      </c>
    </row>
    <row r="134" spans="2:16" ht="12.5">
      <c r="B134" s="195" t="str">
        <f t="shared" si="15"/>
        <v/>
      </c>
      <c r="C134" s="507">
        <f>IF(D93="","-",+C133+1)</f>
        <v>2053</v>
      </c>
      <c r="D134" s="374">
        <f>IF(F133+SUM(E$99:E133)=D$92,F133,D$92-SUM(E$99:E133))</f>
        <v>300561.76641547075</v>
      </c>
      <c r="E134" s="522">
        <f>IF(+J96&lt;F133,J96,D134)</f>
        <v>42510.341463414632</v>
      </c>
      <c r="F134" s="523">
        <f t="shared" si="16"/>
        <v>258051.42495205611</v>
      </c>
      <c r="G134" s="523">
        <f t="shared" si="17"/>
        <v>279306.59568376344</v>
      </c>
      <c r="H134" s="526">
        <f t="shared" si="18"/>
        <v>74215.613592997906</v>
      </c>
      <c r="I134" s="577">
        <f t="shared" si="19"/>
        <v>74215.613592997906</v>
      </c>
      <c r="J134" s="514">
        <f t="shared" si="21"/>
        <v>0</v>
      </c>
      <c r="K134" s="514"/>
      <c r="L134" s="525"/>
      <c r="M134" s="514">
        <f t="shared" si="22"/>
        <v>0</v>
      </c>
      <c r="N134" s="525"/>
      <c r="O134" s="514">
        <f t="shared" si="23"/>
        <v>0</v>
      </c>
      <c r="P134" s="514">
        <f t="shared" si="24"/>
        <v>0</v>
      </c>
    </row>
    <row r="135" spans="2:16" ht="12.5">
      <c r="B135" s="195" t="str">
        <f t="shared" si="15"/>
        <v/>
      </c>
      <c r="C135" s="507">
        <f>IF(D93="","-",+C134+1)</f>
        <v>2054</v>
      </c>
      <c r="D135" s="374">
        <f>IF(F134+SUM(E$99:E134)=D$92,F134,D$92-SUM(E$99:E134))</f>
        <v>258051.42495205611</v>
      </c>
      <c r="E135" s="522">
        <f>IF(+J96&lt;F134,J96,D135)</f>
        <v>42510.341463414632</v>
      </c>
      <c r="F135" s="523">
        <f t="shared" si="16"/>
        <v>215541.08348864148</v>
      </c>
      <c r="G135" s="523">
        <f t="shared" si="17"/>
        <v>236796.25422034878</v>
      </c>
      <c r="H135" s="526">
        <f t="shared" si="18"/>
        <v>69390.08506897738</v>
      </c>
      <c r="I135" s="577">
        <f t="shared" si="19"/>
        <v>69390.08506897738</v>
      </c>
      <c r="J135" s="514">
        <f t="shared" si="21"/>
        <v>0</v>
      </c>
      <c r="K135" s="514"/>
      <c r="L135" s="525"/>
      <c r="M135" s="514">
        <f t="shared" si="22"/>
        <v>0</v>
      </c>
      <c r="N135" s="525"/>
      <c r="O135" s="514">
        <f t="shared" si="23"/>
        <v>0</v>
      </c>
      <c r="P135" s="514">
        <f t="shared" si="24"/>
        <v>0</v>
      </c>
    </row>
    <row r="136" spans="2:16" ht="12.5">
      <c r="B136" s="195" t="str">
        <f t="shared" si="15"/>
        <v/>
      </c>
      <c r="C136" s="507">
        <f>IF(D93="","-",+C135+1)</f>
        <v>2055</v>
      </c>
      <c r="D136" s="374">
        <f>IF(F135+SUM(E$99:E135)=D$92,F135,D$92-SUM(E$99:E135))</f>
        <v>215541.08348864148</v>
      </c>
      <c r="E136" s="522">
        <f>IF(+J96&lt;F135,J96,D136)</f>
        <v>42510.341463414632</v>
      </c>
      <c r="F136" s="523">
        <f t="shared" si="16"/>
        <v>173030.74202522685</v>
      </c>
      <c r="G136" s="523">
        <f t="shared" si="17"/>
        <v>194285.91275693418</v>
      </c>
      <c r="H136" s="526">
        <f t="shared" si="18"/>
        <v>64564.55654495686</v>
      </c>
      <c r="I136" s="577">
        <f t="shared" si="19"/>
        <v>64564.55654495686</v>
      </c>
      <c r="J136" s="514">
        <f t="shared" si="21"/>
        <v>0</v>
      </c>
      <c r="K136" s="514"/>
      <c r="L136" s="525"/>
      <c r="M136" s="514">
        <f t="shared" si="22"/>
        <v>0</v>
      </c>
      <c r="N136" s="525"/>
      <c r="O136" s="514">
        <f t="shared" si="23"/>
        <v>0</v>
      </c>
      <c r="P136" s="514">
        <f t="shared" si="24"/>
        <v>0</v>
      </c>
    </row>
    <row r="137" spans="2:16" ht="12.5">
      <c r="B137" s="195" t="str">
        <f t="shared" si="15"/>
        <v/>
      </c>
      <c r="C137" s="507">
        <f>IF(D93="","-",+C136+1)</f>
        <v>2056</v>
      </c>
      <c r="D137" s="374">
        <f>IF(F136+SUM(E$99:E136)=D$92,F136,D$92-SUM(E$99:E136))</f>
        <v>173030.74202522685</v>
      </c>
      <c r="E137" s="522">
        <f>IF(+J96&lt;F136,J96,D137)</f>
        <v>42510.341463414632</v>
      </c>
      <c r="F137" s="523">
        <f t="shared" si="16"/>
        <v>130520.40056181222</v>
      </c>
      <c r="G137" s="523">
        <f t="shared" si="17"/>
        <v>151775.57129351952</v>
      </c>
      <c r="H137" s="526">
        <f t="shared" si="18"/>
        <v>59739.028020936334</v>
      </c>
      <c r="I137" s="577">
        <f t="shared" si="19"/>
        <v>59739.028020936334</v>
      </c>
      <c r="J137" s="514">
        <f t="shared" si="21"/>
        <v>0</v>
      </c>
      <c r="K137" s="514"/>
      <c r="L137" s="525"/>
      <c r="M137" s="514">
        <f t="shared" si="22"/>
        <v>0</v>
      </c>
      <c r="N137" s="525"/>
      <c r="O137" s="514">
        <f t="shared" si="23"/>
        <v>0</v>
      </c>
      <c r="P137" s="514">
        <f t="shared" si="24"/>
        <v>0</v>
      </c>
    </row>
    <row r="138" spans="2:16" ht="12.5">
      <c r="B138" s="195" t="str">
        <f t="shared" si="15"/>
        <v/>
      </c>
      <c r="C138" s="507">
        <f>IF(D93="","-",+C137+1)</f>
        <v>2057</v>
      </c>
      <c r="D138" s="374">
        <f>IF(F137+SUM(E$99:E137)=D$92,F137,D$92-SUM(E$99:E137))</f>
        <v>130520.40056181222</v>
      </c>
      <c r="E138" s="522">
        <f>IF(+J96&lt;F137,J96,D138)</f>
        <v>42510.341463414632</v>
      </c>
      <c r="F138" s="523">
        <f t="shared" si="16"/>
        <v>88010.059098397585</v>
      </c>
      <c r="G138" s="523">
        <f t="shared" si="17"/>
        <v>109265.2298301049</v>
      </c>
      <c r="H138" s="526">
        <f t="shared" si="18"/>
        <v>54913.499496915814</v>
      </c>
      <c r="I138" s="577">
        <f t="shared" si="19"/>
        <v>54913.499496915814</v>
      </c>
      <c r="J138" s="514">
        <f t="shared" si="21"/>
        <v>0</v>
      </c>
      <c r="K138" s="514"/>
      <c r="L138" s="525"/>
      <c r="M138" s="514">
        <f t="shared" si="22"/>
        <v>0</v>
      </c>
      <c r="N138" s="525"/>
      <c r="O138" s="514">
        <f t="shared" si="23"/>
        <v>0</v>
      </c>
      <c r="P138" s="514">
        <f t="shared" si="24"/>
        <v>0</v>
      </c>
    </row>
    <row r="139" spans="2:16" ht="12.5">
      <c r="B139" s="195" t="str">
        <f t="shared" si="15"/>
        <v/>
      </c>
      <c r="C139" s="507">
        <f>IF(D93="","-",+C138+1)</f>
        <v>2058</v>
      </c>
      <c r="D139" s="374">
        <f>IF(F138+SUM(E$99:E138)=D$92,F138,D$92-SUM(E$99:E138))</f>
        <v>88010.059098397585</v>
      </c>
      <c r="E139" s="522">
        <f>IF(+J96&lt;F138,J96,D139)</f>
        <v>42510.341463414632</v>
      </c>
      <c r="F139" s="523">
        <f t="shared" si="16"/>
        <v>45499.717634982953</v>
      </c>
      <c r="G139" s="523">
        <f t="shared" si="17"/>
        <v>66754.888366690269</v>
      </c>
      <c r="H139" s="526">
        <f t="shared" si="18"/>
        <v>50087.970972895288</v>
      </c>
      <c r="I139" s="577">
        <f t="shared" si="19"/>
        <v>50087.970972895288</v>
      </c>
      <c r="J139" s="514">
        <f t="shared" si="21"/>
        <v>0</v>
      </c>
      <c r="K139" s="514"/>
      <c r="L139" s="525"/>
      <c r="M139" s="514">
        <f t="shared" si="22"/>
        <v>0</v>
      </c>
      <c r="N139" s="525"/>
      <c r="O139" s="514">
        <f t="shared" si="23"/>
        <v>0</v>
      </c>
      <c r="P139" s="514">
        <f t="shared" si="24"/>
        <v>0</v>
      </c>
    </row>
    <row r="140" spans="2:16" ht="12.5">
      <c r="B140" s="195" t="str">
        <f t="shared" si="15"/>
        <v/>
      </c>
      <c r="C140" s="507">
        <f>IF(D93="","-",+C139+1)</f>
        <v>2059</v>
      </c>
      <c r="D140" s="374">
        <f>IF(F139+SUM(E$99:E139)=D$92,F139,D$92-SUM(E$99:E139))</f>
        <v>45499.717634982953</v>
      </c>
      <c r="E140" s="522">
        <f>IF(+J96&lt;F139,J96,D140)</f>
        <v>42510.341463414632</v>
      </c>
      <c r="F140" s="523">
        <f t="shared" si="16"/>
        <v>2989.3761715683213</v>
      </c>
      <c r="G140" s="523">
        <f t="shared" si="17"/>
        <v>24244.546903275637</v>
      </c>
      <c r="H140" s="526">
        <f t="shared" si="18"/>
        <v>45262.442448874761</v>
      </c>
      <c r="I140" s="577">
        <f t="shared" si="19"/>
        <v>45262.442448874761</v>
      </c>
      <c r="J140" s="514">
        <f t="shared" si="21"/>
        <v>0</v>
      </c>
      <c r="K140" s="514"/>
      <c r="L140" s="525"/>
      <c r="M140" s="514">
        <f t="shared" si="22"/>
        <v>0</v>
      </c>
      <c r="N140" s="525"/>
      <c r="O140" s="514">
        <f t="shared" si="23"/>
        <v>0</v>
      </c>
      <c r="P140" s="514">
        <f t="shared" si="24"/>
        <v>0</v>
      </c>
    </row>
    <row r="141" spans="2:16" ht="12.5">
      <c r="B141" s="195" t="str">
        <f t="shared" si="15"/>
        <v/>
      </c>
      <c r="C141" s="507">
        <f>IF(D93="","-",+C140+1)</f>
        <v>2060</v>
      </c>
      <c r="D141" s="374">
        <f>IF(F140+SUM(E$99:E140)=D$92,F140,D$92-SUM(E$99:E140))</f>
        <v>2989.3761715683213</v>
      </c>
      <c r="E141" s="522">
        <f>IF(+J96&lt;F140,J96,D141)</f>
        <v>2989.3761715683213</v>
      </c>
      <c r="F141" s="523">
        <f t="shared" si="16"/>
        <v>0</v>
      </c>
      <c r="G141" s="523">
        <f t="shared" si="17"/>
        <v>1494.6880857841606</v>
      </c>
      <c r="H141" s="526">
        <f t="shared" si="18"/>
        <v>3159.0445332932554</v>
      </c>
      <c r="I141" s="577">
        <f t="shared" si="19"/>
        <v>3159.0445332932554</v>
      </c>
      <c r="J141" s="514">
        <f t="shared" si="21"/>
        <v>0</v>
      </c>
      <c r="K141" s="514"/>
      <c r="L141" s="525"/>
      <c r="M141" s="514">
        <f t="shared" si="22"/>
        <v>0</v>
      </c>
      <c r="N141" s="525"/>
      <c r="O141" s="514">
        <f t="shared" si="23"/>
        <v>0</v>
      </c>
      <c r="P141" s="514">
        <f t="shared" si="24"/>
        <v>0</v>
      </c>
    </row>
    <row r="142" spans="2:16" ht="12.5">
      <c r="B142" s="195" t="str">
        <f t="shared" si="15"/>
        <v/>
      </c>
      <c r="C142" s="507">
        <f>IF(D93="","-",+C141+1)</f>
        <v>2061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6"/>
        <v>0</v>
      </c>
      <c r="G142" s="523">
        <f t="shared" si="17"/>
        <v>0</v>
      </c>
      <c r="H142" s="526">
        <f t="shared" si="18"/>
        <v>0</v>
      </c>
      <c r="I142" s="577">
        <f t="shared" si="19"/>
        <v>0</v>
      </c>
      <c r="J142" s="514">
        <f t="shared" si="21"/>
        <v>0</v>
      </c>
      <c r="K142" s="514"/>
      <c r="L142" s="525"/>
      <c r="M142" s="514">
        <f t="shared" si="22"/>
        <v>0</v>
      </c>
      <c r="N142" s="525"/>
      <c r="O142" s="514">
        <f t="shared" si="23"/>
        <v>0</v>
      </c>
      <c r="P142" s="514">
        <f t="shared" si="24"/>
        <v>0</v>
      </c>
    </row>
    <row r="143" spans="2:16" ht="12.5">
      <c r="B143" s="195" t="str">
        <f t="shared" si="15"/>
        <v/>
      </c>
      <c r="C143" s="507">
        <f>IF(D93="","-",+C142+1)</f>
        <v>2062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6"/>
        <v>0</v>
      </c>
      <c r="G143" s="523">
        <f t="shared" si="17"/>
        <v>0</v>
      </c>
      <c r="H143" s="526">
        <f t="shared" si="18"/>
        <v>0</v>
      </c>
      <c r="I143" s="577">
        <f t="shared" si="19"/>
        <v>0</v>
      </c>
      <c r="J143" s="514">
        <f t="shared" si="21"/>
        <v>0</v>
      </c>
      <c r="K143" s="514"/>
      <c r="L143" s="525"/>
      <c r="M143" s="514">
        <f t="shared" si="22"/>
        <v>0</v>
      </c>
      <c r="N143" s="525"/>
      <c r="O143" s="514">
        <f t="shared" si="23"/>
        <v>0</v>
      </c>
      <c r="P143" s="514">
        <f t="shared" si="24"/>
        <v>0</v>
      </c>
    </row>
    <row r="144" spans="2:16" ht="12.5">
      <c r="B144" s="195" t="str">
        <f t="shared" si="15"/>
        <v/>
      </c>
      <c r="C144" s="507">
        <f>IF(D93="","-",+C143+1)</f>
        <v>2063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6"/>
        <v>0</v>
      </c>
      <c r="G144" s="523">
        <f t="shared" si="17"/>
        <v>0</v>
      </c>
      <c r="H144" s="526">
        <f t="shared" si="18"/>
        <v>0</v>
      </c>
      <c r="I144" s="577">
        <f t="shared" si="19"/>
        <v>0</v>
      </c>
      <c r="J144" s="514">
        <f t="shared" si="21"/>
        <v>0</v>
      </c>
      <c r="K144" s="514"/>
      <c r="L144" s="525"/>
      <c r="M144" s="514">
        <f t="shared" si="22"/>
        <v>0</v>
      </c>
      <c r="N144" s="525"/>
      <c r="O144" s="514">
        <f t="shared" si="23"/>
        <v>0</v>
      </c>
      <c r="P144" s="514">
        <f t="shared" si="24"/>
        <v>0</v>
      </c>
    </row>
    <row r="145" spans="2:16" ht="12.5">
      <c r="B145" s="195" t="str">
        <f t="shared" si="15"/>
        <v/>
      </c>
      <c r="C145" s="507">
        <f>IF(D93="","-",+C144+1)</f>
        <v>2064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6"/>
        <v>0</v>
      </c>
      <c r="G145" s="523">
        <f t="shared" si="17"/>
        <v>0</v>
      </c>
      <c r="H145" s="526">
        <f t="shared" si="18"/>
        <v>0</v>
      </c>
      <c r="I145" s="577">
        <f t="shared" si="19"/>
        <v>0</v>
      </c>
      <c r="J145" s="514">
        <f t="shared" si="21"/>
        <v>0</v>
      </c>
      <c r="K145" s="514"/>
      <c r="L145" s="525"/>
      <c r="M145" s="514">
        <f t="shared" si="22"/>
        <v>0</v>
      </c>
      <c r="N145" s="525"/>
      <c r="O145" s="514">
        <f t="shared" si="23"/>
        <v>0</v>
      </c>
      <c r="P145" s="514">
        <f t="shared" si="24"/>
        <v>0</v>
      </c>
    </row>
    <row r="146" spans="2:16" ht="12.5">
      <c r="B146" s="195" t="str">
        <f t="shared" si="15"/>
        <v/>
      </c>
      <c r="C146" s="507">
        <f>IF(D93="","-",+C145+1)</f>
        <v>2065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6"/>
        <v>0</v>
      </c>
      <c r="G146" s="523">
        <f t="shared" si="17"/>
        <v>0</v>
      </c>
      <c r="H146" s="526">
        <f t="shared" si="18"/>
        <v>0</v>
      </c>
      <c r="I146" s="577">
        <f t="shared" si="19"/>
        <v>0</v>
      </c>
      <c r="J146" s="514">
        <f t="shared" si="21"/>
        <v>0</v>
      </c>
      <c r="K146" s="514"/>
      <c r="L146" s="525"/>
      <c r="M146" s="514">
        <f t="shared" si="22"/>
        <v>0</v>
      </c>
      <c r="N146" s="525"/>
      <c r="O146" s="514">
        <f t="shared" si="23"/>
        <v>0</v>
      </c>
      <c r="P146" s="514">
        <f t="shared" si="24"/>
        <v>0</v>
      </c>
    </row>
    <row r="147" spans="2:16" ht="12.5">
      <c r="B147" s="195" t="str">
        <f t="shared" si="15"/>
        <v/>
      </c>
      <c r="C147" s="507">
        <f>IF(D93="","-",+C146+1)</f>
        <v>2066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6"/>
        <v>0</v>
      </c>
      <c r="G147" s="523">
        <f t="shared" si="17"/>
        <v>0</v>
      </c>
      <c r="H147" s="526">
        <f t="shared" si="18"/>
        <v>0</v>
      </c>
      <c r="I147" s="577">
        <f t="shared" si="19"/>
        <v>0</v>
      </c>
      <c r="J147" s="514">
        <f t="shared" si="21"/>
        <v>0</v>
      </c>
      <c r="K147" s="514"/>
      <c r="L147" s="525"/>
      <c r="M147" s="514">
        <f t="shared" si="22"/>
        <v>0</v>
      </c>
      <c r="N147" s="525"/>
      <c r="O147" s="514">
        <f t="shared" si="23"/>
        <v>0</v>
      </c>
      <c r="P147" s="514">
        <f t="shared" si="24"/>
        <v>0</v>
      </c>
    </row>
    <row r="148" spans="2:16" ht="12.5">
      <c r="B148" s="195" t="str">
        <f t="shared" si="15"/>
        <v/>
      </c>
      <c r="C148" s="507">
        <f>IF(D93="","-",+C147+1)</f>
        <v>2067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6"/>
        <v>0</v>
      </c>
      <c r="G148" s="523">
        <f t="shared" si="17"/>
        <v>0</v>
      </c>
      <c r="H148" s="526">
        <f t="shared" si="18"/>
        <v>0</v>
      </c>
      <c r="I148" s="577">
        <f t="shared" si="19"/>
        <v>0</v>
      </c>
      <c r="J148" s="514">
        <f t="shared" si="21"/>
        <v>0</v>
      </c>
      <c r="K148" s="514"/>
      <c r="L148" s="525"/>
      <c r="M148" s="514">
        <f t="shared" si="22"/>
        <v>0</v>
      </c>
      <c r="N148" s="525"/>
      <c r="O148" s="514">
        <f t="shared" si="23"/>
        <v>0</v>
      </c>
      <c r="P148" s="514">
        <f t="shared" si="24"/>
        <v>0</v>
      </c>
    </row>
    <row r="149" spans="2:16" ht="12.5">
      <c r="B149" s="195" t="str">
        <f t="shared" si="15"/>
        <v/>
      </c>
      <c r="C149" s="507">
        <f>IF(D93="","-",+C148+1)</f>
        <v>2068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6"/>
        <v>0</v>
      </c>
      <c r="G149" s="523">
        <f t="shared" si="17"/>
        <v>0</v>
      </c>
      <c r="H149" s="526">
        <f t="shared" si="18"/>
        <v>0</v>
      </c>
      <c r="I149" s="577">
        <f t="shared" si="19"/>
        <v>0</v>
      </c>
      <c r="J149" s="514">
        <f t="shared" si="21"/>
        <v>0</v>
      </c>
      <c r="K149" s="514"/>
      <c r="L149" s="525"/>
      <c r="M149" s="514">
        <f t="shared" si="22"/>
        <v>0</v>
      </c>
      <c r="N149" s="525"/>
      <c r="O149" s="514">
        <f t="shared" si="23"/>
        <v>0</v>
      </c>
      <c r="P149" s="514">
        <f t="shared" si="24"/>
        <v>0</v>
      </c>
    </row>
    <row r="150" spans="2:16" ht="12.5">
      <c r="B150" s="195" t="str">
        <f t="shared" si="15"/>
        <v/>
      </c>
      <c r="C150" s="507">
        <f>IF(D93="","-",+C149+1)</f>
        <v>2069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6"/>
        <v>0</v>
      </c>
      <c r="G150" s="523">
        <f t="shared" si="17"/>
        <v>0</v>
      </c>
      <c r="H150" s="526">
        <f t="shared" si="18"/>
        <v>0</v>
      </c>
      <c r="I150" s="577">
        <f t="shared" si="19"/>
        <v>0</v>
      </c>
      <c r="J150" s="514">
        <f t="shared" si="21"/>
        <v>0</v>
      </c>
      <c r="K150" s="514"/>
      <c r="L150" s="525"/>
      <c r="M150" s="514">
        <f t="shared" si="22"/>
        <v>0</v>
      </c>
      <c r="N150" s="525"/>
      <c r="O150" s="514">
        <f t="shared" si="23"/>
        <v>0</v>
      </c>
      <c r="P150" s="514">
        <f t="shared" si="24"/>
        <v>0</v>
      </c>
    </row>
    <row r="151" spans="2:16" ht="12.5">
      <c r="B151" s="195" t="str">
        <f t="shared" si="15"/>
        <v/>
      </c>
      <c r="C151" s="507">
        <f>IF(D93="","-",+C150+1)</f>
        <v>2070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6"/>
        <v>0</v>
      </c>
      <c r="G151" s="523">
        <f t="shared" si="17"/>
        <v>0</v>
      </c>
      <c r="H151" s="526">
        <f t="shared" si="18"/>
        <v>0</v>
      </c>
      <c r="I151" s="577">
        <f t="shared" si="19"/>
        <v>0</v>
      </c>
      <c r="J151" s="514">
        <f t="shared" si="21"/>
        <v>0</v>
      </c>
      <c r="K151" s="514"/>
      <c r="L151" s="525"/>
      <c r="M151" s="514">
        <f t="shared" si="22"/>
        <v>0</v>
      </c>
      <c r="N151" s="525"/>
      <c r="O151" s="514">
        <f t="shared" si="23"/>
        <v>0</v>
      </c>
      <c r="P151" s="514">
        <f t="shared" si="24"/>
        <v>0</v>
      </c>
    </row>
    <row r="152" spans="2:16" ht="12.5">
      <c r="B152" s="195" t="str">
        <f t="shared" si="15"/>
        <v/>
      </c>
      <c r="C152" s="507">
        <f>IF(D93="","-",+C151+1)</f>
        <v>2071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6"/>
        <v>0</v>
      </c>
      <c r="G152" s="523">
        <f t="shared" si="17"/>
        <v>0</v>
      </c>
      <c r="H152" s="526">
        <f t="shared" si="18"/>
        <v>0</v>
      </c>
      <c r="I152" s="577">
        <f t="shared" si="19"/>
        <v>0</v>
      </c>
      <c r="J152" s="514">
        <f t="shared" si="21"/>
        <v>0</v>
      </c>
      <c r="K152" s="514"/>
      <c r="L152" s="525"/>
      <c r="M152" s="514">
        <f t="shared" si="22"/>
        <v>0</v>
      </c>
      <c r="N152" s="525"/>
      <c r="O152" s="514">
        <f t="shared" si="23"/>
        <v>0</v>
      </c>
      <c r="P152" s="514">
        <f t="shared" si="24"/>
        <v>0</v>
      </c>
    </row>
    <row r="153" spans="2:16" ht="12.5">
      <c r="B153" s="195" t="str">
        <f t="shared" si="15"/>
        <v/>
      </c>
      <c r="C153" s="507">
        <f>IF(D93="","-",+C152+1)</f>
        <v>2072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6"/>
        <v>0</v>
      </c>
      <c r="G153" s="523">
        <f t="shared" si="17"/>
        <v>0</v>
      </c>
      <c r="H153" s="526">
        <f t="shared" si="18"/>
        <v>0</v>
      </c>
      <c r="I153" s="577">
        <f t="shared" si="19"/>
        <v>0</v>
      </c>
      <c r="J153" s="514">
        <f t="shared" si="21"/>
        <v>0</v>
      </c>
      <c r="K153" s="514"/>
      <c r="L153" s="525"/>
      <c r="M153" s="514">
        <f t="shared" si="22"/>
        <v>0</v>
      </c>
      <c r="N153" s="525"/>
      <c r="O153" s="514">
        <f t="shared" si="23"/>
        <v>0</v>
      </c>
      <c r="P153" s="514">
        <f t="shared" si="24"/>
        <v>0</v>
      </c>
    </row>
    <row r="154" spans="2:16" ht="13" thickBot="1">
      <c r="B154" s="195" t="str">
        <f t="shared" si="15"/>
        <v/>
      </c>
      <c r="C154" s="527">
        <f>IF(D93="","-",+C153+1)</f>
        <v>2073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6"/>
        <v>0</v>
      </c>
      <c r="G154" s="528">
        <f t="shared" si="17"/>
        <v>0</v>
      </c>
      <c r="H154" s="530">
        <f t="shared" si="18"/>
        <v>0</v>
      </c>
      <c r="I154" s="579">
        <f t="shared" si="19"/>
        <v>0</v>
      </c>
      <c r="J154" s="533">
        <f t="shared" si="21"/>
        <v>0</v>
      </c>
      <c r="K154" s="514"/>
      <c r="L154" s="532"/>
      <c r="M154" s="533">
        <f t="shared" si="22"/>
        <v>0</v>
      </c>
      <c r="N154" s="532"/>
      <c r="O154" s="533">
        <f t="shared" si="23"/>
        <v>0</v>
      </c>
      <c r="P154" s="533">
        <f t="shared" si="24"/>
        <v>0</v>
      </c>
    </row>
    <row r="155" spans="2:16" ht="12.5">
      <c r="C155" s="374" t="s">
        <v>78</v>
      </c>
      <c r="D155" s="375"/>
      <c r="E155" s="375">
        <f>SUM(E99:E154)</f>
        <v>1742924.0000000002</v>
      </c>
      <c r="F155" s="375"/>
      <c r="G155" s="375"/>
      <c r="H155" s="375">
        <f>SUM(H99:H154)</f>
        <v>5880654.2194596045</v>
      </c>
      <c r="I155" s="375">
        <f>SUM(I99:I154)</f>
        <v>5880654.2194596045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9" priority="1" stopIfTrue="1" operator="equal">
      <formula>$I$10</formula>
    </cfRule>
  </conditionalFormatting>
  <conditionalFormatting sqref="C99:C154">
    <cfRule type="cellIs" dxfId="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P162"/>
  <sheetViews>
    <sheetView view="pageBreakPreview" zoomScale="80" zoomScaleNormal="80" zoomScaleSheetLayoutView="80" workbookViewId="0"/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72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1348625.7120695773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1348625.7120695773</v>
      </c>
      <c r="O6" s="269"/>
      <c r="P6" s="269"/>
    </row>
    <row r="7" spans="1:16" ht="13.5" thickBot="1">
      <c r="C7" s="467" t="s">
        <v>48</v>
      </c>
      <c r="D7" s="624" t="s">
        <v>443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1"/>
      <c r="K8" s="474"/>
      <c r="L8" s="474"/>
      <c r="M8" s="474"/>
      <c r="N8" s="474"/>
      <c r="O8" s="661"/>
      <c r="P8" s="340"/>
    </row>
    <row r="9" spans="1:16" ht="13.5" thickBot="1">
      <c r="C9" s="476" t="s">
        <v>50</v>
      </c>
      <c r="D9" s="477" t="s">
        <v>460</v>
      </c>
      <c r="E9" s="637" t="s">
        <v>461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9628189.9399999995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3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229242.61761904761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2019</v>
      </c>
      <c r="D17" s="631">
        <v>0</v>
      </c>
      <c r="E17" s="630">
        <v>9.9555672459071778E-2</v>
      </c>
      <c r="F17" s="631">
        <v>7956999.9004443279</v>
      </c>
      <c r="G17" s="630">
        <v>396082.33747842355</v>
      </c>
      <c r="H17" s="639">
        <v>396082.33747842355</v>
      </c>
      <c r="I17" s="511">
        <f t="shared" ref="I17:I72" si="0">H17-G17</f>
        <v>0</v>
      </c>
      <c r="J17" s="511"/>
      <c r="K17" s="512">
        <f>+G17</f>
        <v>396082.33747842355</v>
      </c>
      <c r="L17" s="513">
        <f t="shared" ref="L17:L72" si="1">IF(K17&lt;&gt;0,+G17-K17,0)</f>
        <v>0</v>
      </c>
      <c r="M17" s="512">
        <f>+H17</f>
        <v>396082.33747842355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2020</v>
      </c>
      <c r="D18" s="631">
        <v>7956999.9004443279</v>
      </c>
      <c r="E18" s="630">
        <v>194073.17073170733</v>
      </c>
      <c r="F18" s="631">
        <v>7762926.7297126204</v>
      </c>
      <c r="G18" s="630">
        <v>998426.09511782171</v>
      </c>
      <c r="H18" s="639">
        <v>998426.09511782171</v>
      </c>
      <c r="I18" s="511">
        <f t="shared" si="0"/>
        <v>0</v>
      </c>
      <c r="J18" s="511"/>
      <c r="K18" s="518">
        <f>+G18</f>
        <v>998426.09511782171</v>
      </c>
      <c r="L18" s="519">
        <f t="shared" si="1"/>
        <v>0</v>
      </c>
      <c r="M18" s="518">
        <f>+H18</f>
        <v>998426.09511782171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2021</v>
      </c>
      <c r="D19" s="631">
        <v>9434067.7297126204</v>
      </c>
      <c r="E19" s="630">
        <v>229241.45238095237</v>
      </c>
      <c r="F19" s="631">
        <v>9204826.2773316689</v>
      </c>
      <c r="G19" s="630">
        <v>1217145.1920381451</v>
      </c>
      <c r="H19" s="639">
        <v>1217145.1920381451</v>
      </c>
      <c r="I19" s="511">
        <f t="shared" si="0"/>
        <v>0</v>
      </c>
      <c r="J19" s="511"/>
      <c r="K19" s="518">
        <f>+G19</f>
        <v>1217145.1920381451</v>
      </c>
      <c r="L19" s="519">
        <f t="shared" ref="L19" si="4">IF(K19&lt;&gt;0,+G19-K19,0)</f>
        <v>0</v>
      </c>
      <c r="M19" s="518">
        <f>+H19</f>
        <v>1217145.1920381451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2022</v>
      </c>
      <c r="D20" s="631">
        <v>9204875.277331667</v>
      </c>
      <c r="E20" s="630">
        <v>229242.61904761905</v>
      </c>
      <c r="F20" s="631">
        <v>8975632.6582840476</v>
      </c>
      <c r="G20" s="630">
        <v>1251388.016895521</v>
      </c>
      <c r="H20" s="639">
        <v>1251388.016895521</v>
      </c>
      <c r="I20" s="511">
        <f t="shared" si="0"/>
        <v>0</v>
      </c>
      <c r="J20" s="511"/>
      <c r="K20" s="518">
        <f>+G20</f>
        <v>1251388.016895521</v>
      </c>
      <c r="L20" s="519">
        <f t="shared" ref="L20" si="6">IF(K20&lt;&gt;0,+G20-K20,0)</f>
        <v>0</v>
      </c>
      <c r="M20" s="518">
        <f>+H20</f>
        <v>1251388.016895521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>IU</v>
      </c>
      <c r="C21" s="507">
        <f>IF(D11="","-",+C20+1)</f>
        <v>2023</v>
      </c>
      <c r="D21" s="523">
        <f>IF(F20+SUM(E$17:E20)=D$10,F20,D$10-SUM(E$17:E20))</f>
        <v>8975632.598284049</v>
      </c>
      <c r="E21" s="522">
        <f>IF(+I14&lt;F20,I14,D21)</f>
        <v>229242.61761904761</v>
      </c>
      <c r="F21" s="523">
        <f t="shared" ref="F21:F72" si="7">+D21-E21</f>
        <v>8746389.980665002</v>
      </c>
      <c r="G21" s="524">
        <f t="shared" ref="G21:G72" si="8">+I$12*((D21+F21)/2)+E21</f>
        <v>1348625.7120695773</v>
      </c>
      <c r="H21" s="491">
        <f t="shared" ref="H21:H72" si="9">+I$13*((D21+F21)/2)+E21</f>
        <v>1348625.7120695773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2024</v>
      </c>
      <c r="D22" s="523">
        <f>IF(F21+SUM(E$17:E21)=D$10,F21,D$10-SUM(E$17:E21))</f>
        <v>8746389.980665002</v>
      </c>
      <c r="E22" s="522">
        <f>IF(+I14&lt;F21,I14,D22)</f>
        <v>229242.61761904761</v>
      </c>
      <c r="F22" s="523">
        <f t="shared" si="7"/>
        <v>8517147.3630459551</v>
      </c>
      <c r="G22" s="524">
        <f t="shared" si="8"/>
        <v>1319666.2285177214</v>
      </c>
      <c r="H22" s="491">
        <f t="shared" si="9"/>
        <v>1319666.2285177214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2025</v>
      </c>
      <c r="D23" s="523">
        <f>IF(F22+SUM(E$17:E22)=D$10,F22,D$10-SUM(E$17:E22))</f>
        <v>8517147.3630459551</v>
      </c>
      <c r="E23" s="522">
        <f>IF(+I14&lt;F22,I14,D23)</f>
        <v>229242.61761904761</v>
      </c>
      <c r="F23" s="523">
        <f t="shared" si="7"/>
        <v>8287904.7454269072</v>
      </c>
      <c r="G23" s="524">
        <f t="shared" si="8"/>
        <v>1290706.7449658653</v>
      </c>
      <c r="H23" s="491">
        <f t="shared" si="9"/>
        <v>1290706.7449658653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2026</v>
      </c>
      <c r="D24" s="523">
        <f>IF(F23+SUM(E$17:E23)=D$10,F23,D$10-SUM(E$17:E23))</f>
        <v>8287904.7454269072</v>
      </c>
      <c r="E24" s="522">
        <f>IF(+I14&lt;F23,I14,D24)</f>
        <v>229242.61761904761</v>
      </c>
      <c r="F24" s="523">
        <f t="shared" si="7"/>
        <v>8058662.1278078593</v>
      </c>
      <c r="G24" s="524">
        <f t="shared" si="8"/>
        <v>1261747.2614140091</v>
      </c>
      <c r="H24" s="491">
        <f t="shared" si="9"/>
        <v>1261747.2614140091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2027</v>
      </c>
      <c r="D25" s="523">
        <f>IF(F24+SUM(E$17:E24)=D$10,F24,D$10-SUM(E$17:E24))</f>
        <v>8058662.1278078593</v>
      </c>
      <c r="E25" s="522">
        <f>IF(+I14&lt;F24,I14,D25)</f>
        <v>229242.61761904761</v>
      </c>
      <c r="F25" s="523">
        <f t="shared" si="7"/>
        <v>7829419.5101888115</v>
      </c>
      <c r="G25" s="524">
        <f t="shared" si="8"/>
        <v>1232787.7778621528</v>
      </c>
      <c r="H25" s="491">
        <f t="shared" si="9"/>
        <v>1232787.7778621528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2028</v>
      </c>
      <c r="D26" s="523">
        <f>IF(F25+SUM(E$17:E25)=D$10,F25,D$10-SUM(E$17:E25))</f>
        <v>7829419.5101888115</v>
      </c>
      <c r="E26" s="522">
        <f>IF(+I14&lt;F25,I14,D26)</f>
        <v>229242.61761904761</v>
      </c>
      <c r="F26" s="523">
        <f t="shared" si="7"/>
        <v>7600176.8925697636</v>
      </c>
      <c r="G26" s="524">
        <f t="shared" si="8"/>
        <v>1203828.2943102967</v>
      </c>
      <c r="H26" s="491">
        <f t="shared" si="9"/>
        <v>1203828.2943102967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2029</v>
      </c>
      <c r="D27" s="523">
        <f>IF(F26+SUM(E$17:E26)=D$10,F26,D$10-SUM(E$17:E26))</f>
        <v>7600176.8925697636</v>
      </c>
      <c r="E27" s="522">
        <f>IF(+I14&lt;F26,I14,D27)</f>
        <v>229242.61761904761</v>
      </c>
      <c r="F27" s="523">
        <f t="shared" si="7"/>
        <v>7370934.2749507157</v>
      </c>
      <c r="G27" s="524">
        <f t="shared" si="8"/>
        <v>1174868.8107584405</v>
      </c>
      <c r="H27" s="491">
        <f t="shared" si="9"/>
        <v>1174868.8107584405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2030</v>
      </c>
      <c r="D28" s="523">
        <f>IF(F27+SUM(E$17:E27)=D$10,F27,D$10-SUM(E$17:E27))</f>
        <v>7370934.2749507157</v>
      </c>
      <c r="E28" s="522">
        <f>IF(+I14&lt;F27,I14,D28)</f>
        <v>229242.61761904761</v>
      </c>
      <c r="F28" s="523">
        <f t="shared" si="7"/>
        <v>7141691.6573316678</v>
      </c>
      <c r="G28" s="524">
        <f t="shared" si="8"/>
        <v>1145909.3272065844</v>
      </c>
      <c r="H28" s="491">
        <f t="shared" si="9"/>
        <v>1145909.3272065844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2031</v>
      </c>
      <c r="D29" s="523">
        <f>IF(F28+SUM(E$17:E28)=D$10,F28,D$10-SUM(E$17:E28))</f>
        <v>7141691.6573316678</v>
      </c>
      <c r="E29" s="522">
        <f>IF(+I14&lt;F28,I14,D29)</f>
        <v>229242.61761904761</v>
      </c>
      <c r="F29" s="523">
        <f t="shared" si="7"/>
        <v>6912449.03971262</v>
      </c>
      <c r="G29" s="524">
        <f t="shared" si="8"/>
        <v>1116949.843654728</v>
      </c>
      <c r="H29" s="491">
        <f t="shared" si="9"/>
        <v>1116949.843654728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2032</v>
      </c>
      <c r="D30" s="523">
        <f>IF(F29+SUM(E$17:E29)=D$10,F29,D$10-SUM(E$17:E29))</f>
        <v>6912449.03971262</v>
      </c>
      <c r="E30" s="522">
        <f>IF(+I14&lt;F29,I14,D30)</f>
        <v>229242.61761904761</v>
      </c>
      <c r="F30" s="523">
        <f t="shared" si="7"/>
        <v>6683206.4220935721</v>
      </c>
      <c r="G30" s="524">
        <f t="shared" si="8"/>
        <v>1087990.3601028721</v>
      </c>
      <c r="H30" s="491">
        <f t="shared" si="9"/>
        <v>1087990.3601028721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2033</v>
      </c>
      <c r="D31" s="523">
        <f>IF(F30+SUM(E$17:E30)=D$10,F30,D$10-SUM(E$17:E30))</f>
        <v>6683206.4220935721</v>
      </c>
      <c r="E31" s="522">
        <f>IF(+I14&lt;F30,I14,D31)</f>
        <v>229242.61761904761</v>
      </c>
      <c r="F31" s="523">
        <f t="shared" si="7"/>
        <v>6453963.8044745242</v>
      </c>
      <c r="G31" s="524">
        <f t="shared" si="8"/>
        <v>1059030.8765510158</v>
      </c>
      <c r="H31" s="491">
        <f t="shared" si="9"/>
        <v>1059030.8765510158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2034</v>
      </c>
      <c r="D32" s="523">
        <f>IF(F31+SUM(E$17:E31)=D$10,F31,D$10-SUM(E$17:E31))</f>
        <v>6453963.8044745242</v>
      </c>
      <c r="E32" s="522">
        <f>IF(+I14&lt;F31,I14,D32)</f>
        <v>229242.61761904761</v>
      </c>
      <c r="F32" s="523">
        <f t="shared" si="7"/>
        <v>6224721.1868554763</v>
      </c>
      <c r="G32" s="524">
        <f t="shared" si="8"/>
        <v>1030071.3929991598</v>
      </c>
      <c r="H32" s="491">
        <f t="shared" si="9"/>
        <v>1030071.3929991598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2035</v>
      </c>
      <c r="D33" s="523">
        <f>IF(F32+SUM(E$17:E32)=D$10,F32,D$10-SUM(E$17:E32))</f>
        <v>6224721.1868554763</v>
      </c>
      <c r="E33" s="522">
        <f>IF(+I14&lt;F32,I14,D33)</f>
        <v>229242.61761904761</v>
      </c>
      <c r="F33" s="523">
        <f t="shared" si="7"/>
        <v>5995478.5692364285</v>
      </c>
      <c r="G33" s="524">
        <f t="shared" si="8"/>
        <v>1001111.9094473035</v>
      </c>
      <c r="H33" s="491">
        <f t="shared" si="9"/>
        <v>1001111.9094473035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2036</v>
      </c>
      <c r="D34" s="523">
        <f>IF(F33+SUM(E$17:E33)=D$10,F33,D$10-SUM(E$17:E33))</f>
        <v>5995478.5692364285</v>
      </c>
      <c r="E34" s="522">
        <f>IF(+I14&lt;F33,I14,D34)</f>
        <v>229242.61761904761</v>
      </c>
      <c r="F34" s="523">
        <f t="shared" si="7"/>
        <v>5766235.9516173806</v>
      </c>
      <c r="G34" s="524">
        <f t="shared" si="8"/>
        <v>972152.42589544749</v>
      </c>
      <c r="H34" s="491">
        <f t="shared" si="9"/>
        <v>972152.42589544749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2037</v>
      </c>
      <c r="D35" s="523">
        <f>IF(F34+SUM(E$17:E34)=D$10,F34,D$10-SUM(E$17:E34))</f>
        <v>5766235.9516173806</v>
      </c>
      <c r="E35" s="522">
        <f>IF(+I14&lt;F34,I14,D35)</f>
        <v>229242.61761904761</v>
      </c>
      <c r="F35" s="523">
        <f t="shared" si="7"/>
        <v>5536993.3339983327</v>
      </c>
      <c r="G35" s="524">
        <f t="shared" si="8"/>
        <v>943192.94234359113</v>
      </c>
      <c r="H35" s="491">
        <f t="shared" si="9"/>
        <v>943192.94234359113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2038</v>
      </c>
      <c r="D36" s="523">
        <f>IF(F35+SUM(E$17:E35)=D$10,F35,D$10-SUM(E$17:E35))</f>
        <v>5536993.3339983327</v>
      </c>
      <c r="E36" s="522">
        <f>IF(+I14&lt;F35,I14,D36)</f>
        <v>229242.61761904761</v>
      </c>
      <c r="F36" s="523">
        <f t="shared" si="7"/>
        <v>5307750.7163792849</v>
      </c>
      <c r="G36" s="524">
        <f t="shared" si="8"/>
        <v>914233.45879173512</v>
      </c>
      <c r="H36" s="491">
        <f t="shared" si="9"/>
        <v>914233.45879173512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2039</v>
      </c>
      <c r="D37" s="523">
        <f>IF(F36+SUM(E$17:E36)=D$10,F36,D$10-SUM(E$17:E36))</f>
        <v>5307750.7163792849</v>
      </c>
      <c r="E37" s="522">
        <f>IF(+I14&lt;F36,I14,D37)</f>
        <v>229242.61761904761</v>
      </c>
      <c r="F37" s="523">
        <f t="shared" si="7"/>
        <v>5078508.098760237</v>
      </c>
      <c r="G37" s="524">
        <f t="shared" si="8"/>
        <v>885273.97523987887</v>
      </c>
      <c r="H37" s="491">
        <f t="shared" si="9"/>
        <v>885273.97523987887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2040</v>
      </c>
      <c r="D38" s="523">
        <f>IF(F37+SUM(E$17:E37)=D$10,F37,D$10-SUM(E$17:E37))</f>
        <v>5078508.098760237</v>
      </c>
      <c r="E38" s="522">
        <f>IF(+I14&lt;F37,I14,D38)</f>
        <v>229242.61761904761</v>
      </c>
      <c r="F38" s="523">
        <f t="shared" si="7"/>
        <v>4849265.4811411891</v>
      </c>
      <c r="G38" s="524">
        <f t="shared" si="8"/>
        <v>856314.49168802274</v>
      </c>
      <c r="H38" s="491">
        <f t="shared" si="9"/>
        <v>856314.49168802274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2041</v>
      </c>
      <c r="D39" s="523">
        <f>IF(F38+SUM(E$17:E38)=D$10,F38,D$10-SUM(E$17:E38))</f>
        <v>4849265.4811411891</v>
      </c>
      <c r="E39" s="522">
        <f>IF(+I14&lt;F38,I14,D39)</f>
        <v>229242.61761904761</v>
      </c>
      <c r="F39" s="523">
        <f t="shared" si="7"/>
        <v>4620022.8635221412</v>
      </c>
      <c r="G39" s="524">
        <f t="shared" si="8"/>
        <v>827355.00813616649</v>
      </c>
      <c r="H39" s="491">
        <f t="shared" si="9"/>
        <v>827355.00813616649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2042</v>
      </c>
      <c r="D40" s="523">
        <f>IF(F39+SUM(E$17:E39)=D$10,F39,D$10-SUM(E$17:E39))</f>
        <v>4620022.8635221412</v>
      </c>
      <c r="E40" s="522">
        <f>IF(+I14&lt;F39,I14,D40)</f>
        <v>229242.61761904761</v>
      </c>
      <c r="F40" s="523">
        <f t="shared" si="7"/>
        <v>4390780.2459030934</v>
      </c>
      <c r="G40" s="524">
        <f t="shared" si="8"/>
        <v>798395.52458431048</v>
      </c>
      <c r="H40" s="491">
        <f t="shared" si="9"/>
        <v>798395.52458431048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2043</v>
      </c>
      <c r="D41" s="523">
        <f>IF(F40+SUM(E$17:E40)=D$10,F40,D$10-SUM(E$17:E40))</f>
        <v>4390780.2459030934</v>
      </c>
      <c r="E41" s="522">
        <f>IF(+I14&lt;F40,I14,D41)</f>
        <v>229242.61761904761</v>
      </c>
      <c r="F41" s="523">
        <f t="shared" si="7"/>
        <v>4161537.628284046</v>
      </c>
      <c r="G41" s="524">
        <f t="shared" si="8"/>
        <v>769436.04103245423</v>
      </c>
      <c r="H41" s="491">
        <f t="shared" si="9"/>
        <v>769436.04103245423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2044</v>
      </c>
      <c r="D42" s="523">
        <f>IF(F41+SUM(E$17:E41)=D$10,F41,D$10-SUM(E$17:E41))</f>
        <v>4161537.628284046</v>
      </c>
      <c r="E42" s="522">
        <f>IF(+I14&lt;F41,I14,D42)</f>
        <v>229242.61761904761</v>
      </c>
      <c r="F42" s="523">
        <f t="shared" si="7"/>
        <v>3932295.0106649986</v>
      </c>
      <c r="G42" s="524">
        <f t="shared" si="8"/>
        <v>740476.5574805981</v>
      </c>
      <c r="H42" s="491">
        <f t="shared" si="9"/>
        <v>740476.5574805981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2045</v>
      </c>
      <c r="D43" s="523">
        <f>IF(F42+SUM(E$17:E42)=D$10,F42,D$10-SUM(E$17:E42))</f>
        <v>3932295.0106649986</v>
      </c>
      <c r="E43" s="522">
        <f>IF(+I14&lt;F42,I14,D43)</f>
        <v>229242.61761904761</v>
      </c>
      <c r="F43" s="523">
        <f t="shared" si="7"/>
        <v>3703052.3930459511</v>
      </c>
      <c r="G43" s="524">
        <f t="shared" si="8"/>
        <v>711517.07392874197</v>
      </c>
      <c r="H43" s="491">
        <f t="shared" si="9"/>
        <v>711517.07392874197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2046</v>
      </c>
      <c r="D44" s="523">
        <f>IF(F43+SUM(E$17:E43)=D$10,F43,D$10-SUM(E$17:E43))</f>
        <v>3703052.3930459511</v>
      </c>
      <c r="E44" s="522">
        <f>IF(+I14&lt;F43,I14,D44)</f>
        <v>229242.61761904761</v>
      </c>
      <c r="F44" s="523">
        <f t="shared" si="7"/>
        <v>3473809.7754269037</v>
      </c>
      <c r="G44" s="524">
        <f t="shared" si="8"/>
        <v>682557.59037688584</v>
      </c>
      <c r="H44" s="491">
        <f t="shared" si="9"/>
        <v>682557.59037688584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2047</v>
      </c>
      <c r="D45" s="523">
        <f>IF(F44+SUM(E$17:E44)=D$10,F44,D$10-SUM(E$17:E44))</f>
        <v>3473809.7754269037</v>
      </c>
      <c r="E45" s="522">
        <f>IF(+I14&lt;F44,I14,D45)</f>
        <v>229242.61761904761</v>
      </c>
      <c r="F45" s="523">
        <f t="shared" si="7"/>
        <v>3244567.1578078563</v>
      </c>
      <c r="G45" s="524">
        <f t="shared" si="8"/>
        <v>653598.10682502983</v>
      </c>
      <c r="H45" s="491">
        <f t="shared" si="9"/>
        <v>653598.10682502983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2048</v>
      </c>
      <c r="D46" s="523">
        <f>IF(F45+SUM(E$17:E45)=D$10,F45,D$10-SUM(E$17:E45))</f>
        <v>3244567.1578078563</v>
      </c>
      <c r="E46" s="522">
        <f>IF(+I14&lt;F45,I14,D46)</f>
        <v>229242.61761904761</v>
      </c>
      <c r="F46" s="523">
        <f t="shared" si="7"/>
        <v>3015324.5401888089</v>
      </c>
      <c r="G46" s="524">
        <f t="shared" si="8"/>
        <v>624638.62327317358</v>
      </c>
      <c r="H46" s="491">
        <f t="shared" si="9"/>
        <v>624638.62327317358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2049</v>
      </c>
      <c r="D47" s="523">
        <f>IF(F46+SUM(E$17:E46)=D$10,F46,D$10-SUM(E$17:E46))</f>
        <v>3015324.5401888089</v>
      </c>
      <c r="E47" s="522">
        <f>IF(+I14&lt;F46,I14,D47)</f>
        <v>229242.61761904761</v>
      </c>
      <c r="F47" s="523">
        <f t="shared" si="7"/>
        <v>2786081.9225697615</v>
      </c>
      <c r="G47" s="524">
        <f t="shared" si="8"/>
        <v>595679.13972131757</v>
      </c>
      <c r="H47" s="491">
        <f t="shared" si="9"/>
        <v>595679.13972131757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2050</v>
      </c>
      <c r="D48" s="523">
        <f>IF(F47+SUM(E$17:E47)=D$10,F47,D$10-SUM(E$17:E47))</f>
        <v>2786081.9225697615</v>
      </c>
      <c r="E48" s="522">
        <f>IF(+I14&lt;F47,I14,D48)</f>
        <v>229242.61761904761</v>
      </c>
      <c r="F48" s="523">
        <f t="shared" si="7"/>
        <v>2556839.3049507141</v>
      </c>
      <c r="G48" s="524">
        <f t="shared" si="8"/>
        <v>566719.65616946144</v>
      </c>
      <c r="H48" s="491">
        <f t="shared" si="9"/>
        <v>566719.65616946144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2051</v>
      </c>
      <c r="D49" s="523">
        <f>IF(F48+SUM(E$17:E48)=D$10,F48,D$10-SUM(E$17:E48))</f>
        <v>2556839.3049507141</v>
      </c>
      <c r="E49" s="522">
        <f>IF(+I14&lt;F48,I14,D49)</f>
        <v>229242.61761904761</v>
      </c>
      <c r="F49" s="523">
        <f t="shared" si="7"/>
        <v>2327596.6873316667</v>
      </c>
      <c r="G49" s="524">
        <f t="shared" si="8"/>
        <v>537760.17261760531</v>
      </c>
      <c r="H49" s="491">
        <f t="shared" si="9"/>
        <v>537760.17261760531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2052</v>
      </c>
      <c r="D50" s="523">
        <f>IF(F49+SUM(E$17:E49)=D$10,F49,D$10-SUM(E$17:E49))</f>
        <v>2327596.6873316667</v>
      </c>
      <c r="E50" s="522">
        <f>IF(+I14&lt;F49,I14,D50)</f>
        <v>229242.61761904761</v>
      </c>
      <c r="F50" s="523">
        <f t="shared" si="7"/>
        <v>2098354.0697126193</v>
      </c>
      <c r="G50" s="524">
        <f t="shared" si="8"/>
        <v>508800.68906574917</v>
      </c>
      <c r="H50" s="491">
        <f t="shared" si="9"/>
        <v>508800.68906574917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2053</v>
      </c>
      <c r="D51" s="523">
        <f>IF(F50+SUM(E$17:E50)=D$10,F50,D$10-SUM(E$17:E50))</f>
        <v>2098354.0697126193</v>
      </c>
      <c r="E51" s="522">
        <f>IF(+I14&lt;F50,I14,D51)</f>
        <v>229242.61761904761</v>
      </c>
      <c r="F51" s="523">
        <f t="shared" si="7"/>
        <v>1869111.4520935717</v>
      </c>
      <c r="G51" s="524">
        <f t="shared" si="8"/>
        <v>479841.20551389304</v>
      </c>
      <c r="H51" s="491">
        <f t="shared" si="9"/>
        <v>479841.20551389304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2054</v>
      </c>
      <c r="D52" s="523">
        <f>IF(F51+SUM(E$17:E51)=D$10,F51,D$10-SUM(E$17:E51))</f>
        <v>1869111.4520935717</v>
      </c>
      <c r="E52" s="522">
        <f>IF(+I14&lt;F51,I14,D52)</f>
        <v>229242.61761904761</v>
      </c>
      <c r="F52" s="523">
        <f t="shared" si="7"/>
        <v>1639868.834474524</v>
      </c>
      <c r="G52" s="524">
        <f t="shared" si="8"/>
        <v>450881.72196203697</v>
      </c>
      <c r="H52" s="491">
        <f t="shared" si="9"/>
        <v>450881.72196203697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2055</v>
      </c>
      <c r="D53" s="523">
        <f>IF(F52+SUM(E$17:E52)=D$10,F52,D$10-SUM(E$17:E52))</f>
        <v>1639868.834474524</v>
      </c>
      <c r="E53" s="522">
        <f>IF(+I14&lt;F52,I14,D53)</f>
        <v>229242.61761904761</v>
      </c>
      <c r="F53" s="523">
        <f t="shared" si="7"/>
        <v>1410626.2168554764</v>
      </c>
      <c r="G53" s="524">
        <f t="shared" si="8"/>
        <v>421922.23841018078</v>
      </c>
      <c r="H53" s="491">
        <f t="shared" si="9"/>
        <v>421922.23841018078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2056</v>
      </c>
      <c r="D54" s="523">
        <f>IF(F53+SUM(E$17:E53)=D$10,F53,D$10-SUM(E$17:E53))</f>
        <v>1410626.2168554764</v>
      </c>
      <c r="E54" s="522">
        <f>IF(+I14&lt;F53,I14,D54)</f>
        <v>229242.61761904761</v>
      </c>
      <c r="F54" s="523">
        <f t="shared" si="7"/>
        <v>1181383.5992364287</v>
      </c>
      <c r="G54" s="524">
        <f t="shared" si="8"/>
        <v>392962.75485832465</v>
      </c>
      <c r="H54" s="491">
        <f t="shared" si="9"/>
        <v>392962.75485832465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2057</v>
      </c>
      <c r="D55" s="523">
        <f>IF(F54+SUM(E$17:E54)=D$10,F54,D$10-SUM(E$17:E54))</f>
        <v>1181383.5992364287</v>
      </c>
      <c r="E55" s="522">
        <f>IF(+I14&lt;F54,I14,D55)</f>
        <v>229242.61761904761</v>
      </c>
      <c r="F55" s="523">
        <f t="shared" si="7"/>
        <v>952140.9816173811</v>
      </c>
      <c r="G55" s="524">
        <f t="shared" si="8"/>
        <v>364003.27130646852</v>
      </c>
      <c r="H55" s="491">
        <f t="shared" si="9"/>
        <v>364003.27130646852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2058</v>
      </c>
      <c r="D56" s="523">
        <f>IF(F55+SUM(E$17:E55)=D$10,F55,D$10-SUM(E$17:E55))</f>
        <v>952140.9816173811</v>
      </c>
      <c r="E56" s="522">
        <f>IF(+I14&lt;F55,I14,D56)</f>
        <v>229242.61761904761</v>
      </c>
      <c r="F56" s="523">
        <f t="shared" si="7"/>
        <v>722898.36399833346</v>
      </c>
      <c r="G56" s="524">
        <f t="shared" si="8"/>
        <v>335043.78775461239</v>
      </c>
      <c r="H56" s="491">
        <f t="shared" si="9"/>
        <v>335043.78775461239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2059</v>
      </c>
      <c r="D57" s="523">
        <f>IF(F56+SUM(E$17:E56)=D$10,F56,D$10-SUM(E$17:E56))</f>
        <v>722898.36399833346</v>
      </c>
      <c r="E57" s="522">
        <f>IF(+I14&lt;F56,I14,D57)</f>
        <v>229242.61761904761</v>
      </c>
      <c r="F57" s="523">
        <f t="shared" si="7"/>
        <v>493655.74637928582</v>
      </c>
      <c r="G57" s="524">
        <f t="shared" si="8"/>
        <v>306084.30420275626</v>
      </c>
      <c r="H57" s="491">
        <f t="shared" si="9"/>
        <v>306084.30420275626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2060</v>
      </c>
      <c r="D58" s="523">
        <f>IF(F57+SUM(E$17:E57)=D$10,F57,D$10-SUM(E$17:E57))</f>
        <v>493655.74637928582</v>
      </c>
      <c r="E58" s="522">
        <f>IF(+I14&lt;F57,I14,D58)</f>
        <v>229242.61761904761</v>
      </c>
      <c r="F58" s="523">
        <f t="shared" si="7"/>
        <v>264413.12876023818</v>
      </c>
      <c r="G58" s="524">
        <f t="shared" si="8"/>
        <v>277124.82065090013</v>
      </c>
      <c r="H58" s="491">
        <f t="shared" si="9"/>
        <v>277124.82065090013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2061</v>
      </c>
      <c r="D59" s="523">
        <f>IF(F58+SUM(E$17:E58)=D$10,F58,D$10-SUM(E$17:E58))</f>
        <v>264413.12876023818</v>
      </c>
      <c r="E59" s="522">
        <f>IF(+I14&lt;F58,I14,D59)</f>
        <v>229242.61761904761</v>
      </c>
      <c r="F59" s="523">
        <f t="shared" si="7"/>
        <v>35170.511141190567</v>
      </c>
      <c r="G59" s="524">
        <f t="shared" si="8"/>
        <v>248165.33709904397</v>
      </c>
      <c r="H59" s="491">
        <f t="shared" si="9"/>
        <v>248165.33709904397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2062</v>
      </c>
      <c r="D60" s="523">
        <f>IF(F59+SUM(E$17:E59)=D$10,F59,D$10-SUM(E$17:E59))</f>
        <v>35170.511141190567</v>
      </c>
      <c r="E60" s="522">
        <f>IF(+I14&lt;F59,I14,D60)</f>
        <v>35170.511141190567</v>
      </c>
      <c r="F60" s="523">
        <f t="shared" si="7"/>
        <v>0</v>
      </c>
      <c r="G60" s="524">
        <f t="shared" si="8"/>
        <v>37391.999993224716</v>
      </c>
      <c r="H60" s="491">
        <f t="shared" si="9"/>
        <v>37391.999993224716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9628189.9399999976</v>
      </c>
      <c r="F73" s="375"/>
      <c r="G73" s="375">
        <f>SUM(G17:G72)</f>
        <v>35037859.100311279</v>
      </c>
      <c r="H73" s="375">
        <f>SUM(H17:H72)</f>
        <v>35037859.100311279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72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1217145.1920381451</v>
      </c>
      <c r="N87" s="546">
        <f>IF(J92&lt;D11,0,VLOOKUP(J92,C17:O72,11))</f>
        <v>1217145.1920381451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1269360.6391471603</v>
      </c>
      <c r="N88" s="550">
        <f>IF(J92&lt;D11,0,VLOOKUP(J92,C99:P154,7))</f>
        <v>1269360.6391471603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Ellerbe Road - Lucas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52215.447109015193</v>
      </c>
      <c r="N89" s="555">
        <f>+N88-N87</f>
        <v>52215.447109015193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TP2014154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9628190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f>+D12</f>
        <v>3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234833.90243902439</v>
      </c>
      <c r="K96" s="375"/>
      <c r="L96" s="375"/>
      <c r="M96" s="375"/>
      <c r="N96" s="375"/>
      <c r="O96" s="375"/>
      <c r="P96" s="272"/>
    </row>
    <row r="97" spans="1:16" ht="39">
      <c r="A97" s="660"/>
      <c r="B97" s="660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2019</v>
      </c>
      <c r="D99" s="629">
        <v>0</v>
      </c>
      <c r="E99" s="630">
        <v>167899.74418604653</v>
      </c>
      <c r="F99" s="631">
        <v>9458352.2558139525</v>
      </c>
      <c r="G99" s="631">
        <v>4729176.1279069763</v>
      </c>
      <c r="H99" s="633">
        <v>674113.34161088022</v>
      </c>
      <c r="I99" s="634">
        <v>674113.34161088022</v>
      </c>
      <c r="J99" s="514">
        <f t="shared" ref="J99:J130" si="10">+I99-H99</f>
        <v>0</v>
      </c>
      <c r="K99" s="514"/>
      <c r="L99" s="512">
        <f>+H99</f>
        <v>674113.34161088022</v>
      </c>
      <c r="M99" s="513">
        <f t="shared" ref="M99:M100" si="11">IF(L99&lt;&gt;0,+H99-L99,0)</f>
        <v>0</v>
      </c>
      <c r="N99" s="512">
        <f>+I99</f>
        <v>674113.34161088022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 ht="12.5">
      <c r="B100" s="195" t="str">
        <f>IF(D100=F99,"","IU")</f>
        <v>IU</v>
      </c>
      <c r="C100" s="507">
        <f>IF(D93="","-",+C99+1)</f>
        <v>2020</v>
      </c>
      <c r="D100" s="629">
        <v>9460290.2558139525</v>
      </c>
      <c r="E100" s="630">
        <v>229242.61904761905</v>
      </c>
      <c r="F100" s="631">
        <v>9231047.6367663331</v>
      </c>
      <c r="G100" s="631">
        <v>9345668.9462901428</v>
      </c>
      <c r="H100" s="633">
        <v>1234592.0448831792</v>
      </c>
      <c r="I100" s="634">
        <v>1234592.0448831792</v>
      </c>
      <c r="J100" s="514">
        <f t="shared" si="10"/>
        <v>0</v>
      </c>
      <c r="K100" s="514"/>
      <c r="L100" s="655">
        <f>+H100</f>
        <v>1234592.0448831792</v>
      </c>
      <c r="M100" s="514">
        <f t="shared" si="11"/>
        <v>0</v>
      </c>
      <c r="N100" s="655">
        <f>+I100</f>
        <v>1234592.0448831792</v>
      </c>
      <c r="O100" s="514">
        <f t="shared" si="12"/>
        <v>0</v>
      </c>
      <c r="P100" s="514">
        <f t="shared" si="13"/>
        <v>0</v>
      </c>
    </row>
    <row r="101" spans="1:16" ht="12.5">
      <c r="B101" s="195" t="str">
        <f t="shared" ref="B101:B154" si="14">IF(D101=F100,"","IU")</f>
        <v/>
      </c>
      <c r="C101" s="507">
        <f>IF(D93="","-",+C100+1)</f>
        <v>2021</v>
      </c>
      <c r="D101" s="374">
        <f>IF(F100+SUM(E$99:E100)=D$92,F100,D$92-SUM(E$99:E100))</f>
        <v>9231047.6367663331</v>
      </c>
      <c r="E101" s="522">
        <f>IF(+J96&lt;F100,J96,D101)</f>
        <v>234833.90243902439</v>
      </c>
      <c r="F101" s="523">
        <f t="shared" ref="F101:F154" si="15">+D101-E101</f>
        <v>8996213.7343273088</v>
      </c>
      <c r="G101" s="523">
        <f t="shared" ref="G101:G154" si="16">+(F101+D101)/2</f>
        <v>9113630.685546821</v>
      </c>
      <c r="H101" s="526">
        <f t="shared" ref="H101:H154" si="17">+J$94*G101+E101</f>
        <v>1269360.6391471603</v>
      </c>
      <c r="I101" s="577">
        <f t="shared" ref="I101:I154" si="18">+J$95*G101+E101</f>
        <v>1269360.6391471603</v>
      </c>
      <c r="J101" s="514">
        <f t="shared" si="10"/>
        <v>0</v>
      </c>
      <c r="K101" s="514"/>
      <c r="L101" s="525"/>
      <c r="M101" s="514">
        <f t="shared" ref="M101:M130" si="19">IF(L101&lt;&gt;0,+H101-L101,0)</f>
        <v>0</v>
      </c>
      <c r="N101" s="525"/>
      <c r="O101" s="514">
        <f t="shared" si="12"/>
        <v>0</v>
      </c>
      <c r="P101" s="514">
        <f t="shared" si="13"/>
        <v>0</v>
      </c>
    </row>
    <row r="102" spans="1:16" ht="12.5">
      <c r="B102" s="195" t="str">
        <f t="shared" si="14"/>
        <v/>
      </c>
      <c r="C102" s="507">
        <f>IF(D93="","-",+C101+1)</f>
        <v>2022</v>
      </c>
      <c r="D102" s="374">
        <f>IF(F101+SUM(E$99:E101)=D$92,F101,D$92-SUM(E$99:E101))</f>
        <v>8996213.7343273088</v>
      </c>
      <c r="E102" s="522">
        <f>IF(+J96&lt;F101,J96,D102)</f>
        <v>234833.90243902439</v>
      </c>
      <c r="F102" s="523">
        <f t="shared" si="15"/>
        <v>8761379.8318882845</v>
      </c>
      <c r="G102" s="523">
        <f t="shared" si="16"/>
        <v>8878796.7831077967</v>
      </c>
      <c r="H102" s="526">
        <f t="shared" si="17"/>
        <v>1242703.6503859241</v>
      </c>
      <c r="I102" s="577">
        <f t="shared" si="18"/>
        <v>1242703.6503859241</v>
      </c>
      <c r="J102" s="514">
        <f t="shared" si="10"/>
        <v>0</v>
      </c>
      <c r="K102" s="514"/>
      <c r="L102" s="525"/>
      <c r="M102" s="514">
        <f t="shared" si="19"/>
        <v>0</v>
      </c>
      <c r="N102" s="525"/>
      <c r="O102" s="514">
        <f t="shared" si="12"/>
        <v>0</v>
      </c>
      <c r="P102" s="514">
        <f t="shared" si="13"/>
        <v>0</v>
      </c>
    </row>
    <row r="103" spans="1:16" ht="12.5">
      <c r="B103" s="195" t="str">
        <f t="shared" si="14"/>
        <v/>
      </c>
      <c r="C103" s="507">
        <f>IF(D93="","-",+C102+1)</f>
        <v>2023</v>
      </c>
      <c r="D103" s="374">
        <f>IF(F102+SUM(E$99:E102)=D$92,F102,D$92-SUM(E$99:E102))</f>
        <v>8761379.8318882845</v>
      </c>
      <c r="E103" s="522">
        <f>IF(+J96&lt;F102,J96,D103)</f>
        <v>234833.90243902439</v>
      </c>
      <c r="F103" s="523">
        <f t="shared" si="15"/>
        <v>8526545.9294492602</v>
      </c>
      <c r="G103" s="523">
        <f t="shared" si="16"/>
        <v>8643962.8806687724</v>
      </c>
      <c r="H103" s="526">
        <f t="shared" si="17"/>
        <v>1216046.6616246877</v>
      </c>
      <c r="I103" s="577">
        <f t="shared" si="18"/>
        <v>1216046.6616246877</v>
      </c>
      <c r="J103" s="514">
        <f t="shared" si="10"/>
        <v>0</v>
      </c>
      <c r="K103" s="514"/>
      <c r="L103" s="525"/>
      <c r="M103" s="514">
        <f t="shared" si="19"/>
        <v>0</v>
      </c>
      <c r="N103" s="525"/>
      <c r="O103" s="514">
        <f t="shared" si="12"/>
        <v>0</v>
      </c>
      <c r="P103" s="514">
        <f t="shared" si="13"/>
        <v>0</v>
      </c>
    </row>
    <row r="104" spans="1:16" ht="12.5">
      <c r="B104" s="195" t="str">
        <f t="shared" si="14"/>
        <v/>
      </c>
      <c r="C104" s="507">
        <f>IF(D93="","-",+C103+1)</f>
        <v>2024</v>
      </c>
      <c r="D104" s="374">
        <f>IF(F103+SUM(E$99:E103)=D$92,F103,D$92-SUM(E$99:E103))</f>
        <v>8526545.9294492602</v>
      </c>
      <c r="E104" s="522">
        <f>IF(+J96&lt;F103,J96,D104)</f>
        <v>234833.90243902439</v>
      </c>
      <c r="F104" s="523">
        <f t="shared" si="15"/>
        <v>8291712.0270102359</v>
      </c>
      <c r="G104" s="523">
        <f t="shared" si="16"/>
        <v>8409128.9782297481</v>
      </c>
      <c r="H104" s="526">
        <f t="shared" si="17"/>
        <v>1189389.6728634513</v>
      </c>
      <c r="I104" s="577">
        <f t="shared" si="18"/>
        <v>1189389.6728634513</v>
      </c>
      <c r="J104" s="514">
        <f t="shared" si="10"/>
        <v>0</v>
      </c>
      <c r="K104" s="514"/>
      <c r="L104" s="525"/>
      <c r="M104" s="514">
        <f t="shared" si="19"/>
        <v>0</v>
      </c>
      <c r="N104" s="525"/>
      <c r="O104" s="514">
        <f t="shared" si="12"/>
        <v>0</v>
      </c>
      <c r="P104" s="514">
        <f t="shared" si="13"/>
        <v>0</v>
      </c>
    </row>
    <row r="105" spans="1:16" ht="12.5">
      <c r="B105" s="195" t="str">
        <f t="shared" si="14"/>
        <v/>
      </c>
      <c r="C105" s="507">
        <f>IF(D93="","-",+C104+1)</f>
        <v>2025</v>
      </c>
      <c r="D105" s="374">
        <f>IF(F104+SUM(E$99:E104)=D$92,F104,D$92-SUM(E$99:E104))</f>
        <v>8291712.0270102359</v>
      </c>
      <c r="E105" s="522">
        <f>IF(+J96&lt;F104,J96,D105)</f>
        <v>234833.90243902439</v>
      </c>
      <c r="F105" s="523">
        <f t="shared" si="15"/>
        <v>8056878.1245712116</v>
      </c>
      <c r="G105" s="523">
        <f t="shared" si="16"/>
        <v>8174295.0757907238</v>
      </c>
      <c r="H105" s="526">
        <f t="shared" si="17"/>
        <v>1162732.6841022149</v>
      </c>
      <c r="I105" s="577">
        <f t="shared" si="18"/>
        <v>1162732.6841022149</v>
      </c>
      <c r="J105" s="514">
        <f t="shared" si="10"/>
        <v>0</v>
      </c>
      <c r="K105" s="514"/>
      <c r="L105" s="525"/>
      <c r="M105" s="514">
        <f t="shared" si="19"/>
        <v>0</v>
      </c>
      <c r="N105" s="525"/>
      <c r="O105" s="514">
        <f t="shared" si="12"/>
        <v>0</v>
      </c>
      <c r="P105" s="514">
        <f t="shared" si="13"/>
        <v>0</v>
      </c>
    </row>
    <row r="106" spans="1:16" ht="12.5">
      <c r="B106" s="195" t="str">
        <f t="shared" si="14"/>
        <v/>
      </c>
      <c r="C106" s="507">
        <f>IF(D93="","-",+C105+1)</f>
        <v>2026</v>
      </c>
      <c r="D106" s="374">
        <f>IF(F105+SUM(E$99:E105)=D$92,F105,D$92-SUM(E$99:E105))</f>
        <v>8056878.1245712116</v>
      </c>
      <c r="E106" s="522">
        <f>IF(+J96&lt;F105,J96,D106)</f>
        <v>234833.90243902439</v>
      </c>
      <c r="F106" s="523">
        <f t="shared" si="15"/>
        <v>7822044.2221321873</v>
      </c>
      <c r="G106" s="523">
        <f t="shared" si="16"/>
        <v>7939461.1733516995</v>
      </c>
      <c r="H106" s="526">
        <f t="shared" si="17"/>
        <v>1136075.6953409784</v>
      </c>
      <c r="I106" s="577">
        <f t="shared" si="18"/>
        <v>1136075.6953409784</v>
      </c>
      <c r="J106" s="514">
        <f t="shared" si="10"/>
        <v>0</v>
      </c>
      <c r="K106" s="514"/>
      <c r="L106" s="525"/>
      <c r="M106" s="514">
        <f t="shared" si="19"/>
        <v>0</v>
      </c>
      <c r="N106" s="525"/>
      <c r="O106" s="514">
        <f t="shared" si="12"/>
        <v>0</v>
      </c>
      <c r="P106" s="514">
        <f t="shared" si="13"/>
        <v>0</v>
      </c>
    </row>
    <row r="107" spans="1:16" ht="12.5">
      <c r="B107" s="195" t="str">
        <f t="shared" si="14"/>
        <v/>
      </c>
      <c r="C107" s="507">
        <f>IF(D93="","-",+C106+1)</f>
        <v>2027</v>
      </c>
      <c r="D107" s="374">
        <f>IF(F106+SUM(E$99:E106)=D$92,F106,D$92-SUM(E$99:E106))</f>
        <v>7822044.2221321873</v>
      </c>
      <c r="E107" s="522">
        <f>IF(+J96&lt;F106,J96,D107)</f>
        <v>234833.90243902439</v>
      </c>
      <c r="F107" s="523">
        <f t="shared" si="15"/>
        <v>7587210.319693163</v>
      </c>
      <c r="G107" s="523">
        <f t="shared" si="16"/>
        <v>7704627.2709126752</v>
      </c>
      <c r="H107" s="526">
        <f t="shared" si="17"/>
        <v>1109418.7065797423</v>
      </c>
      <c r="I107" s="577">
        <f t="shared" si="18"/>
        <v>1109418.7065797423</v>
      </c>
      <c r="J107" s="514">
        <f t="shared" si="10"/>
        <v>0</v>
      </c>
      <c r="K107" s="514"/>
      <c r="L107" s="525"/>
      <c r="M107" s="514">
        <f t="shared" si="19"/>
        <v>0</v>
      </c>
      <c r="N107" s="525"/>
      <c r="O107" s="514">
        <f t="shared" si="12"/>
        <v>0</v>
      </c>
      <c r="P107" s="514">
        <f t="shared" si="13"/>
        <v>0</v>
      </c>
    </row>
    <row r="108" spans="1:16" ht="12.5">
      <c r="B108" s="195" t="str">
        <f t="shared" si="14"/>
        <v/>
      </c>
      <c r="C108" s="507">
        <f>IF(D93="","-",+C107+1)</f>
        <v>2028</v>
      </c>
      <c r="D108" s="374">
        <f>IF(F107+SUM(E$99:E107)=D$92,F107,D$92-SUM(E$99:E107))</f>
        <v>7587210.319693163</v>
      </c>
      <c r="E108" s="522">
        <f>IF(+J96&lt;F107,J96,D108)</f>
        <v>234833.90243902439</v>
      </c>
      <c r="F108" s="523">
        <f t="shared" si="15"/>
        <v>7352376.4172541387</v>
      </c>
      <c r="G108" s="523">
        <f t="shared" si="16"/>
        <v>7469793.3684736509</v>
      </c>
      <c r="H108" s="526">
        <f t="shared" si="17"/>
        <v>1082761.7178185058</v>
      </c>
      <c r="I108" s="577">
        <f t="shared" si="18"/>
        <v>1082761.7178185058</v>
      </c>
      <c r="J108" s="514">
        <f t="shared" si="10"/>
        <v>0</v>
      </c>
      <c r="K108" s="514"/>
      <c r="L108" s="525"/>
      <c r="M108" s="514">
        <f t="shared" si="19"/>
        <v>0</v>
      </c>
      <c r="N108" s="525"/>
      <c r="O108" s="514">
        <f t="shared" si="12"/>
        <v>0</v>
      </c>
      <c r="P108" s="514">
        <f t="shared" si="13"/>
        <v>0</v>
      </c>
    </row>
    <row r="109" spans="1:16" ht="12.5">
      <c r="B109" s="195" t="str">
        <f t="shared" si="14"/>
        <v/>
      </c>
      <c r="C109" s="507">
        <f>IF(D93="","-",+C108+1)</f>
        <v>2029</v>
      </c>
      <c r="D109" s="374">
        <f>IF(F108+SUM(E$99:E108)=D$92,F108,D$92-SUM(E$99:E108))</f>
        <v>7352376.4172541387</v>
      </c>
      <c r="E109" s="522">
        <f>IF(+J96&lt;F108,J96,D109)</f>
        <v>234833.90243902439</v>
      </c>
      <c r="F109" s="523">
        <f t="shared" si="15"/>
        <v>7117542.5148151144</v>
      </c>
      <c r="G109" s="523">
        <f t="shared" si="16"/>
        <v>7234959.4660346266</v>
      </c>
      <c r="H109" s="526">
        <f t="shared" si="17"/>
        <v>1056104.7290572694</v>
      </c>
      <c r="I109" s="577">
        <f t="shared" si="18"/>
        <v>1056104.7290572694</v>
      </c>
      <c r="J109" s="514">
        <f t="shared" si="10"/>
        <v>0</v>
      </c>
      <c r="K109" s="514"/>
      <c r="L109" s="525"/>
      <c r="M109" s="514">
        <f t="shared" si="19"/>
        <v>0</v>
      </c>
      <c r="N109" s="525"/>
      <c r="O109" s="514">
        <f t="shared" si="12"/>
        <v>0</v>
      </c>
      <c r="P109" s="514">
        <f t="shared" si="13"/>
        <v>0</v>
      </c>
    </row>
    <row r="110" spans="1:16" ht="12.5">
      <c r="B110" s="195" t="str">
        <f t="shared" si="14"/>
        <v/>
      </c>
      <c r="C110" s="507">
        <f>IF(D93="","-",+C109+1)</f>
        <v>2030</v>
      </c>
      <c r="D110" s="374">
        <f>IF(F109+SUM(E$99:E109)=D$92,F109,D$92-SUM(E$99:E109))</f>
        <v>7117542.5148151144</v>
      </c>
      <c r="E110" s="522">
        <f>IF(+J96&lt;F109,J96,D110)</f>
        <v>234833.90243902439</v>
      </c>
      <c r="F110" s="523">
        <f t="shared" si="15"/>
        <v>6882708.6123760901</v>
      </c>
      <c r="G110" s="523">
        <f t="shared" si="16"/>
        <v>7000125.5635956023</v>
      </c>
      <c r="H110" s="526">
        <f t="shared" si="17"/>
        <v>1029447.7402960331</v>
      </c>
      <c r="I110" s="577">
        <f t="shared" si="18"/>
        <v>1029447.7402960331</v>
      </c>
      <c r="J110" s="514">
        <f t="shared" si="10"/>
        <v>0</v>
      </c>
      <c r="K110" s="514"/>
      <c r="L110" s="525"/>
      <c r="M110" s="514">
        <f t="shared" si="19"/>
        <v>0</v>
      </c>
      <c r="N110" s="525"/>
      <c r="O110" s="514">
        <f t="shared" si="12"/>
        <v>0</v>
      </c>
      <c r="P110" s="514">
        <f t="shared" si="13"/>
        <v>0</v>
      </c>
    </row>
    <row r="111" spans="1:16" ht="12.5">
      <c r="B111" s="195" t="str">
        <f t="shared" si="14"/>
        <v/>
      </c>
      <c r="C111" s="507">
        <f>IF(D93="","-",+C110+1)</f>
        <v>2031</v>
      </c>
      <c r="D111" s="374">
        <f>IF(F110+SUM(E$99:E110)=D$92,F110,D$92-SUM(E$99:E110))</f>
        <v>6882708.6123760901</v>
      </c>
      <c r="E111" s="522">
        <f>IF(+J96&lt;F110,J96,D111)</f>
        <v>234833.90243902439</v>
      </c>
      <c r="F111" s="523">
        <f t="shared" si="15"/>
        <v>6647874.7099370658</v>
      </c>
      <c r="G111" s="523">
        <f t="shared" si="16"/>
        <v>6765291.661156578</v>
      </c>
      <c r="H111" s="526">
        <f t="shared" si="17"/>
        <v>1002790.7515347967</v>
      </c>
      <c r="I111" s="577">
        <f t="shared" si="18"/>
        <v>1002790.7515347967</v>
      </c>
      <c r="J111" s="514">
        <f t="shared" si="10"/>
        <v>0</v>
      </c>
      <c r="K111" s="514"/>
      <c r="L111" s="525"/>
      <c r="M111" s="514">
        <f t="shared" si="19"/>
        <v>0</v>
      </c>
      <c r="N111" s="525"/>
      <c r="O111" s="514">
        <f t="shared" si="12"/>
        <v>0</v>
      </c>
      <c r="P111" s="514">
        <f t="shared" si="13"/>
        <v>0</v>
      </c>
    </row>
    <row r="112" spans="1:16" ht="12.5">
      <c r="B112" s="195" t="str">
        <f t="shared" si="14"/>
        <v/>
      </c>
      <c r="C112" s="507">
        <f>IF(D93="","-",+C111+1)</f>
        <v>2032</v>
      </c>
      <c r="D112" s="374">
        <f>IF(F111+SUM(E$99:E111)=D$92,F111,D$92-SUM(E$99:E111))</f>
        <v>6647874.7099370658</v>
      </c>
      <c r="E112" s="522">
        <f>IF(+J96&lt;F111,J96,D112)</f>
        <v>234833.90243902439</v>
      </c>
      <c r="F112" s="523">
        <f t="shared" si="15"/>
        <v>6413040.8074980415</v>
      </c>
      <c r="G112" s="523">
        <f t="shared" si="16"/>
        <v>6530457.7587175537</v>
      </c>
      <c r="H112" s="526">
        <f t="shared" si="17"/>
        <v>976133.76277356036</v>
      </c>
      <c r="I112" s="577">
        <f t="shared" si="18"/>
        <v>976133.76277356036</v>
      </c>
      <c r="J112" s="514">
        <f t="shared" si="10"/>
        <v>0</v>
      </c>
      <c r="K112" s="514"/>
      <c r="L112" s="525"/>
      <c r="M112" s="514">
        <f t="shared" si="19"/>
        <v>0</v>
      </c>
      <c r="N112" s="525"/>
      <c r="O112" s="514">
        <f t="shared" si="12"/>
        <v>0</v>
      </c>
      <c r="P112" s="514">
        <f t="shared" si="13"/>
        <v>0</v>
      </c>
    </row>
    <row r="113" spans="2:16" ht="12.5">
      <c r="B113" s="195" t="str">
        <f t="shared" si="14"/>
        <v/>
      </c>
      <c r="C113" s="507">
        <f>IF(D93="","-",+C112+1)</f>
        <v>2033</v>
      </c>
      <c r="D113" s="374">
        <f>IF(F112+SUM(E$99:E112)=D$92,F112,D$92-SUM(E$99:E112))</f>
        <v>6413040.8074980415</v>
      </c>
      <c r="E113" s="522">
        <f>IF(+J96&lt;F112,J96,D113)</f>
        <v>234833.90243902439</v>
      </c>
      <c r="F113" s="523">
        <f t="shared" si="15"/>
        <v>6178206.9050590172</v>
      </c>
      <c r="G113" s="523">
        <f t="shared" si="16"/>
        <v>6295623.8562785294</v>
      </c>
      <c r="H113" s="526">
        <f t="shared" si="17"/>
        <v>949476.77401232393</v>
      </c>
      <c r="I113" s="577">
        <f t="shared" si="18"/>
        <v>949476.77401232393</v>
      </c>
      <c r="J113" s="514">
        <f t="shared" si="10"/>
        <v>0</v>
      </c>
      <c r="K113" s="514"/>
      <c r="L113" s="525"/>
      <c r="M113" s="514">
        <f t="shared" si="19"/>
        <v>0</v>
      </c>
      <c r="N113" s="525"/>
      <c r="O113" s="514">
        <f t="shared" si="12"/>
        <v>0</v>
      </c>
      <c r="P113" s="514">
        <f t="shared" si="13"/>
        <v>0</v>
      </c>
    </row>
    <row r="114" spans="2:16" ht="12.5">
      <c r="B114" s="195" t="str">
        <f t="shared" si="14"/>
        <v/>
      </c>
      <c r="C114" s="507">
        <f>IF(D93="","-",+C113+1)</f>
        <v>2034</v>
      </c>
      <c r="D114" s="374">
        <f>IF(F113+SUM(E$99:E113)=D$92,F113,D$92-SUM(E$99:E113))</f>
        <v>6178206.9050590172</v>
      </c>
      <c r="E114" s="522">
        <f>IF(+J96&lt;F113,J96,D114)</f>
        <v>234833.90243902439</v>
      </c>
      <c r="F114" s="523">
        <f t="shared" si="15"/>
        <v>5943373.0026199929</v>
      </c>
      <c r="G114" s="523">
        <f t="shared" si="16"/>
        <v>6060789.9538395051</v>
      </c>
      <c r="H114" s="526">
        <f t="shared" si="17"/>
        <v>922819.78525108763</v>
      </c>
      <c r="I114" s="577">
        <f t="shared" si="18"/>
        <v>922819.78525108763</v>
      </c>
      <c r="J114" s="514">
        <f t="shared" si="10"/>
        <v>0</v>
      </c>
      <c r="K114" s="514"/>
      <c r="L114" s="525"/>
      <c r="M114" s="514">
        <f t="shared" si="19"/>
        <v>0</v>
      </c>
      <c r="N114" s="525"/>
      <c r="O114" s="514">
        <f t="shared" si="12"/>
        <v>0</v>
      </c>
      <c r="P114" s="514">
        <f t="shared" si="13"/>
        <v>0</v>
      </c>
    </row>
    <row r="115" spans="2:16" ht="12.5">
      <c r="B115" s="195" t="str">
        <f t="shared" si="14"/>
        <v/>
      </c>
      <c r="C115" s="507">
        <f>IF(D93="","-",+C114+1)</f>
        <v>2035</v>
      </c>
      <c r="D115" s="374">
        <f>IF(F114+SUM(E$99:E114)=D$92,F114,D$92-SUM(E$99:E114))</f>
        <v>5943373.0026199929</v>
      </c>
      <c r="E115" s="522">
        <f>IF(+J96&lt;F114,J96,D115)</f>
        <v>234833.90243902439</v>
      </c>
      <c r="F115" s="523">
        <f t="shared" si="15"/>
        <v>5708539.1001809686</v>
      </c>
      <c r="G115" s="523">
        <f t="shared" si="16"/>
        <v>5825956.0514004808</v>
      </c>
      <c r="H115" s="526">
        <f t="shared" si="17"/>
        <v>896162.7964898512</v>
      </c>
      <c r="I115" s="577">
        <f t="shared" si="18"/>
        <v>896162.7964898512</v>
      </c>
      <c r="J115" s="514">
        <f t="shared" si="10"/>
        <v>0</v>
      </c>
      <c r="K115" s="514"/>
      <c r="L115" s="525"/>
      <c r="M115" s="514">
        <f t="shared" si="19"/>
        <v>0</v>
      </c>
      <c r="N115" s="525"/>
      <c r="O115" s="514">
        <f t="shared" si="12"/>
        <v>0</v>
      </c>
      <c r="P115" s="514">
        <f t="shared" si="13"/>
        <v>0</v>
      </c>
    </row>
    <row r="116" spans="2:16" ht="12.5">
      <c r="B116" s="195" t="str">
        <f t="shared" si="14"/>
        <v/>
      </c>
      <c r="C116" s="507">
        <f>IF(D93="","-",+C115+1)</f>
        <v>2036</v>
      </c>
      <c r="D116" s="374">
        <f>IF(F115+SUM(E$99:E115)=D$92,F115,D$92-SUM(E$99:E115))</f>
        <v>5708539.1001809686</v>
      </c>
      <c r="E116" s="522">
        <f>IF(+J96&lt;F115,J96,D116)</f>
        <v>234833.90243902439</v>
      </c>
      <c r="F116" s="523">
        <f t="shared" si="15"/>
        <v>5473705.1977419443</v>
      </c>
      <c r="G116" s="523">
        <f t="shared" si="16"/>
        <v>5591122.1489614565</v>
      </c>
      <c r="H116" s="526">
        <f t="shared" si="17"/>
        <v>869505.80772861477</v>
      </c>
      <c r="I116" s="577">
        <f t="shared" si="18"/>
        <v>869505.80772861477</v>
      </c>
      <c r="J116" s="514">
        <f t="shared" si="10"/>
        <v>0</v>
      </c>
      <c r="K116" s="514"/>
      <c r="L116" s="525"/>
      <c r="M116" s="514">
        <f t="shared" si="19"/>
        <v>0</v>
      </c>
      <c r="N116" s="525"/>
      <c r="O116" s="514">
        <f t="shared" si="12"/>
        <v>0</v>
      </c>
      <c r="P116" s="514">
        <f t="shared" si="13"/>
        <v>0</v>
      </c>
    </row>
    <row r="117" spans="2:16" ht="12.5">
      <c r="B117" s="195" t="str">
        <f t="shared" si="14"/>
        <v/>
      </c>
      <c r="C117" s="507">
        <f>IF(D93="","-",+C116+1)</f>
        <v>2037</v>
      </c>
      <c r="D117" s="374">
        <f>IF(F116+SUM(E$99:E116)=D$92,F116,D$92-SUM(E$99:E116))</f>
        <v>5473705.1977419443</v>
      </c>
      <c r="E117" s="522">
        <f>IF(+J96&lt;F116,J96,D117)</f>
        <v>234833.90243902439</v>
      </c>
      <c r="F117" s="523">
        <f t="shared" si="15"/>
        <v>5238871.29530292</v>
      </c>
      <c r="G117" s="523">
        <f t="shared" si="16"/>
        <v>5356288.2465224322</v>
      </c>
      <c r="H117" s="526">
        <f t="shared" si="17"/>
        <v>842848.81896737847</v>
      </c>
      <c r="I117" s="577">
        <f t="shared" si="18"/>
        <v>842848.81896737847</v>
      </c>
      <c r="J117" s="514">
        <f t="shared" si="10"/>
        <v>0</v>
      </c>
      <c r="K117" s="514"/>
      <c r="L117" s="525"/>
      <c r="M117" s="514">
        <f t="shared" si="19"/>
        <v>0</v>
      </c>
      <c r="N117" s="525"/>
      <c r="O117" s="514">
        <f t="shared" si="12"/>
        <v>0</v>
      </c>
      <c r="P117" s="514">
        <f t="shared" si="13"/>
        <v>0</v>
      </c>
    </row>
    <row r="118" spans="2:16" ht="12.5">
      <c r="B118" s="195" t="str">
        <f t="shared" si="14"/>
        <v/>
      </c>
      <c r="C118" s="507">
        <f>IF(D93="","-",+C117+1)</f>
        <v>2038</v>
      </c>
      <c r="D118" s="374">
        <f>IF(F117+SUM(E$99:E117)=D$92,F117,D$92-SUM(E$99:E117))</f>
        <v>5238871.29530292</v>
      </c>
      <c r="E118" s="522">
        <f>IF(+J96&lt;F117,J96,D118)</f>
        <v>234833.90243902439</v>
      </c>
      <c r="F118" s="523">
        <f t="shared" si="15"/>
        <v>5004037.3928638957</v>
      </c>
      <c r="G118" s="523">
        <f t="shared" si="16"/>
        <v>5121454.3440834079</v>
      </c>
      <c r="H118" s="526">
        <f t="shared" si="17"/>
        <v>816191.83020614204</v>
      </c>
      <c r="I118" s="577">
        <f t="shared" si="18"/>
        <v>816191.83020614204</v>
      </c>
      <c r="J118" s="514">
        <f t="shared" si="10"/>
        <v>0</v>
      </c>
      <c r="K118" s="514"/>
      <c r="L118" s="525"/>
      <c r="M118" s="514">
        <f t="shared" si="19"/>
        <v>0</v>
      </c>
      <c r="N118" s="525"/>
      <c r="O118" s="514">
        <f t="shared" si="12"/>
        <v>0</v>
      </c>
      <c r="P118" s="514">
        <f t="shared" si="13"/>
        <v>0</v>
      </c>
    </row>
    <row r="119" spans="2:16" ht="12.5">
      <c r="B119" s="195" t="str">
        <f t="shared" si="14"/>
        <v/>
      </c>
      <c r="C119" s="507">
        <f>IF(D93="","-",+C118+1)</f>
        <v>2039</v>
      </c>
      <c r="D119" s="374">
        <f>IF(F118+SUM(E$99:E118)=D$92,F118,D$92-SUM(E$99:E118))</f>
        <v>5004037.3928638957</v>
      </c>
      <c r="E119" s="522">
        <f>IF(+J96&lt;F118,J96,D119)</f>
        <v>234833.90243902439</v>
      </c>
      <c r="F119" s="523">
        <f t="shared" si="15"/>
        <v>4769203.4904248714</v>
      </c>
      <c r="G119" s="523">
        <f t="shared" si="16"/>
        <v>4886620.4416443836</v>
      </c>
      <c r="H119" s="526">
        <f t="shared" si="17"/>
        <v>789534.84144490561</v>
      </c>
      <c r="I119" s="577">
        <f t="shared" si="18"/>
        <v>789534.84144490561</v>
      </c>
      <c r="J119" s="514">
        <f t="shared" si="10"/>
        <v>0</v>
      </c>
      <c r="K119" s="514"/>
      <c r="L119" s="525"/>
      <c r="M119" s="514">
        <f t="shared" si="19"/>
        <v>0</v>
      </c>
      <c r="N119" s="525"/>
      <c r="O119" s="514">
        <f t="shared" si="12"/>
        <v>0</v>
      </c>
      <c r="P119" s="514">
        <f t="shared" si="13"/>
        <v>0</v>
      </c>
    </row>
    <row r="120" spans="2:16" ht="12.5">
      <c r="B120" s="195" t="str">
        <f t="shared" si="14"/>
        <v/>
      </c>
      <c r="C120" s="507">
        <f>IF(D93="","-",+C119+1)</f>
        <v>2040</v>
      </c>
      <c r="D120" s="374">
        <f>IF(F119+SUM(E$99:E119)=D$92,F119,D$92-SUM(E$99:E119))</f>
        <v>4769203.4904248714</v>
      </c>
      <c r="E120" s="522">
        <f>IF(+J96&lt;F119,J96,D120)</f>
        <v>234833.90243902439</v>
      </c>
      <c r="F120" s="523">
        <f t="shared" si="15"/>
        <v>4534369.5879858471</v>
      </c>
      <c r="G120" s="523">
        <f t="shared" si="16"/>
        <v>4651786.5392053593</v>
      </c>
      <c r="H120" s="526">
        <f t="shared" si="17"/>
        <v>762877.85268366931</v>
      </c>
      <c r="I120" s="577">
        <f t="shared" si="18"/>
        <v>762877.85268366931</v>
      </c>
      <c r="J120" s="514">
        <f t="shared" si="10"/>
        <v>0</v>
      </c>
      <c r="K120" s="514"/>
      <c r="L120" s="525"/>
      <c r="M120" s="514">
        <f t="shared" si="19"/>
        <v>0</v>
      </c>
      <c r="N120" s="525"/>
      <c r="O120" s="514">
        <f t="shared" si="12"/>
        <v>0</v>
      </c>
      <c r="P120" s="514">
        <f t="shared" si="13"/>
        <v>0</v>
      </c>
    </row>
    <row r="121" spans="2:16" ht="12.5">
      <c r="B121" s="195" t="str">
        <f t="shared" si="14"/>
        <v/>
      </c>
      <c r="C121" s="507">
        <f>IF(D93="","-",+C120+1)</f>
        <v>2041</v>
      </c>
      <c r="D121" s="374">
        <f>IF(F120+SUM(E$99:E120)=D$92,F120,D$92-SUM(E$99:E120))</f>
        <v>4534369.5879858471</v>
      </c>
      <c r="E121" s="522">
        <f>IF(+J96&lt;F120,J96,D121)</f>
        <v>234833.90243902439</v>
      </c>
      <c r="F121" s="523">
        <f t="shared" si="15"/>
        <v>4299535.6855468228</v>
      </c>
      <c r="G121" s="523">
        <f t="shared" si="16"/>
        <v>4416952.636766335</v>
      </c>
      <c r="H121" s="526">
        <f t="shared" si="17"/>
        <v>736220.86392243288</v>
      </c>
      <c r="I121" s="577">
        <f t="shared" si="18"/>
        <v>736220.86392243288</v>
      </c>
      <c r="J121" s="514">
        <f t="shared" si="10"/>
        <v>0</v>
      </c>
      <c r="K121" s="514"/>
      <c r="L121" s="525"/>
      <c r="M121" s="514">
        <f t="shared" si="19"/>
        <v>0</v>
      </c>
      <c r="N121" s="525"/>
      <c r="O121" s="514">
        <f t="shared" si="12"/>
        <v>0</v>
      </c>
      <c r="P121" s="514">
        <f t="shared" si="13"/>
        <v>0</v>
      </c>
    </row>
    <row r="122" spans="2:16" ht="12.5">
      <c r="B122" s="195" t="str">
        <f t="shared" si="14"/>
        <v/>
      </c>
      <c r="C122" s="507">
        <f>IF(D93="","-",+C121+1)</f>
        <v>2042</v>
      </c>
      <c r="D122" s="374">
        <f>IF(F121+SUM(E$99:E121)=D$92,F121,D$92-SUM(E$99:E121))</f>
        <v>4299535.6855468228</v>
      </c>
      <c r="E122" s="522">
        <f>IF(+J96&lt;F121,J96,D122)</f>
        <v>234833.90243902439</v>
      </c>
      <c r="F122" s="523">
        <f t="shared" si="15"/>
        <v>4064701.7831077985</v>
      </c>
      <c r="G122" s="523">
        <f t="shared" si="16"/>
        <v>4182118.7343273107</v>
      </c>
      <c r="H122" s="526">
        <f t="shared" si="17"/>
        <v>709563.87516119645</v>
      </c>
      <c r="I122" s="577">
        <f t="shared" si="18"/>
        <v>709563.87516119645</v>
      </c>
      <c r="J122" s="514">
        <f t="shared" si="10"/>
        <v>0</v>
      </c>
      <c r="K122" s="514"/>
      <c r="L122" s="525"/>
      <c r="M122" s="514">
        <f t="shared" si="19"/>
        <v>0</v>
      </c>
      <c r="N122" s="525"/>
      <c r="O122" s="514">
        <f t="shared" si="12"/>
        <v>0</v>
      </c>
      <c r="P122" s="514">
        <f t="shared" si="13"/>
        <v>0</v>
      </c>
    </row>
    <row r="123" spans="2:16" ht="12.5">
      <c r="B123" s="195" t="str">
        <f t="shared" si="14"/>
        <v/>
      </c>
      <c r="C123" s="507">
        <f>IF(D93="","-",+C122+1)</f>
        <v>2043</v>
      </c>
      <c r="D123" s="374">
        <f>IF(F122+SUM(E$99:E122)=D$92,F122,D$92-SUM(E$99:E122))</f>
        <v>4064701.7831077985</v>
      </c>
      <c r="E123" s="522">
        <f>IF(+J96&lt;F122,J96,D123)</f>
        <v>234833.90243902439</v>
      </c>
      <c r="F123" s="523">
        <f t="shared" si="15"/>
        <v>3829867.8806687742</v>
      </c>
      <c r="G123" s="523">
        <f t="shared" si="16"/>
        <v>3947284.8318882864</v>
      </c>
      <c r="H123" s="526">
        <f t="shared" si="17"/>
        <v>682906.88639996015</v>
      </c>
      <c r="I123" s="577">
        <f t="shared" si="18"/>
        <v>682906.88639996015</v>
      </c>
      <c r="J123" s="514">
        <f t="shared" si="10"/>
        <v>0</v>
      </c>
      <c r="K123" s="514"/>
      <c r="L123" s="525"/>
      <c r="M123" s="514">
        <f t="shared" si="19"/>
        <v>0</v>
      </c>
      <c r="N123" s="525"/>
      <c r="O123" s="514">
        <f t="shared" si="12"/>
        <v>0</v>
      </c>
      <c r="P123" s="514">
        <f t="shared" si="13"/>
        <v>0</v>
      </c>
    </row>
    <row r="124" spans="2:16" ht="12.5">
      <c r="B124" s="195" t="str">
        <f t="shared" si="14"/>
        <v/>
      </c>
      <c r="C124" s="507">
        <f>IF(D93="","-",+C123+1)</f>
        <v>2044</v>
      </c>
      <c r="D124" s="374">
        <f>IF(F123+SUM(E$99:E123)=D$92,F123,D$92-SUM(E$99:E123))</f>
        <v>3829867.8806687742</v>
      </c>
      <c r="E124" s="522">
        <f>IF(+J96&lt;F123,J96,D124)</f>
        <v>234833.90243902439</v>
      </c>
      <c r="F124" s="523">
        <f t="shared" si="15"/>
        <v>3595033.9782297499</v>
      </c>
      <c r="G124" s="523">
        <f t="shared" si="16"/>
        <v>3712450.9294492621</v>
      </c>
      <c r="H124" s="526">
        <f t="shared" si="17"/>
        <v>656249.89763872372</v>
      </c>
      <c r="I124" s="577">
        <f t="shared" si="18"/>
        <v>656249.89763872372</v>
      </c>
      <c r="J124" s="514">
        <f t="shared" si="10"/>
        <v>0</v>
      </c>
      <c r="K124" s="514"/>
      <c r="L124" s="525"/>
      <c r="M124" s="514">
        <f t="shared" si="19"/>
        <v>0</v>
      </c>
      <c r="N124" s="525"/>
      <c r="O124" s="514">
        <f t="shared" si="12"/>
        <v>0</v>
      </c>
      <c r="P124" s="514">
        <f t="shared" si="13"/>
        <v>0</v>
      </c>
    </row>
    <row r="125" spans="2:16" ht="12.5">
      <c r="B125" s="195" t="str">
        <f t="shared" si="14"/>
        <v/>
      </c>
      <c r="C125" s="507">
        <f>IF(D93="","-",+C124+1)</f>
        <v>2045</v>
      </c>
      <c r="D125" s="374">
        <f>IF(F124+SUM(E$99:E124)=D$92,F124,D$92-SUM(E$99:E124))</f>
        <v>3595033.9782297499</v>
      </c>
      <c r="E125" s="522">
        <f>IF(+J96&lt;F124,J96,D125)</f>
        <v>234833.90243902439</v>
      </c>
      <c r="F125" s="523">
        <f t="shared" si="15"/>
        <v>3360200.0757907256</v>
      </c>
      <c r="G125" s="523">
        <f t="shared" si="16"/>
        <v>3477617.0270102378</v>
      </c>
      <c r="H125" s="526">
        <f t="shared" si="17"/>
        <v>629592.90887748741</v>
      </c>
      <c r="I125" s="577">
        <f t="shared" si="18"/>
        <v>629592.90887748741</v>
      </c>
      <c r="J125" s="514">
        <f t="shared" si="10"/>
        <v>0</v>
      </c>
      <c r="K125" s="514"/>
      <c r="L125" s="525"/>
      <c r="M125" s="514">
        <f t="shared" si="19"/>
        <v>0</v>
      </c>
      <c r="N125" s="525"/>
      <c r="O125" s="514">
        <f t="shared" si="12"/>
        <v>0</v>
      </c>
      <c r="P125" s="514">
        <f t="shared" si="13"/>
        <v>0</v>
      </c>
    </row>
    <row r="126" spans="2:16" ht="12.5">
      <c r="B126" s="195" t="str">
        <f t="shared" si="14"/>
        <v/>
      </c>
      <c r="C126" s="507">
        <f>IF(D93="","-",+C125+1)</f>
        <v>2046</v>
      </c>
      <c r="D126" s="374">
        <f>IF(F125+SUM(E$99:E125)=D$92,F125,D$92-SUM(E$99:E125))</f>
        <v>3360200.0757907256</v>
      </c>
      <c r="E126" s="522">
        <f>IF(+J96&lt;F125,J96,D126)</f>
        <v>234833.90243902439</v>
      </c>
      <c r="F126" s="523">
        <f t="shared" si="15"/>
        <v>3125366.1733517013</v>
      </c>
      <c r="G126" s="523">
        <f t="shared" si="16"/>
        <v>3242783.1245712135</v>
      </c>
      <c r="H126" s="526">
        <f t="shared" si="17"/>
        <v>602935.92011625099</v>
      </c>
      <c r="I126" s="577">
        <f t="shared" si="18"/>
        <v>602935.92011625099</v>
      </c>
      <c r="J126" s="514">
        <f t="shared" si="10"/>
        <v>0</v>
      </c>
      <c r="K126" s="514"/>
      <c r="L126" s="525"/>
      <c r="M126" s="514">
        <f t="shared" si="19"/>
        <v>0</v>
      </c>
      <c r="N126" s="525"/>
      <c r="O126" s="514">
        <f t="shared" si="12"/>
        <v>0</v>
      </c>
      <c r="P126" s="514">
        <f t="shared" si="13"/>
        <v>0</v>
      </c>
    </row>
    <row r="127" spans="2:16" ht="12.5">
      <c r="B127" s="195" t="str">
        <f t="shared" si="14"/>
        <v/>
      </c>
      <c r="C127" s="507">
        <f>IF(D93="","-",+C126+1)</f>
        <v>2047</v>
      </c>
      <c r="D127" s="374">
        <f>IF(F126+SUM(E$99:E126)=D$92,F126,D$92-SUM(E$99:E126))</f>
        <v>3125366.1733517013</v>
      </c>
      <c r="E127" s="522">
        <f>IF(+J96&lt;F126,J96,D127)</f>
        <v>234833.90243902439</v>
      </c>
      <c r="F127" s="523">
        <f t="shared" si="15"/>
        <v>2890532.270912677</v>
      </c>
      <c r="G127" s="523">
        <f t="shared" si="16"/>
        <v>3007949.2221321892</v>
      </c>
      <c r="H127" s="526">
        <f t="shared" si="17"/>
        <v>576278.93135501456</v>
      </c>
      <c r="I127" s="577">
        <f t="shared" si="18"/>
        <v>576278.93135501456</v>
      </c>
      <c r="J127" s="514">
        <f t="shared" si="10"/>
        <v>0</v>
      </c>
      <c r="K127" s="514"/>
      <c r="L127" s="525"/>
      <c r="M127" s="514">
        <f t="shared" si="19"/>
        <v>0</v>
      </c>
      <c r="N127" s="525"/>
      <c r="O127" s="514">
        <f t="shared" si="12"/>
        <v>0</v>
      </c>
      <c r="P127" s="514">
        <f t="shared" si="13"/>
        <v>0</v>
      </c>
    </row>
    <row r="128" spans="2:16" ht="12.5">
      <c r="B128" s="195" t="str">
        <f t="shared" si="14"/>
        <v/>
      </c>
      <c r="C128" s="507">
        <f>IF(D93="","-",+C127+1)</f>
        <v>2048</v>
      </c>
      <c r="D128" s="374">
        <f>IF(F127+SUM(E$99:E127)=D$92,F127,D$92-SUM(E$99:E127))</f>
        <v>2890532.270912677</v>
      </c>
      <c r="E128" s="522">
        <f>IF(+J96&lt;F127,J96,D128)</f>
        <v>234833.90243902439</v>
      </c>
      <c r="F128" s="523">
        <f t="shared" si="15"/>
        <v>2655698.3684736528</v>
      </c>
      <c r="G128" s="523">
        <f t="shared" si="16"/>
        <v>2773115.3196931649</v>
      </c>
      <c r="H128" s="526">
        <f t="shared" si="17"/>
        <v>549621.94259377825</v>
      </c>
      <c r="I128" s="577">
        <f t="shared" si="18"/>
        <v>549621.94259377825</v>
      </c>
      <c r="J128" s="514">
        <f t="shared" si="10"/>
        <v>0</v>
      </c>
      <c r="K128" s="514"/>
      <c r="L128" s="525"/>
      <c r="M128" s="514">
        <f t="shared" si="19"/>
        <v>0</v>
      </c>
      <c r="N128" s="525"/>
      <c r="O128" s="514">
        <f t="shared" si="12"/>
        <v>0</v>
      </c>
      <c r="P128" s="514">
        <f t="shared" si="13"/>
        <v>0</v>
      </c>
    </row>
    <row r="129" spans="2:16" ht="12.5">
      <c r="B129" s="195" t="str">
        <f t="shared" si="14"/>
        <v/>
      </c>
      <c r="C129" s="507">
        <f>IF(D93="","-",+C128+1)</f>
        <v>2049</v>
      </c>
      <c r="D129" s="374">
        <f>IF(F128+SUM(E$99:E128)=D$92,F128,D$92-SUM(E$99:E128))</f>
        <v>2655698.3684736528</v>
      </c>
      <c r="E129" s="522">
        <f>IF(+J96&lt;F128,J96,D129)</f>
        <v>234833.90243902439</v>
      </c>
      <c r="F129" s="523">
        <f t="shared" si="15"/>
        <v>2420864.4660346285</v>
      </c>
      <c r="G129" s="523">
        <f t="shared" si="16"/>
        <v>2538281.4172541406</v>
      </c>
      <c r="H129" s="526">
        <f t="shared" si="17"/>
        <v>522964.95383254183</v>
      </c>
      <c r="I129" s="577">
        <f t="shared" si="18"/>
        <v>522964.95383254183</v>
      </c>
      <c r="J129" s="514">
        <f t="shared" si="10"/>
        <v>0</v>
      </c>
      <c r="K129" s="514"/>
      <c r="L129" s="525"/>
      <c r="M129" s="514">
        <f t="shared" si="19"/>
        <v>0</v>
      </c>
      <c r="N129" s="525"/>
      <c r="O129" s="514">
        <f t="shared" si="12"/>
        <v>0</v>
      </c>
      <c r="P129" s="514">
        <f t="shared" si="13"/>
        <v>0</v>
      </c>
    </row>
    <row r="130" spans="2:16" ht="12.5">
      <c r="B130" s="195" t="str">
        <f t="shared" si="14"/>
        <v/>
      </c>
      <c r="C130" s="507">
        <f>IF(D93="","-",+C129+1)</f>
        <v>2050</v>
      </c>
      <c r="D130" s="374">
        <f>IF(F129+SUM(E$99:E129)=D$92,F129,D$92-SUM(E$99:E129))</f>
        <v>2420864.4660346285</v>
      </c>
      <c r="E130" s="522">
        <f>IF(+J96&lt;F129,J96,D130)</f>
        <v>234833.90243902439</v>
      </c>
      <c r="F130" s="523">
        <f t="shared" si="15"/>
        <v>2186030.5635956042</v>
      </c>
      <c r="G130" s="523">
        <f t="shared" si="16"/>
        <v>2303447.5148151163</v>
      </c>
      <c r="H130" s="526">
        <f t="shared" si="17"/>
        <v>496307.96507130546</v>
      </c>
      <c r="I130" s="577">
        <f t="shared" si="18"/>
        <v>496307.96507130546</v>
      </c>
      <c r="J130" s="514">
        <f t="shared" si="10"/>
        <v>0</v>
      </c>
      <c r="K130" s="514"/>
      <c r="L130" s="525"/>
      <c r="M130" s="514">
        <f t="shared" si="19"/>
        <v>0</v>
      </c>
      <c r="N130" s="525"/>
      <c r="O130" s="514">
        <f t="shared" si="12"/>
        <v>0</v>
      </c>
      <c r="P130" s="514">
        <f t="shared" si="13"/>
        <v>0</v>
      </c>
    </row>
    <row r="131" spans="2:16" ht="12.5">
      <c r="B131" s="195" t="str">
        <f t="shared" si="14"/>
        <v/>
      </c>
      <c r="C131" s="507">
        <f>IF(D93="","-",+C130+1)</f>
        <v>2051</v>
      </c>
      <c r="D131" s="374">
        <f>IF(F130+SUM(E$99:E130)=D$92,F130,D$92-SUM(E$99:E130))</f>
        <v>2186030.5635956042</v>
      </c>
      <c r="E131" s="522">
        <f>IF(+J96&lt;F130,J96,D131)</f>
        <v>234833.90243902439</v>
      </c>
      <c r="F131" s="523">
        <f t="shared" si="15"/>
        <v>1951196.6611565799</v>
      </c>
      <c r="G131" s="523">
        <f t="shared" si="16"/>
        <v>2068613.612376092</v>
      </c>
      <c r="H131" s="526">
        <f t="shared" si="17"/>
        <v>469650.97631006909</v>
      </c>
      <c r="I131" s="577">
        <f t="shared" si="18"/>
        <v>469650.97631006909</v>
      </c>
      <c r="J131" s="514">
        <f t="shared" ref="J131:J154" si="20">+I541-H541</f>
        <v>0</v>
      </c>
      <c r="K131" s="514"/>
      <c r="L131" s="525"/>
      <c r="M131" s="514">
        <f t="shared" ref="M131:M154" si="21">IF(L541&lt;&gt;0,+H541-L541,0)</f>
        <v>0</v>
      </c>
      <c r="N131" s="525"/>
      <c r="O131" s="514">
        <f t="shared" ref="O131:O154" si="22">IF(N541&lt;&gt;0,+I541-N541,0)</f>
        <v>0</v>
      </c>
      <c r="P131" s="514">
        <f t="shared" ref="P131:P154" si="23">+O541-M541</f>
        <v>0</v>
      </c>
    </row>
    <row r="132" spans="2:16" ht="12.5">
      <c r="B132" s="195" t="str">
        <f t="shared" si="14"/>
        <v/>
      </c>
      <c r="C132" s="507">
        <f>IF(D93="","-",+C131+1)</f>
        <v>2052</v>
      </c>
      <c r="D132" s="374">
        <f>IF(F131+SUM(E$99:E131)=D$92,F131,D$92-SUM(E$99:E131))</f>
        <v>1951196.6611565799</v>
      </c>
      <c r="E132" s="522">
        <f>IF(+J96&lt;F131,J96,D132)</f>
        <v>234833.90243902439</v>
      </c>
      <c r="F132" s="523">
        <f t="shared" si="15"/>
        <v>1716362.7587175556</v>
      </c>
      <c r="G132" s="523">
        <f t="shared" si="16"/>
        <v>1833779.7099370677</v>
      </c>
      <c r="H132" s="526">
        <f t="shared" si="17"/>
        <v>442993.98754883267</v>
      </c>
      <c r="I132" s="577">
        <f t="shared" si="18"/>
        <v>442993.98754883267</v>
      </c>
      <c r="J132" s="514">
        <f t="shared" si="20"/>
        <v>0</v>
      </c>
      <c r="K132" s="514"/>
      <c r="L132" s="525"/>
      <c r="M132" s="514">
        <f t="shared" si="21"/>
        <v>0</v>
      </c>
      <c r="N132" s="525"/>
      <c r="O132" s="514">
        <f t="shared" si="22"/>
        <v>0</v>
      </c>
      <c r="P132" s="514">
        <f t="shared" si="23"/>
        <v>0</v>
      </c>
    </row>
    <row r="133" spans="2:16" ht="12.5">
      <c r="B133" s="195" t="str">
        <f t="shared" si="14"/>
        <v/>
      </c>
      <c r="C133" s="507">
        <f>IF(D93="","-",+C132+1)</f>
        <v>2053</v>
      </c>
      <c r="D133" s="374">
        <f>IF(F132+SUM(E$99:E132)=D$92,F132,D$92-SUM(E$99:E132))</f>
        <v>1716362.7587175556</v>
      </c>
      <c r="E133" s="522">
        <f>IF(+J96&lt;F132,J96,D133)</f>
        <v>234833.90243902439</v>
      </c>
      <c r="F133" s="523">
        <f t="shared" si="15"/>
        <v>1481528.8562785313</v>
      </c>
      <c r="G133" s="523">
        <f t="shared" si="16"/>
        <v>1598945.8074980434</v>
      </c>
      <c r="H133" s="526">
        <f t="shared" si="17"/>
        <v>416336.99878759636</v>
      </c>
      <c r="I133" s="577">
        <f t="shared" si="18"/>
        <v>416336.99878759636</v>
      </c>
      <c r="J133" s="514">
        <f t="shared" si="20"/>
        <v>0</v>
      </c>
      <c r="K133" s="514"/>
      <c r="L133" s="525"/>
      <c r="M133" s="514">
        <f t="shared" si="21"/>
        <v>0</v>
      </c>
      <c r="N133" s="525"/>
      <c r="O133" s="514">
        <f t="shared" si="22"/>
        <v>0</v>
      </c>
      <c r="P133" s="514">
        <f t="shared" si="23"/>
        <v>0</v>
      </c>
    </row>
    <row r="134" spans="2:16" ht="12.5">
      <c r="B134" s="195" t="str">
        <f t="shared" si="14"/>
        <v/>
      </c>
      <c r="C134" s="507">
        <f>IF(D93="","-",+C133+1)</f>
        <v>2054</v>
      </c>
      <c r="D134" s="374">
        <f>IF(F133+SUM(E$99:E133)=D$92,F133,D$92-SUM(E$99:E133))</f>
        <v>1481528.8562785313</v>
      </c>
      <c r="E134" s="522">
        <f>IF(+J96&lt;F133,J96,D134)</f>
        <v>234833.90243902439</v>
      </c>
      <c r="F134" s="523">
        <f t="shared" si="15"/>
        <v>1246694.953839507</v>
      </c>
      <c r="G134" s="523">
        <f t="shared" si="16"/>
        <v>1364111.9050590191</v>
      </c>
      <c r="H134" s="526">
        <f t="shared" si="17"/>
        <v>389680.01002635993</v>
      </c>
      <c r="I134" s="577">
        <f t="shared" si="18"/>
        <v>389680.01002635993</v>
      </c>
      <c r="J134" s="514">
        <f t="shared" si="20"/>
        <v>0</v>
      </c>
      <c r="K134" s="514"/>
      <c r="L134" s="525"/>
      <c r="M134" s="514">
        <f t="shared" si="21"/>
        <v>0</v>
      </c>
      <c r="N134" s="525"/>
      <c r="O134" s="514">
        <f t="shared" si="22"/>
        <v>0</v>
      </c>
      <c r="P134" s="514">
        <f t="shared" si="23"/>
        <v>0</v>
      </c>
    </row>
    <row r="135" spans="2:16" ht="12.5">
      <c r="B135" s="195" t="str">
        <f t="shared" si="14"/>
        <v/>
      </c>
      <c r="C135" s="507">
        <f>IF(D93="","-",+C134+1)</f>
        <v>2055</v>
      </c>
      <c r="D135" s="374">
        <f>IF(F134+SUM(E$99:E134)=D$92,F134,D$92-SUM(E$99:E134))</f>
        <v>1246694.953839507</v>
      </c>
      <c r="E135" s="522">
        <f>IF(+J96&lt;F134,J96,D135)</f>
        <v>234833.90243902439</v>
      </c>
      <c r="F135" s="523">
        <f t="shared" si="15"/>
        <v>1011861.0514004825</v>
      </c>
      <c r="G135" s="523">
        <f t="shared" si="16"/>
        <v>1129278.0026199948</v>
      </c>
      <c r="H135" s="526">
        <f t="shared" si="17"/>
        <v>363023.02126512356</v>
      </c>
      <c r="I135" s="577">
        <f t="shared" si="18"/>
        <v>363023.02126512356</v>
      </c>
      <c r="J135" s="514">
        <f t="shared" si="20"/>
        <v>0</v>
      </c>
      <c r="K135" s="514"/>
      <c r="L135" s="525"/>
      <c r="M135" s="514">
        <f t="shared" si="21"/>
        <v>0</v>
      </c>
      <c r="N135" s="525"/>
      <c r="O135" s="514">
        <f t="shared" si="22"/>
        <v>0</v>
      </c>
      <c r="P135" s="514">
        <f t="shared" si="23"/>
        <v>0</v>
      </c>
    </row>
    <row r="136" spans="2:16" ht="12.5">
      <c r="B136" s="195" t="str">
        <f t="shared" si="14"/>
        <v/>
      </c>
      <c r="C136" s="507">
        <f>IF(D93="","-",+C135+1)</f>
        <v>2056</v>
      </c>
      <c r="D136" s="374">
        <f>IF(F135+SUM(E$99:E135)=D$92,F135,D$92-SUM(E$99:E135))</f>
        <v>1011861.0514004825</v>
      </c>
      <c r="E136" s="522">
        <f>IF(+J96&lt;F135,J96,D136)</f>
        <v>234833.90243902439</v>
      </c>
      <c r="F136" s="523">
        <f t="shared" si="15"/>
        <v>777027.14896145812</v>
      </c>
      <c r="G136" s="523">
        <f t="shared" si="16"/>
        <v>894444.10018097027</v>
      </c>
      <c r="H136" s="526">
        <f t="shared" si="17"/>
        <v>336366.0325038872</v>
      </c>
      <c r="I136" s="577">
        <f t="shared" si="18"/>
        <v>336366.0325038872</v>
      </c>
      <c r="J136" s="514">
        <f t="shared" si="20"/>
        <v>0</v>
      </c>
      <c r="K136" s="514"/>
      <c r="L136" s="525"/>
      <c r="M136" s="514">
        <f t="shared" si="21"/>
        <v>0</v>
      </c>
      <c r="N136" s="525"/>
      <c r="O136" s="514">
        <f t="shared" si="22"/>
        <v>0</v>
      </c>
      <c r="P136" s="514">
        <f t="shared" si="23"/>
        <v>0</v>
      </c>
    </row>
    <row r="137" spans="2:16" ht="12.5">
      <c r="B137" s="195" t="str">
        <f t="shared" si="14"/>
        <v/>
      </c>
      <c r="C137" s="507">
        <f>IF(D93="","-",+C136+1)</f>
        <v>2057</v>
      </c>
      <c r="D137" s="374">
        <f>IF(F136+SUM(E$99:E136)=D$92,F136,D$92-SUM(E$99:E136))</f>
        <v>777027.14896145812</v>
      </c>
      <c r="E137" s="522">
        <f>IF(+J96&lt;F136,J96,D137)</f>
        <v>234833.90243902439</v>
      </c>
      <c r="F137" s="523">
        <f t="shared" si="15"/>
        <v>542193.24652243371</v>
      </c>
      <c r="G137" s="523">
        <f t="shared" si="16"/>
        <v>659610.19774194597</v>
      </c>
      <c r="H137" s="526">
        <f t="shared" si="17"/>
        <v>309709.04374265077</v>
      </c>
      <c r="I137" s="577">
        <f t="shared" si="18"/>
        <v>309709.04374265077</v>
      </c>
      <c r="J137" s="514">
        <f t="shared" si="20"/>
        <v>0</v>
      </c>
      <c r="K137" s="514"/>
      <c r="L137" s="525"/>
      <c r="M137" s="514">
        <f t="shared" si="21"/>
        <v>0</v>
      </c>
      <c r="N137" s="525"/>
      <c r="O137" s="514">
        <f t="shared" si="22"/>
        <v>0</v>
      </c>
      <c r="P137" s="514">
        <f t="shared" si="23"/>
        <v>0</v>
      </c>
    </row>
    <row r="138" spans="2:16" ht="12.5">
      <c r="B138" s="195" t="str">
        <f t="shared" si="14"/>
        <v/>
      </c>
      <c r="C138" s="507">
        <f>IF(D93="","-",+C137+1)</f>
        <v>2058</v>
      </c>
      <c r="D138" s="374">
        <f>IF(F137+SUM(E$99:E137)=D$92,F137,D$92-SUM(E$99:E137))</f>
        <v>542193.24652243371</v>
      </c>
      <c r="E138" s="522">
        <f>IF(+J96&lt;F137,J96,D138)</f>
        <v>234833.90243902439</v>
      </c>
      <c r="F138" s="523">
        <f t="shared" si="15"/>
        <v>307359.34408340929</v>
      </c>
      <c r="G138" s="523">
        <f t="shared" si="16"/>
        <v>424776.2953029215</v>
      </c>
      <c r="H138" s="526">
        <f t="shared" si="17"/>
        <v>283052.0549814144</v>
      </c>
      <c r="I138" s="577">
        <f t="shared" si="18"/>
        <v>283052.0549814144</v>
      </c>
      <c r="J138" s="514">
        <f t="shared" si="20"/>
        <v>0</v>
      </c>
      <c r="K138" s="514"/>
      <c r="L138" s="525"/>
      <c r="M138" s="514">
        <f t="shared" si="21"/>
        <v>0</v>
      </c>
      <c r="N138" s="525"/>
      <c r="O138" s="514">
        <f t="shared" si="22"/>
        <v>0</v>
      </c>
      <c r="P138" s="514">
        <f t="shared" si="23"/>
        <v>0</v>
      </c>
    </row>
    <row r="139" spans="2:16" ht="12.5">
      <c r="B139" s="195" t="str">
        <f t="shared" si="14"/>
        <v/>
      </c>
      <c r="C139" s="507">
        <f>IF(D93="","-",+C138+1)</f>
        <v>2059</v>
      </c>
      <c r="D139" s="374">
        <f>IF(F138+SUM(E$99:E138)=D$92,F138,D$92-SUM(E$99:E138))</f>
        <v>307359.34408340929</v>
      </c>
      <c r="E139" s="522">
        <f>IF(+J96&lt;F138,J96,D139)</f>
        <v>234833.90243902439</v>
      </c>
      <c r="F139" s="523">
        <f t="shared" si="15"/>
        <v>72525.441644384904</v>
      </c>
      <c r="G139" s="523">
        <f t="shared" si="16"/>
        <v>189942.39286389708</v>
      </c>
      <c r="H139" s="526">
        <f t="shared" si="17"/>
        <v>256395.06622017798</v>
      </c>
      <c r="I139" s="577">
        <f t="shared" si="18"/>
        <v>256395.06622017798</v>
      </c>
      <c r="J139" s="514">
        <f t="shared" si="20"/>
        <v>0</v>
      </c>
      <c r="K139" s="514"/>
      <c r="L139" s="525"/>
      <c r="M139" s="514">
        <f t="shared" si="21"/>
        <v>0</v>
      </c>
      <c r="N139" s="525"/>
      <c r="O139" s="514">
        <f t="shared" si="22"/>
        <v>0</v>
      </c>
      <c r="P139" s="514">
        <f t="shared" si="23"/>
        <v>0</v>
      </c>
    </row>
    <row r="140" spans="2:16" ht="12.5">
      <c r="B140" s="195" t="str">
        <f t="shared" si="14"/>
        <v/>
      </c>
      <c r="C140" s="507">
        <f>IF(D93="","-",+C139+1)</f>
        <v>2060</v>
      </c>
      <c r="D140" s="374">
        <f>IF(F139+SUM(E$99:E139)=D$92,F139,D$92-SUM(E$99:E139))</f>
        <v>72525.441644384904</v>
      </c>
      <c r="E140" s="522">
        <f>IF(+J96&lt;F139,J96,D140)</f>
        <v>72525.441644384904</v>
      </c>
      <c r="F140" s="523">
        <f t="shared" si="15"/>
        <v>0</v>
      </c>
      <c r="G140" s="523">
        <f t="shared" si="16"/>
        <v>36262.720822192452</v>
      </c>
      <c r="H140" s="526">
        <f t="shared" si="17"/>
        <v>76641.776344652608</v>
      </c>
      <c r="I140" s="577">
        <f t="shared" si="18"/>
        <v>76641.776344652608</v>
      </c>
      <c r="J140" s="514">
        <f t="shared" si="20"/>
        <v>0</v>
      </c>
      <c r="K140" s="514"/>
      <c r="L140" s="525"/>
      <c r="M140" s="514">
        <f t="shared" si="21"/>
        <v>0</v>
      </c>
      <c r="N140" s="525"/>
      <c r="O140" s="514">
        <f t="shared" si="22"/>
        <v>0</v>
      </c>
      <c r="P140" s="514">
        <f t="shared" si="23"/>
        <v>0</v>
      </c>
    </row>
    <row r="141" spans="2:16" ht="12.5">
      <c r="B141" s="195" t="str">
        <f t="shared" si="14"/>
        <v/>
      </c>
      <c r="C141" s="507">
        <f>IF(D93="","-",+C140+1)</f>
        <v>2061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15"/>
        <v>0</v>
      </c>
      <c r="G141" s="523">
        <f t="shared" si="16"/>
        <v>0</v>
      </c>
      <c r="H141" s="526">
        <f t="shared" si="17"/>
        <v>0</v>
      </c>
      <c r="I141" s="577">
        <f t="shared" si="18"/>
        <v>0</v>
      </c>
      <c r="J141" s="514">
        <f t="shared" si="20"/>
        <v>0</v>
      </c>
      <c r="K141" s="514"/>
      <c r="L141" s="525"/>
      <c r="M141" s="514">
        <f t="shared" si="21"/>
        <v>0</v>
      </c>
      <c r="N141" s="525"/>
      <c r="O141" s="514">
        <f t="shared" si="22"/>
        <v>0</v>
      </c>
      <c r="P141" s="514">
        <f t="shared" si="23"/>
        <v>0</v>
      </c>
    </row>
    <row r="142" spans="2:16" ht="12.5">
      <c r="B142" s="195" t="str">
        <f t="shared" si="14"/>
        <v/>
      </c>
      <c r="C142" s="507">
        <f>IF(D93="","-",+C141+1)</f>
        <v>2062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5"/>
        <v>0</v>
      </c>
      <c r="G142" s="523">
        <f t="shared" si="16"/>
        <v>0</v>
      </c>
      <c r="H142" s="526">
        <f t="shared" si="17"/>
        <v>0</v>
      </c>
      <c r="I142" s="577">
        <f t="shared" si="18"/>
        <v>0</v>
      </c>
      <c r="J142" s="514">
        <f t="shared" si="20"/>
        <v>0</v>
      </c>
      <c r="K142" s="514"/>
      <c r="L142" s="525"/>
      <c r="M142" s="514">
        <f t="shared" si="21"/>
        <v>0</v>
      </c>
      <c r="N142" s="525"/>
      <c r="O142" s="514">
        <f t="shared" si="22"/>
        <v>0</v>
      </c>
      <c r="P142" s="514">
        <f t="shared" si="23"/>
        <v>0</v>
      </c>
    </row>
    <row r="143" spans="2:16" ht="12.5">
      <c r="B143" s="195" t="str">
        <f t="shared" si="14"/>
        <v/>
      </c>
      <c r="C143" s="507">
        <f>IF(D93="","-",+C142+1)</f>
        <v>2063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5"/>
        <v>0</v>
      </c>
      <c r="G143" s="523">
        <f t="shared" si="16"/>
        <v>0</v>
      </c>
      <c r="H143" s="526">
        <f t="shared" si="17"/>
        <v>0</v>
      </c>
      <c r="I143" s="577">
        <f t="shared" si="18"/>
        <v>0</v>
      </c>
      <c r="J143" s="514">
        <f t="shared" si="20"/>
        <v>0</v>
      </c>
      <c r="K143" s="514"/>
      <c r="L143" s="525"/>
      <c r="M143" s="514">
        <f t="shared" si="21"/>
        <v>0</v>
      </c>
      <c r="N143" s="525"/>
      <c r="O143" s="514">
        <f t="shared" si="22"/>
        <v>0</v>
      </c>
      <c r="P143" s="514">
        <f t="shared" si="23"/>
        <v>0</v>
      </c>
    </row>
    <row r="144" spans="2:16" ht="12.5">
      <c r="B144" s="195" t="str">
        <f t="shared" si="14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5"/>
        <v>0</v>
      </c>
      <c r="G144" s="523">
        <f t="shared" si="16"/>
        <v>0</v>
      </c>
      <c r="H144" s="526">
        <f t="shared" si="17"/>
        <v>0</v>
      </c>
      <c r="I144" s="577">
        <f t="shared" si="18"/>
        <v>0</v>
      </c>
      <c r="J144" s="514">
        <f t="shared" si="20"/>
        <v>0</v>
      </c>
      <c r="K144" s="514"/>
      <c r="L144" s="525"/>
      <c r="M144" s="514">
        <f t="shared" si="21"/>
        <v>0</v>
      </c>
      <c r="N144" s="525"/>
      <c r="O144" s="514">
        <f t="shared" si="22"/>
        <v>0</v>
      </c>
      <c r="P144" s="514">
        <f t="shared" si="23"/>
        <v>0</v>
      </c>
    </row>
    <row r="145" spans="2:16" ht="12.5">
      <c r="B145" s="195" t="str">
        <f t="shared" si="14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5"/>
        <v>0</v>
      </c>
      <c r="G145" s="523">
        <f t="shared" si="16"/>
        <v>0</v>
      </c>
      <c r="H145" s="526">
        <f t="shared" si="17"/>
        <v>0</v>
      </c>
      <c r="I145" s="577">
        <f t="shared" si="18"/>
        <v>0</v>
      </c>
      <c r="J145" s="514">
        <f t="shared" si="20"/>
        <v>0</v>
      </c>
      <c r="K145" s="514"/>
      <c r="L145" s="525"/>
      <c r="M145" s="514">
        <f t="shared" si="21"/>
        <v>0</v>
      </c>
      <c r="N145" s="525"/>
      <c r="O145" s="514">
        <f t="shared" si="22"/>
        <v>0</v>
      </c>
      <c r="P145" s="514">
        <f t="shared" si="23"/>
        <v>0</v>
      </c>
    </row>
    <row r="146" spans="2:16" ht="12.5">
      <c r="B146" s="195" t="str">
        <f t="shared" si="14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5"/>
        <v>0</v>
      </c>
      <c r="G146" s="523">
        <f t="shared" si="16"/>
        <v>0</v>
      </c>
      <c r="H146" s="526">
        <f t="shared" si="17"/>
        <v>0</v>
      </c>
      <c r="I146" s="577">
        <f t="shared" si="18"/>
        <v>0</v>
      </c>
      <c r="J146" s="514">
        <f t="shared" si="20"/>
        <v>0</v>
      </c>
      <c r="K146" s="514"/>
      <c r="L146" s="525"/>
      <c r="M146" s="514">
        <f t="shared" si="21"/>
        <v>0</v>
      </c>
      <c r="N146" s="525"/>
      <c r="O146" s="514">
        <f t="shared" si="22"/>
        <v>0</v>
      </c>
      <c r="P146" s="514">
        <f t="shared" si="23"/>
        <v>0</v>
      </c>
    </row>
    <row r="147" spans="2:16" ht="12.5">
      <c r="B147" s="195" t="str">
        <f t="shared" si="14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5"/>
        <v>0</v>
      </c>
      <c r="G147" s="523">
        <f t="shared" si="16"/>
        <v>0</v>
      </c>
      <c r="H147" s="526">
        <f t="shared" si="17"/>
        <v>0</v>
      </c>
      <c r="I147" s="577">
        <f t="shared" si="18"/>
        <v>0</v>
      </c>
      <c r="J147" s="514">
        <f t="shared" si="20"/>
        <v>0</v>
      </c>
      <c r="K147" s="514"/>
      <c r="L147" s="525"/>
      <c r="M147" s="514">
        <f t="shared" si="21"/>
        <v>0</v>
      </c>
      <c r="N147" s="525"/>
      <c r="O147" s="514">
        <f t="shared" si="22"/>
        <v>0</v>
      </c>
      <c r="P147" s="514">
        <f t="shared" si="23"/>
        <v>0</v>
      </c>
    </row>
    <row r="148" spans="2:16" ht="12.5">
      <c r="B148" s="195" t="str">
        <f t="shared" si="14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5"/>
        <v>0</v>
      </c>
      <c r="G148" s="523">
        <f t="shared" si="16"/>
        <v>0</v>
      </c>
      <c r="H148" s="526">
        <f t="shared" si="17"/>
        <v>0</v>
      </c>
      <c r="I148" s="577">
        <f t="shared" si="18"/>
        <v>0</v>
      </c>
      <c r="J148" s="514">
        <f t="shared" si="20"/>
        <v>0</v>
      </c>
      <c r="K148" s="514"/>
      <c r="L148" s="525"/>
      <c r="M148" s="514">
        <f t="shared" si="21"/>
        <v>0</v>
      </c>
      <c r="N148" s="525"/>
      <c r="O148" s="514">
        <f t="shared" si="22"/>
        <v>0</v>
      </c>
      <c r="P148" s="514">
        <f t="shared" si="23"/>
        <v>0</v>
      </c>
    </row>
    <row r="149" spans="2:16" ht="12.5">
      <c r="B149" s="195" t="str">
        <f t="shared" si="14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5"/>
        <v>0</v>
      </c>
      <c r="G149" s="523">
        <f t="shared" si="16"/>
        <v>0</v>
      </c>
      <c r="H149" s="526">
        <f t="shared" si="17"/>
        <v>0</v>
      </c>
      <c r="I149" s="577">
        <f t="shared" si="18"/>
        <v>0</v>
      </c>
      <c r="J149" s="514">
        <f t="shared" si="20"/>
        <v>0</v>
      </c>
      <c r="K149" s="514"/>
      <c r="L149" s="525"/>
      <c r="M149" s="514">
        <f t="shared" si="21"/>
        <v>0</v>
      </c>
      <c r="N149" s="525"/>
      <c r="O149" s="514">
        <f t="shared" si="22"/>
        <v>0</v>
      </c>
      <c r="P149" s="514">
        <f t="shared" si="23"/>
        <v>0</v>
      </c>
    </row>
    <row r="150" spans="2:16" ht="12.5">
      <c r="B150" s="195" t="str">
        <f t="shared" si="14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5"/>
        <v>0</v>
      </c>
      <c r="G150" s="523">
        <f t="shared" si="16"/>
        <v>0</v>
      </c>
      <c r="H150" s="526">
        <f t="shared" si="17"/>
        <v>0</v>
      </c>
      <c r="I150" s="577">
        <f t="shared" si="18"/>
        <v>0</v>
      </c>
      <c r="J150" s="514">
        <f t="shared" si="20"/>
        <v>0</v>
      </c>
      <c r="K150" s="514"/>
      <c r="L150" s="525"/>
      <c r="M150" s="514">
        <f t="shared" si="21"/>
        <v>0</v>
      </c>
      <c r="N150" s="525"/>
      <c r="O150" s="514">
        <f t="shared" si="22"/>
        <v>0</v>
      </c>
      <c r="P150" s="514">
        <f t="shared" si="23"/>
        <v>0</v>
      </c>
    </row>
    <row r="151" spans="2:16" ht="12.5">
      <c r="B151" s="195" t="str">
        <f t="shared" si="14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5"/>
        <v>0</v>
      </c>
      <c r="G151" s="523">
        <f t="shared" si="16"/>
        <v>0</v>
      </c>
      <c r="H151" s="526">
        <f t="shared" si="17"/>
        <v>0</v>
      </c>
      <c r="I151" s="577">
        <f t="shared" si="18"/>
        <v>0</v>
      </c>
      <c r="J151" s="514">
        <f t="shared" si="20"/>
        <v>0</v>
      </c>
      <c r="K151" s="514"/>
      <c r="L151" s="525"/>
      <c r="M151" s="514">
        <f t="shared" si="21"/>
        <v>0</v>
      </c>
      <c r="N151" s="525"/>
      <c r="O151" s="514">
        <f t="shared" si="22"/>
        <v>0</v>
      </c>
      <c r="P151" s="514">
        <f t="shared" si="23"/>
        <v>0</v>
      </c>
    </row>
    <row r="152" spans="2:16" ht="12.5">
      <c r="B152" s="195" t="str">
        <f t="shared" si="14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5"/>
        <v>0</v>
      </c>
      <c r="G152" s="523">
        <f t="shared" si="16"/>
        <v>0</v>
      </c>
      <c r="H152" s="526">
        <f t="shared" si="17"/>
        <v>0</v>
      </c>
      <c r="I152" s="577">
        <f t="shared" si="18"/>
        <v>0</v>
      </c>
      <c r="J152" s="514">
        <f t="shared" si="20"/>
        <v>0</v>
      </c>
      <c r="K152" s="514"/>
      <c r="L152" s="525"/>
      <c r="M152" s="514">
        <f t="shared" si="21"/>
        <v>0</v>
      </c>
      <c r="N152" s="525"/>
      <c r="O152" s="514">
        <f t="shared" si="22"/>
        <v>0</v>
      </c>
      <c r="P152" s="514">
        <f t="shared" si="23"/>
        <v>0</v>
      </c>
    </row>
    <row r="153" spans="2:16" ht="12.5">
      <c r="B153" s="195" t="str">
        <f t="shared" si="14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5"/>
        <v>0</v>
      </c>
      <c r="G153" s="523">
        <f t="shared" si="16"/>
        <v>0</v>
      </c>
      <c r="H153" s="526">
        <f t="shared" si="17"/>
        <v>0</v>
      </c>
      <c r="I153" s="577">
        <f t="shared" si="18"/>
        <v>0</v>
      </c>
      <c r="J153" s="514">
        <f t="shared" si="20"/>
        <v>0</v>
      </c>
      <c r="K153" s="514"/>
      <c r="L153" s="525"/>
      <c r="M153" s="514">
        <f t="shared" si="21"/>
        <v>0</v>
      </c>
      <c r="N153" s="525"/>
      <c r="O153" s="514">
        <f t="shared" si="22"/>
        <v>0</v>
      </c>
      <c r="P153" s="514">
        <f t="shared" si="23"/>
        <v>0</v>
      </c>
    </row>
    <row r="154" spans="2:16" ht="13" thickBot="1">
      <c r="B154" s="195" t="str">
        <f t="shared" si="14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5"/>
        <v>0</v>
      </c>
      <c r="G154" s="528">
        <f t="shared" si="16"/>
        <v>0</v>
      </c>
      <c r="H154" s="530">
        <f t="shared" si="17"/>
        <v>0</v>
      </c>
      <c r="I154" s="579">
        <f t="shared" si="18"/>
        <v>0</v>
      </c>
      <c r="J154" s="533">
        <f t="shared" si="20"/>
        <v>0</v>
      </c>
      <c r="K154" s="514"/>
      <c r="L154" s="532"/>
      <c r="M154" s="533">
        <f t="shared" si="21"/>
        <v>0</v>
      </c>
      <c r="N154" s="532"/>
      <c r="O154" s="533">
        <f t="shared" si="22"/>
        <v>0</v>
      </c>
      <c r="P154" s="533">
        <f t="shared" si="23"/>
        <v>0</v>
      </c>
    </row>
    <row r="155" spans="2:16" ht="12.5">
      <c r="C155" s="374" t="s">
        <v>78</v>
      </c>
      <c r="D155" s="375"/>
      <c r="E155" s="375">
        <f>SUM(E99:E154)</f>
        <v>9628190</v>
      </c>
      <c r="F155" s="375"/>
      <c r="G155" s="375"/>
      <c r="H155" s="375">
        <f>SUM(H99:H154)</f>
        <v>31737583.417501811</v>
      </c>
      <c r="I155" s="375">
        <f>SUM(I99:I154)</f>
        <v>31737583.417501811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7" priority="1" stopIfTrue="1" operator="equal">
      <formula>$I$10</formula>
    </cfRule>
  </conditionalFormatting>
  <conditionalFormatting sqref="C99:C154">
    <cfRule type="cellIs" dxfId="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P162"/>
  <sheetViews>
    <sheetView view="pageBreakPreview" zoomScale="80" zoomScaleNormal="70" zoomScaleSheetLayoutView="80" workbookViewId="0"/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73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532025.67622840172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532025.67622840172</v>
      </c>
      <c r="O6" s="269"/>
      <c r="P6" s="269"/>
    </row>
    <row r="7" spans="1:16" ht="13.5" thickBot="1">
      <c r="C7" s="467" t="s">
        <v>48</v>
      </c>
      <c r="D7" s="624" t="s">
        <v>442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1"/>
      <c r="K8" s="474"/>
      <c r="L8" s="474"/>
      <c r="M8" s="474"/>
      <c r="N8" s="474"/>
      <c r="O8" s="661"/>
      <c r="P8" s="340"/>
    </row>
    <row r="9" spans="1:16" ht="13.5" thickBot="1">
      <c r="C9" s="476" t="s">
        <v>50</v>
      </c>
      <c r="D9" s="477" t="s">
        <v>458</v>
      </c>
      <c r="E9" s="637" t="s">
        <v>457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3813966.1599999997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90808.718095238088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2019</v>
      </c>
      <c r="D17" s="631">
        <v>0</v>
      </c>
      <c r="E17" s="630">
        <v>9.9555672459071778E-2</v>
      </c>
      <c r="F17" s="631">
        <v>3857999.9004443274</v>
      </c>
      <c r="G17" s="630">
        <v>192042.98677355595</v>
      </c>
      <c r="H17" s="639">
        <v>192042.98677355595</v>
      </c>
      <c r="I17" s="511">
        <f t="shared" ref="I17:I72" si="0">H17-G17</f>
        <v>0</v>
      </c>
      <c r="J17" s="511"/>
      <c r="K17" s="512">
        <f>+G17</f>
        <v>192042.98677355595</v>
      </c>
      <c r="L17" s="513">
        <f t="shared" ref="L17:L72" si="1">IF(K17&lt;&gt;0,+G17-K17,0)</f>
        <v>0</v>
      </c>
      <c r="M17" s="512">
        <f>+H17</f>
        <v>192042.98677355595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2020</v>
      </c>
      <c r="D18" s="631">
        <v>3857999.9004443274</v>
      </c>
      <c r="E18" s="630">
        <v>94097.560975609755</v>
      </c>
      <c r="F18" s="631">
        <v>3763902.3394687176</v>
      </c>
      <c r="G18" s="630">
        <v>484092.97891210701</v>
      </c>
      <c r="H18" s="639">
        <v>484092.97891210701</v>
      </c>
      <c r="I18" s="511">
        <f t="shared" si="0"/>
        <v>0</v>
      </c>
      <c r="J18" s="511"/>
      <c r="K18" s="518">
        <f>+G18</f>
        <v>484092.97891210701</v>
      </c>
      <c r="L18" s="519">
        <f t="shared" si="1"/>
        <v>0</v>
      </c>
      <c r="M18" s="518">
        <f>+H18</f>
        <v>484092.97891210701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2021</v>
      </c>
      <c r="D19" s="631">
        <v>3727564.3394687176</v>
      </c>
      <c r="E19" s="630">
        <v>90991.952380952382</v>
      </c>
      <c r="F19" s="631">
        <v>3636572.3870877651</v>
      </c>
      <c r="G19" s="630">
        <v>481307.93404609448</v>
      </c>
      <c r="H19" s="639">
        <v>481307.93404609448</v>
      </c>
      <c r="I19" s="511">
        <f t="shared" si="0"/>
        <v>0</v>
      </c>
      <c r="J19" s="511"/>
      <c r="K19" s="518">
        <f>+G19</f>
        <v>481307.93404609448</v>
      </c>
      <c r="L19" s="519">
        <f t="shared" ref="L19" si="4">IF(K19&lt;&gt;0,+G19-K19,0)</f>
        <v>0</v>
      </c>
      <c r="M19" s="518">
        <f>+H19</f>
        <v>481307.93404609448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2022</v>
      </c>
      <c r="D20" s="631">
        <v>3628876.3870877656</v>
      </c>
      <c r="E20" s="630">
        <v>90808.71428571429</v>
      </c>
      <c r="F20" s="631">
        <v>3538067.6728020515</v>
      </c>
      <c r="G20" s="630">
        <v>493748.99039861257</v>
      </c>
      <c r="H20" s="639">
        <v>493748.99039861257</v>
      </c>
      <c r="I20" s="511">
        <f t="shared" si="0"/>
        <v>0</v>
      </c>
      <c r="J20" s="511"/>
      <c r="K20" s="518">
        <f>+G20</f>
        <v>493748.99039861257</v>
      </c>
      <c r="L20" s="519">
        <f t="shared" ref="L20" si="6">IF(K20&lt;&gt;0,+G20-K20,0)</f>
        <v>0</v>
      </c>
      <c r="M20" s="518">
        <f>+H20</f>
        <v>493748.99039861257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>IU</v>
      </c>
      <c r="C21" s="507">
        <f>IF(D11="","-",+C20+1)</f>
        <v>2023</v>
      </c>
      <c r="D21" s="523">
        <f>IF(F20+SUM(E$17:E20)=D$10,F20,D$10-SUM(E$17:E20))</f>
        <v>3538067.8328020507</v>
      </c>
      <c r="E21" s="522">
        <f>IF(+I14&lt;F20,I14,D21)</f>
        <v>90808.718095238088</v>
      </c>
      <c r="F21" s="523">
        <f t="shared" ref="F21:F72" si="7">+D21-E21</f>
        <v>3447259.1147068124</v>
      </c>
      <c r="G21" s="524">
        <f t="shared" ref="G21:G72" si="8">+I$12*((D21+F21)/2)+E21</f>
        <v>532025.67622840172</v>
      </c>
      <c r="H21" s="491">
        <f t="shared" ref="H21:H72" si="9">+I$13*((D21+F21)/2)+E21</f>
        <v>532025.67622840172</v>
      </c>
      <c r="I21" s="511">
        <f t="shared" si="0"/>
        <v>0</v>
      </c>
      <c r="J21" s="511"/>
      <c r="K21" s="525"/>
      <c r="L21" s="514">
        <f t="shared" si="1"/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2024</v>
      </c>
      <c r="D22" s="523">
        <f>IF(F21+SUM(E$17:E21)=D$10,F21,D$10-SUM(E$17:E21))</f>
        <v>3447259.1147068124</v>
      </c>
      <c r="E22" s="522">
        <f>IF(+I14&lt;F21,I14,D22)</f>
        <v>90808.718095238088</v>
      </c>
      <c r="F22" s="523">
        <f t="shared" si="7"/>
        <v>3356450.3966115741</v>
      </c>
      <c r="G22" s="524">
        <f t="shared" si="8"/>
        <v>520554.10255088285</v>
      </c>
      <c r="H22" s="491">
        <f t="shared" si="9"/>
        <v>520554.10255088285</v>
      </c>
      <c r="I22" s="511">
        <f t="shared" si="0"/>
        <v>0</v>
      </c>
      <c r="J22" s="511"/>
      <c r="K22" s="525"/>
      <c r="L22" s="514">
        <f t="shared" si="1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2025</v>
      </c>
      <c r="D23" s="523">
        <f>IF(F22+SUM(E$17:E22)=D$10,F22,D$10-SUM(E$17:E22))</f>
        <v>3356450.3966115741</v>
      </c>
      <c r="E23" s="522">
        <f>IF(+I14&lt;F22,I14,D23)</f>
        <v>90808.718095238088</v>
      </c>
      <c r="F23" s="523">
        <f t="shared" si="7"/>
        <v>3265641.6785163358</v>
      </c>
      <c r="G23" s="524">
        <f t="shared" si="8"/>
        <v>509082.52887336398</v>
      </c>
      <c r="H23" s="491">
        <f t="shared" si="9"/>
        <v>509082.52887336398</v>
      </c>
      <c r="I23" s="511">
        <f t="shared" si="0"/>
        <v>0</v>
      </c>
      <c r="J23" s="511"/>
      <c r="K23" s="525"/>
      <c r="L23" s="514">
        <f t="shared" si="1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2026</v>
      </c>
      <c r="D24" s="523">
        <f>IF(F23+SUM(E$17:E23)=D$10,F23,D$10-SUM(E$17:E23))</f>
        <v>3265641.6785163358</v>
      </c>
      <c r="E24" s="522">
        <f>IF(+I14&lt;F23,I14,D24)</f>
        <v>90808.718095238088</v>
      </c>
      <c r="F24" s="523">
        <f t="shared" si="7"/>
        <v>3174832.9604210975</v>
      </c>
      <c r="G24" s="524">
        <f t="shared" si="8"/>
        <v>497610.9551958451</v>
      </c>
      <c r="H24" s="491">
        <f t="shared" si="9"/>
        <v>497610.9551958451</v>
      </c>
      <c r="I24" s="511">
        <f t="shared" si="0"/>
        <v>0</v>
      </c>
      <c r="J24" s="511"/>
      <c r="K24" s="525"/>
      <c r="L24" s="514">
        <f t="shared" si="1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2027</v>
      </c>
      <c r="D25" s="523">
        <f>IF(F24+SUM(E$17:E24)=D$10,F24,D$10-SUM(E$17:E24))</f>
        <v>3174832.9604210975</v>
      </c>
      <c r="E25" s="522">
        <f>IF(+I14&lt;F24,I14,D25)</f>
        <v>90808.718095238088</v>
      </c>
      <c r="F25" s="523">
        <f t="shared" si="7"/>
        <v>3084024.2423258591</v>
      </c>
      <c r="G25" s="524">
        <f t="shared" si="8"/>
        <v>486139.38151832618</v>
      </c>
      <c r="H25" s="491">
        <f t="shared" si="9"/>
        <v>486139.38151832618</v>
      </c>
      <c r="I25" s="511">
        <f t="shared" si="0"/>
        <v>0</v>
      </c>
      <c r="J25" s="511"/>
      <c r="K25" s="525"/>
      <c r="L25" s="514">
        <f t="shared" si="1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2028</v>
      </c>
      <c r="D26" s="523">
        <f>IF(F25+SUM(E$17:E25)=D$10,F25,D$10-SUM(E$17:E25))</f>
        <v>3084024.2423258591</v>
      </c>
      <c r="E26" s="522">
        <f>IF(+I14&lt;F25,I14,D26)</f>
        <v>90808.718095238088</v>
      </c>
      <c r="F26" s="523">
        <f t="shared" si="7"/>
        <v>2993215.5242306208</v>
      </c>
      <c r="G26" s="524">
        <f t="shared" si="8"/>
        <v>474667.80784080731</v>
      </c>
      <c r="H26" s="491">
        <f t="shared" si="9"/>
        <v>474667.80784080731</v>
      </c>
      <c r="I26" s="511">
        <f t="shared" si="0"/>
        <v>0</v>
      </c>
      <c r="J26" s="511"/>
      <c r="K26" s="525"/>
      <c r="L26" s="514">
        <f t="shared" si="1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2029</v>
      </c>
      <c r="D27" s="523">
        <f>IF(F26+SUM(E$17:E26)=D$10,F26,D$10-SUM(E$17:E26))</f>
        <v>2993215.5242306208</v>
      </c>
      <c r="E27" s="522">
        <f>IF(+I14&lt;F26,I14,D27)</f>
        <v>90808.718095238088</v>
      </c>
      <c r="F27" s="523">
        <f t="shared" si="7"/>
        <v>2902406.8061353825</v>
      </c>
      <c r="G27" s="524">
        <f t="shared" si="8"/>
        <v>463196.23416328843</v>
      </c>
      <c r="H27" s="491">
        <f t="shared" si="9"/>
        <v>463196.23416328843</v>
      </c>
      <c r="I27" s="511">
        <f t="shared" si="0"/>
        <v>0</v>
      </c>
      <c r="J27" s="511"/>
      <c r="K27" s="525"/>
      <c r="L27" s="514">
        <f t="shared" si="1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2030</v>
      </c>
      <c r="D28" s="523">
        <f>IF(F27+SUM(E$17:E27)=D$10,F27,D$10-SUM(E$17:E27))</f>
        <v>2902406.8061353825</v>
      </c>
      <c r="E28" s="522">
        <f>IF(+I14&lt;F27,I14,D28)</f>
        <v>90808.718095238088</v>
      </c>
      <c r="F28" s="523">
        <f t="shared" si="7"/>
        <v>2811598.0880401442</v>
      </c>
      <c r="G28" s="524">
        <f t="shared" si="8"/>
        <v>451724.66048576951</v>
      </c>
      <c r="H28" s="491">
        <f t="shared" si="9"/>
        <v>451724.66048576951</v>
      </c>
      <c r="I28" s="511">
        <f t="shared" si="0"/>
        <v>0</v>
      </c>
      <c r="J28" s="511"/>
      <c r="K28" s="525"/>
      <c r="L28" s="514">
        <f t="shared" si="1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2031</v>
      </c>
      <c r="D29" s="523">
        <f>IF(F28+SUM(E$17:E28)=D$10,F28,D$10-SUM(E$17:E28))</f>
        <v>2811598.0880401442</v>
      </c>
      <c r="E29" s="522">
        <f>IF(+I14&lt;F28,I14,D29)</f>
        <v>90808.718095238088</v>
      </c>
      <c r="F29" s="523">
        <f t="shared" si="7"/>
        <v>2720789.3699449059</v>
      </c>
      <c r="G29" s="524">
        <f t="shared" si="8"/>
        <v>440253.08680825063</v>
      </c>
      <c r="H29" s="491">
        <f t="shared" si="9"/>
        <v>440253.08680825063</v>
      </c>
      <c r="I29" s="511">
        <f t="shared" si="0"/>
        <v>0</v>
      </c>
      <c r="J29" s="511"/>
      <c r="K29" s="525"/>
      <c r="L29" s="514">
        <f t="shared" si="1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2032</v>
      </c>
      <c r="D30" s="523">
        <f>IF(F29+SUM(E$17:E29)=D$10,F29,D$10-SUM(E$17:E29))</f>
        <v>2720789.3699449059</v>
      </c>
      <c r="E30" s="522">
        <f>IF(+I14&lt;F29,I14,D30)</f>
        <v>90808.718095238088</v>
      </c>
      <c r="F30" s="523">
        <f t="shared" si="7"/>
        <v>2629980.6518496675</v>
      </c>
      <c r="G30" s="524">
        <f t="shared" si="8"/>
        <v>428781.51313073171</v>
      </c>
      <c r="H30" s="491">
        <f t="shared" si="9"/>
        <v>428781.51313073171</v>
      </c>
      <c r="I30" s="511">
        <f t="shared" si="0"/>
        <v>0</v>
      </c>
      <c r="J30" s="511"/>
      <c r="K30" s="525"/>
      <c r="L30" s="514">
        <f t="shared" si="1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2033</v>
      </c>
      <c r="D31" s="523">
        <f>IF(F30+SUM(E$17:E30)=D$10,F30,D$10-SUM(E$17:E30))</f>
        <v>2629980.6518496675</v>
      </c>
      <c r="E31" s="522">
        <f>IF(+I14&lt;F30,I14,D31)</f>
        <v>90808.718095238088</v>
      </c>
      <c r="F31" s="523">
        <f t="shared" si="7"/>
        <v>2539171.9337544292</v>
      </c>
      <c r="G31" s="524">
        <f t="shared" si="8"/>
        <v>417309.93945321284</v>
      </c>
      <c r="H31" s="491">
        <f t="shared" si="9"/>
        <v>417309.93945321284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2034</v>
      </c>
      <c r="D32" s="523">
        <f>IF(F31+SUM(E$17:E31)=D$10,F31,D$10-SUM(E$17:E31))</f>
        <v>2539171.9337544292</v>
      </c>
      <c r="E32" s="522">
        <f>IF(+I14&lt;F31,I14,D32)</f>
        <v>90808.718095238088</v>
      </c>
      <c r="F32" s="523">
        <f t="shared" si="7"/>
        <v>2448363.2156591909</v>
      </c>
      <c r="G32" s="524">
        <f t="shared" si="8"/>
        <v>405838.36577569396</v>
      </c>
      <c r="H32" s="491">
        <f t="shared" si="9"/>
        <v>405838.36577569396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2035</v>
      </c>
      <c r="D33" s="523">
        <f>IF(F32+SUM(E$17:E32)=D$10,F32,D$10-SUM(E$17:E32))</f>
        <v>2448363.2156591909</v>
      </c>
      <c r="E33" s="522">
        <f>IF(+I14&lt;F32,I14,D33)</f>
        <v>90808.718095238088</v>
      </c>
      <c r="F33" s="523">
        <f t="shared" si="7"/>
        <v>2357554.4975639526</v>
      </c>
      <c r="G33" s="524">
        <f t="shared" si="8"/>
        <v>394366.79209817504</v>
      </c>
      <c r="H33" s="491">
        <f t="shared" si="9"/>
        <v>394366.79209817504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2036</v>
      </c>
      <c r="D34" s="523">
        <f>IF(F33+SUM(E$17:E33)=D$10,F33,D$10-SUM(E$17:E33))</f>
        <v>2357554.4975639526</v>
      </c>
      <c r="E34" s="522">
        <f>IF(+I14&lt;F33,I14,D34)</f>
        <v>90808.718095238088</v>
      </c>
      <c r="F34" s="523">
        <f t="shared" si="7"/>
        <v>2266745.7794687143</v>
      </c>
      <c r="G34" s="524">
        <f t="shared" si="8"/>
        <v>382895.21842065617</v>
      </c>
      <c r="H34" s="491">
        <f t="shared" si="9"/>
        <v>382895.21842065617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2037</v>
      </c>
      <c r="D35" s="523">
        <f>IF(F34+SUM(E$17:E34)=D$10,F34,D$10-SUM(E$17:E34))</f>
        <v>2266745.7794687143</v>
      </c>
      <c r="E35" s="522">
        <f>IF(+I14&lt;F34,I14,D35)</f>
        <v>90808.718095238088</v>
      </c>
      <c r="F35" s="523">
        <f t="shared" si="7"/>
        <v>2175937.0613734759</v>
      </c>
      <c r="G35" s="524">
        <f t="shared" si="8"/>
        <v>371423.64474313729</v>
      </c>
      <c r="H35" s="491">
        <f t="shared" si="9"/>
        <v>371423.64474313729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2038</v>
      </c>
      <c r="D36" s="523">
        <f>IF(F35+SUM(E$17:E35)=D$10,F35,D$10-SUM(E$17:E35))</f>
        <v>2175937.0613734759</v>
      </c>
      <c r="E36" s="522">
        <f>IF(+I14&lt;F35,I14,D36)</f>
        <v>90808.718095238088</v>
      </c>
      <c r="F36" s="523">
        <f t="shared" si="7"/>
        <v>2085128.3432782379</v>
      </c>
      <c r="G36" s="524">
        <f t="shared" si="8"/>
        <v>359952.07106561837</v>
      </c>
      <c r="H36" s="491">
        <f t="shared" si="9"/>
        <v>359952.07106561837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2039</v>
      </c>
      <c r="D37" s="523">
        <f>IF(F36+SUM(E$17:E36)=D$10,F36,D$10-SUM(E$17:E36))</f>
        <v>2085128.3432782379</v>
      </c>
      <c r="E37" s="522">
        <f>IF(+I14&lt;F36,I14,D37)</f>
        <v>90808.718095238088</v>
      </c>
      <c r="F37" s="523">
        <f t="shared" si="7"/>
        <v>1994319.6251829998</v>
      </c>
      <c r="G37" s="524">
        <f t="shared" si="8"/>
        <v>348480.49738809955</v>
      </c>
      <c r="H37" s="491">
        <f t="shared" si="9"/>
        <v>348480.49738809955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2040</v>
      </c>
      <c r="D38" s="523">
        <f>IF(F37+SUM(E$17:E37)=D$10,F37,D$10-SUM(E$17:E37))</f>
        <v>1994319.6251829998</v>
      </c>
      <c r="E38" s="522">
        <f>IF(+I14&lt;F37,I14,D38)</f>
        <v>90808.718095238088</v>
      </c>
      <c r="F38" s="523">
        <f t="shared" si="7"/>
        <v>1903510.9070877617</v>
      </c>
      <c r="G38" s="524">
        <f t="shared" si="8"/>
        <v>337008.92371058068</v>
      </c>
      <c r="H38" s="491">
        <f t="shared" si="9"/>
        <v>337008.92371058068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2041</v>
      </c>
      <c r="D39" s="523">
        <f>IF(F38+SUM(E$17:E38)=D$10,F38,D$10-SUM(E$17:E38))</f>
        <v>1903510.9070877617</v>
      </c>
      <c r="E39" s="522">
        <f>IF(+I14&lt;F38,I14,D39)</f>
        <v>90808.718095238088</v>
      </c>
      <c r="F39" s="523">
        <f t="shared" si="7"/>
        <v>1812702.1889925236</v>
      </c>
      <c r="G39" s="524">
        <f t="shared" si="8"/>
        <v>325537.35003306181</v>
      </c>
      <c r="H39" s="491">
        <f t="shared" si="9"/>
        <v>325537.35003306181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2042</v>
      </c>
      <c r="D40" s="523">
        <f>IF(F39+SUM(E$17:E39)=D$10,F39,D$10-SUM(E$17:E39))</f>
        <v>1812702.1889925236</v>
      </c>
      <c r="E40" s="522">
        <f>IF(+I14&lt;F39,I14,D40)</f>
        <v>90808.718095238088</v>
      </c>
      <c r="F40" s="523">
        <f t="shared" si="7"/>
        <v>1721893.4708972855</v>
      </c>
      <c r="G40" s="524">
        <f t="shared" si="8"/>
        <v>314065.77635554294</v>
      </c>
      <c r="H40" s="491">
        <f t="shared" si="9"/>
        <v>314065.77635554294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2043</v>
      </c>
      <c r="D41" s="523">
        <f>IF(F40+SUM(E$17:E40)=D$10,F40,D$10-SUM(E$17:E40))</f>
        <v>1721893.4708972855</v>
      </c>
      <c r="E41" s="522">
        <f>IF(+I14&lt;F40,I14,D41)</f>
        <v>90808.718095238088</v>
      </c>
      <c r="F41" s="523">
        <f t="shared" si="7"/>
        <v>1631084.7528020474</v>
      </c>
      <c r="G41" s="524">
        <f t="shared" si="8"/>
        <v>302594.20267802413</v>
      </c>
      <c r="H41" s="491">
        <f t="shared" si="9"/>
        <v>302594.20267802413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2044</v>
      </c>
      <c r="D42" s="523">
        <f>IF(F41+SUM(E$17:E41)=D$10,F41,D$10-SUM(E$17:E41))</f>
        <v>1631084.7528020474</v>
      </c>
      <c r="E42" s="522">
        <f>IF(+I14&lt;F41,I14,D42)</f>
        <v>90808.718095238088</v>
      </c>
      <c r="F42" s="523">
        <f t="shared" si="7"/>
        <v>1540276.0347068093</v>
      </c>
      <c r="G42" s="524">
        <f t="shared" si="8"/>
        <v>291122.6290005052</v>
      </c>
      <c r="H42" s="491">
        <f t="shared" si="9"/>
        <v>291122.6290005052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2045</v>
      </c>
      <c r="D43" s="523">
        <f>IF(F42+SUM(E$17:E42)=D$10,F42,D$10-SUM(E$17:E42))</f>
        <v>1540276.0347068093</v>
      </c>
      <c r="E43" s="522">
        <f>IF(+I14&lt;F42,I14,D43)</f>
        <v>90808.718095238088</v>
      </c>
      <c r="F43" s="523">
        <f t="shared" si="7"/>
        <v>1449467.3166115712</v>
      </c>
      <c r="G43" s="524">
        <f t="shared" si="8"/>
        <v>279651.05532298639</v>
      </c>
      <c r="H43" s="491">
        <f t="shared" si="9"/>
        <v>279651.05532298639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2046</v>
      </c>
      <c r="D44" s="523">
        <f>IF(F43+SUM(E$17:E43)=D$10,F43,D$10-SUM(E$17:E43))</f>
        <v>1449467.3166115712</v>
      </c>
      <c r="E44" s="522">
        <f>IF(+I14&lt;F43,I14,D44)</f>
        <v>90808.718095238088</v>
      </c>
      <c r="F44" s="523">
        <f t="shared" si="7"/>
        <v>1358658.5985163331</v>
      </c>
      <c r="G44" s="524">
        <f t="shared" si="8"/>
        <v>268179.48164546752</v>
      </c>
      <c r="H44" s="491">
        <f t="shared" si="9"/>
        <v>268179.48164546752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2047</v>
      </c>
      <c r="D45" s="523">
        <f>IF(F44+SUM(E$17:E44)=D$10,F44,D$10-SUM(E$17:E44))</f>
        <v>1358658.5985163331</v>
      </c>
      <c r="E45" s="522">
        <f>IF(+I14&lt;F44,I14,D45)</f>
        <v>90808.718095238088</v>
      </c>
      <c r="F45" s="523">
        <f t="shared" si="7"/>
        <v>1267849.8804210951</v>
      </c>
      <c r="G45" s="524">
        <f t="shared" si="8"/>
        <v>256707.90796794867</v>
      </c>
      <c r="H45" s="491">
        <f t="shared" si="9"/>
        <v>256707.90796794867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2048</v>
      </c>
      <c r="D46" s="523">
        <f>IF(F45+SUM(E$17:E45)=D$10,F45,D$10-SUM(E$17:E45))</f>
        <v>1267849.8804210951</v>
      </c>
      <c r="E46" s="522">
        <f>IF(+I14&lt;F45,I14,D46)</f>
        <v>90808.718095238088</v>
      </c>
      <c r="F46" s="523">
        <f t="shared" si="7"/>
        <v>1177041.162325857</v>
      </c>
      <c r="G46" s="524">
        <f t="shared" si="8"/>
        <v>245236.33429042978</v>
      </c>
      <c r="H46" s="491">
        <f t="shared" si="9"/>
        <v>245236.33429042978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2049</v>
      </c>
      <c r="D47" s="523">
        <f>IF(F46+SUM(E$17:E46)=D$10,F46,D$10-SUM(E$17:E46))</f>
        <v>1177041.162325857</v>
      </c>
      <c r="E47" s="522">
        <f>IF(+I14&lt;F46,I14,D47)</f>
        <v>90808.718095238088</v>
      </c>
      <c r="F47" s="523">
        <f t="shared" si="7"/>
        <v>1086232.4442306189</v>
      </c>
      <c r="G47" s="524">
        <f t="shared" si="8"/>
        <v>233764.76061291096</v>
      </c>
      <c r="H47" s="491">
        <f t="shared" si="9"/>
        <v>233764.76061291096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2050</v>
      </c>
      <c r="D48" s="523">
        <f>IF(F47+SUM(E$17:E47)=D$10,F47,D$10-SUM(E$17:E47))</f>
        <v>1086232.4442306189</v>
      </c>
      <c r="E48" s="522">
        <f>IF(+I14&lt;F47,I14,D48)</f>
        <v>90808.718095238088</v>
      </c>
      <c r="F48" s="523">
        <f t="shared" si="7"/>
        <v>995423.7261353808</v>
      </c>
      <c r="G48" s="524">
        <f t="shared" si="8"/>
        <v>222293.18693539206</v>
      </c>
      <c r="H48" s="491">
        <f t="shared" si="9"/>
        <v>222293.18693539206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2051</v>
      </c>
      <c r="D49" s="523">
        <f>IF(F48+SUM(E$17:E48)=D$10,F48,D$10-SUM(E$17:E48))</f>
        <v>995423.7261353808</v>
      </c>
      <c r="E49" s="522">
        <f>IF(+I14&lt;F48,I14,D49)</f>
        <v>90808.718095238088</v>
      </c>
      <c r="F49" s="523">
        <f t="shared" si="7"/>
        <v>904615.00804014271</v>
      </c>
      <c r="G49" s="524">
        <f t="shared" si="8"/>
        <v>210821.61325787322</v>
      </c>
      <c r="H49" s="491">
        <f t="shared" si="9"/>
        <v>210821.61325787322</v>
      </c>
      <c r="I49" s="511">
        <f t="shared" si="0"/>
        <v>0</v>
      </c>
      <c r="J49" s="511"/>
      <c r="K49" s="525"/>
      <c r="L49" s="514">
        <f t="shared" si="1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2052</v>
      </c>
      <c r="D50" s="523">
        <f>IF(F49+SUM(E$17:E49)=D$10,F49,D$10-SUM(E$17:E49))</f>
        <v>904615.00804014271</v>
      </c>
      <c r="E50" s="522">
        <f>IF(+I14&lt;F49,I14,D50)</f>
        <v>90808.718095238088</v>
      </c>
      <c r="F50" s="523">
        <f t="shared" si="7"/>
        <v>813806.28994490462</v>
      </c>
      <c r="G50" s="524">
        <f t="shared" si="8"/>
        <v>199350.03958035435</v>
      </c>
      <c r="H50" s="491">
        <f t="shared" si="9"/>
        <v>199350.03958035435</v>
      </c>
      <c r="I50" s="511">
        <f t="shared" si="0"/>
        <v>0</v>
      </c>
      <c r="J50" s="511"/>
      <c r="K50" s="525"/>
      <c r="L50" s="514">
        <f t="shared" si="1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2053</v>
      </c>
      <c r="D51" s="523">
        <f>IF(F50+SUM(E$17:E50)=D$10,F50,D$10-SUM(E$17:E50))</f>
        <v>813806.28994490462</v>
      </c>
      <c r="E51" s="522">
        <f>IF(+I14&lt;F50,I14,D51)</f>
        <v>90808.718095238088</v>
      </c>
      <c r="F51" s="523">
        <f t="shared" si="7"/>
        <v>722997.57184966654</v>
      </c>
      <c r="G51" s="524">
        <f t="shared" si="8"/>
        <v>187878.46590283548</v>
      </c>
      <c r="H51" s="491">
        <f t="shared" si="9"/>
        <v>187878.46590283548</v>
      </c>
      <c r="I51" s="511">
        <f t="shared" si="0"/>
        <v>0</v>
      </c>
      <c r="J51" s="511"/>
      <c r="K51" s="525"/>
      <c r="L51" s="514">
        <f t="shared" si="1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2054</v>
      </c>
      <c r="D52" s="523">
        <f>IF(F51+SUM(E$17:E51)=D$10,F51,D$10-SUM(E$17:E51))</f>
        <v>722997.57184966654</v>
      </c>
      <c r="E52" s="522">
        <f>IF(+I14&lt;F51,I14,D52)</f>
        <v>90808.718095238088</v>
      </c>
      <c r="F52" s="523">
        <f t="shared" si="7"/>
        <v>632188.85375442845</v>
      </c>
      <c r="G52" s="524">
        <f t="shared" si="8"/>
        <v>176406.89222531661</v>
      </c>
      <c r="H52" s="491">
        <f t="shared" si="9"/>
        <v>176406.89222531661</v>
      </c>
      <c r="I52" s="511">
        <f t="shared" si="0"/>
        <v>0</v>
      </c>
      <c r="J52" s="511"/>
      <c r="K52" s="525"/>
      <c r="L52" s="514">
        <f t="shared" si="1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2055</v>
      </c>
      <c r="D53" s="523">
        <f>IF(F52+SUM(E$17:E52)=D$10,F52,D$10-SUM(E$17:E52))</f>
        <v>632188.85375442845</v>
      </c>
      <c r="E53" s="522">
        <f>IF(+I14&lt;F52,I14,D53)</f>
        <v>90808.718095238088</v>
      </c>
      <c r="F53" s="523">
        <f t="shared" si="7"/>
        <v>541380.13565919036</v>
      </c>
      <c r="G53" s="524">
        <f t="shared" si="8"/>
        <v>164935.31854779777</v>
      </c>
      <c r="H53" s="491">
        <f t="shared" si="9"/>
        <v>164935.31854779777</v>
      </c>
      <c r="I53" s="511">
        <f t="shared" si="0"/>
        <v>0</v>
      </c>
      <c r="J53" s="511"/>
      <c r="K53" s="525"/>
      <c r="L53" s="514">
        <f t="shared" si="1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2056</v>
      </c>
      <c r="D54" s="523">
        <f>IF(F53+SUM(E$17:E53)=D$10,F53,D$10-SUM(E$17:E53))</f>
        <v>541380.13565919036</v>
      </c>
      <c r="E54" s="522">
        <f>IF(+I14&lt;F53,I14,D54)</f>
        <v>90808.718095238088</v>
      </c>
      <c r="F54" s="523">
        <f t="shared" si="7"/>
        <v>450571.41756395227</v>
      </c>
      <c r="G54" s="524">
        <f t="shared" si="8"/>
        <v>153463.74487027893</v>
      </c>
      <c r="H54" s="491">
        <f t="shared" si="9"/>
        <v>153463.74487027893</v>
      </c>
      <c r="I54" s="511">
        <f t="shared" si="0"/>
        <v>0</v>
      </c>
      <c r="J54" s="511"/>
      <c r="K54" s="525"/>
      <c r="L54" s="514">
        <f t="shared" si="1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2057</v>
      </c>
      <c r="D55" s="523">
        <f>IF(F54+SUM(E$17:E54)=D$10,F54,D$10-SUM(E$17:E54))</f>
        <v>450571.41756395227</v>
      </c>
      <c r="E55" s="522">
        <f>IF(+I14&lt;F54,I14,D55)</f>
        <v>90808.718095238088</v>
      </c>
      <c r="F55" s="523">
        <f t="shared" si="7"/>
        <v>359762.69946871419</v>
      </c>
      <c r="G55" s="524">
        <f t="shared" si="8"/>
        <v>141992.17119276006</v>
      </c>
      <c r="H55" s="491">
        <f t="shared" si="9"/>
        <v>141992.17119276006</v>
      </c>
      <c r="I55" s="511">
        <f t="shared" si="0"/>
        <v>0</v>
      </c>
      <c r="J55" s="511"/>
      <c r="K55" s="525"/>
      <c r="L55" s="514">
        <f t="shared" si="1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2058</v>
      </c>
      <c r="D56" s="523">
        <f>IF(F55+SUM(E$17:E55)=D$10,F55,D$10-SUM(E$17:E55))</f>
        <v>359762.69946871419</v>
      </c>
      <c r="E56" s="522">
        <f>IF(+I14&lt;F55,I14,D56)</f>
        <v>90808.718095238088</v>
      </c>
      <c r="F56" s="523">
        <f t="shared" si="7"/>
        <v>268953.9813734761</v>
      </c>
      <c r="G56" s="524">
        <f t="shared" si="8"/>
        <v>130520.59751524118</v>
      </c>
      <c r="H56" s="491">
        <f t="shared" si="9"/>
        <v>130520.59751524118</v>
      </c>
      <c r="I56" s="511">
        <f t="shared" si="0"/>
        <v>0</v>
      </c>
      <c r="J56" s="511"/>
      <c r="K56" s="525"/>
      <c r="L56" s="514">
        <f t="shared" si="1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2059</v>
      </c>
      <c r="D57" s="523">
        <f>IF(F56+SUM(E$17:E56)=D$10,F56,D$10-SUM(E$17:E56))</f>
        <v>268953.9813734761</v>
      </c>
      <c r="E57" s="522">
        <f>IF(+I14&lt;F56,I14,D57)</f>
        <v>90808.718095238088</v>
      </c>
      <c r="F57" s="523">
        <f t="shared" si="7"/>
        <v>178145.26327823801</v>
      </c>
      <c r="G57" s="524">
        <f t="shared" si="8"/>
        <v>119049.02383772233</v>
      </c>
      <c r="H57" s="491">
        <f t="shared" si="9"/>
        <v>119049.02383772233</v>
      </c>
      <c r="I57" s="511">
        <f t="shared" si="0"/>
        <v>0</v>
      </c>
      <c r="J57" s="511"/>
      <c r="K57" s="525"/>
      <c r="L57" s="514">
        <f t="shared" si="1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2060</v>
      </c>
      <c r="D58" s="523">
        <f>IF(F57+SUM(E$17:E57)=D$10,F57,D$10-SUM(E$17:E57))</f>
        <v>178145.26327823801</v>
      </c>
      <c r="E58" s="522">
        <f>IF(+I14&lt;F57,I14,D58)</f>
        <v>90808.718095238088</v>
      </c>
      <c r="F58" s="523">
        <f t="shared" si="7"/>
        <v>87336.545182999922</v>
      </c>
      <c r="G58" s="524">
        <f t="shared" si="8"/>
        <v>107577.45016020347</v>
      </c>
      <c r="H58" s="491">
        <f t="shared" si="9"/>
        <v>107577.45016020347</v>
      </c>
      <c r="I58" s="511">
        <f t="shared" si="0"/>
        <v>0</v>
      </c>
      <c r="J58" s="511"/>
      <c r="K58" s="525"/>
      <c r="L58" s="514">
        <f t="shared" si="1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2061</v>
      </c>
      <c r="D59" s="523">
        <f>IF(F58+SUM(E$17:E58)=D$10,F58,D$10-SUM(E$17:E58))</f>
        <v>87336.545182999922</v>
      </c>
      <c r="E59" s="522">
        <f>IF(+I14&lt;F58,I14,D59)</f>
        <v>87336.545182999922</v>
      </c>
      <c r="F59" s="523">
        <f t="shared" si="7"/>
        <v>0</v>
      </c>
      <c r="G59" s="524">
        <f t="shared" si="8"/>
        <v>92853.017796102897</v>
      </c>
      <c r="H59" s="491">
        <f t="shared" si="9"/>
        <v>92853.017796102897</v>
      </c>
      <c r="I59" s="511">
        <f t="shared" si="0"/>
        <v>0</v>
      </c>
      <c r="J59" s="511"/>
      <c r="K59" s="525"/>
      <c r="L59" s="514">
        <f t="shared" si="1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8"/>
        <v>0</v>
      </c>
      <c r="H60" s="491">
        <f t="shared" si="9"/>
        <v>0</v>
      </c>
      <c r="I60" s="511">
        <f t="shared" si="0"/>
        <v>0</v>
      </c>
      <c r="J60" s="511"/>
      <c r="K60" s="525"/>
      <c r="L60" s="514">
        <f t="shared" si="1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3813966.16</v>
      </c>
      <c r="F73" s="375"/>
      <c r="G73" s="375">
        <f>SUM(G17:G72)</f>
        <v>13896505.309309965</v>
      </c>
      <c r="H73" s="375">
        <f>SUM(H17:H72)</f>
        <v>13896505.309309965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73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481307.93404609448</v>
      </c>
      <c r="N87" s="546">
        <f>IF(J92&lt;D11,0,VLOOKUP(J92,C17:O72,11))</f>
        <v>481307.93404609448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510375.13114474603</v>
      </c>
      <c r="N88" s="550">
        <f>IF(J92&lt;D11,0,VLOOKUP(J92,C99:P154,7))</f>
        <v>510375.13114474603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Siloam Springs - Siloam Springs City 161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29067.197098651552</v>
      </c>
      <c r="N89" s="555">
        <f>+N88-N87</f>
        <v>29067.197098651552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TP2017010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3813966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93023.560975609755</v>
      </c>
      <c r="K96" s="375"/>
      <c r="L96" s="375"/>
      <c r="M96" s="375"/>
      <c r="N96" s="375"/>
      <c r="O96" s="375"/>
      <c r="P96" s="272"/>
    </row>
    <row r="97" spans="1:16" ht="39">
      <c r="A97" s="660"/>
      <c r="B97" s="660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2019</v>
      </c>
      <c r="D99" s="629">
        <v>0</v>
      </c>
      <c r="E99" s="630">
        <v>0</v>
      </c>
      <c r="F99" s="631">
        <v>3813966</v>
      </c>
      <c r="G99" s="631">
        <v>1906983</v>
      </c>
      <c r="H99" s="633">
        <v>204124.50256642039</v>
      </c>
      <c r="I99" s="634">
        <v>204124.50256642039</v>
      </c>
      <c r="J99" s="514">
        <f t="shared" ref="J99:J130" si="10">+I99-H99</f>
        <v>0</v>
      </c>
      <c r="K99" s="514"/>
      <c r="L99" s="512">
        <f>+H99</f>
        <v>204124.50256642039</v>
      </c>
      <c r="M99" s="513">
        <f t="shared" ref="M99:M100" si="11">IF(L99&lt;&gt;0,+H99-L99,0)</f>
        <v>0</v>
      </c>
      <c r="N99" s="512">
        <f>+I99</f>
        <v>204124.50256642039</v>
      </c>
      <c r="O99" s="513">
        <f t="shared" ref="O99:O130" si="12">IF(N99&lt;&gt;0,+I99-N99,0)</f>
        <v>0</v>
      </c>
      <c r="P99" s="513">
        <f t="shared" ref="P99:P130" si="13">+O99-M99</f>
        <v>0</v>
      </c>
    </row>
    <row r="100" spans="1:16" ht="12.5">
      <c r="B100" s="195" t="str">
        <f>IF(D100=F99,"","IU")</f>
        <v/>
      </c>
      <c r="C100" s="507">
        <f>IF(D93="","-",+C99+1)</f>
        <v>2020</v>
      </c>
      <c r="D100" s="629">
        <v>3813966</v>
      </c>
      <c r="E100" s="630">
        <v>90808.71428571429</v>
      </c>
      <c r="F100" s="631">
        <v>3723157.2857142859</v>
      </c>
      <c r="G100" s="631">
        <v>3768561.6428571427</v>
      </c>
      <c r="H100" s="633">
        <v>496207.33322313288</v>
      </c>
      <c r="I100" s="634">
        <v>496207.33322313288</v>
      </c>
      <c r="J100" s="514">
        <f t="shared" si="10"/>
        <v>0</v>
      </c>
      <c r="K100" s="514"/>
      <c r="L100" s="655">
        <f>+H100</f>
        <v>496207.33322313288</v>
      </c>
      <c r="M100" s="514">
        <f t="shared" si="11"/>
        <v>0</v>
      </c>
      <c r="N100" s="655">
        <f>+I100</f>
        <v>496207.33322313288</v>
      </c>
      <c r="O100" s="514">
        <f t="shared" si="12"/>
        <v>0</v>
      </c>
      <c r="P100" s="514">
        <f t="shared" si="13"/>
        <v>0</v>
      </c>
    </row>
    <row r="101" spans="1:16" ht="12.5">
      <c r="B101" s="195" t="str">
        <f t="shared" ref="B101:B154" si="14">IF(D101=F100,"","IU")</f>
        <v/>
      </c>
      <c r="C101" s="507">
        <f>IF(D93="","-",+C100+1)</f>
        <v>2021</v>
      </c>
      <c r="D101" s="374">
        <f>IF(F100+SUM(E$99:E100)=D$92,F100,D$92-SUM(E$99:E100))</f>
        <v>3723157.2857142859</v>
      </c>
      <c r="E101" s="522">
        <f>IF(+J96&lt;F100,J96,D101)</f>
        <v>93023.560975609755</v>
      </c>
      <c r="F101" s="523">
        <f t="shared" ref="F101:F154" si="15">+D101-E101</f>
        <v>3630133.7247386761</v>
      </c>
      <c r="G101" s="523">
        <f t="shared" ref="G101:G154" si="16">+(F101+D101)/2</f>
        <v>3676645.5052264808</v>
      </c>
      <c r="H101" s="526">
        <f t="shared" ref="H101:H154" si="17">+J$94*G101+E101</f>
        <v>510375.13114474603</v>
      </c>
      <c r="I101" s="577">
        <f t="shared" ref="I101:I154" si="18">+J$95*G101+E101</f>
        <v>510375.13114474603</v>
      </c>
      <c r="J101" s="514">
        <f t="shared" si="10"/>
        <v>0</v>
      </c>
      <c r="K101" s="514"/>
      <c r="L101" s="525"/>
      <c r="M101" s="514">
        <f t="shared" ref="M101:M130" si="19">IF(L101&lt;&gt;0,+H101-L101,0)</f>
        <v>0</v>
      </c>
      <c r="N101" s="525"/>
      <c r="O101" s="514">
        <f t="shared" si="12"/>
        <v>0</v>
      </c>
      <c r="P101" s="514">
        <f t="shared" si="13"/>
        <v>0</v>
      </c>
    </row>
    <row r="102" spans="1:16" ht="12.5">
      <c r="B102" s="195" t="str">
        <f t="shared" si="14"/>
        <v/>
      </c>
      <c r="C102" s="507">
        <f>IF(D93="","-",+C101+1)</f>
        <v>2022</v>
      </c>
      <c r="D102" s="374">
        <f>IF(F101+SUM(E$99:E101)=D$92,F101,D$92-SUM(E$99:E101))</f>
        <v>3630133.7247386761</v>
      </c>
      <c r="E102" s="522">
        <f>IF(+J96&lt;F101,J96,D102)</f>
        <v>93023.560975609755</v>
      </c>
      <c r="F102" s="523">
        <f t="shared" si="15"/>
        <v>3537110.1637630663</v>
      </c>
      <c r="G102" s="523">
        <f t="shared" si="16"/>
        <v>3583621.9442508714</v>
      </c>
      <c r="H102" s="526">
        <f t="shared" si="17"/>
        <v>499815.63358624984</v>
      </c>
      <c r="I102" s="577">
        <f t="shared" si="18"/>
        <v>499815.63358624984</v>
      </c>
      <c r="J102" s="514">
        <f t="shared" si="10"/>
        <v>0</v>
      </c>
      <c r="K102" s="514"/>
      <c r="L102" s="525"/>
      <c r="M102" s="514">
        <f t="shared" si="19"/>
        <v>0</v>
      </c>
      <c r="N102" s="525"/>
      <c r="O102" s="514">
        <f t="shared" si="12"/>
        <v>0</v>
      </c>
      <c r="P102" s="514">
        <f t="shared" si="13"/>
        <v>0</v>
      </c>
    </row>
    <row r="103" spans="1:16" ht="12.5">
      <c r="B103" s="195" t="str">
        <f t="shared" si="14"/>
        <v/>
      </c>
      <c r="C103" s="507">
        <f>IF(D93="","-",+C102+1)</f>
        <v>2023</v>
      </c>
      <c r="D103" s="374">
        <f>IF(F102+SUM(E$99:E102)=D$92,F102,D$92-SUM(E$99:E102))</f>
        <v>3537110.1637630663</v>
      </c>
      <c r="E103" s="522">
        <f>IF(+J96&lt;F102,J96,D103)</f>
        <v>93023.560975609755</v>
      </c>
      <c r="F103" s="523">
        <f t="shared" si="15"/>
        <v>3444086.6027874565</v>
      </c>
      <c r="G103" s="523">
        <f t="shared" si="16"/>
        <v>3490598.3832752611</v>
      </c>
      <c r="H103" s="526">
        <f t="shared" si="17"/>
        <v>489256.13602775359</v>
      </c>
      <c r="I103" s="577">
        <f t="shared" si="18"/>
        <v>489256.13602775359</v>
      </c>
      <c r="J103" s="514">
        <f t="shared" si="10"/>
        <v>0</v>
      </c>
      <c r="K103" s="514"/>
      <c r="L103" s="525"/>
      <c r="M103" s="514">
        <f t="shared" si="19"/>
        <v>0</v>
      </c>
      <c r="N103" s="525"/>
      <c r="O103" s="514">
        <f t="shared" si="12"/>
        <v>0</v>
      </c>
      <c r="P103" s="514">
        <f t="shared" si="13"/>
        <v>0</v>
      </c>
    </row>
    <row r="104" spans="1:16" ht="12.5">
      <c r="B104" s="195" t="str">
        <f t="shared" si="14"/>
        <v/>
      </c>
      <c r="C104" s="507">
        <f>IF(D93="","-",+C103+1)</f>
        <v>2024</v>
      </c>
      <c r="D104" s="374">
        <f>IF(F103+SUM(E$99:E103)=D$92,F103,D$92-SUM(E$99:E103))</f>
        <v>3444086.6027874565</v>
      </c>
      <c r="E104" s="522">
        <f>IF(+J96&lt;F103,J96,D104)</f>
        <v>93023.560975609755</v>
      </c>
      <c r="F104" s="523">
        <f t="shared" si="15"/>
        <v>3351063.0418118467</v>
      </c>
      <c r="G104" s="523">
        <f t="shared" si="16"/>
        <v>3397574.8222996518</v>
      </c>
      <c r="H104" s="526">
        <f t="shared" si="17"/>
        <v>478696.63846925739</v>
      </c>
      <c r="I104" s="577">
        <f t="shared" si="18"/>
        <v>478696.63846925739</v>
      </c>
      <c r="J104" s="514">
        <f t="shared" si="10"/>
        <v>0</v>
      </c>
      <c r="K104" s="514"/>
      <c r="L104" s="525"/>
      <c r="M104" s="514">
        <f t="shared" si="19"/>
        <v>0</v>
      </c>
      <c r="N104" s="525"/>
      <c r="O104" s="514">
        <f t="shared" si="12"/>
        <v>0</v>
      </c>
      <c r="P104" s="514">
        <f t="shared" si="13"/>
        <v>0</v>
      </c>
    </row>
    <row r="105" spans="1:16" ht="12.5">
      <c r="B105" s="195" t="str">
        <f t="shared" si="14"/>
        <v/>
      </c>
      <c r="C105" s="507">
        <f>IF(D93="","-",+C104+1)</f>
        <v>2025</v>
      </c>
      <c r="D105" s="374">
        <f>IF(F104+SUM(E$99:E104)=D$92,F104,D$92-SUM(E$99:E104))</f>
        <v>3351063.0418118467</v>
      </c>
      <c r="E105" s="522">
        <f>IF(+J96&lt;F104,J96,D105)</f>
        <v>93023.560975609755</v>
      </c>
      <c r="F105" s="523">
        <f t="shared" si="15"/>
        <v>3258039.4808362368</v>
      </c>
      <c r="G105" s="523">
        <f t="shared" si="16"/>
        <v>3304551.2613240415</v>
      </c>
      <c r="H105" s="526">
        <f t="shared" si="17"/>
        <v>468137.14091076114</v>
      </c>
      <c r="I105" s="577">
        <f t="shared" si="18"/>
        <v>468137.14091076114</v>
      </c>
      <c r="J105" s="514">
        <f t="shared" si="10"/>
        <v>0</v>
      </c>
      <c r="K105" s="514"/>
      <c r="L105" s="525"/>
      <c r="M105" s="514">
        <f t="shared" si="19"/>
        <v>0</v>
      </c>
      <c r="N105" s="525"/>
      <c r="O105" s="514">
        <f t="shared" si="12"/>
        <v>0</v>
      </c>
      <c r="P105" s="514">
        <f t="shared" si="13"/>
        <v>0</v>
      </c>
    </row>
    <row r="106" spans="1:16" ht="12.5">
      <c r="B106" s="195" t="str">
        <f t="shared" si="14"/>
        <v/>
      </c>
      <c r="C106" s="507">
        <f>IF(D93="","-",+C105+1)</f>
        <v>2026</v>
      </c>
      <c r="D106" s="374">
        <f>IF(F105+SUM(E$99:E105)=D$92,F105,D$92-SUM(E$99:E105))</f>
        <v>3258039.4808362368</v>
      </c>
      <c r="E106" s="522">
        <f>IF(+J96&lt;F105,J96,D106)</f>
        <v>93023.560975609755</v>
      </c>
      <c r="F106" s="523">
        <f t="shared" si="15"/>
        <v>3165015.919860627</v>
      </c>
      <c r="G106" s="523">
        <f t="shared" si="16"/>
        <v>3211527.7003484322</v>
      </c>
      <c r="H106" s="526">
        <f t="shared" si="17"/>
        <v>457577.64335226495</v>
      </c>
      <c r="I106" s="577">
        <f t="shared" si="18"/>
        <v>457577.64335226495</v>
      </c>
      <c r="J106" s="514">
        <f t="shared" si="10"/>
        <v>0</v>
      </c>
      <c r="K106" s="514"/>
      <c r="L106" s="525"/>
      <c r="M106" s="514">
        <f t="shared" si="19"/>
        <v>0</v>
      </c>
      <c r="N106" s="525"/>
      <c r="O106" s="514">
        <f t="shared" si="12"/>
        <v>0</v>
      </c>
      <c r="P106" s="514">
        <f t="shared" si="13"/>
        <v>0</v>
      </c>
    </row>
    <row r="107" spans="1:16" ht="12.5">
      <c r="B107" s="195" t="str">
        <f t="shared" si="14"/>
        <v/>
      </c>
      <c r="C107" s="507">
        <f>IF(D93="","-",+C106+1)</f>
        <v>2027</v>
      </c>
      <c r="D107" s="374">
        <f>IF(F106+SUM(E$99:E106)=D$92,F106,D$92-SUM(E$99:E106))</f>
        <v>3165015.919860627</v>
      </c>
      <c r="E107" s="522">
        <f>IF(+J96&lt;F106,J96,D107)</f>
        <v>93023.560975609755</v>
      </c>
      <c r="F107" s="523">
        <f t="shared" si="15"/>
        <v>3071992.3588850172</v>
      </c>
      <c r="G107" s="523">
        <f t="shared" si="16"/>
        <v>3118504.1393728219</v>
      </c>
      <c r="H107" s="526">
        <f t="shared" si="17"/>
        <v>447018.14579376864</v>
      </c>
      <c r="I107" s="577">
        <f t="shared" si="18"/>
        <v>447018.14579376864</v>
      </c>
      <c r="J107" s="514">
        <f t="shared" si="10"/>
        <v>0</v>
      </c>
      <c r="K107" s="514"/>
      <c r="L107" s="525"/>
      <c r="M107" s="514">
        <f t="shared" si="19"/>
        <v>0</v>
      </c>
      <c r="N107" s="525"/>
      <c r="O107" s="514">
        <f t="shared" si="12"/>
        <v>0</v>
      </c>
      <c r="P107" s="514">
        <f t="shared" si="13"/>
        <v>0</v>
      </c>
    </row>
    <row r="108" spans="1:16" ht="12.5">
      <c r="B108" s="195" t="str">
        <f t="shared" si="14"/>
        <v/>
      </c>
      <c r="C108" s="507">
        <f>IF(D93="","-",+C107+1)</f>
        <v>2028</v>
      </c>
      <c r="D108" s="374">
        <f>IF(F107+SUM(E$99:E107)=D$92,F107,D$92-SUM(E$99:E107))</f>
        <v>3071992.3588850172</v>
      </c>
      <c r="E108" s="522">
        <f>IF(+J96&lt;F107,J96,D108)</f>
        <v>93023.560975609755</v>
      </c>
      <c r="F108" s="523">
        <f t="shared" si="15"/>
        <v>2978968.7979094074</v>
      </c>
      <c r="G108" s="523">
        <f t="shared" si="16"/>
        <v>3025480.5783972126</v>
      </c>
      <c r="H108" s="526">
        <f t="shared" si="17"/>
        <v>436458.6482352725</v>
      </c>
      <c r="I108" s="577">
        <f t="shared" si="18"/>
        <v>436458.6482352725</v>
      </c>
      <c r="J108" s="514">
        <f t="shared" si="10"/>
        <v>0</v>
      </c>
      <c r="K108" s="514"/>
      <c r="L108" s="525"/>
      <c r="M108" s="514">
        <f t="shared" si="19"/>
        <v>0</v>
      </c>
      <c r="N108" s="525"/>
      <c r="O108" s="514">
        <f t="shared" si="12"/>
        <v>0</v>
      </c>
      <c r="P108" s="514">
        <f t="shared" si="13"/>
        <v>0</v>
      </c>
    </row>
    <row r="109" spans="1:16" ht="12.5">
      <c r="B109" s="195" t="str">
        <f t="shared" si="14"/>
        <v/>
      </c>
      <c r="C109" s="507">
        <f>IF(D93="","-",+C108+1)</f>
        <v>2029</v>
      </c>
      <c r="D109" s="374">
        <f>IF(F108+SUM(E$99:E108)=D$92,F108,D$92-SUM(E$99:E108))</f>
        <v>2978968.7979094074</v>
      </c>
      <c r="E109" s="522">
        <f>IF(+J96&lt;F108,J96,D109)</f>
        <v>93023.560975609755</v>
      </c>
      <c r="F109" s="523">
        <f t="shared" si="15"/>
        <v>2885945.2369337976</v>
      </c>
      <c r="G109" s="523">
        <f t="shared" si="16"/>
        <v>2932457.0174216023</v>
      </c>
      <c r="H109" s="526">
        <f t="shared" si="17"/>
        <v>425899.15067677619</v>
      </c>
      <c r="I109" s="577">
        <f t="shared" si="18"/>
        <v>425899.15067677619</v>
      </c>
      <c r="J109" s="514">
        <f t="shared" si="10"/>
        <v>0</v>
      </c>
      <c r="K109" s="514"/>
      <c r="L109" s="525"/>
      <c r="M109" s="514">
        <f t="shared" si="19"/>
        <v>0</v>
      </c>
      <c r="N109" s="525"/>
      <c r="O109" s="514">
        <f t="shared" si="12"/>
        <v>0</v>
      </c>
      <c r="P109" s="514">
        <f t="shared" si="13"/>
        <v>0</v>
      </c>
    </row>
    <row r="110" spans="1:16" ht="12.5">
      <c r="B110" s="195" t="str">
        <f t="shared" si="14"/>
        <v/>
      </c>
      <c r="C110" s="507">
        <f>IF(D93="","-",+C109+1)</f>
        <v>2030</v>
      </c>
      <c r="D110" s="374">
        <f>IF(F109+SUM(E$99:E109)=D$92,F109,D$92-SUM(E$99:E109))</f>
        <v>2885945.2369337976</v>
      </c>
      <c r="E110" s="522">
        <f>IF(+J96&lt;F109,J96,D110)</f>
        <v>93023.560975609755</v>
      </c>
      <c r="F110" s="523">
        <f t="shared" si="15"/>
        <v>2792921.6759581878</v>
      </c>
      <c r="G110" s="523">
        <f t="shared" si="16"/>
        <v>2839433.4564459929</v>
      </c>
      <c r="H110" s="526">
        <f t="shared" si="17"/>
        <v>415339.65311828005</v>
      </c>
      <c r="I110" s="577">
        <f t="shared" si="18"/>
        <v>415339.65311828005</v>
      </c>
      <c r="J110" s="514">
        <f t="shared" si="10"/>
        <v>0</v>
      </c>
      <c r="K110" s="514"/>
      <c r="L110" s="525"/>
      <c r="M110" s="514">
        <f t="shared" si="19"/>
        <v>0</v>
      </c>
      <c r="N110" s="525"/>
      <c r="O110" s="514">
        <f t="shared" si="12"/>
        <v>0</v>
      </c>
      <c r="P110" s="514">
        <f t="shared" si="13"/>
        <v>0</v>
      </c>
    </row>
    <row r="111" spans="1:16" ht="12.5">
      <c r="B111" s="195" t="str">
        <f t="shared" si="14"/>
        <v/>
      </c>
      <c r="C111" s="507">
        <f>IF(D93="","-",+C110+1)</f>
        <v>2031</v>
      </c>
      <c r="D111" s="374">
        <f>IF(F110+SUM(E$99:E110)=D$92,F110,D$92-SUM(E$99:E110))</f>
        <v>2792921.6759581878</v>
      </c>
      <c r="E111" s="522">
        <f>IF(+J96&lt;F110,J96,D111)</f>
        <v>93023.560975609755</v>
      </c>
      <c r="F111" s="523">
        <f t="shared" si="15"/>
        <v>2699898.114982578</v>
      </c>
      <c r="G111" s="523">
        <f t="shared" si="16"/>
        <v>2746409.8954703826</v>
      </c>
      <c r="H111" s="526">
        <f t="shared" si="17"/>
        <v>404780.15555978374</v>
      </c>
      <c r="I111" s="577">
        <f t="shared" si="18"/>
        <v>404780.15555978374</v>
      </c>
      <c r="J111" s="514">
        <f t="shared" si="10"/>
        <v>0</v>
      </c>
      <c r="K111" s="514"/>
      <c r="L111" s="525"/>
      <c r="M111" s="514">
        <f t="shared" si="19"/>
        <v>0</v>
      </c>
      <c r="N111" s="525"/>
      <c r="O111" s="514">
        <f t="shared" si="12"/>
        <v>0</v>
      </c>
      <c r="P111" s="514">
        <f t="shared" si="13"/>
        <v>0</v>
      </c>
    </row>
    <row r="112" spans="1:16" ht="12.5">
      <c r="B112" s="195" t="str">
        <f t="shared" si="14"/>
        <v/>
      </c>
      <c r="C112" s="507">
        <f>IF(D93="","-",+C111+1)</f>
        <v>2032</v>
      </c>
      <c r="D112" s="374">
        <f>IF(F111+SUM(E$99:E111)=D$92,F111,D$92-SUM(E$99:E111))</f>
        <v>2699898.114982578</v>
      </c>
      <c r="E112" s="522">
        <f>IF(+J96&lt;F111,J96,D112)</f>
        <v>93023.560975609755</v>
      </c>
      <c r="F112" s="523">
        <f t="shared" si="15"/>
        <v>2606874.5540069682</v>
      </c>
      <c r="G112" s="523">
        <f t="shared" si="16"/>
        <v>2653386.3344947733</v>
      </c>
      <c r="H112" s="526">
        <f t="shared" si="17"/>
        <v>394220.65800128761</v>
      </c>
      <c r="I112" s="577">
        <f t="shared" si="18"/>
        <v>394220.65800128761</v>
      </c>
      <c r="J112" s="514">
        <f t="shared" si="10"/>
        <v>0</v>
      </c>
      <c r="K112" s="514"/>
      <c r="L112" s="525"/>
      <c r="M112" s="514">
        <f t="shared" si="19"/>
        <v>0</v>
      </c>
      <c r="N112" s="525"/>
      <c r="O112" s="514">
        <f t="shared" si="12"/>
        <v>0</v>
      </c>
      <c r="P112" s="514">
        <f t="shared" si="13"/>
        <v>0</v>
      </c>
    </row>
    <row r="113" spans="2:16" ht="12.5">
      <c r="B113" s="195" t="str">
        <f t="shared" si="14"/>
        <v/>
      </c>
      <c r="C113" s="507">
        <f>IF(D93="","-",+C112+1)</f>
        <v>2033</v>
      </c>
      <c r="D113" s="374">
        <f>IF(F112+SUM(E$99:E112)=D$92,F112,D$92-SUM(E$99:E112))</f>
        <v>2606874.5540069682</v>
      </c>
      <c r="E113" s="522">
        <f>IF(+J96&lt;F112,J96,D113)</f>
        <v>93023.560975609755</v>
      </c>
      <c r="F113" s="523">
        <f t="shared" si="15"/>
        <v>2513850.9930313583</v>
      </c>
      <c r="G113" s="523">
        <f t="shared" si="16"/>
        <v>2560362.773519163</v>
      </c>
      <c r="H113" s="526">
        <f t="shared" si="17"/>
        <v>383661.1604427913</v>
      </c>
      <c r="I113" s="577">
        <f t="shared" si="18"/>
        <v>383661.1604427913</v>
      </c>
      <c r="J113" s="514">
        <f t="shared" si="10"/>
        <v>0</v>
      </c>
      <c r="K113" s="514"/>
      <c r="L113" s="525"/>
      <c r="M113" s="514">
        <f t="shared" si="19"/>
        <v>0</v>
      </c>
      <c r="N113" s="525"/>
      <c r="O113" s="514">
        <f t="shared" si="12"/>
        <v>0</v>
      </c>
      <c r="P113" s="514">
        <f t="shared" si="13"/>
        <v>0</v>
      </c>
    </row>
    <row r="114" spans="2:16" ht="12.5">
      <c r="B114" s="195" t="str">
        <f t="shared" si="14"/>
        <v/>
      </c>
      <c r="C114" s="507">
        <f>IF(D93="","-",+C113+1)</f>
        <v>2034</v>
      </c>
      <c r="D114" s="374">
        <f>IF(F113+SUM(E$99:E113)=D$92,F113,D$92-SUM(E$99:E113))</f>
        <v>2513850.9930313583</v>
      </c>
      <c r="E114" s="522">
        <f>IF(+J96&lt;F113,J96,D114)</f>
        <v>93023.560975609755</v>
      </c>
      <c r="F114" s="523">
        <f t="shared" si="15"/>
        <v>2420827.4320557485</v>
      </c>
      <c r="G114" s="523">
        <f t="shared" si="16"/>
        <v>2467339.2125435537</v>
      </c>
      <c r="H114" s="526">
        <f t="shared" si="17"/>
        <v>373101.66288429516</v>
      </c>
      <c r="I114" s="577">
        <f t="shared" si="18"/>
        <v>373101.66288429516</v>
      </c>
      <c r="J114" s="514">
        <f t="shared" si="10"/>
        <v>0</v>
      </c>
      <c r="K114" s="514"/>
      <c r="L114" s="525"/>
      <c r="M114" s="514">
        <f t="shared" si="19"/>
        <v>0</v>
      </c>
      <c r="N114" s="525"/>
      <c r="O114" s="514">
        <f t="shared" si="12"/>
        <v>0</v>
      </c>
      <c r="P114" s="514">
        <f t="shared" si="13"/>
        <v>0</v>
      </c>
    </row>
    <row r="115" spans="2:16" ht="12.5">
      <c r="B115" s="195" t="str">
        <f t="shared" si="14"/>
        <v/>
      </c>
      <c r="C115" s="507">
        <f>IF(D93="","-",+C114+1)</f>
        <v>2035</v>
      </c>
      <c r="D115" s="374">
        <f>IF(F114+SUM(E$99:E114)=D$92,F114,D$92-SUM(E$99:E114))</f>
        <v>2420827.4320557485</v>
      </c>
      <c r="E115" s="522">
        <f>IF(+J96&lt;F114,J96,D115)</f>
        <v>93023.560975609755</v>
      </c>
      <c r="F115" s="523">
        <f t="shared" si="15"/>
        <v>2327803.8710801387</v>
      </c>
      <c r="G115" s="523">
        <f t="shared" si="16"/>
        <v>2374315.6515679434</v>
      </c>
      <c r="H115" s="526">
        <f t="shared" si="17"/>
        <v>362542.16532579885</v>
      </c>
      <c r="I115" s="577">
        <f t="shared" si="18"/>
        <v>362542.16532579885</v>
      </c>
      <c r="J115" s="514">
        <f t="shared" si="10"/>
        <v>0</v>
      </c>
      <c r="K115" s="514"/>
      <c r="L115" s="525"/>
      <c r="M115" s="514">
        <f t="shared" si="19"/>
        <v>0</v>
      </c>
      <c r="N115" s="525"/>
      <c r="O115" s="514">
        <f t="shared" si="12"/>
        <v>0</v>
      </c>
      <c r="P115" s="514">
        <f t="shared" si="13"/>
        <v>0</v>
      </c>
    </row>
    <row r="116" spans="2:16" ht="12.5">
      <c r="B116" s="195" t="str">
        <f t="shared" si="14"/>
        <v/>
      </c>
      <c r="C116" s="507">
        <f>IF(D93="","-",+C115+1)</f>
        <v>2036</v>
      </c>
      <c r="D116" s="374">
        <f>IF(F115+SUM(E$99:E115)=D$92,F115,D$92-SUM(E$99:E115))</f>
        <v>2327803.8710801387</v>
      </c>
      <c r="E116" s="522">
        <f>IF(+J96&lt;F115,J96,D116)</f>
        <v>93023.560975609755</v>
      </c>
      <c r="F116" s="523">
        <f t="shared" si="15"/>
        <v>2234780.3101045289</v>
      </c>
      <c r="G116" s="523">
        <f t="shared" si="16"/>
        <v>2281292.090592334</v>
      </c>
      <c r="H116" s="526">
        <f t="shared" si="17"/>
        <v>351982.66776730272</v>
      </c>
      <c r="I116" s="577">
        <f t="shared" si="18"/>
        <v>351982.66776730272</v>
      </c>
      <c r="J116" s="514">
        <f t="shared" si="10"/>
        <v>0</v>
      </c>
      <c r="K116" s="514"/>
      <c r="L116" s="525"/>
      <c r="M116" s="514">
        <f t="shared" si="19"/>
        <v>0</v>
      </c>
      <c r="N116" s="525"/>
      <c r="O116" s="514">
        <f t="shared" si="12"/>
        <v>0</v>
      </c>
      <c r="P116" s="514">
        <f t="shared" si="13"/>
        <v>0</v>
      </c>
    </row>
    <row r="117" spans="2:16" ht="12.5">
      <c r="B117" s="195" t="str">
        <f t="shared" si="14"/>
        <v/>
      </c>
      <c r="C117" s="507">
        <f>IF(D93="","-",+C116+1)</f>
        <v>2037</v>
      </c>
      <c r="D117" s="374">
        <f>IF(F116+SUM(E$99:E116)=D$92,F116,D$92-SUM(E$99:E116))</f>
        <v>2234780.3101045289</v>
      </c>
      <c r="E117" s="522">
        <f>IF(+J96&lt;F116,J96,D117)</f>
        <v>93023.560975609755</v>
      </c>
      <c r="F117" s="523">
        <f t="shared" si="15"/>
        <v>2141756.7491289191</v>
      </c>
      <c r="G117" s="523">
        <f t="shared" si="16"/>
        <v>2188268.5296167238</v>
      </c>
      <c r="H117" s="526">
        <f t="shared" si="17"/>
        <v>341423.1702088064</v>
      </c>
      <c r="I117" s="577">
        <f t="shared" si="18"/>
        <v>341423.1702088064</v>
      </c>
      <c r="J117" s="514">
        <f t="shared" si="10"/>
        <v>0</v>
      </c>
      <c r="K117" s="514"/>
      <c r="L117" s="525"/>
      <c r="M117" s="514">
        <f t="shared" si="19"/>
        <v>0</v>
      </c>
      <c r="N117" s="525"/>
      <c r="O117" s="514">
        <f t="shared" si="12"/>
        <v>0</v>
      </c>
      <c r="P117" s="514">
        <f t="shared" si="13"/>
        <v>0</v>
      </c>
    </row>
    <row r="118" spans="2:16" ht="12.5">
      <c r="B118" s="195" t="str">
        <f t="shared" si="14"/>
        <v/>
      </c>
      <c r="C118" s="507">
        <f>IF(D93="","-",+C117+1)</f>
        <v>2038</v>
      </c>
      <c r="D118" s="374">
        <f>IF(F117+SUM(E$99:E117)=D$92,F117,D$92-SUM(E$99:E117))</f>
        <v>2141756.7491289191</v>
      </c>
      <c r="E118" s="522">
        <f>IF(+J96&lt;F117,J96,D118)</f>
        <v>93023.560975609755</v>
      </c>
      <c r="F118" s="523">
        <f t="shared" si="15"/>
        <v>2048733.1881533093</v>
      </c>
      <c r="G118" s="523">
        <f t="shared" si="16"/>
        <v>2095244.9686411142</v>
      </c>
      <c r="H118" s="526">
        <f t="shared" si="17"/>
        <v>330863.67265031021</v>
      </c>
      <c r="I118" s="577">
        <f t="shared" si="18"/>
        <v>330863.67265031021</v>
      </c>
      <c r="J118" s="514">
        <f t="shared" si="10"/>
        <v>0</v>
      </c>
      <c r="K118" s="514"/>
      <c r="L118" s="525"/>
      <c r="M118" s="514">
        <f t="shared" si="19"/>
        <v>0</v>
      </c>
      <c r="N118" s="525"/>
      <c r="O118" s="514">
        <f t="shared" si="12"/>
        <v>0</v>
      </c>
      <c r="P118" s="514">
        <f t="shared" si="13"/>
        <v>0</v>
      </c>
    </row>
    <row r="119" spans="2:16" ht="12.5">
      <c r="B119" s="195" t="str">
        <f t="shared" si="14"/>
        <v/>
      </c>
      <c r="C119" s="507">
        <f>IF(D93="","-",+C118+1)</f>
        <v>2039</v>
      </c>
      <c r="D119" s="374">
        <f>IF(F118+SUM(E$99:E118)=D$92,F118,D$92-SUM(E$99:E118))</f>
        <v>2048733.1881533093</v>
      </c>
      <c r="E119" s="522">
        <f>IF(+J96&lt;F118,J96,D119)</f>
        <v>93023.560975609755</v>
      </c>
      <c r="F119" s="523">
        <f t="shared" si="15"/>
        <v>1955709.6271776995</v>
      </c>
      <c r="G119" s="523">
        <f t="shared" si="16"/>
        <v>2002221.4076655044</v>
      </c>
      <c r="H119" s="526">
        <f t="shared" si="17"/>
        <v>320304.17509181402</v>
      </c>
      <c r="I119" s="577">
        <f t="shared" si="18"/>
        <v>320304.17509181402</v>
      </c>
      <c r="J119" s="514">
        <f t="shared" si="10"/>
        <v>0</v>
      </c>
      <c r="K119" s="514"/>
      <c r="L119" s="525"/>
      <c r="M119" s="514">
        <f t="shared" si="19"/>
        <v>0</v>
      </c>
      <c r="N119" s="525"/>
      <c r="O119" s="514">
        <f t="shared" si="12"/>
        <v>0</v>
      </c>
      <c r="P119" s="514">
        <f t="shared" si="13"/>
        <v>0</v>
      </c>
    </row>
    <row r="120" spans="2:16" ht="12.5">
      <c r="B120" s="195" t="str">
        <f t="shared" si="14"/>
        <v/>
      </c>
      <c r="C120" s="507">
        <f>IF(D93="","-",+C119+1)</f>
        <v>2040</v>
      </c>
      <c r="D120" s="374">
        <f>IF(F119+SUM(E$99:E119)=D$92,F119,D$92-SUM(E$99:E119))</f>
        <v>1955709.6271776995</v>
      </c>
      <c r="E120" s="522">
        <f>IF(+J96&lt;F119,J96,D120)</f>
        <v>93023.560975609755</v>
      </c>
      <c r="F120" s="523">
        <f t="shared" si="15"/>
        <v>1862686.0662020897</v>
      </c>
      <c r="G120" s="523">
        <f t="shared" si="16"/>
        <v>1909197.8466898946</v>
      </c>
      <c r="H120" s="526">
        <f t="shared" si="17"/>
        <v>309744.67753331776</v>
      </c>
      <c r="I120" s="577">
        <f t="shared" si="18"/>
        <v>309744.67753331776</v>
      </c>
      <c r="J120" s="514">
        <f t="shared" si="10"/>
        <v>0</v>
      </c>
      <c r="K120" s="514"/>
      <c r="L120" s="525"/>
      <c r="M120" s="514">
        <f t="shared" si="19"/>
        <v>0</v>
      </c>
      <c r="N120" s="525"/>
      <c r="O120" s="514">
        <f t="shared" si="12"/>
        <v>0</v>
      </c>
      <c r="P120" s="514">
        <f t="shared" si="13"/>
        <v>0</v>
      </c>
    </row>
    <row r="121" spans="2:16" ht="12.5">
      <c r="B121" s="195" t="str">
        <f t="shared" si="14"/>
        <v/>
      </c>
      <c r="C121" s="507">
        <f>IF(D93="","-",+C120+1)</f>
        <v>2041</v>
      </c>
      <c r="D121" s="374">
        <f>IF(F120+SUM(E$99:E120)=D$92,F120,D$92-SUM(E$99:E120))</f>
        <v>1862686.0662020897</v>
      </c>
      <c r="E121" s="522">
        <f>IF(+J96&lt;F120,J96,D121)</f>
        <v>93023.560975609755</v>
      </c>
      <c r="F121" s="523">
        <f t="shared" si="15"/>
        <v>1769662.5052264798</v>
      </c>
      <c r="G121" s="523">
        <f t="shared" si="16"/>
        <v>1816174.2857142847</v>
      </c>
      <c r="H121" s="526">
        <f t="shared" si="17"/>
        <v>299185.17997482151</v>
      </c>
      <c r="I121" s="577">
        <f t="shared" si="18"/>
        <v>299185.17997482151</v>
      </c>
      <c r="J121" s="514">
        <f t="shared" si="10"/>
        <v>0</v>
      </c>
      <c r="K121" s="514"/>
      <c r="L121" s="525"/>
      <c r="M121" s="514">
        <f t="shared" si="19"/>
        <v>0</v>
      </c>
      <c r="N121" s="525"/>
      <c r="O121" s="514">
        <f t="shared" si="12"/>
        <v>0</v>
      </c>
      <c r="P121" s="514">
        <f t="shared" si="13"/>
        <v>0</v>
      </c>
    </row>
    <row r="122" spans="2:16" ht="12.5">
      <c r="B122" s="195" t="str">
        <f t="shared" si="14"/>
        <v/>
      </c>
      <c r="C122" s="507">
        <f>IF(D93="","-",+C121+1)</f>
        <v>2042</v>
      </c>
      <c r="D122" s="374">
        <f>IF(F121+SUM(E$99:E121)=D$92,F121,D$92-SUM(E$99:E121))</f>
        <v>1769662.5052264798</v>
      </c>
      <c r="E122" s="522">
        <f>IF(+J96&lt;F121,J96,D122)</f>
        <v>93023.560975609755</v>
      </c>
      <c r="F122" s="523">
        <f t="shared" si="15"/>
        <v>1676638.94425087</v>
      </c>
      <c r="G122" s="523">
        <f t="shared" si="16"/>
        <v>1723150.7247386749</v>
      </c>
      <c r="H122" s="526">
        <f t="shared" si="17"/>
        <v>288625.68241632532</v>
      </c>
      <c r="I122" s="577">
        <f t="shared" si="18"/>
        <v>288625.68241632532</v>
      </c>
      <c r="J122" s="514">
        <f t="shared" si="10"/>
        <v>0</v>
      </c>
      <c r="K122" s="514"/>
      <c r="L122" s="525"/>
      <c r="M122" s="514">
        <f t="shared" si="19"/>
        <v>0</v>
      </c>
      <c r="N122" s="525"/>
      <c r="O122" s="514">
        <f t="shared" si="12"/>
        <v>0</v>
      </c>
      <c r="P122" s="514">
        <f t="shared" si="13"/>
        <v>0</v>
      </c>
    </row>
    <row r="123" spans="2:16" ht="12.5">
      <c r="B123" s="195" t="str">
        <f t="shared" si="14"/>
        <v/>
      </c>
      <c r="C123" s="507">
        <f>IF(D93="","-",+C122+1)</f>
        <v>2043</v>
      </c>
      <c r="D123" s="374">
        <f>IF(F122+SUM(E$99:E122)=D$92,F122,D$92-SUM(E$99:E122))</f>
        <v>1676638.94425087</v>
      </c>
      <c r="E123" s="522">
        <f>IF(+J96&lt;F122,J96,D123)</f>
        <v>93023.560975609755</v>
      </c>
      <c r="F123" s="523">
        <f t="shared" si="15"/>
        <v>1583615.3832752602</v>
      </c>
      <c r="G123" s="523">
        <f t="shared" si="16"/>
        <v>1630127.1637630651</v>
      </c>
      <c r="H123" s="526">
        <f t="shared" si="17"/>
        <v>278066.18485782912</v>
      </c>
      <c r="I123" s="577">
        <f t="shared" si="18"/>
        <v>278066.18485782912</v>
      </c>
      <c r="J123" s="514">
        <f t="shared" si="10"/>
        <v>0</v>
      </c>
      <c r="K123" s="514"/>
      <c r="L123" s="525"/>
      <c r="M123" s="514">
        <f t="shared" si="19"/>
        <v>0</v>
      </c>
      <c r="N123" s="525"/>
      <c r="O123" s="514">
        <f t="shared" si="12"/>
        <v>0</v>
      </c>
      <c r="P123" s="514">
        <f t="shared" si="13"/>
        <v>0</v>
      </c>
    </row>
    <row r="124" spans="2:16" ht="12.5">
      <c r="B124" s="195" t="str">
        <f t="shared" si="14"/>
        <v/>
      </c>
      <c r="C124" s="507">
        <f>IF(D93="","-",+C123+1)</f>
        <v>2044</v>
      </c>
      <c r="D124" s="374">
        <f>IF(F123+SUM(E$99:E123)=D$92,F123,D$92-SUM(E$99:E123))</f>
        <v>1583615.3832752602</v>
      </c>
      <c r="E124" s="522">
        <f>IF(+J96&lt;F123,J96,D124)</f>
        <v>93023.560975609755</v>
      </c>
      <c r="F124" s="523">
        <f t="shared" si="15"/>
        <v>1490591.8222996504</v>
      </c>
      <c r="G124" s="523">
        <f t="shared" si="16"/>
        <v>1537103.6027874553</v>
      </c>
      <c r="H124" s="526">
        <f t="shared" si="17"/>
        <v>267506.68729933287</v>
      </c>
      <c r="I124" s="577">
        <f t="shared" si="18"/>
        <v>267506.68729933287</v>
      </c>
      <c r="J124" s="514">
        <f t="shared" si="10"/>
        <v>0</v>
      </c>
      <c r="K124" s="514"/>
      <c r="L124" s="525"/>
      <c r="M124" s="514">
        <f t="shared" si="19"/>
        <v>0</v>
      </c>
      <c r="N124" s="525"/>
      <c r="O124" s="514">
        <f t="shared" si="12"/>
        <v>0</v>
      </c>
      <c r="P124" s="514">
        <f t="shared" si="13"/>
        <v>0</v>
      </c>
    </row>
    <row r="125" spans="2:16" ht="12.5">
      <c r="B125" s="195" t="str">
        <f t="shared" si="14"/>
        <v/>
      </c>
      <c r="C125" s="507">
        <f>IF(D93="","-",+C124+1)</f>
        <v>2045</v>
      </c>
      <c r="D125" s="374">
        <f>IF(F124+SUM(E$99:E124)=D$92,F124,D$92-SUM(E$99:E124))</f>
        <v>1490591.8222996504</v>
      </c>
      <c r="E125" s="522">
        <f>IF(+J96&lt;F124,J96,D125)</f>
        <v>93023.560975609755</v>
      </c>
      <c r="F125" s="523">
        <f t="shared" si="15"/>
        <v>1397568.2613240406</v>
      </c>
      <c r="G125" s="523">
        <f t="shared" si="16"/>
        <v>1444080.0418118455</v>
      </c>
      <c r="H125" s="526">
        <f t="shared" si="17"/>
        <v>256947.18974083665</v>
      </c>
      <c r="I125" s="577">
        <f t="shared" si="18"/>
        <v>256947.18974083665</v>
      </c>
      <c r="J125" s="514">
        <f t="shared" si="10"/>
        <v>0</v>
      </c>
      <c r="K125" s="514"/>
      <c r="L125" s="525"/>
      <c r="M125" s="514">
        <f t="shared" si="19"/>
        <v>0</v>
      </c>
      <c r="N125" s="525"/>
      <c r="O125" s="514">
        <f t="shared" si="12"/>
        <v>0</v>
      </c>
      <c r="P125" s="514">
        <f t="shared" si="13"/>
        <v>0</v>
      </c>
    </row>
    <row r="126" spans="2:16" ht="12.5">
      <c r="B126" s="195" t="str">
        <f t="shared" si="14"/>
        <v/>
      </c>
      <c r="C126" s="507">
        <f>IF(D93="","-",+C125+1)</f>
        <v>2046</v>
      </c>
      <c r="D126" s="374">
        <f>IF(F125+SUM(E$99:E125)=D$92,F125,D$92-SUM(E$99:E125))</f>
        <v>1397568.2613240406</v>
      </c>
      <c r="E126" s="522">
        <f>IF(+J96&lt;F125,J96,D126)</f>
        <v>93023.560975609755</v>
      </c>
      <c r="F126" s="523">
        <f t="shared" si="15"/>
        <v>1304544.7003484308</v>
      </c>
      <c r="G126" s="523">
        <f t="shared" si="16"/>
        <v>1351056.4808362357</v>
      </c>
      <c r="H126" s="526">
        <f t="shared" si="17"/>
        <v>246387.6921823404</v>
      </c>
      <c r="I126" s="577">
        <f t="shared" si="18"/>
        <v>246387.6921823404</v>
      </c>
      <c r="J126" s="514">
        <f t="shared" si="10"/>
        <v>0</v>
      </c>
      <c r="K126" s="514"/>
      <c r="L126" s="525"/>
      <c r="M126" s="514">
        <f t="shared" si="19"/>
        <v>0</v>
      </c>
      <c r="N126" s="525"/>
      <c r="O126" s="514">
        <f t="shared" si="12"/>
        <v>0</v>
      </c>
      <c r="P126" s="514">
        <f t="shared" si="13"/>
        <v>0</v>
      </c>
    </row>
    <row r="127" spans="2:16" ht="12.5">
      <c r="B127" s="195" t="str">
        <f t="shared" si="14"/>
        <v/>
      </c>
      <c r="C127" s="507">
        <f>IF(D93="","-",+C126+1)</f>
        <v>2047</v>
      </c>
      <c r="D127" s="374">
        <f>IF(F126+SUM(E$99:E126)=D$92,F126,D$92-SUM(E$99:E126))</f>
        <v>1304544.7003484308</v>
      </c>
      <c r="E127" s="522">
        <f>IF(+J96&lt;F126,J96,D127)</f>
        <v>93023.560975609755</v>
      </c>
      <c r="F127" s="523">
        <f t="shared" si="15"/>
        <v>1211521.139372821</v>
      </c>
      <c r="G127" s="523">
        <f t="shared" si="16"/>
        <v>1258032.9198606259</v>
      </c>
      <c r="H127" s="526">
        <f t="shared" si="17"/>
        <v>235828.19462384417</v>
      </c>
      <c r="I127" s="577">
        <f t="shared" si="18"/>
        <v>235828.19462384417</v>
      </c>
      <c r="J127" s="514">
        <f t="shared" si="10"/>
        <v>0</v>
      </c>
      <c r="K127" s="514"/>
      <c r="L127" s="525"/>
      <c r="M127" s="514">
        <f t="shared" si="19"/>
        <v>0</v>
      </c>
      <c r="N127" s="525"/>
      <c r="O127" s="514">
        <f t="shared" si="12"/>
        <v>0</v>
      </c>
      <c r="P127" s="514">
        <f t="shared" si="13"/>
        <v>0</v>
      </c>
    </row>
    <row r="128" spans="2:16" ht="12.5">
      <c r="B128" s="195" t="str">
        <f t="shared" si="14"/>
        <v/>
      </c>
      <c r="C128" s="507">
        <f>IF(D93="","-",+C127+1)</f>
        <v>2048</v>
      </c>
      <c r="D128" s="374">
        <f>IF(F127+SUM(E$99:E127)=D$92,F127,D$92-SUM(E$99:E127))</f>
        <v>1211521.139372821</v>
      </c>
      <c r="E128" s="522">
        <f>IF(+J96&lt;F127,J96,D128)</f>
        <v>93023.560975609755</v>
      </c>
      <c r="F128" s="523">
        <f t="shared" si="15"/>
        <v>1118497.5783972112</v>
      </c>
      <c r="G128" s="523">
        <f t="shared" si="16"/>
        <v>1165009.3588850161</v>
      </c>
      <c r="H128" s="526">
        <f t="shared" si="17"/>
        <v>225268.69706534795</v>
      </c>
      <c r="I128" s="577">
        <f t="shared" si="18"/>
        <v>225268.69706534795</v>
      </c>
      <c r="J128" s="514">
        <f t="shared" si="10"/>
        <v>0</v>
      </c>
      <c r="K128" s="514"/>
      <c r="L128" s="525"/>
      <c r="M128" s="514">
        <f t="shared" si="19"/>
        <v>0</v>
      </c>
      <c r="N128" s="525"/>
      <c r="O128" s="514">
        <f t="shared" si="12"/>
        <v>0</v>
      </c>
      <c r="P128" s="514">
        <f t="shared" si="13"/>
        <v>0</v>
      </c>
    </row>
    <row r="129" spans="2:16" ht="12.5">
      <c r="B129" s="195" t="str">
        <f t="shared" si="14"/>
        <v/>
      </c>
      <c r="C129" s="507">
        <f>IF(D93="","-",+C128+1)</f>
        <v>2049</v>
      </c>
      <c r="D129" s="374">
        <f>IF(F128+SUM(E$99:E128)=D$92,F128,D$92-SUM(E$99:E128))</f>
        <v>1118497.5783972112</v>
      </c>
      <c r="E129" s="522">
        <f>IF(+J96&lt;F128,J96,D129)</f>
        <v>93023.560975609755</v>
      </c>
      <c r="F129" s="523">
        <f t="shared" si="15"/>
        <v>1025474.0174216013</v>
      </c>
      <c r="G129" s="523">
        <f t="shared" si="16"/>
        <v>1071985.7979094062</v>
      </c>
      <c r="H129" s="526">
        <f t="shared" si="17"/>
        <v>214709.19950685173</v>
      </c>
      <c r="I129" s="577">
        <f t="shared" si="18"/>
        <v>214709.19950685173</v>
      </c>
      <c r="J129" s="514">
        <f t="shared" si="10"/>
        <v>0</v>
      </c>
      <c r="K129" s="514"/>
      <c r="L129" s="525"/>
      <c r="M129" s="514">
        <f t="shared" si="19"/>
        <v>0</v>
      </c>
      <c r="N129" s="525"/>
      <c r="O129" s="514">
        <f t="shared" si="12"/>
        <v>0</v>
      </c>
      <c r="P129" s="514">
        <f t="shared" si="13"/>
        <v>0</v>
      </c>
    </row>
    <row r="130" spans="2:16" ht="12.5">
      <c r="B130" s="195" t="str">
        <f t="shared" si="14"/>
        <v/>
      </c>
      <c r="C130" s="507">
        <f>IF(D93="","-",+C129+1)</f>
        <v>2050</v>
      </c>
      <c r="D130" s="374">
        <f>IF(F129+SUM(E$99:E129)=D$92,F129,D$92-SUM(E$99:E129))</f>
        <v>1025474.0174216013</v>
      </c>
      <c r="E130" s="522">
        <f>IF(+J96&lt;F129,J96,D130)</f>
        <v>93023.560975609755</v>
      </c>
      <c r="F130" s="523">
        <f t="shared" si="15"/>
        <v>932450.45644599153</v>
      </c>
      <c r="G130" s="523">
        <f t="shared" si="16"/>
        <v>978962.23693379643</v>
      </c>
      <c r="H130" s="526">
        <f t="shared" si="17"/>
        <v>204149.70194835551</v>
      </c>
      <c r="I130" s="577">
        <f t="shared" si="18"/>
        <v>204149.70194835551</v>
      </c>
      <c r="J130" s="514">
        <f t="shared" si="10"/>
        <v>0</v>
      </c>
      <c r="K130" s="514"/>
      <c r="L130" s="525"/>
      <c r="M130" s="514">
        <f t="shared" si="19"/>
        <v>0</v>
      </c>
      <c r="N130" s="525"/>
      <c r="O130" s="514">
        <f t="shared" si="12"/>
        <v>0</v>
      </c>
      <c r="P130" s="514">
        <f t="shared" si="13"/>
        <v>0</v>
      </c>
    </row>
    <row r="131" spans="2:16" ht="12.5">
      <c r="B131" s="195" t="str">
        <f t="shared" si="14"/>
        <v/>
      </c>
      <c r="C131" s="507">
        <f>IF(D93="","-",+C130+1)</f>
        <v>2051</v>
      </c>
      <c r="D131" s="374">
        <f>IF(F130+SUM(E$99:E130)=D$92,F130,D$92-SUM(E$99:E130))</f>
        <v>932450.45644599153</v>
      </c>
      <c r="E131" s="522">
        <f>IF(+J96&lt;F130,J96,D131)</f>
        <v>93023.560975609755</v>
      </c>
      <c r="F131" s="523">
        <f t="shared" si="15"/>
        <v>839426.89547038171</v>
      </c>
      <c r="G131" s="523">
        <f t="shared" si="16"/>
        <v>885938.67595818662</v>
      </c>
      <c r="H131" s="526">
        <f t="shared" si="17"/>
        <v>193590.20438985928</v>
      </c>
      <c r="I131" s="577">
        <f t="shared" si="18"/>
        <v>193590.20438985928</v>
      </c>
      <c r="J131" s="514">
        <f t="shared" ref="J131:J154" si="20">+I541-H541</f>
        <v>0</v>
      </c>
      <c r="K131" s="514"/>
      <c r="L131" s="525"/>
      <c r="M131" s="514">
        <f t="shared" ref="M131:M154" si="21">IF(L541&lt;&gt;0,+H541-L541,0)</f>
        <v>0</v>
      </c>
      <c r="N131" s="525"/>
      <c r="O131" s="514">
        <f t="shared" ref="O131:O154" si="22">IF(N541&lt;&gt;0,+I541-N541,0)</f>
        <v>0</v>
      </c>
      <c r="P131" s="514">
        <f t="shared" ref="P131:P154" si="23">+O541-M541</f>
        <v>0</v>
      </c>
    </row>
    <row r="132" spans="2:16" ht="12.5">
      <c r="B132" s="195" t="str">
        <f t="shared" si="14"/>
        <v/>
      </c>
      <c r="C132" s="507">
        <f>IF(D93="","-",+C131+1)</f>
        <v>2052</v>
      </c>
      <c r="D132" s="374">
        <f>IF(F131+SUM(E$99:E131)=D$92,F131,D$92-SUM(E$99:E131))</f>
        <v>839426.89547038171</v>
      </c>
      <c r="E132" s="522">
        <f>IF(+J96&lt;F131,J96,D132)</f>
        <v>93023.560975609755</v>
      </c>
      <c r="F132" s="523">
        <f t="shared" si="15"/>
        <v>746403.3344947719</v>
      </c>
      <c r="G132" s="523">
        <f t="shared" si="16"/>
        <v>792915.11498257681</v>
      </c>
      <c r="H132" s="526">
        <f t="shared" si="17"/>
        <v>183030.70683136306</v>
      </c>
      <c r="I132" s="577">
        <f t="shared" si="18"/>
        <v>183030.70683136306</v>
      </c>
      <c r="J132" s="514">
        <f t="shared" si="20"/>
        <v>0</v>
      </c>
      <c r="K132" s="514"/>
      <c r="L132" s="525"/>
      <c r="M132" s="514">
        <f t="shared" si="21"/>
        <v>0</v>
      </c>
      <c r="N132" s="525"/>
      <c r="O132" s="514">
        <f t="shared" si="22"/>
        <v>0</v>
      </c>
      <c r="P132" s="514">
        <f t="shared" si="23"/>
        <v>0</v>
      </c>
    </row>
    <row r="133" spans="2:16" ht="12.5">
      <c r="B133" s="195" t="str">
        <f t="shared" si="14"/>
        <v/>
      </c>
      <c r="C133" s="507">
        <f>IF(D93="","-",+C132+1)</f>
        <v>2053</v>
      </c>
      <c r="D133" s="374">
        <f>IF(F132+SUM(E$99:E132)=D$92,F132,D$92-SUM(E$99:E132))</f>
        <v>746403.3344947719</v>
      </c>
      <c r="E133" s="522">
        <f>IF(+J96&lt;F132,J96,D133)</f>
        <v>93023.560975609755</v>
      </c>
      <c r="F133" s="523">
        <f t="shared" si="15"/>
        <v>653379.77351916209</v>
      </c>
      <c r="G133" s="523">
        <f t="shared" si="16"/>
        <v>699891.554006967</v>
      </c>
      <c r="H133" s="526">
        <f t="shared" si="17"/>
        <v>172471.20927286684</v>
      </c>
      <c r="I133" s="577">
        <f t="shared" si="18"/>
        <v>172471.20927286684</v>
      </c>
      <c r="J133" s="514">
        <f t="shared" si="20"/>
        <v>0</v>
      </c>
      <c r="K133" s="514"/>
      <c r="L133" s="525"/>
      <c r="M133" s="514">
        <f t="shared" si="21"/>
        <v>0</v>
      </c>
      <c r="N133" s="525"/>
      <c r="O133" s="514">
        <f t="shared" si="22"/>
        <v>0</v>
      </c>
      <c r="P133" s="514">
        <f t="shared" si="23"/>
        <v>0</v>
      </c>
    </row>
    <row r="134" spans="2:16" ht="12.5">
      <c r="B134" s="195" t="str">
        <f t="shared" si="14"/>
        <v/>
      </c>
      <c r="C134" s="507">
        <f>IF(D93="","-",+C133+1)</f>
        <v>2054</v>
      </c>
      <c r="D134" s="374">
        <f>IF(F133+SUM(E$99:E133)=D$92,F133,D$92-SUM(E$99:E133))</f>
        <v>653379.77351916209</v>
      </c>
      <c r="E134" s="522">
        <f>IF(+J96&lt;F133,J96,D134)</f>
        <v>93023.560975609755</v>
      </c>
      <c r="F134" s="523">
        <f t="shared" si="15"/>
        <v>560356.21254355228</v>
      </c>
      <c r="G134" s="523">
        <f t="shared" si="16"/>
        <v>606867.99303135718</v>
      </c>
      <c r="H134" s="526">
        <f t="shared" si="17"/>
        <v>161911.71171437061</v>
      </c>
      <c r="I134" s="577">
        <f t="shared" si="18"/>
        <v>161911.71171437061</v>
      </c>
      <c r="J134" s="514">
        <f t="shared" si="20"/>
        <v>0</v>
      </c>
      <c r="K134" s="514"/>
      <c r="L134" s="525"/>
      <c r="M134" s="514">
        <f t="shared" si="21"/>
        <v>0</v>
      </c>
      <c r="N134" s="525"/>
      <c r="O134" s="514">
        <f t="shared" si="22"/>
        <v>0</v>
      </c>
      <c r="P134" s="514">
        <f t="shared" si="23"/>
        <v>0</v>
      </c>
    </row>
    <row r="135" spans="2:16" ht="12.5">
      <c r="B135" s="195" t="str">
        <f t="shared" si="14"/>
        <v/>
      </c>
      <c r="C135" s="507">
        <f>IF(D93="","-",+C134+1)</f>
        <v>2055</v>
      </c>
      <c r="D135" s="374">
        <f>IF(F134+SUM(E$99:E134)=D$92,F134,D$92-SUM(E$99:E134))</f>
        <v>560356.21254355228</v>
      </c>
      <c r="E135" s="522">
        <f>IF(+J96&lt;F134,J96,D135)</f>
        <v>93023.560975609755</v>
      </c>
      <c r="F135" s="523">
        <f t="shared" si="15"/>
        <v>467332.65156794252</v>
      </c>
      <c r="G135" s="523">
        <f t="shared" si="16"/>
        <v>513844.43205574737</v>
      </c>
      <c r="H135" s="526">
        <f t="shared" si="17"/>
        <v>151352.21415587439</v>
      </c>
      <c r="I135" s="577">
        <f t="shared" si="18"/>
        <v>151352.21415587439</v>
      </c>
      <c r="J135" s="514">
        <f t="shared" si="20"/>
        <v>0</v>
      </c>
      <c r="K135" s="514"/>
      <c r="L135" s="525"/>
      <c r="M135" s="514">
        <f t="shared" si="21"/>
        <v>0</v>
      </c>
      <c r="N135" s="525"/>
      <c r="O135" s="514">
        <f t="shared" si="22"/>
        <v>0</v>
      </c>
      <c r="P135" s="514">
        <f t="shared" si="23"/>
        <v>0</v>
      </c>
    </row>
    <row r="136" spans="2:16" ht="12.5">
      <c r="B136" s="195" t="str">
        <f t="shared" si="14"/>
        <v/>
      </c>
      <c r="C136" s="507">
        <f>IF(D93="","-",+C135+1)</f>
        <v>2056</v>
      </c>
      <c r="D136" s="374">
        <f>IF(F135+SUM(E$99:E135)=D$92,F135,D$92-SUM(E$99:E135))</f>
        <v>467332.65156794252</v>
      </c>
      <c r="E136" s="522">
        <f>IF(+J96&lt;F135,J96,D136)</f>
        <v>93023.560975609755</v>
      </c>
      <c r="F136" s="523">
        <f t="shared" si="15"/>
        <v>374309.09059233277</v>
      </c>
      <c r="G136" s="523">
        <f t="shared" si="16"/>
        <v>420820.87108013767</v>
      </c>
      <c r="H136" s="526">
        <f t="shared" si="17"/>
        <v>140792.71659737817</v>
      </c>
      <c r="I136" s="577">
        <f t="shared" si="18"/>
        <v>140792.71659737817</v>
      </c>
      <c r="J136" s="514">
        <f t="shared" si="20"/>
        <v>0</v>
      </c>
      <c r="K136" s="514"/>
      <c r="L136" s="525"/>
      <c r="M136" s="514">
        <f t="shared" si="21"/>
        <v>0</v>
      </c>
      <c r="N136" s="525"/>
      <c r="O136" s="514">
        <f t="shared" si="22"/>
        <v>0</v>
      </c>
      <c r="P136" s="514">
        <f t="shared" si="23"/>
        <v>0</v>
      </c>
    </row>
    <row r="137" spans="2:16" ht="12.5">
      <c r="B137" s="195" t="str">
        <f t="shared" si="14"/>
        <v/>
      </c>
      <c r="C137" s="507">
        <f>IF(D93="","-",+C136+1)</f>
        <v>2057</v>
      </c>
      <c r="D137" s="374">
        <f>IF(F136+SUM(E$99:E136)=D$92,F136,D$92-SUM(E$99:E136))</f>
        <v>374309.09059233277</v>
      </c>
      <c r="E137" s="522">
        <f>IF(+J96&lt;F136,J96,D137)</f>
        <v>93023.560975609755</v>
      </c>
      <c r="F137" s="523">
        <f t="shared" si="15"/>
        <v>281285.52961672301</v>
      </c>
      <c r="G137" s="523">
        <f t="shared" si="16"/>
        <v>327797.31010452786</v>
      </c>
      <c r="H137" s="526">
        <f t="shared" si="17"/>
        <v>130233.21903888194</v>
      </c>
      <c r="I137" s="577">
        <f t="shared" si="18"/>
        <v>130233.21903888194</v>
      </c>
      <c r="J137" s="514">
        <f t="shared" si="20"/>
        <v>0</v>
      </c>
      <c r="K137" s="514"/>
      <c r="L137" s="525"/>
      <c r="M137" s="514">
        <f t="shared" si="21"/>
        <v>0</v>
      </c>
      <c r="N137" s="525"/>
      <c r="O137" s="514">
        <f t="shared" si="22"/>
        <v>0</v>
      </c>
      <c r="P137" s="514">
        <f t="shared" si="23"/>
        <v>0</v>
      </c>
    </row>
    <row r="138" spans="2:16" ht="12.5">
      <c r="B138" s="195" t="str">
        <f t="shared" si="14"/>
        <v/>
      </c>
      <c r="C138" s="507">
        <f>IF(D93="","-",+C137+1)</f>
        <v>2058</v>
      </c>
      <c r="D138" s="374">
        <f>IF(F137+SUM(E$99:E137)=D$92,F137,D$92-SUM(E$99:E137))</f>
        <v>281285.52961672301</v>
      </c>
      <c r="E138" s="522">
        <f>IF(+J96&lt;F137,J96,D138)</f>
        <v>93023.560975609755</v>
      </c>
      <c r="F138" s="523">
        <f t="shared" si="15"/>
        <v>188261.96864111326</v>
      </c>
      <c r="G138" s="523">
        <f t="shared" si="16"/>
        <v>234773.74912891813</v>
      </c>
      <c r="H138" s="526">
        <f t="shared" si="17"/>
        <v>119673.72148038574</v>
      </c>
      <c r="I138" s="577">
        <f t="shared" si="18"/>
        <v>119673.72148038574</v>
      </c>
      <c r="J138" s="514">
        <f t="shared" si="20"/>
        <v>0</v>
      </c>
      <c r="K138" s="514"/>
      <c r="L138" s="525"/>
      <c r="M138" s="514">
        <f t="shared" si="21"/>
        <v>0</v>
      </c>
      <c r="N138" s="525"/>
      <c r="O138" s="514">
        <f t="shared" si="22"/>
        <v>0</v>
      </c>
      <c r="P138" s="514">
        <f t="shared" si="23"/>
        <v>0</v>
      </c>
    </row>
    <row r="139" spans="2:16" ht="12.5">
      <c r="B139" s="195" t="str">
        <f t="shared" si="14"/>
        <v/>
      </c>
      <c r="C139" s="507">
        <f>IF(D93="","-",+C138+1)</f>
        <v>2059</v>
      </c>
      <c r="D139" s="374">
        <f>IF(F138+SUM(E$99:E138)=D$92,F138,D$92-SUM(E$99:E138))</f>
        <v>188261.96864111326</v>
      </c>
      <c r="E139" s="522">
        <f>IF(+J96&lt;F138,J96,D139)</f>
        <v>93023.560975609755</v>
      </c>
      <c r="F139" s="523">
        <f t="shared" si="15"/>
        <v>95238.407665503502</v>
      </c>
      <c r="G139" s="523">
        <f t="shared" si="16"/>
        <v>141750.18815330838</v>
      </c>
      <c r="H139" s="526">
        <f t="shared" si="17"/>
        <v>109114.22392188951</v>
      </c>
      <c r="I139" s="577">
        <f t="shared" si="18"/>
        <v>109114.22392188951</v>
      </c>
      <c r="J139" s="514">
        <f t="shared" si="20"/>
        <v>0</v>
      </c>
      <c r="K139" s="514"/>
      <c r="L139" s="525"/>
      <c r="M139" s="514">
        <f t="shared" si="21"/>
        <v>0</v>
      </c>
      <c r="N139" s="525"/>
      <c r="O139" s="514">
        <f t="shared" si="22"/>
        <v>0</v>
      </c>
      <c r="P139" s="514">
        <f t="shared" si="23"/>
        <v>0</v>
      </c>
    </row>
    <row r="140" spans="2:16" ht="12.5">
      <c r="B140" s="195" t="str">
        <f t="shared" si="14"/>
        <v/>
      </c>
      <c r="C140" s="507">
        <f>IF(D93="","-",+C139+1)</f>
        <v>2060</v>
      </c>
      <c r="D140" s="374">
        <f>IF(F139+SUM(E$99:E139)=D$92,F139,D$92-SUM(E$99:E139))</f>
        <v>95238.407665503502</v>
      </c>
      <c r="E140" s="522">
        <f>IF(+J96&lt;F139,J96,D140)</f>
        <v>93023.560975609755</v>
      </c>
      <c r="F140" s="523">
        <f t="shared" si="15"/>
        <v>2214.8466898937477</v>
      </c>
      <c r="G140" s="523">
        <f t="shared" si="16"/>
        <v>48726.627177698625</v>
      </c>
      <c r="H140" s="526">
        <f t="shared" si="17"/>
        <v>98554.726363393289</v>
      </c>
      <c r="I140" s="577">
        <f t="shared" si="18"/>
        <v>98554.726363393289</v>
      </c>
      <c r="J140" s="514">
        <f t="shared" si="20"/>
        <v>0</v>
      </c>
      <c r="K140" s="514"/>
      <c r="L140" s="525"/>
      <c r="M140" s="514">
        <f t="shared" si="21"/>
        <v>0</v>
      </c>
      <c r="N140" s="525"/>
      <c r="O140" s="514">
        <f t="shared" si="22"/>
        <v>0</v>
      </c>
      <c r="P140" s="514">
        <f t="shared" si="23"/>
        <v>0</v>
      </c>
    </row>
    <row r="141" spans="2:16" ht="12.5">
      <c r="B141" s="195" t="str">
        <f t="shared" si="14"/>
        <v/>
      </c>
      <c r="C141" s="507">
        <f>IF(D93="","-",+C140+1)</f>
        <v>2061</v>
      </c>
      <c r="D141" s="374">
        <f>IF(F140+SUM(E$99:E140)=D$92,F140,D$92-SUM(E$99:E140))</f>
        <v>2214.8466898937477</v>
      </c>
      <c r="E141" s="522">
        <f>IF(+J96&lt;F140,J96,D141)</f>
        <v>2214.8466898937477</v>
      </c>
      <c r="F141" s="523">
        <f t="shared" si="15"/>
        <v>0</v>
      </c>
      <c r="G141" s="523">
        <f t="shared" si="16"/>
        <v>1107.4233449468738</v>
      </c>
      <c r="H141" s="526">
        <f t="shared" si="17"/>
        <v>2340.5549941614622</v>
      </c>
      <c r="I141" s="577">
        <f t="shared" si="18"/>
        <v>2340.5549941614622</v>
      </c>
      <c r="J141" s="514">
        <f t="shared" si="20"/>
        <v>0</v>
      </c>
      <c r="K141" s="514"/>
      <c r="L141" s="525"/>
      <c r="M141" s="514">
        <f t="shared" si="21"/>
        <v>0</v>
      </c>
      <c r="N141" s="525"/>
      <c r="O141" s="514">
        <f t="shared" si="22"/>
        <v>0</v>
      </c>
      <c r="P141" s="514">
        <f t="shared" si="23"/>
        <v>0</v>
      </c>
    </row>
    <row r="142" spans="2:16" ht="12.5">
      <c r="B142" s="195" t="str">
        <f t="shared" si="14"/>
        <v/>
      </c>
      <c r="C142" s="507">
        <f>IF(D93="","-",+C141+1)</f>
        <v>2062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5"/>
        <v>0</v>
      </c>
      <c r="G142" s="523">
        <f t="shared" si="16"/>
        <v>0</v>
      </c>
      <c r="H142" s="526">
        <f t="shared" si="17"/>
        <v>0</v>
      </c>
      <c r="I142" s="577">
        <f t="shared" si="18"/>
        <v>0</v>
      </c>
      <c r="J142" s="514">
        <f t="shared" si="20"/>
        <v>0</v>
      </c>
      <c r="K142" s="514"/>
      <c r="L142" s="525"/>
      <c r="M142" s="514">
        <f t="shared" si="21"/>
        <v>0</v>
      </c>
      <c r="N142" s="525"/>
      <c r="O142" s="514">
        <f t="shared" si="22"/>
        <v>0</v>
      </c>
      <c r="P142" s="514">
        <f t="shared" si="23"/>
        <v>0</v>
      </c>
    </row>
    <row r="143" spans="2:16" ht="12.5">
      <c r="B143" s="195" t="str">
        <f t="shared" si="14"/>
        <v/>
      </c>
      <c r="C143" s="507">
        <f>IF(D93="","-",+C142+1)</f>
        <v>2063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5"/>
        <v>0</v>
      </c>
      <c r="G143" s="523">
        <f t="shared" si="16"/>
        <v>0</v>
      </c>
      <c r="H143" s="526">
        <f t="shared" si="17"/>
        <v>0</v>
      </c>
      <c r="I143" s="577">
        <f t="shared" si="18"/>
        <v>0</v>
      </c>
      <c r="J143" s="514">
        <f t="shared" si="20"/>
        <v>0</v>
      </c>
      <c r="K143" s="514"/>
      <c r="L143" s="525"/>
      <c r="M143" s="514">
        <f t="shared" si="21"/>
        <v>0</v>
      </c>
      <c r="N143" s="525"/>
      <c r="O143" s="514">
        <f t="shared" si="22"/>
        <v>0</v>
      </c>
      <c r="P143" s="514">
        <f t="shared" si="23"/>
        <v>0</v>
      </c>
    </row>
    <row r="144" spans="2:16" ht="12.5">
      <c r="B144" s="195" t="str">
        <f t="shared" si="14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5"/>
        <v>0</v>
      </c>
      <c r="G144" s="523">
        <f t="shared" si="16"/>
        <v>0</v>
      </c>
      <c r="H144" s="526">
        <f t="shared" si="17"/>
        <v>0</v>
      </c>
      <c r="I144" s="577">
        <f t="shared" si="18"/>
        <v>0</v>
      </c>
      <c r="J144" s="514">
        <f t="shared" si="20"/>
        <v>0</v>
      </c>
      <c r="K144" s="514"/>
      <c r="L144" s="525"/>
      <c r="M144" s="514">
        <f t="shared" si="21"/>
        <v>0</v>
      </c>
      <c r="N144" s="525"/>
      <c r="O144" s="514">
        <f t="shared" si="22"/>
        <v>0</v>
      </c>
      <c r="P144" s="514">
        <f t="shared" si="23"/>
        <v>0</v>
      </c>
    </row>
    <row r="145" spans="2:16" ht="12.5">
      <c r="B145" s="195" t="str">
        <f t="shared" si="14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5"/>
        <v>0</v>
      </c>
      <c r="G145" s="523">
        <f t="shared" si="16"/>
        <v>0</v>
      </c>
      <c r="H145" s="526">
        <f t="shared" si="17"/>
        <v>0</v>
      </c>
      <c r="I145" s="577">
        <f t="shared" si="18"/>
        <v>0</v>
      </c>
      <c r="J145" s="514">
        <f t="shared" si="20"/>
        <v>0</v>
      </c>
      <c r="K145" s="514"/>
      <c r="L145" s="525"/>
      <c r="M145" s="514">
        <f t="shared" si="21"/>
        <v>0</v>
      </c>
      <c r="N145" s="525"/>
      <c r="O145" s="514">
        <f t="shared" si="22"/>
        <v>0</v>
      </c>
      <c r="P145" s="514">
        <f t="shared" si="23"/>
        <v>0</v>
      </c>
    </row>
    <row r="146" spans="2:16" ht="12.5">
      <c r="B146" s="195" t="str">
        <f t="shared" si="14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5"/>
        <v>0</v>
      </c>
      <c r="G146" s="523">
        <f t="shared" si="16"/>
        <v>0</v>
      </c>
      <c r="H146" s="526">
        <f t="shared" si="17"/>
        <v>0</v>
      </c>
      <c r="I146" s="577">
        <f t="shared" si="18"/>
        <v>0</v>
      </c>
      <c r="J146" s="514">
        <f t="shared" si="20"/>
        <v>0</v>
      </c>
      <c r="K146" s="514"/>
      <c r="L146" s="525"/>
      <c r="M146" s="514">
        <f t="shared" si="21"/>
        <v>0</v>
      </c>
      <c r="N146" s="525"/>
      <c r="O146" s="514">
        <f t="shared" si="22"/>
        <v>0</v>
      </c>
      <c r="P146" s="514">
        <f t="shared" si="23"/>
        <v>0</v>
      </c>
    </row>
    <row r="147" spans="2:16" ht="12.5">
      <c r="B147" s="195" t="str">
        <f t="shared" si="14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5"/>
        <v>0</v>
      </c>
      <c r="G147" s="523">
        <f t="shared" si="16"/>
        <v>0</v>
      </c>
      <c r="H147" s="526">
        <f t="shared" si="17"/>
        <v>0</v>
      </c>
      <c r="I147" s="577">
        <f t="shared" si="18"/>
        <v>0</v>
      </c>
      <c r="J147" s="514">
        <f t="shared" si="20"/>
        <v>0</v>
      </c>
      <c r="K147" s="514"/>
      <c r="L147" s="525"/>
      <c r="M147" s="514">
        <f t="shared" si="21"/>
        <v>0</v>
      </c>
      <c r="N147" s="525"/>
      <c r="O147" s="514">
        <f t="shared" si="22"/>
        <v>0</v>
      </c>
      <c r="P147" s="514">
        <f t="shared" si="23"/>
        <v>0</v>
      </c>
    </row>
    <row r="148" spans="2:16" ht="12.5">
      <c r="B148" s="195" t="str">
        <f t="shared" si="14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5"/>
        <v>0</v>
      </c>
      <c r="G148" s="523">
        <f t="shared" si="16"/>
        <v>0</v>
      </c>
      <c r="H148" s="526">
        <f t="shared" si="17"/>
        <v>0</v>
      </c>
      <c r="I148" s="577">
        <f t="shared" si="18"/>
        <v>0</v>
      </c>
      <c r="J148" s="514">
        <f t="shared" si="20"/>
        <v>0</v>
      </c>
      <c r="K148" s="514"/>
      <c r="L148" s="525"/>
      <c r="M148" s="514">
        <f t="shared" si="21"/>
        <v>0</v>
      </c>
      <c r="N148" s="525"/>
      <c r="O148" s="514">
        <f t="shared" si="22"/>
        <v>0</v>
      </c>
      <c r="P148" s="514">
        <f t="shared" si="23"/>
        <v>0</v>
      </c>
    </row>
    <row r="149" spans="2:16" ht="12.5">
      <c r="B149" s="195" t="str">
        <f t="shared" si="14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5"/>
        <v>0</v>
      </c>
      <c r="G149" s="523">
        <f t="shared" si="16"/>
        <v>0</v>
      </c>
      <c r="H149" s="526">
        <f t="shared" si="17"/>
        <v>0</v>
      </c>
      <c r="I149" s="577">
        <f t="shared" si="18"/>
        <v>0</v>
      </c>
      <c r="J149" s="514">
        <f t="shared" si="20"/>
        <v>0</v>
      </c>
      <c r="K149" s="514"/>
      <c r="L149" s="525"/>
      <c r="M149" s="514">
        <f t="shared" si="21"/>
        <v>0</v>
      </c>
      <c r="N149" s="525"/>
      <c r="O149" s="514">
        <f t="shared" si="22"/>
        <v>0</v>
      </c>
      <c r="P149" s="514">
        <f t="shared" si="23"/>
        <v>0</v>
      </c>
    </row>
    <row r="150" spans="2:16" ht="12.5">
      <c r="B150" s="195" t="str">
        <f t="shared" si="14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5"/>
        <v>0</v>
      </c>
      <c r="G150" s="523">
        <f t="shared" si="16"/>
        <v>0</v>
      </c>
      <c r="H150" s="526">
        <f t="shared" si="17"/>
        <v>0</v>
      </c>
      <c r="I150" s="577">
        <f t="shared" si="18"/>
        <v>0</v>
      </c>
      <c r="J150" s="514">
        <f t="shared" si="20"/>
        <v>0</v>
      </c>
      <c r="K150" s="514"/>
      <c r="L150" s="525"/>
      <c r="M150" s="514">
        <f t="shared" si="21"/>
        <v>0</v>
      </c>
      <c r="N150" s="525"/>
      <c r="O150" s="514">
        <f t="shared" si="22"/>
        <v>0</v>
      </c>
      <c r="P150" s="514">
        <f t="shared" si="23"/>
        <v>0</v>
      </c>
    </row>
    <row r="151" spans="2:16" ht="12.5">
      <c r="B151" s="195" t="str">
        <f t="shared" si="14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5"/>
        <v>0</v>
      </c>
      <c r="G151" s="523">
        <f t="shared" si="16"/>
        <v>0</v>
      </c>
      <c r="H151" s="526">
        <f t="shared" si="17"/>
        <v>0</v>
      </c>
      <c r="I151" s="577">
        <f t="shared" si="18"/>
        <v>0</v>
      </c>
      <c r="J151" s="514">
        <f t="shared" si="20"/>
        <v>0</v>
      </c>
      <c r="K151" s="514"/>
      <c r="L151" s="525"/>
      <c r="M151" s="514">
        <f t="shared" si="21"/>
        <v>0</v>
      </c>
      <c r="N151" s="525"/>
      <c r="O151" s="514">
        <f t="shared" si="22"/>
        <v>0</v>
      </c>
      <c r="P151" s="514">
        <f t="shared" si="23"/>
        <v>0</v>
      </c>
    </row>
    <row r="152" spans="2:16" ht="12.5">
      <c r="B152" s="195" t="str">
        <f t="shared" si="14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5"/>
        <v>0</v>
      </c>
      <c r="G152" s="523">
        <f t="shared" si="16"/>
        <v>0</v>
      </c>
      <c r="H152" s="526">
        <f t="shared" si="17"/>
        <v>0</v>
      </c>
      <c r="I152" s="577">
        <f t="shared" si="18"/>
        <v>0</v>
      </c>
      <c r="J152" s="514">
        <f t="shared" si="20"/>
        <v>0</v>
      </c>
      <c r="K152" s="514"/>
      <c r="L152" s="525"/>
      <c r="M152" s="514">
        <f t="shared" si="21"/>
        <v>0</v>
      </c>
      <c r="N152" s="525"/>
      <c r="O152" s="514">
        <f t="shared" si="22"/>
        <v>0</v>
      </c>
      <c r="P152" s="514">
        <f t="shared" si="23"/>
        <v>0</v>
      </c>
    </row>
    <row r="153" spans="2:16" ht="12.5">
      <c r="B153" s="195" t="str">
        <f t="shared" si="14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5"/>
        <v>0</v>
      </c>
      <c r="G153" s="523">
        <f t="shared" si="16"/>
        <v>0</v>
      </c>
      <c r="H153" s="526">
        <f t="shared" si="17"/>
        <v>0</v>
      </c>
      <c r="I153" s="577">
        <f t="shared" si="18"/>
        <v>0</v>
      </c>
      <c r="J153" s="514">
        <f t="shared" si="20"/>
        <v>0</v>
      </c>
      <c r="K153" s="514"/>
      <c r="L153" s="525"/>
      <c r="M153" s="514">
        <f t="shared" si="21"/>
        <v>0</v>
      </c>
      <c r="N153" s="525"/>
      <c r="O153" s="514">
        <f t="shared" si="22"/>
        <v>0</v>
      </c>
      <c r="P153" s="514">
        <f t="shared" si="23"/>
        <v>0</v>
      </c>
    </row>
    <row r="154" spans="2:16" ht="13" thickBot="1">
      <c r="B154" s="195" t="str">
        <f t="shared" si="14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5"/>
        <v>0</v>
      </c>
      <c r="G154" s="528">
        <f t="shared" si="16"/>
        <v>0</v>
      </c>
      <c r="H154" s="530">
        <f t="shared" si="17"/>
        <v>0</v>
      </c>
      <c r="I154" s="579">
        <f t="shared" si="18"/>
        <v>0</v>
      </c>
      <c r="J154" s="533">
        <f t="shared" si="20"/>
        <v>0</v>
      </c>
      <c r="K154" s="514"/>
      <c r="L154" s="532"/>
      <c r="M154" s="533">
        <f t="shared" si="21"/>
        <v>0</v>
      </c>
      <c r="N154" s="532"/>
      <c r="O154" s="533">
        <f t="shared" si="22"/>
        <v>0</v>
      </c>
      <c r="P154" s="533">
        <f t="shared" si="23"/>
        <v>0</v>
      </c>
    </row>
    <row r="155" spans="2:16" ht="12.5">
      <c r="C155" s="374" t="s">
        <v>78</v>
      </c>
      <c r="D155" s="375"/>
      <c r="E155" s="375">
        <f>SUM(E99:E154)</f>
        <v>3813966.0000000005</v>
      </c>
      <c r="F155" s="375"/>
      <c r="G155" s="375"/>
      <c r="H155" s="375">
        <f>SUM(H99:H154)</f>
        <v>12881269.5409465</v>
      </c>
      <c r="I155" s="375">
        <f>SUM(I99:I154)</f>
        <v>12881269.5409465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5" priority="1" stopIfTrue="1" operator="equal">
      <formula>$I$10</formula>
    </cfRule>
  </conditionalFormatting>
  <conditionalFormatting sqref="C99:C154">
    <cfRule type="cellIs" dxfId="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1" max="16383" man="1"/>
  </row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P162"/>
  <sheetViews>
    <sheetView zoomScale="80" zoomScaleNormal="80" workbookViewId="0"/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7265625" style="183" customWidth="1"/>
    <col min="15" max="15" width="16.81640625" style="183" customWidth="1"/>
    <col min="16" max="16" width="24.453125" style="183" customWidth="1"/>
    <col min="17" max="17" width="9.1796875" style="183" customWidth="1"/>
    <col min="18" max="22" width="8.7265625" style="183"/>
    <col min="23" max="23" width="9.1796875" style="183" customWidth="1"/>
    <col min="24" max="16384" width="8.7265625" style="183"/>
  </cols>
  <sheetData>
    <row r="1" spans="1:16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"&amp;RIGHT(MID(CELL("filename",$A$1),FIND("]",CELL("filename",$A$1))+1,256),2)&amp;" of "&amp;COUNT('S.001:S.xyz - blank'!$P$3)-1</f>
        <v>SWEPCO Project 74 of 74</v>
      </c>
    </row>
    <row r="2" spans="1:16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538" t="s">
        <v>129</v>
      </c>
    </row>
    <row r="3" spans="1:16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/>
      <c r="P3" s="623">
        <v>1</v>
      </c>
    </row>
    <row r="4" spans="1:16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6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403402.9797902116</v>
      </c>
      <c r="P5" s="269"/>
    </row>
    <row r="6" spans="1:16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403402.9797902116</v>
      </c>
      <c r="O6" s="269"/>
      <c r="P6" s="269"/>
    </row>
    <row r="7" spans="1:16" ht="13.5" thickBot="1">
      <c r="C7" s="467" t="s">
        <v>48</v>
      </c>
      <c r="D7" s="624" t="s">
        <v>444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6" ht="13.5" thickBot="1">
      <c r="C8" s="472"/>
      <c r="D8" s="625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663"/>
      <c r="K8" s="474"/>
      <c r="L8" s="474"/>
      <c r="M8" s="474"/>
      <c r="N8" s="474"/>
      <c r="O8" s="663"/>
      <c r="P8" s="340"/>
    </row>
    <row r="9" spans="1:16" ht="13.5" thickBot="1">
      <c r="C9" s="476" t="s">
        <v>50</v>
      </c>
      <c r="D9" s="477" t="s">
        <v>445</v>
      </c>
      <c r="E9" s="637" t="s">
        <v>459</v>
      </c>
      <c r="F9" s="478"/>
      <c r="G9" s="478"/>
      <c r="H9" s="478"/>
      <c r="I9" s="479"/>
      <c r="J9" s="480"/>
      <c r="O9" s="481"/>
      <c r="P9" s="272"/>
    </row>
    <row r="10" spans="1:16" ht="13">
      <c r="C10" s="482" t="s">
        <v>51</v>
      </c>
      <c r="D10" s="483">
        <v>2910918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6" ht="12.5">
      <c r="C11" s="486" t="s">
        <v>54</v>
      </c>
      <c r="D11" s="487">
        <v>2019</v>
      </c>
      <c r="E11" s="486" t="s">
        <v>55</v>
      </c>
      <c r="F11" s="484"/>
      <c r="G11" s="233"/>
      <c r="H11" s="233"/>
      <c r="I11" s="488">
        <f>IF(G5="",0,'SWE.WS.F.BPU.ATRR.Projected'!F$13)</f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6" ht="12.5">
      <c r="C12" s="486" t="s">
        <v>56</v>
      </c>
      <c r="D12" s="483">
        <v>4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6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6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69307.571428571435</v>
      </c>
      <c r="J14" s="375"/>
      <c r="K14" s="375"/>
      <c r="L14" s="375"/>
      <c r="M14" s="375"/>
      <c r="N14" s="375"/>
      <c r="O14" s="272"/>
      <c r="P14" s="272"/>
    </row>
    <row r="15" spans="1:16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2" t="s">
        <v>68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6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600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2019</v>
      </c>
      <c r="D17" s="631">
        <v>0</v>
      </c>
      <c r="E17" s="630">
        <v>45372</v>
      </c>
      <c r="F17" s="631">
        <v>1905628</v>
      </c>
      <c r="G17" s="630">
        <v>140230</v>
      </c>
      <c r="H17" s="639">
        <v>140230</v>
      </c>
      <c r="I17" s="511">
        <f t="shared" ref="I17:I72" si="0">H17-G17</f>
        <v>0</v>
      </c>
      <c r="J17" s="511"/>
      <c r="K17" s="512">
        <f>+G17</f>
        <v>140230</v>
      </c>
      <c r="L17" s="513">
        <f t="shared" ref="L17:L18" si="1">IF(K17&lt;&gt;0,+G17-K17,0)</f>
        <v>0</v>
      </c>
      <c r="M17" s="512">
        <f>+H17</f>
        <v>140230</v>
      </c>
      <c r="N17" s="513">
        <f t="shared" ref="N17:N72" si="2">IF(M17&lt;&gt;0,+H17-M17,0)</f>
        <v>0</v>
      </c>
      <c r="O17" s="514">
        <f t="shared" ref="O17:O72" si="3">+N17-L17</f>
        <v>0</v>
      </c>
      <c r="P17" s="272"/>
    </row>
    <row r="18" spans="2:16" ht="12.5">
      <c r="B18" s="195" t="str">
        <f>IF(D18=F17,"","IU")</f>
        <v/>
      </c>
      <c r="C18" s="507">
        <f>IF(D11="","-",+C17+1)</f>
        <v>2020</v>
      </c>
      <c r="D18" s="631">
        <v>1905628</v>
      </c>
      <c r="E18" s="630">
        <v>47585.365853658535</v>
      </c>
      <c r="F18" s="631">
        <v>1858042.6341463414</v>
      </c>
      <c r="G18" s="630">
        <v>240163.83980112415</v>
      </c>
      <c r="H18" s="639">
        <v>240163.83980112415</v>
      </c>
      <c r="I18" s="511">
        <f t="shared" si="0"/>
        <v>0</v>
      </c>
      <c r="J18" s="511"/>
      <c r="K18" s="518">
        <f>+G18</f>
        <v>240163.83980112415</v>
      </c>
      <c r="L18" s="519">
        <f t="shared" si="1"/>
        <v>0</v>
      </c>
      <c r="M18" s="518">
        <f>+H18</f>
        <v>240163.83980112415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2021</v>
      </c>
      <c r="D19" s="631">
        <v>2863332.534590669</v>
      </c>
      <c r="E19" s="630">
        <v>69307.571428571435</v>
      </c>
      <c r="F19" s="631">
        <v>2794024.9631620976</v>
      </c>
      <c r="G19" s="630">
        <v>369160.37527494592</v>
      </c>
      <c r="H19" s="639">
        <v>369160.37527494592</v>
      </c>
      <c r="I19" s="511">
        <f t="shared" si="0"/>
        <v>0</v>
      </c>
      <c r="J19" s="511"/>
      <c r="K19" s="518">
        <f>+G19</f>
        <v>369160.37527494592</v>
      </c>
      <c r="L19" s="519">
        <f t="shared" ref="L19" si="4">IF(K19&lt;&gt;0,+G19-K19,0)</f>
        <v>0</v>
      </c>
      <c r="M19" s="518">
        <f>+H19</f>
        <v>369160.37527494592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5">IF(D20=F19,"","IU")</f>
        <v>IU</v>
      </c>
      <c r="C20" s="507">
        <f>IF(D11="","-",+C19+1)</f>
        <v>2022</v>
      </c>
      <c r="D20" s="631">
        <v>2748653.0627177702</v>
      </c>
      <c r="E20" s="630">
        <v>69307.571428571435</v>
      </c>
      <c r="F20" s="631">
        <v>2679345.4912891989</v>
      </c>
      <c r="G20" s="630">
        <v>374480.76907253434</v>
      </c>
      <c r="H20" s="639">
        <v>374480.76907253434</v>
      </c>
      <c r="I20" s="511">
        <f t="shared" si="0"/>
        <v>0</v>
      </c>
      <c r="J20" s="511"/>
      <c r="K20" s="518">
        <f>+G20</f>
        <v>374480.76907253434</v>
      </c>
      <c r="L20" s="519">
        <f t="shared" ref="L20" si="6">IF(K20&lt;&gt;0,+G20-K20,0)</f>
        <v>0</v>
      </c>
      <c r="M20" s="518">
        <f>+H20</f>
        <v>374480.76907253434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5"/>
        <v/>
      </c>
      <c r="C21" s="507">
        <f>IF(D11="","-",+C20+1)</f>
        <v>2023</v>
      </c>
      <c r="D21" s="523">
        <f>IF(F20+SUM(E$17:E20)=D$10,F20,D$10-SUM(E$17:E20))</f>
        <v>2679345.4912891989</v>
      </c>
      <c r="E21" s="522">
        <f>IF(+I14&lt;F20,I14,D21)</f>
        <v>69307.571428571435</v>
      </c>
      <c r="F21" s="523">
        <f t="shared" ref="F21:F72" si="7">+D21-E21</f>
        <v>2610037.9198606275</v>
      </c>
      <c r="G21" s="524">
        <f t="shared" ref="G21:G72" si="8">+I$12*((D21+F21)/2)+E21</f>
        <v>403402.9797902116</v>
      </c>
      <c r="H21" s="491">
        <f t="shared" ref="H21:H72" si="9">+I$13*((D21+F21)/2)+E21</f>
        <v>403402.9797902116</v>
      </c>
      <c r="I21" s="511">
        <f t="shared" si="0"/>
        <v>0</v>
      </c>
      <c r="J21" s="511"/>
      <c r="K21" s="525"/>
      <c r="L21" s="514">
        <f t="shared" ref="L21:L72" si="10">IF(K21&lt;&gt;0,+G21-K21,0)</f>
        <v>0</v>
      </c>
      <c r="M21" s="525"/>
      <c r="N21" s="514">
        <f t="shared" si="2"/>
        <v>0</v>
      </c>
      <c r="O21" s="514">
        <f t="shared" si="3"/>
        <v>0</v>
      </c>
      <c r="P21" s="272"/>
    </row>
    <row r="22" spans="2:16" ht="12.5">
      <c r="B22" s="195" t="str">
        <f t="shared" si="5"/>
        <v/>
      </c>
      <c r="C22" s="507">
        <f>IF(D11="","-",+C21+1)</f>
        <v>2024</v>
      </c>
      <c r="D22" s="523">
        <f>IF(F21+SUM(E$17:E21)=D$10,F21,D$10-SUM(E$17:E21))</f>
        <v>2610037.9198606275</v>
      </c>
      <c r="E22" s="522">
        <f>IF(+I14&lt;F21,I14,D22)</f>
        <v>69307.571428571435</v>
      </c>
      <c r="F22" s="523">
        <f t="shared" si="7"/>
        <v>2540730.3484320561</v>
      </c>
      <c r="G22" s="524">
        <f t="shared" si="8"/>
        <v>394647.57690897165</v>
      </c>
      <c r="H22" s="491">
        <f t="shared" si="9"/>
        <v>394647.57690897165</v>
      </c>
      <c r="I22" s="511">
        <f t="shared" si="0"/>
        <v>0</v>
      </c>
      <c r="J22" s="511"/>
      <c r="K22" s="525"/>
      <c r="L22" s="514">
        <f t="shared" si="10"/>
        <v>0</v>
      </c>
      <c r="M22" s="525"/>
      <c r="N22" s="514">
        <f t="shared" si="2"/>
        <v>0</v>
      </c>
      <c r="O22" s="514">
        <f t="shared" si="3"/>
        <v>0</v>
      </c>
      <c r="P22" s="272"/>
    </row>
    <row r="23" spans="2:16" ht="12.5">
      <c r="B23" s="195" t="str">
        <f t="shared" si="5"/>
        <v/>
      </c>
      <c r="C23" s="507">
        <f>IF(D11="","-",+C22+1)</f>
        <v>2025</v>
      </c>
      <c r="D23" s="523">
        <f>IF(F22+SUM(E$17:E22)=D$10,F22,D$10-SUM(E$17:E22))</f>
        <v>2540730.3484320561</v>
      </c>
      <c r="E23" s="522">
        <f>IF(+I14&lt;F22,I14,D23)</f>
        <v>69307.571428571435</v>
      </c>
      <c r="F23" s="523">
        <f t="shared" si="7"/>
        <v>2471422.7770034848</v>
      </c>
      <c r="G23" s="524">
        <f t="shared" si="8"/>
        <v>385892.17402773164</v>
      </c>
      <c r="H23" s="491">
        <f t="shared" si="9"/>
        <v>385892.17402773164</v>
      </c>
      <c r="I23" s="511">
        <f t="shared" si="0"/>
        <v>0</v>
      </c>
      <c r="J23" s="511"/>
      <c r="K23" s="525"/>
      <c r="L23" s="514">
        <f t="shared" si="10"/>
        <v>0</v>
      </c>
      <c r="M23" s="525"/>
      <c r="N23" s="514">
        <f t="shared" si="2"/>
        <v>0</v>
      </c>
      <c r="O23" s="514">
        <f t="shared" si="3"/>
        <v>0</v>
      </c>
      <c r="P23" s="272"/>
    </row>
    <row r="24" spans="2:16" ht="12.5">
      <c r="B24" s="195" t="str">
        <f t="shared" si="5"/>
        <v/>
      </c>
      <c r="C24" s="507">
        <f>IF(D11="","-",+C23+1)</f>
        <v>2026</v>
      </c>
      <c r="D24" s="523">
        <f>IF(F23+SUM(E$17:E23)=D$10,F23,D$10-SUM(E$17:E23))</f>
        <v>2471422.7770034848</v>
      </c>
      <c r="E24" s="522">
        <f>IF(+I14&lt;F23,I14,D24)</f>
        <v>69307.571428571435</v>
      </c>
      <c r="F24" s="523">
        <f t="shared" si="7"/>
        <v>2402115.2055749134</v>
      </c>
      <c r="G24" s="524">
        <f t="shared" si="8"/>
        <v>377136.77114649169</v>
      </c>
      <c r="H24" s="491">
        <f t="shared" si="9"/>
        <v>377136.77114649169</v>
      </c>
      <c r="I24" s="511">
        <f t="shared" si="0"/>
        <v>0</v>
      </c>
      <c r="J24" s="511"/>
      <c r="K24" s="525"/>
      <c r="L24" s="514">
        <f t="shared" si="10"/>
        <v>0</v>
      </c>
      <c r="M24" s="525"/>
      <c r="N24" s="514">
        <f t="shared" si="2"/>
        <v>0</v>
      </c>
      <c r="O24" s="514">
        <f t="shared" si="3"/>
        <v>0</v>
      </c>
      <c r="P24" s="272"/>
    </row>
    <row r="25" spans="2:16" ht="12.5">
      <c r="B25" s="195" t="str">
        <f t="shared" si="5"/>
        <v/>
      </c>
      <c r="C25" s="507">
        <f>IF(D11="","-",+C24+1)</f>
        <v>2027</v>
      </c>
      <c r="D25" s="523">
        <f>IF(F24+SUM(E$17:E24)=D$10,F24,D$10-SUM(E$17:E24))</f>
        <v>2402115.2055749134</v>
      </c>
      <c r="E25" s="522">
        <f>IF(+I14&lt;F24,I14,D25)</f>
        <v>69307.571428571435</v>
      </c>
      <c r="F25" s="523">
        <f t="shared" si="7"/>
        <v>2332807.6341463421</v>
      </c>
      <c r="G25" s="524">
        <f t="shared" si="8"/>
        <v>368381.36826525163</v>
      </c>
      <c r="H25" s="491">
        <f t="shared" si="9"/>
        <v>368381.36826525163</v>
      </c>
      <c r="I25" s="511">
        <f t="shared" si="0"/>
        <v>0</v>
      </c>
      <c r="J25" s="511"/>
      <c r="K25" s="525"/>
      <c r="L25" s="514">
        <f t="shared" si="10"/>
        <v>0</v>
      </c>
      <c r="M25" s="525"/>
      <c r="N25" s="514">
        <f t="shared" si="2"/>
        <v>0</v>
      </c>
      <c r="O25" s="514">
        <f t="shared" si="3"/>
        <v>0</v>
      </c>
      <c r="P25" s="272"/>
    </row>
    <row r="26" spans="2:16" ht="12.5">
      <c r="B26" s="195" t="str">
        <f t="shared" si="5"/>
        <v/>
      </c>
      <c r="C26" s="507">
        <f>IF(D11="","-",+C25+1)</f>
        <v>2028</v>
      </c>
      <c r="D26" s="523">
        <f>IF(F25+SUM(E$17:E25)=D$10,F25,D$10-SUM(E$17:E25))</f>
        <v>2332807.6341463421</v>
      </c>
      <c r="E26" s="522">
        <f>IF(+I14&lt;F25,I14,D26)</f>
        <v>69307.571428571435</v>
      </c>
      <c r="F26" s="523">
        <f t="shared" si="7"/>
        <v>2263500.0627177707</v>
      </c>
      <c r="G26" s="524">
        <f t="shared" si="8"/>
        <v>359625.96538401174</v>
      </c>
      <c r="H26" s="491">
        <f t="shared" si="9"/>
        <v>359625.96538401174</v>
      </c>
      <c r="I26" s="511">
        <f t="shared" si="0"/>
        <v>0</v>
      </c>
      <c r="J26" s="511"/>
      <c r="K26" s="525"/>
      <c r="L26" s="514">
        <f t="shared" si="10"/>
        <v>0</v>
      </c>
      <c r="M26" s="525"/>
      <c r="N26" s="514">
        <f t="shared" si="2"/>
        <v>0</v>
      </c>
      <c r="O26" s="514">
        <f t="shared" si="3"/>
        <v>0</v>
      </c>
      <c r="P26" s="272"/>
    </row>
    <row r="27" spans="2:16" ht="12.5">
      <c r="B27" s="195" t="str">
        <f t="shared" si="5"/>
        <v/>
      </c>
      <c r="C27" s="507">
        <f>IF(D11="","-",+C26+1)</f>
        <v>2029</v>
      </c>
      <c r="D27" s="523">
        <f>IF(F26+SUM(E$17:E26)=D$10,F26,D$10-SUM(E$17:E26))</f>
        <v>2263500.0627177707</v>
      </c>
      <c r="E27" s="522">
        <f>IF(+I14&lt;F26,I14,D27)</f>
        <v>69307.571428571435</v>
      </c>
      <c r="F27" s="523">
        <f t="shared" si="7"/>
        <v>2194192.4912891993</v>
      </c>
      <c r="G27" s="524">
        <f t="shared" si="8"/>
        <v>350870.56250277167</v>
      </c>
      <c r="H27" s="491">
        <f t="shared" si="9"/>
        <v>350870.56250277167</v>
      </c>
      <c r="I27" s="511">
        <f t="shared" si="0"/>
        <v>0</v>
      </c>
      <c r="J27" s="511"/>
      <c r="K27" s="525"/>
      <c r="L27" s="514">
        <f t="shared" si="10"/>
        <v>0</v>
      </c>
      <c r="M27" s="525"/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5"/>
        <v/>
      </c>
      <c r="C28" s="507">
        <f>IF(D11="","-",+C27+1)</f>
        <v>2030</v>
      </c>
      <c r="D28" s="523">
        <f>IF(F27+SUM(E$17:E27)=D$10,F27,D$10-SUM(E$17:E27))</f>
        <v>2194192.4912891993</v>
      </c>
      <c r="E28" s="522">
        <f>IF(+I14&lt;F27,I14,D28)</f>
        <v>69307.571428571435</v>
      </c>
      <c r="F28" s="523">
        <f t="shared" si="7"/>
        <v>2124884.919860628</v>
      </c>
      <c r="G28" s="524">
        <f t="shared" si="8"/>
        <v>342115.15962153173</v>
      </c>
      <c r="H28" s="491">
        <f t="shared" si="9"/>
        <v>342115.15962153173</v>
      </c>
      <c r="I28" s="511">
        <f t="shared" si="0"/>
        <v>0</v>
      </c>
      <c r="J28" s="511"/>
      <c r="K28" s="525"/>
      <c r="L28" s="514">
        <f t="shared" si="10"/>
        <v>0</v>
      </c>
      <c r="M28" s="525"/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5"/>
        <v/>
      </c>
      <c r="C29" s="507">
        <f>IF(D11="","-",+C28+1)</f>
        <v>2031</v>
      </c>
      <c r="D29" s="523">
        <f>IF(F28+SUM(E$17:E28)=D$10,F28,D$10-SUM(E$17:E28))</f>
        <v>2124884.919860628</v>
      </c>
      <c r="E29" s="522">
        <f>IF(+I14&lt;F28,I14,D29)</f>
        <v>69307.571428571435</v>
      </c>
      <c r="F29" s="523">
        <f t="shared" si="7"/>
        <v>2055577.3484320566</v>
      </c>
      <c r="G29" s="524">
        <f t="shared" si="8"/>
        <v>333359.75674029172</v>
      </c>
      <c r="H29" s="491">
        <f t="shared" si="9"/>
        <v>333359.75674029172</v>
      </c>
      <c r="I29" s="511">
        <f t="shared" si="0"/>
        <v>0</v>
      </c>
      <c r="J29" s="511"/>
      <c r="K29" s="525"/>
      <c r="L29" s="514">
        <f t="shared" si="10"/>
        <v>0</v>
      </c>
      <c r="M29" s="525"/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5"/>
        <v/>
      </c>
      <c r="C30" s="507">
        <f>IF(D11="","-",+C29+1)</f>
        <v>2032</v>
      </c>
      <c r="D30" s="523">
        <f>IF(F29+SUM(E$17:E29)=D$10,F29,D$10-SUM(E$17:E29))</f>
        <v>2055577.3484320566</v>
      </c>
      <c r="E30" s="522">
        <f>IF(+I14&lt;F29,I14,D30)</f>
        <v>69307.571428571435</v>
      </c>
      <c r="F30" s="523">
        <f t="shared" si="7"/>
        <v>1986269.7770034852</v>
      </c>
      <c r="G30" s="524">
        <f t="shared" si="8"/>
        <v>324604.35385905171</v>
      </c>
      <c r="H30" s="491">
        <f t="shared" si="9"/>
        <v>324604.35385905171</v>
      </c>
      <c r="I30" s="511">
        <f t="shared" si="0"/>
        <v>0</v>
      </c>
      <c r="J30" s="511"/>
      <c r="K30" s="525"/>
      <c r="L30" s="514">
        <f t="shared" si="10"/>
        <v>0</v>
      </c>
      <c r="M30" s="525"/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5"/>
        <v/>
      </c>
      <c r="C31" s="507">
        <f>IF(D11="","-",+C30+1)</f>
        <v>2033</v>
      </c>
      <c r="D31" s="523">
        <f>IF(F30+SUM(E$17:E30)=D$10,F30,D$10-SUM(E$17:E30))</f>
        <v>1986269.7770034852</v>
      </c>
      <c r="E31" s="522">
        <f>IF(+I14&lt;F30,I14,D31)</f>
        <v>69307.571428571435</v>
      </c>
      <c r="F31" s="523">
        <f t="shared" si="7"/>
        <v>1916962.2055749139</v>
      </c>
      <c r="G31" s="524">
        <f t="shared" si="8"/>
        <v>315848.95097781176</v>
      </c>
      <c r="H31" s="491">
        <f t="shared" si="9"/>
        <v>315848.95097781176</v>
      </c>
      <c r="I31" s="511">
        <f t="shared" si="0"/>
        <v>0</v>
      </c>
      <c r="J31" s="511"/>
      <c r="K31" s="525"/>
      <c r="L31" s="514">
        <f t="shared" si="10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5"/>
        <v/>
      </c>
      <c r="C32" s="507">
        <f>IF(D11="","-",+C31+1)</f>
        <v>2034</v>
      </c>
      <c r="D32" s="523">
        <f>IF(F31+SUM(E$17:E31)=D$10,F31,D$10-SUM(E$17:E31))</f>
        <v>1916962.2055749139</v>
      </c>
      <c r="E32" s="522">
        <f>IF(+I14&lt;F31,I14,D32)</f>
        <v>69307.571428571435</v>
      </c>
      <c r="F32" s="523">
        <f t="shared" si="7"/>
        <v>1847654.6341463425</v>
      </c>
      <c r="G32" s="524">
        <f t="shared" si="8"/>
        <v>307093.54809657176</v>
      </c>
      <c r="H32" s="491">
        <f t="shared" si="9"/>
        <v>307093.54809657176</v>
      </c>
      <c r="I32" s="511">
        <f t="shared" si="0"/>
        <v>0</v>
      </c>
      <c r="J32" s="511"/>
      <c r="K32" s="525"/>
      <c r="L32" s="514">
        <f t="shared" si="10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5"/>
        <v/>
      </c>
      <c r="C33" s="507">
        <f>IF(D11="","-",+C32+1)</f>
        <v>2035</v>
      </c>
      <c r="D33" s="523">
        <f>IF(F32+SUM(E$17:E32)=D$10,F32,D$10-SUM(E$17:E32))</f>
        <v>1847654.6341463425</v>
      </c>
      <c r="E33" s="522">
        <f>IF(+I14&lt;F32,I14,D33)</f>
        <v>69307.571428571435</v>
      </c>
      <c r="F33" s="523">
        <f t="shared" si="7"/>
        <v>1778347.0627177712</v>
      </c>
      <c r="G33" s="524">
        <f t="shared" si="8"/>
        <v>298338.14521533175</v>
      </c>
      <c r="H33" s="491">
        <f t="shared" si="9"/>
        <v>298338.14521533175</v>
      </c>
      <c r="I33" s="511">
        <f t="shared" si="0"/>
        <v>0</v>
      </c>
      <c r="J33" s="511"/>
      <c r="K33" s="525"/>
      <c r="L33" s="514">
        <f t="shared" si="10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5"/>
        <v/>
      </c>
      <c r="C34" s="507">
        <f>IF(D11="","-",+C33+1)</f>
        <v>2036</v>
      </c>
      <c r="D34" s="523">
        <f>IF(F33+SUM(E$17:E33)=D$10,F33,D$10-SUM(E$17:E33))</f>
        <v>1778347.0627177712</v>
      </c>
      <c r="E34" s="522">
        <f>IF(+I14&lt;F33,I14,D34)</f>
        <v>69307.571428571435</v>
      </c>
      <c r="F34" s="523">
        <f t="shared" si="7"/>
        <v>1709039.4912891998</v>
      </c>
      <c r="G34" s="524">
        <f t="shared" si="8"/>
        <v>289582.7423340918</v>
      </c>
      <c r="H34" s="491">
        <f t="shared" si="9"/>
        <v>289582.7423340918</v>
      </c>
      <c r="I34" s="511">
        <f t="shared" si="0"/>
        <v>0</v>
      </c>
      <c r="J34" s="511"/>
      <c r="K34" s="525"/>
      <c r="L34" s="514">
        <f t="shared" si="10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5"/>
        <v/>
      </c>
      <c r="C35" s="507">
        <f>IF(D11="","-",+C34+1)</f>
        <v>2037</v>
      </c>
      <c r="D35" s="523">
        <f>IF(F34+SUM(E$17:E34)=D$10,F34,D$10-SUM(E$17:E34))</f>
        <v>1709039.4912891998</v>
      </c>
      <c r="E35" s="522">
        <f>IF(+I14&lt;F34,I14,D35)</f>
        <v>69307.571428571435</v>
      </c>
      <c r="F35" s="523">
        <f t="shared" si="7"/>
        <v>1639731.9198606284</v>
      </c>
      <c r="G35" s="524">
        <f t="shared" si="8"/>
        <v>280827.3394528518</v>
      </c>
      <c r="H35" s="491">
        <f t="shared" si="9"/>
        <v>280827.3394528518</v>
      </c>
      <c r="I35" s="511">
        <f t="shared" si="0"/>
        <v>0</v>
      </c>
      <c r="J35" s="511"/>
      <c r="K35" s="525"/>
      <c r="L35" s="514">
        <f t="shared" si="10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5"/>
        <v/>
      </c>
      <c r="C36" s="507">
        <f>IF(D11="","-",+C35+1)</f>
        <v>2038</v>
      </c>
      <c r="D36" s="523">
        <f>IF(F35+SUM(E$17:E35)=D$10,F35,D$10-SUM(E$17:E35))</f>
        <v>1639731.9198606284</v>
      </c>
      <c r="E36" s="522">
        <f>IF(+I14&lt;F35,I14,D36)</f>
        <v>69307.571428571435</v>
      </c>
      <c r="F36" s="523">
        <f t="shared" si="7"/>
        <v>1570424.3484320571</v>
      </c>
      <c r="G36" s="524">
        <f t="shared" si="8"/>
        <v>272071.93657161179</v>
      </c>
      <c r="H36" s="491">
        <f t="shared" si="9"/>
        <v>272071.93657161179</v>
      </c>
      <c r="I36" s="511">
        <f t="shared" si="0"/>
        <v>0</v>
      </c>
      <c r="J36" s="511"/>
      <c r="K36" s="525"/>
      <c r="L36" s="514">
        <f t="shared" si="10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5"/>
        <v/>
      </c>
      <c r="C37" s="507">
        <f>IF(D11="","-",+C36+1)</f>
        <v>2039</v>
      </c>
      <c r="D37" s="523">
        <f>IF(F36+SUM(E$17:E36)=D$10,F36,D$10-SUM(E$17:E36))</f>
        <v>1570424.3484320571</v>
      </c>
      <c r="E37" s="522">
        <f>IF(+I14&lt;F36,I14,D37)</f>
        <v>69307.571428571435</v>
      </c>
      <c r="F37" s="523">
        <f t="shared" si="7"/>
        <v>1501116.7770034857</v>
      </c>
      <c r="G37" s="524">
        <f t="shared" si="8"/>
        <v>263316.53369037184</v>
      </c>
      <c r="H37" s="491">
        <f t="shared" si="9"/>
        <v>263316.53369037184</v>
      </c>
      <c r="I37" s="511">
        <f t="shared" si="0"/>
        <v>0</v>
      </c>
      <c r="J37" s="511"/>
      <c r="K37" s="525"/>
      <c r="L37" s="514">
        <f t="shared" si="10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5"/>
        <v/>
      </c>
      <c r="C38" s="507">
        <f>IF(D11="","-",+C37+1)</f>
        <v>2040</v>
      </c>
      <c r="D38" s="523">
        <f>IF(F37+SUM(E$17:E37)=D$10,F37,D$10-SUM(E$17:E37))</f>
        <v>1501116.7770034857</v>
      </c>
      <c r="E38" s="522">
        <f>IF(+I14&lt;F37,I14,D38)</f>
        <v>69307.571428571435</v>
      </c>
      <c r="F38" s="523">
        <f t="shared" si="7"/>
        <v>1431809.2055749143</v>
      </c>
      <c r="G38" s="524">
        <f t="shared" si="8"/>
        <v>254561.13080913184</v>
      </c>
      <c r="H38" s="491">
        <f t="shared" si="9"/>
        <v>254561.13080913184</v>
      </c>
      <c r="I38" s="511">
        <f t="shared" si="0"/>
        <v>0</v>
      </c>
      <c r="J38" s="511"/>
      <c r="K38" s="525"/>
      <c r="L38" s="514">
        <f t="shared" si="10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5"/>
        <v/>
      </c>
      <c r="C39" s="507">
        <f>IF(D11="","-",+C38+1)</f>
        <v>2041</v>
      </c>
      <c r="D39" s="523">
        <f>IF(F38+SUM(E$17:E38)=D$10,F38,D$10-SUM(E$17:E38))</f>
        <v>1431809.2055749143</v>
      </c>
      <c r="E39" s="522">
        <f>IF(+I14&lt;F38,I14,D39)</f>
        <v>69307.571428571435</v>
      </c>
      <c r="F39" s="523">
        <f t="shared" si="7"/>
        <v>1362501.634146343</v>
      </c>
      <c r="G39" s="524">
        <f t="shared" si="8"/>
        <v>245805.72792789183</v>
      </c>
      <c r="H39" s="491">
        <f t="shared" si="9"/>
        <v>245805.72792789183</v>
      </c>
      <c r="I39" s="511">
        <f t="shared" si="0"/>
        <v>0</v>
      </c>
      <c r="J39" s="511"/>
      <c r="K39" s="525"/>
      <c r="L39" s="514">
        <f t="shared" si="10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5"/>
        <v/>
      </c>
      <c r="C40" s="507">
        <f>IF(D11="","-",+C39+1)</f>
        <v>2042</v>
      </c>
      <c r="D40" s="523">
        <f>IF(F39+SUM(E$17:E39)=D$10,F39,D$10-SUM(E$17:E39))</f>
        <v>1362501.634146343</v>
      </c>
      <c r="E40" s="522">
        <f>IF(+I14&lt;F39,I14,D40)</f>
        <v>69307.571428571435</v>
      </c>
      <c r="F40" s="523">
        <f t="shared" si="7"/>
        <v>1293194.0627177716</v>
      </c>
      <c r="G40" s="524">
        <f t="shared" si="8"/>
        <v>237050.32504665182</v>
      </c>
      <c r="H40" s="491">
        <f t="shared" si="9"/>
        <v>237050.32504665182</v>
      </c>
      <c r="I40" s="511">
        <f t="shared" si="0"/>
        <v>0</v>
      </c>
      <c r="J40" s="511"/>
      <c r="K40" s="525"/>
      <c r="L40" s="514">
        <f t="shared" si="10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5"/>
        <v/>
      </c>
      <c r="C41" s="507">
        <f>IF(D11="","-",+C40+1)</f>
        <v>2043</v>
      </c>
      <c r="D41" s="523">
        <f>IF(F40+SUM(E$17:E40)=D$10,F40,D$10-SUM(E$17:E40))</f>
        <v>1293194.0627177716</v>
      </c>
      <c r="E41" s="522">
        <f>IF(+I14&lt;F40,I14,D41)</f>
        <v>69307.571428571435</v>
      </c>
      <c r="F41" s="523">
        <f t="shared" si="7"/>
        <v>1223886.4912892003</v>
      </c>
      <c r="G41" s="524">
        <f t="shared" si="8"/>
        <v>228294.92216541187</v>
      </c>
      <c r="H41" s="491">
        <f t="shared" si="9"/>
        <v>228294.92216541187</v>
      </c>
      <c r="I41" s="511">
        <f t="shared" si="0"/>
        <v>0</v>
      </c>
      <c r="J41" s="511"/>
      <c r="K41" s="525"/>
      <c r="L41" s="514">
        <f t="shared" si="10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5"/>
        <v/>
      </c>
      <c r="C42" s="507">
        <f>IF(D11="","-",+C41+1)</f>
        <v>2044</v>
      </c>
      <c r="D42" s="523">
        <f>IF(F41+SUM(E$17:E41)=D$10,F41,D$10-SUM(E$17:E41))</f>
        <v>1223886.4912892003</v>
      </c>
      <c r="E42" s="522">
        <f>IF(+I14&lt;F41,I14,D42)</f>
        <v>69307.571428571435</v>
      </c>
      <c r="F42" s="523">
        <f t="shared" si="7"/>
        <v>1154578.9198606289</v>
      </c>
      <c r="G42" s="524">
        <f t="shared" si="8"/>
        <v>219539.51928417187</v>
      </c>
      <c r="H42" s="491">
        <f t="shared" si="9"/>
        <v>219539.51928417187</v>
      </c>
      <c r="I42" s="511">
        <f t="shared" si="0"/>
        <v>0</v>
      </c>
      <c r="J42" s="511"/>
      <c r="K42" s="525"/>
      <c r="L42" s="514">
        <f t="shared" si="10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5"/>
        <v/>
      </c>
      <c r="C43" s="507">
        <f>IF(D11="","-",+C42+1)</f>
        <v>2045</v>
      </c>
      <c r="D43" s="523">
        <f>IF(F42+SUM(E$17:E42)=D$10,F42,D$10-SUM(E$17:E42))</f>
        <v>1154578.9198606289</v>
      </c>
      <c r="E43" s="522">
        <f>IF(+I14&lt;F42,I14,D43)</f>
        <v>69307.571428571435</v>
      </c>
      <c r="F43" s="523">
        <f t="shared" si="7"/>
        <v>1085271.3484320575</v>
      </c>
      <c r="G43" s="524">
        <f t="shared" si="8"/>
        <v>210784.11640293186</v>
      </c>
      <c r="H43" s="491">
        <f t="shared" si="9"/>
        <v>210784.11640293186</v>
      </c>
      <c r="I43" s="511">
        <f t="shared" si="0"/>
        <v>0</v>
      </c>
      <c r="J43" s="511"/>
      <c r="K43" s="525"/>
      <c r="L43" s="514">
        <f t="shared" si="10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5"/>
        <v/>
      </c>
      <c r="C44" s="507">
        <f>IF(D11="","-",+C43+1)</f>
        <v>2046</v>
      </c>
      <c r="D44" s="523">
        <f>IF(F43+SUM(E$17:E43)=D$10,F43,D$10-SUM(E$17:E43))</f>
        <v>1085271.3484320575</v>
      </c>
      <c r="E44" s="522">
        <f>IF(+I14&lt;F43,I14,D44)</f>
        <v>69307.571428571435</v>
      </c>
      <c r="F44" s="523">
        <f t="shared" si="7"/>
        <v>1015963.7770034861</v>
      </c>
      <c r="G44" s="524">
        <f t="shared" si="8"/>
        <v>202028.71352169191</v>
      </c>
      <c r="H44" s="491">
        <f t="shared" si="9"/>
        <v>202028.71352169191</v>
      </c>
      <c r="I44" s="511">
        <f t="shared" si="0"/>
        <v>0</v>
      </c>
      <c r="J44" s="511"/>
      <c r="K44" s="525"/>
      <c r="L44" s="514">
        <f t="shared" si="10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5"/>
        <v/>
      </c>
      <c r="C45" s="507">
        <f>IF(D11="","-",+C44+1)</f>
        <v>2047</v>
      </c>
      <c r="D45" s="523">
        <f>IF(F44+SUM(E$17:E44)=D$10,F44,D$10-SUM(E$17:E44))</f>
        <v>1015963.7770034861</v>
      </c>
      <c r="E45" s="522">
        <f>IF(+I14&lt;F44,I14,D45)</f>
        <v>69307.571428571435</v>
      </c>
      <c r="F45" s="523">
        <f t="shared" si="7"/>
        <v>946656.20557491458</v>
      </c>
      <c r="G45" s="524">
        <f t="shared" si="8"/>
        <v>193273.31064045185</v>
      </c>
      <c r="H45" s="491">
        <f t="shared" si="9"/>
        <v>193273.31064045185</v>
      </c>
      <c r="I45" s="511">
        <f t="shared" si="0"/>
        <v>0</v>
      </c>
      <c r="J45" s="511"/>
      <c r="K45" s="525"/>
      <c r="L45" s="514">
        <f t="shared" si="10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5"/>
        <v/>
      </c>
      <c r="C46" s="507">
        <f>IF(D11="","-",+C45+1)</f>
        <v>2048</v>
      </c>
      <c r="D46" s="523">
        <f>IF(F45+SUM(E$17:E45)=D$10,F45,D$10-SUM(E$17:E45))</f>
        <v>946656.20557491458</v>
      </c>
      <c r="E46" s="522">
        <f>IF(+I14&lt;F45,I14,D46)</f>
        <v>69307.571428571435</v>
      </c>
      <c r="F46" s="523">
        <f t="shared" si="7"/>
        <v>877348.6341463431</v>
      </c>
      <c r="G46" s="524">
        <f t="shared" si="8"/>
        <v>184517.9077592119</v>
      </c>
      <c r="H46" s="491">
        <f t="shared" si="9"/>
        <v>184517.9077592119</v>
      </c>
      <c r="I46" s="511">
        <f t="shared" si="0"/>
        <v>0</v>
      </c>
      <c r="J46" s="511"/>
      <c r="K46" s="525"/>
      <c r="L46" s="514">
        <f t="shared" si="10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5"/>
        <v/>
      </c>
      <c r="C47" s="507">
        <f>IF(D11="","-",+C46+1)</f>
        <v>2049</v>
      </c>
      <c r="D47" s="523">
        <f>IF(F46+SUM(E$17:E46)=D$10,F46,D$10-SUM(E$17:E46))</f>
        <v>877348.6341463431</v>
      </c>
      <c r="E47" s="522">
        <f>IF(+I14&lt;F46,I14,D47)</f>
        <v>69307.571428571435</v>
      </c>
      <c r="F47" s="523">
        <f t="shared" si="7"/>
        <v>808041.06271777162</v>
      </c>
      <c r="G47" s="524">
        <f t="shared" si="8"/>
        <v>175762.50487797186</v>
      </c>
      <c r="H47" s="491">
        <f t="shared" si="9"/>
        <v>175762.50487797186</v>
      </c>
      <c r="I47" s="511">
        <f t="shared" si="0"/>
        <v>0</v>
      </c>
      <c r="J47" s="511"/>
      <c r="K47" s="525"/>
      <c r="L47" s="514">
        <f t="shared" si="10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5"/>
        <v/>
      </c>
      <c r="C48" s="507">
        <f>IF(D11="","-",+C47+1)</f>
        <v>2050</v>
      </c>
      <c r="D48" s="523">
        <f>IF(F47+SUM(E$17:E47)=D$10,F47,D$10-SUM(E$17:E47))</f>
        <v>808041.06271777162</v>
      </c>
      <c r="E48" s="522">
        <f>IF(+I14&lt;F47,I14,D48)</f>
        <v>69307.571428571435</v>
      </c>
      <c r="F48" s="523">
        <f t="shared" si="7"/>
        <v>738733.49128920014</v>
      </c>
      <c r="G48" s="524">
        <f t="shared" si="8"/>
        <v>167007.10199673189</v>
      </c>
      <c r="H48" s="491">
        <f t="shared" si="9"/>
        <v>167007.10199673189</v>
      </c>
      <c r="I48" s="511">
        <f t="shared" si="0"/>
        <v>0</v>
      </c>
      <c r="J48" s="511"/>
      <c r="K48" s="525"/>
      <c r="L48" s="514">
        <f t="shared" si="10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6" ht="12.5">
      <c r="B49" s="195" t="str">
        <f t="shared" si="5"/>
        <v/>
      </c>
      <c r="C49" s="507">
        <f>IF(D11="","-",+C48+1)</f>
        <v>2051</v>
      </c>
      <c r="D49" s="523">
        <f>IF(F48+SUM(E$17:E48)=D$10,F48,D$10-SUM(E$17:E48))</f>
        <v>738733.49128920014</v>
      </c>
      <c r="E49" s="522">
        <f>IF(+I14&lt;F48,I14,D49)</f>
        <v>69307.571428571435</v>
      </c>
      <c r="F49" s="523">
        <f t="shared" si="7"/>
        <v>669425.91986062867</v>
      </c>
      <c r="G49" s="524">
        <f t="shared" si="8"/>
        <v>158251.69911549185</v>
      </c>
      <c r="H49" s="491">
        <f t="shared" si="9"/>
        <v>158251.69911549185</v>
      </c>
      <c r="I49" s="511">
        <f t="shared" si="0"/>
        <v>0</v>
      </c>
      <c r="J49" s="511"/>
      <c r="K49" s="525"/>
      <c r="L49" s="514">
        <f t="shared" si="10"/>
        <v>0</v>
      </c>
      <c r="M49" s="525"/>
      <c r="N49" s="514">
        <f t="shared" si="2"/>
        <v>0</v>
      </c>
      <c r="O49" s="514">
        <f t="shared" si="3"/>
        <v>0</v>
      </c>
      <c r="P49" s="272"/>
    </row>
    <row r="50" spans="2:16" ht="12.5">
      <c r="B50" s="195" t="str">
        <f t="shared" si="5"/>
        <v/>
      </c>
      <c r="C50" s="507">
        <f>IF(D11="","-",+C49+1)</f>
        <v>2052</v>
      </c>
      <c r="D50" s="523">
        <f>IF(F49+SUM(E$17:E49)=D$10,F49,D$10-SUM(E$17:E49))</f>
        <v>669425.91986062867</v>
      </c>
      <c r="E50" s="522">
        <f>IF(+I14&lt;F49,I14,D50)</f>
        <v>69307.571428571435</v>
      </c>
      <c r="F50" s="523">
        <f t="shared" si="7"/>
        <v>600118.34843205719</v>
      </c>
      <c r="G50" s="524">
        <f t="shared" si="8"/>
        <v>149496.29623425187</v>
      </c>
      <c r="H50" s="491">
        <f t="shared" si="9"/>
        <v>149496.29623425187</v>
      </c>
      <c r="I50" s="511">
        <f t="shared" si="0"/>
        <v>0</v>
      </c>
      <c r="J50" s="511"/>
      <c r="K50" s="525"/>
      <c r="L50" s="514">
        <f t="shared" si="10"/>
        <v>0</v>
      </c>
      <c r="M50" s="525"/>
      <c r="N50" s="514">
        <f t="shared" si="2"/>
        <v>0</v>
      </c>
      <c r="O50" s="514">
        <f t="shared" si="3"/>
        <v>0</v>
      </c>
      <c r="P50" s="272"/>
    </row>
    <row r="51" spans="2:16" ht="12.5">
      <c r="B51" s="195" t="str">
        <f t="shared" si="5"/>
        <v/>
      </c>
      <c r="C51" s="507">
        <f>IF(D11="","-",+C50+1)</f>
        <v>2053</v>
      </c>
      <c r="D51" s="523">
        <f>IF(F50+SUM(E$17:E50)=D$10,F50,D$10-SUM(E$17:E50))</f>
        <v>600118.34843205719</v>
      </c>
      <c r="E51" s="522">
        <f>IF(+I14&lt;F50,I14,D51)</f>
        <v>69307.571428571435</v>
      </c>
      <c r="F51" s="523">
        <f t="shared" si="7"/>
        <v>530810.77700348571</v>
      </c>
      <c r="G51" s="524">
        <f t="shared" si="8"/>
        <v>140740.89335301184</v>
      </c>
      <c r="H51" s="491">
        <f t="shared" si="9"/>
        <v>140740.89335301184</v>
      </c>
      <c r="I51" s="511">
        <f t="shared" si="0"/>
        <v>0</v>
      </c>
      <c r="J51" s="511"/>
      <c r="K51" s="525"/>
      <c r="L51" s="514">
        <f t="shared" si="10"/>
        <v>0</v>
      </c>
      <c r="M51" s="525"/>
      <c r="N51" s="514">
        <f t="shared" si="2"/>
        <v>0</v>
      </c>
      <c r="O51" s="514">
        <f t="shared" si="3"/>
        <v>0</v>
      </c>
      <c r="P51" s="272"/>
    </row>
    <row r="52" spans="2:16" ht="12.5">
      <c r="B52" s="195" t="str">
        <f t="shared" si="5"/>
        <v/>
      </c>
      <c r="C52" s="507">
        <f>IF(D11="","-",+C51+1)</f>
        <v>2054</v>
      </c>
      <c r="D52" s="523">
        <f>IF(F51+SUM(E$17:E51)=D$10,F51,D$10-SUM(E$17:E51))</f>
        <v>530810.77700348571</v>
      </c>
      <c r="E52" s="522">
        <f>IF(+I14&lt;F51,I14,D52)</f>
        <v>69307.571428571435</v>
      </c>
      <c r="F52" s="523">
        <f t="shared" si="7"/>
        <v>461503.20557491429</v>
      </c>
      <c r="G52" s="524">
        <f t="shared" si="8"/>
        <v>131985.49047177186</v>
      </c>
      <c r="H52" s="491">
        <f t="shared" si="9"/>
        <v>131985.49047177186</v>
      </c>
      <c r="I52" s="511">
        <f t="shared" si="0"/>
        <v>0</v>
      </c>
      <c r="J52" s="511"/>
      <c r="K52" s="525"/>
      <c r="L52" s="514">
        <f t="shared" si="10"/>
        <v>0</v>
      </c>
      <c r="M52" s="525"/>
      <c r="N52" s="514">
        <f t="shared" si="2"/>
        <v>0</v>
      </c>
      <c r="O52" s="514">
        <f t="shared" si="3"/>
        <v>0</v>
      </c>
      <c r="P52" s="272"/>
    </row>
    <row r="53" spans="2:16" ht="12.5">
      <c r="B53" s="195" t="str">
        <f t="shared" si="5"/>
        <v/>
      </c>
      <c r="C53" s="507">
        <f>IF(D11="","-",+C52+1)</f>
        <v>2055</v>
      </c>
      <c r="D53" s="523">
        <f>IF(F52+SUM(E$17:E52)=D$10,F52,D$10-SUM(E$17:E52))</f>
        <v>461503.20557491429</v>
      </c>
      <c r="E53" s="522">
        <f>IF(+I14&lt;F52,I14,D53)</f>
        <v>69307.571428571435</v>
      </c>
      <c r="F53" s="523">
        <f t="shared" si="7"/>
        <v>392195.63414634287</v>
      </c>
      <c r="G53" s="524">
        <f t="shared" si="8"/>
        <v>123230.08759053185</v>
      </c>
      <c r="H53" s="491">
        <f t="shared" si="9"/>
        <v>123230.08759053185</v>
      </c>
      <c r="I53" s="511">
        <f t="shared" si="0"/>
        <v>0</v>
      </c>
      <c r="J53" s="511"/>
      <c r="K53" s="525"/>
      <c r="L53" s="514">
        <f t="shared" si="10"/>
        <v>0</v>
      </c>
      <c r="M53" s="525"/>
      <c r="N53" s="514">
        <f t="shared" si="2"/>
        <v>0</v>
      </c>
      <c r="O53" s="514">
        <f t="shared" si="3"/>
        <v>0</v>
      </c>
      <c r="P53" s="272"/>
    </row>
    <row r="54" spans="2:16" ht="12.5">
      <c r="B54" s="195" t="str">
        <f t="shared" si="5"/>
        <v/>
      </c>
      <c r="C54" s="507">
        <f>IF(D11="","-",+C53+1)</f>
        <v>2056</v>
      </c>
      <c r="D54" s="523">
        <f>IF(F53+SUM(E$17:E53)=D$10,F53,D$10-SUM(E$17:E53))</f>
        <v>392195.63414634287</v>
      </c>
      <c r="E54" s="522">
        <f>IF(+I14&lt;F53,I14,D54)</f>
        <v>69307.571428571435</v>
      </c>
      <c r="F54" s="523">
        <f t="shared" si="7"/>
        <v>322888.06271777145</v>
      </c>
      <c r="G54" s="524">
        <f t="shared" si="8"/>
        <v>114474.68470929186</v>
      </c>
      <c r="H54" s="491">
        <f t="shared" si="9"/>
        <v>114474.68470929186</v>
      </c>
      <c r="I54" s="511">
        <f t="shared" si="0"/>
        <v>0</v>
      </c>
      <c r="J54" s="511"/>
      <c r="K54" s="525"/>
      <c r="L54" s="514">
        <f t="shared" si="10"/>
        <v>0</v>
      </c>
      <c r="M54" s="525"/>
      <c r="N54" s="514">
        <f t="shared" si="2"/>
        <v>0</v>
      </c>
      <c r="O54" s="514">
        <f t="shared" si="3"/>
        <v>0</v>
      </c>
      <c r="P54" s="272"/>
    </row>
    <row r="55" spans="2:16" ht="12.5">
      <c r="B55" s="195" t="str">
        <f t="shared" si="5"/>
        <v/>
      </c>
      <c r="C55" s="507">
        <f>IF(D11="","-",+C54+1)</f>
        <v>2057</v>
      </c>
      <c r="D55" s="523">
        <f>IF(F54+SUM(E$17:E54)=D$10,F54,D$10-SUM(E$17:E54))</f>
        <v>322888.06271777145</v>
      </c>
      <c r="E55" s="522">
        <f>IF(+I14&lt;F54,I14,D55)</f>
        <v>69307.571428571435</v>
      </c>
      <c r="F55" s="523">
        <f t="shared" si="7"/>
        <v>253580.49128920003</v>
      </c>
      <c r="G55" s="524">
        <f t="shared" si="8"/>
        <v>105719.28182805185</v>
      </c>
      <c r="H55" s="491">
        <f t="shared" si="9"/>
        <v>105719.28182805185</v>
      </c>
      <c r="I55" s="511">
        <f t="shared" si="0"/>
        <v>0</v>
      </c>
      <c r="J55" s="511"/>
      <c r="K55" s="525"/>
      <c r="L55" s="514">
        <f t="shared" si="10"/>
        <v>0</v>
      </c>
      <c r="M55" s="525"/>
      <c r="N55" s="514">
        <f t="shared" si="2"/>
        <v>0</v>
      </c>
      <c r="O55" s="514">
        <f t="shared" si="3"/>
        <v>0</v>
      </c>
      <c r="P55" s="272"/>
    </row>
    <row r="56" spans="2:16" ht="12.5">
      <c r="B56" s="195" t="str">
        <f t="shared" si="5"/>
        <v/>
      </c>
      <c r="C56" s="507">
        <f>IF(D11="","-",+C55+1)</f>
        <v>2058</v>
      </c>
      <c r="D56" s="523">
        <f>IF(F55+SUM(E$17:E55)=D$10,F55,D$10-SUM(E$17:E55))</f>
        <v>253580.49128920003</v>
      </c>
      <c r="E56" s="522">
        <f>IF(+I14&lt;F55,I14,D56)</f>
        <v>69307.571428571435</v>
      </c>
      <c r="F56" s="523">
        <f t="shared" si="7"/>
        <v>184272.91986062861</v>
      </c>
      <c r="G56" s="524">
        <f t="shared" si="8"/>
        <v>96963.878946811863</v>
      </c>
      <c r="H56" s="491">
        <f t="shared" si="9"/>
        <v>96963.878946811863</v>
      </c>
      <c r="I56" s="511">
        <f t="shared" si="0"/>
        <v>0</v>
      </c>
      <c r="J56" s="511"/>
      <c r="K56" s="525"/>
      <c r="L56" s="514">
        <f t="shared" si="10"/>
        <v>0</v>
      </c>
      <c r="M56" s="525"/>
      <c r="N56" s="514">
        <f t="shared" si="2"/>
        <v>0</v>
      </c>
      <c r="O56" s="514">
        <f t="shared" si="3"/>
        <v>0</v>
      </c>
      <c r="P56" s="272"/>
    </row>
    <row r="57" spans="2:16" ht="12.5">
      <c r="B57" s="195" t="str">
        <f t="shared" si="5"/>
        <v/>
      </c>
      <c r="C57" s="507">
        <f>IF(D11="","-",+C56+1)</f>
        <v>2059</v>
      </c>
      <c r="D57" s="523">
        <f>IF(F56+SUM(E$17:E56)=D$10,F56,D$10-SUM(E$17:E56))</f>
        <v>184272.91986062861</v>
      </c>
      <c r="E57" s="522">
        <f>IF(+I14&lt;F56,I14,D57)</f>
        <v>69307.571428571435</v>
      </c>
      <c r="F57" s="523">
        <f t="shared" si="7"/>
        <v>114965.34843205717</v>
      </c>
      <c r="G57" s="524">
        <f t="shared" si="8"/>
        <v>88208.476065571871</v>
      </c>
      <c r="H57" s="491">
        <f t="shared" si="9"/>
        <v>88208.476065571871</v>
      </c>
      <c r="I57" s="511">
        <f t="shared" si="0"/>
        <v>0</v>
      </c>
      <c r="J57" s="511"/>
      <c r="K57" s="525"/>
      <c r="L57" s="514">
        <f t="shared" si="10"/>
        <v>0</v>
      </c>
      <c r="M57" s="525"/>
      <c r="N57" s="514">
        <f t="shared" si="2"/>
        <v>0</v>
      </c>
      <c r="O57" s="514">
        <f t="shared" si="3"/>
        <v>0</v>
      </c>
      <c r="P57" s="272"/>
    </row>
    <row r="58" spans="2:16" ht="12.5">
      <c r="B58" s="195" t="str">
        <f t="shared" si="5"/>
        <v/>
      </c>
      <c r="C58" s="507">
        <f>IF(D11="","-",+C57+1)</f>
        <v>2060</v>
      </c>
      <c r="D58" s="523">
        <f>IF(F57+SUM(E$17:E57)=D$10,F57,D$10-SUM(E$17:E57))</f>
        <v>114965.34843205717</v>
      </c>
      <c r="E58" s="522">
        <f>IF(+I14&lt;F57,I14,D58)</f>
        <v>69307.571428571435</v>
      </c>
      <c r="F58" s="523">
        <f t="shared" si="7"/>
        <v>45657.777003485739</v>
      </c>
      <c r="G58" s="524">
        <f t="shared" si="8"/>
        <v>79453.073184331864</v>
      </c>
      <c r="H58" s="491">
        <f t="shared" si="9"/>
        <v>79453.073184331864</v>
      </c>
      <c r="I58" s="511">
        <f t="shared" si="0"/>
        <v>0</v>
      </c>
      <c r="J58" s="511"/>
      <c r="K58" s="525"/>
      <c r="L58" s="514">
        <f t="shared" si="10"/>
        <v>0</v>
      </c>
      <c r="M58" s="525"/>
      <c r="N58" s="514">
        <f t="shared" si="2"/>
        <v>0</v>
      </c>
      <c r="O58" s="514">
        <f t="shared" si="3"/>
        <v>0</v>
      </c>
      <c r="P58" s="272"/>
    </row>
    <row r="59" spans="2:16" ht="12.5">
      <c r="B59" s="195" t="str">
        <f t="shared" si="5"/>
        <v/>
      </c>
      <c r="C59" s="507">
        <f>IF(D11="","-",+C58+1)</f>
        <v>2061</v>
      </c>
      <c r="D59" s="523">
        <f>IF(F58+SUM(E$17:E58)=D$10,F58,D$10-SUM(E$17:E58))</f>
        <v>45657.777003485739</v>
      </c>
      <c r="E59" s="522">
        <f>IF(+I14&lt;F58,I14,D59)</f>
        <v>45657.777003485739</v>
      </c>
      <c r="F59" s="523">
        <f t="shared" si="7"/>
        <v>0</v>
      </c>
      <c r="G59" s="524">
        <f t="shared" si="8"/>
        <v>48541.677161055952</v>
      </c>
      <c r="H59" s="491">
        <f t="shared" si="9"/>
        <v>48541.677161055952</v>
      </c>
      <c r="I59" s="511">
        <f t="shared" si="0"/>
        <v>0</v>
      </c>
      <c r="J59" s="511"/>
      <c r="K59" s="525"/>
      <c r="L59" s="514">
        <f t="shared" si="10"/>
        <v>0</v>
      </c>
      <c r="M59" s="525"/>
      <c r="N59" s="514">
        <f t="shared" si="2"/>
        <v>0</v>
      </c>
      <c r="O59" s="514">
        <f t="shared" si="3"/>
        <v>0</v>
      </c>
      <c r="P59" s="272"/>
    </row>
    <row r="60" spans="2:16" ht="12.5">
      <c r="B60" s="195" t="str">
        <f t="shared" si="5"/>
        <v/>
      </c>
      <c r="C60" s="507">
        <f>IF(D11="","-",+C59+1)</f>
        <v>2062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7"/>
        <v>0</v>
      </c>
      <c r="G60" s="524">
        <f t="shared" si="8"/>
        <v>0</v>
      </c>
      <c r="H60" s="491">
        <f t="shared" si="9"/>
        <v>0</v>
      </c>
      <c r="I60" s="511">
        <f t="shared" si="0"/>
        <v>0</v>
      </c>
      <c r="J60" s="511"/>
      <c r="K60" s="525"/>
      <c r="L60" s="514">
        <f t="shared" si="10"/>
        <v>0</v>
      </c>
      <c r="M60" s="525"/>
      <c r="N60" s="514">
        <f t="shared" si="2"/>
        <v>0</v>
      </c>
      <c r="O60" s="514">
        <f t="shared" si="3"/>
        <v>0</v>
      </c>
      <c r="P60" s="272"/>
    </row>
    <row r="61" spans="2:16" ht="12.5">
      <c r="B61" s="195" t="str">
        <f t="shared" si="5"/>
        <v/>
      </c>
      <c r="C61" s="507">
        <f>IF(D11="","-",+C60+1)</f>
        <v>2063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7"/>
        <v>0</v>
      </c>
      <c r="G61" s="526">
        <f t="shared" si="8"/>
        <v>0</v>
      </c>
      <c r="H61" s="491">
        <f t="shared" si="9"/>
        <v>0</v>
      </c>
      <c r="I61" s="511">
        <f t="shared" si="0"/>
        <v>0</v>
      </c>
      <c r="J61" s="511"/>
      <c r="K61" s="525"/>
      <c r="L61" s="514">
        <f t="shared" si="10"/>
        <v>0</v>
      </c>
      <c r="M61" s="525"/>
      <c r="N61" s="514">
        <f t="shared" si="2"/>
        <v>0</v>
      </c>
      <c r="O61" s="514">
        <f t="shared" si="3"/>
        <v>0</v>
      </c>
      <c r="P61" s="272"/>
    </row>
    <row r="62" spans="2:16" ht="12.5">
      <c r="B62" s="195" t="str">
        <f t="shared" si="5"/>
        <v/>
      </c>
      <c r="C62" s="507">
        <f>IF(D11="","-",+C61+1)</f>
        <v>2064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7"/>
        <v>0</v>
      </c>
      <c r="G62" s="526">
        <f t="shared" si="8"/>
        <v>0</v>
      </c>
      <c r="H62" s="491">
        <f t="shared" si="9"/>
        <v>0</v>
      </c>
      <c r="I62" s="511">
        <f t="shared" si="0"/>
        <v>0</v>
      </c>
      <c r="J62" s="511"/>
      <c r="K62" s="525"/>
      <c r="L62" s="514">
        <f t="shared" si="10"/>
        <v>0</v>
      </c>
      <c r="M62" s="525"/>
      <c r="N62" s="514">
        <f t="shared" si="2"/>
        <v>0</v>
      </c>
      <c r="O62" s="514">
        <f t="shared" si="3"/>
        <v>0</v>
      </c>
      <c r="P62" s="272"/>
    </row>
    <row r="63" spans="2:16" ht="12.5">
      <c r="B63" s="195" t="str">
        <f t="shared" si="5"/>
        <v/>
      </c>
      <c r="C63" s="507">
        <f>IF(D11="","-",+C62+1)</f>
        <v>2065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7"/>
        <v>0</v>
      </c>
      <c r="G63" s="526">
        <f t="shared" si="8"/>
        <v>0</v>
      </c>
      <c r="H63" s="491">
        <f t="shared" si="9"/>
        <v>0</v>
      </c>
      <c r="I63" s="511">
        <f t="shared" si="0"/>
        <v>0</v>
      </c>
      <c r="J63" s="511"/>
      <c r="K63" s="525"/>
      <c r="L63" s="514">
        <f t="shared" si="10"/>
        <v>0</v>
      </c>
      <c r="M63" s="525"/>
      <c r="N63" s="514">
        <f t="shared" si="2"/>
        <v>0</v>
      </c>
      <c r="O63" s="514">
        <f t="shared" si="3"/>
        <v>0</v>
      </c>
      <c r="P63" s="272"/>
    </row>
    <row r="64" spans="2:16" ht="12.5">
      <c r="B64" s="195" t="str">
        <f t="shared" si="5"/>
        <v/>
      </c>
      <c r="C64" s="507">
        <f>IF(D11="","-",+C63+1)</f>
        <v>2066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7"/>
        <v>0</v>
      </c>
      <c r="G64" s="526">
        <f t="shared" si="8"/>
        <v>0</v>
      </c>
      <c r="H64" s="491">
        <f t="shared" si="9"/>
        <v>0</v>
      </c>
      <c r="I64" s="511">
        <f t="shared" si="0"/>
        <v>0</v>
      </c>
      <c r="J64" s="511"/>
      <c r="K64" s="525"/>
      <c r="L64" s="514">
        <f t="shared" si="10"/>
        <v>0</v>
      </c>
      <c r="M64" s="525"/>
      <c r="N64" s="514">
        <f t="shared" si="2"/>
        <v>0</v>
      </c>
      <c r="O64" s="514">
        <f t="shared" si="3"/>
        <v>0</v>
      </c>
      <c r="P64" s="272"/>
    </row>
    <row r="65" spans="2:16" ht="12.5">
      <c r="B65" s="195" t="str">
        <f t="shared" si="5"/>
        <v/>
      </c>
      <c r="C65" s="507">
        <f>IF(D11="","-",+C64+1)</f>
        <v>2067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7"/>
        <v>0</v>
      </c>
      <c r="G65" s="526">
        <f t="shared" si="8"/>
        <v>0</v>
      </c>
      <c r="H65" s="491">
        <f t="shared" si="9"/>
        <v>0</v>
      </c>
      <c r="I65" s="511">
        <f t="shared" si="0"/>
        <v>0</v>
      </c>
      <c r="J65" s="511"/>
      <c r="K65" s="525"/>
      <c r="L65" s="514">
        <f t="shared" si="10"/>
        <v>0</v>
      </c>
      <c r="M65" s="525"/>
      <c r="N65" s="514">
        <f t="shared" si="2"/>
        <v>0</v>
      </c>
      <c r="O65" s="514">
        <f t="shared" si="3"/>
        <v>0</v>
      </c>
      <c r="P65" s="272"/>
    </row>
    <row r="66" spans="2:16" ht="12.5">
      <c r="B66" s="195" t="str">
        <f t="shared" si="5"/>
        <v/>
      </c>
      <c r="C66" s="507">
        <f>IF(D11="","-",+C65+1)</f>
        <v>2068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7"/>
        <v>0</v>
      </c>
      <c r="G66" s="526">
        <f t="shared" si="8"/>
        <v>0</v>
      </c>
      <c r="H66" s="491">
        <f t="shared" si="9"/>
        <v>0</v>
      </c>
      <c r="I66" s="511">
        <f t="shared" si="0"/>
        <v>0</v>
      </c>
      <c r="J66" s="511"/>
      <c r="K66" s="525"/>
      <c r="L66" s="514">
        <f t="shared" si="10"/>
        <v>0</v>
      </c>
      <c r="M66" s="525"/>
      <c r="N66" s="514">
        <f t="shared" si="2"/>
        <v>0</v>
      </c>
      <c r="O66" s="514">
        <f t="shared" si="3"/>
        <v>0</v>
      </c>
      <c r="P66" s="272"/>
    </row>
    <row r="67" spans="2:16" ht="12.5">
      <c r="B67" s="195" t="str">
        <f t="shared" si="5"/>
        <v/>
      </c>
      <c r="C67" s="507">
        <f>IF(D11="","-",+C66+1)</f>
        <v>2069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7"/>
        <v>0</v>
      </c>
      <c r="G67" s="526">
        <f t="shared" si="8"/>
        <v>0</v>
      </c>
      <c r="H67" s="491">
        <f t="shared" si="9"/>
        <v>0</v>
      </c>
      <c r="I67" s="511">
        <f t="shared" si="0"/>
        <v>0</v>
      </c>
      <c r="J67" s="511"/>
      <c r="K67" s="525"/>
      <c r="L67" s="514">
        <f t="shared" si="10"/>
        <v>0</v>
      </c>
      <c r="M67" s="525"/>
      <c r="N67" s="514">
        <f t="shared" si="2"/>
        <v>0</v>
      </c>
      <c r="O67" s="514">
        <f t="shared" si="3"/>
        <v>0</v>
      </c>
      <c r="P67" s="272"/>
    </row>
    <row r="68" spans="2:16" ht="12.5">
      <c r="B68" s="195" t="str">
        <f t="shared" si="5"/>
        <v/>
      </c>
      <c r="C68" s="507">
        <f>IF(D11="","-",+C67+1)</f>
        <v>2070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7"/>
        <v>0</v>
      </c>
      <c r="G68" s="526">
        <f t="shared" si="8"/>
        <v>0</v>
      </c>
      <c r="H68" s="491">
        <f t="shared" si="9"/>
        <v>0</v>
      </c>
      <c r="I68" s="511">
        <f t="shared" si="0"/>
        <v>0</v>
      </c>
      <c r="J68" s="511"/>
      <c r="K68" s="525"/>
      <c r="L68" s="514">
        <f t="shared" si="10"/>
        <v>0</v>
      </c>
      <c r="M68" s="525"/>
      <c r="N68" s="514">
        <f t="shared" si="2"/>
        <v>0</v>
      </c>
      <c r="O68" s="514">
        <f t="shared" si="3"/>
        <v>0</v>
      </c>
      <c r="P68" s="272"/>
    </row>
    <row r="69" spans="2:16" ht="12.5">
      <c r="B69" s="195" t="str">
        <f t="shared" si="5"/>
        <v/>
      </c>
      <c r="C69" s="507">
        <f>IF(D11="","-",+C68+1)</f>
        <v>2071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7"/>
        <v>0</v>
      </c>
      <c r="G69" s="526">
        <f t="shared" si="8"/>
        <v>0</v>
      </c>
      <c r="H69" s="491">
        <f t="shared" si="9"/>
        <v>0</v>
      </c>
      <c r="I69" s="511">
        <f t="shared" si="0"/>
        <v>0</v>
      </c>
      <c r="J69" s="511"/>
      <c r="K69" s="525"/>
      <c r="L69" s="514">
        <f t="shared" si="10"/>
        <v>0</v>
      </c>
      <c r="M69" s="525"/>
      <c r="N69" s="514">
        <f t="shared" si="2"/>
        <v>0</v>
      </c>
      <c r="O69" s="514">
        <f t="shared" si="3"/>
        <v>0</v>
      </c>
      <c r="P69" s="272"/>
    </row>
    <row r="70" spans="2:16" ht="12.5">
      <c r="B70" s="195" t="str">
        <f t="shared" si="5"/>
        <v/>
      </c>
      <c r="C70" s="507">
        <f>IF(D11="","-",+C69+1)</f>
        <v>2072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7"/>
        <v>0</v>
      </c>
      <c r="G70" s="526">
        <f t="shared" si="8"/>
        <v>0</v>
      </c>
      <c r="H70" s="491">
        <f t="shared" si="9"/>
        <v>0</v>
      </c>
      <c r="I70" s="511">
        <f t="shared" si="0"/>
        <v>0</v>
      </c>
      <c r="J70" s="511"/>
      <c r="K70" s="525"/>
      <c r="L70" s="514">
        <f t="shared" si="10"/>
        <v>0</v>
      </c>
      <c r="M70" s="525"/>
      <c r="N70" s="514">
        <f t="shared" si="2"/>
        <v>0</v>
      </c>
      <c r="O70" s="514">
        <f t="shared" si="3"/>
        <v>0</v>
      </c>
      <c r="P70" s="272"/>
    </row>
    <row r="71" spans="2:16" ht="12.5">
      <c r="B71" s="195" t="str">
        <f t="shared" si="5"/>
        <v/>
      </c>
      <c r="C71" s="507">
        <f>IF(D11="","-",+C70+1)</f>
        <v>2073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7"/>
        <v>0</v>
      </c>
      <c r="G71" s="526">
        <f t="shared" si="8"/>
        <v>0</v>
      </c>
      <c r="H71" s="491">
        <f t="shared" si="9"/>
        <v>0</v>
      </c>
      <c r="I71" s="511">
        <f t="shared" si="0"/>
        <v>0</v>
      </c>
      <c r="J71" s="511"/>
      <c r="K71" s="525"/>
      <c r="L71" s="514">
        <f t="shared" si="10"/>
        <v>0</v>
      </c>
      <c r="M71" s="525"/>
      <c r="N71" s="514">
        <f t="shared" si="2"/>
        <v>0</v>
      </c>
      <c r="O71" s="514">
        <f t="shared" si="3"/>
        <v>0</v>
      </c>
      <c r="P71" s="272"/>
    </row>
    <row r="72" spans="2:16" ht="13" thickBot="1">
      <c r="B72" s="195" t="str">
        <f t="shared" si="5"/>
        <v/>
      </c>
      <c r="C72" s="527">
        <f>IF(D11="","-",+C71+1)</f>
        <v>2074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7"/>
        <v>0</v>
      </c>
      <c r="G72" s="530">
        <f t="shared" si="8"/>
        <v>0</v>
      </c>
      <c r="H72" s="471">
        <f t="shared" si="9"/>
        <v>0</v>
      </c>
      <c r="I72" s="531">
        <f t="shared" si="0"/>
        <v>0</v>
      </c>
      <c r="J72" s="511"/>
      <c r="K72" s="532"/>
      <c r="L72" s="533">
        <f t="shared" si="10"/>
        <v>0</v>
      </c>
      <c r="M72" s="532"/>
      <c r="N72" s="533">
        <f t="shared" si="2"/>
        <v>0</v>
      </c>
      <c r="O72" s="533">
        <f t="shared" si="3"/>
        <v>0</v>
      </c>
      <c r="P72" s="272"/>
    </row>
    <row r="73" spans="2:16" ht="12.5">
      <c r="C73" s="374" t="s">
        <v>78</v>
      </c>
      <c r="D73" s="375"/>
      <c r="E73" s="375">
        <f>SUM(E17:E72)</f>
        <v>2910918</v>
      </c>
      <c r="F73" s="375"/>
      <c r="G73" s="375">
        <f>SUM(G17:G72)</f>
        <v>10346841.667825988</v>
      </c>
      <c r="H73" s="375">
        <f>SUM(H17:H72)</f>
        <v>10346841.667825988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2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2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2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2:16" ht="13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272"/>
      <c r="P77" s="272"/>
    </row>
    <row r="78" spans="2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2:16" ht="12.5"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  <c r="O79" s="269"/>
      <c r="P79" s="269"/>
    </row>
    <row r="80" spans="2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6" ht="12.5">
      <c r="B81" s="269"/>
      <c r="C81" s="340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6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</row>
    <row r="83" spans="1:16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451" t="str">
        <f ca="1">P1</f>
        <v>SWEPCO Project 74 of 74</v>
      </c>
    </row>
    <row r="84" spans="1:16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538" t="s">
        <v>128</v>
      </c>
    </row>
    <row r="85" spans="1:16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</row>
    <row r="86" spans="1:16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</row>
    <row r="87" spans="1:16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369160.37527494592</v>
      </c>
      <c r="N87" s="546">
        <f>IF(J92&lt;D11,0,VLOOKUP(J92,C17:O72,11))</f>
        <v>369160.37527494592</v>
      </c>
      <c r="O87" s="547">
        <f>+N87-M87</f>
        <v>0</v>
      </c>
      <c r="P87" s="269"/>
    </row>
    <row r="88" spans="1:16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384408.61281414429</v>
      </c>
      <c r="N88" s="550">
        <f>IF(J92&lt;D11,0,VLOOKUP(J92,C99:P154,7))</f>
        <v>384408.61281414429</v>
      </c>
      <c r="O88" s="551">
        <f>+N88-M88</f>
        <v>0</v>
      </c>
      <c r="P88" s="269"/>
    </row>
    <row r="89" spans="1:16" ht="13.5" thickBot="1">
      <c r="C89" s="467" t="s">
        <v>84</v>
      </c>
      <c r="D89" s="552" t="str">
        <f>+D7</f>
        <v>Figure Five - VBI North 69 kV Rebuild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15248.237539198366</v>
      </c>
      <c r="N89" s="555">
        <f>+N88-N87</f>
        <v>15248.237539198366</v>
      </c>
      <c r="O89" s="556">
        <f>+O88-O87</f>
        <v>0</v>
      </c>
      <c r="P89" s="269"/>
    </row>
    <row r="90" spans="1:16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</row>
    <row r="91" spans="1:16" ht="13.5" thickBot="1">
      <c r="A91" s="191"/>
      <c r="C91" s="558" t="s">
        <v>85</v>
      </c>
      <c r="D91" s="559" t="str">
        <f>+D9</f>
        <v>TA2016806</v>
      </c>
      <c r="E91" s="560"/>
      <c r="F91" s="560"/>
      <c r="G91" s="560"/>
      <c r="H91" s="560"/>
      <c r="I91" s="560"/>
      <c r="J91" s="560"/>
      <c r="K91" s="562"/>
      <c r="P91" s="481"/>
    </row>
    <row r="92" spans="1:16" ht="13">
      <c r="C92" s="486" t="s">
        <v>51</v>
      </c>
      <c r="D92" s="564">
        <v>2910918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</row>
    <row r="93" spans="1:16" ht="12.5">
      <c r="C93" s="486" t="s">
        <v>54</v>
      </c>
      <c r="D93" s="563">
        <f>+D11</f>
        <v>2019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</row>
    <row r="94" spans="1:16" ht="12.5">
      <c r="C94" s="486" t="s">
        <v>56</v>
      </c>
      <c r="D94" s="564">
        <v>4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</row>
    <row r="95" spans="1:16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</row>
    <row r="96" spans="1:16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70998</v>
      </c>
      <c r="K96" s="375"/>
      <c r="L96" s="375"/>
      <c r="M96" s="375"/>
      <c r="N96" s="375"/>
      <c r="O96" s="375"/>
      <c r="P96" s="272"/>
    </row>
    <row r="97" spans="1:16" ht="39">
      <c r="A97" s="662"/>
      <c r="B97" s="66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</row>
    <row r="98" spans="1:16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602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</row>
    <row r="99" spans="1:16" ht="12.5">
      <c r="C99" s="507">
        <f>IF(D93= "","-",D93)</f>
        <v>2019</v>
      </c>
      <c r="D99" s="629">
        <v>0</v>
      </c>
      <c r="E99" s="630">
        <v>45130.51162790697</v>
      </c>
      <c r="F99" s="631">
        <v>2865787.4883720931</v>
      </c>
      <c r="G99" s="631">
        <v>1432893.7441860465</v>
      </c>
      <c r="H99" s="633">
        <v>198508.2411422825</v>
      </c>
      <c r="I99" s="634">
        <v>198508.2411422825</v>
      </c>
      <c r="J99" s="514">
        <f t="shared" ref="J99:J130" si="11">+I99-H99</f>
        <v>0</v>
      </c>
      <c r="K99" s="514"/>
      <c r="L99" s="512">
        <f>+H99</f>
        <v>198508.2411422825</v>
      </c>
      <c r="M99" s="513">
        <f t="shared" ref="M99:M100" si="12">IF(L99&lt;&gt;0,+H99-L99,0)</f>
        <v>0</v>
      </c>
      <c r="N99" s="512">
        <f>+I99</f>
        <v>198508.2411422825</v>
      </c>
      <c r="O99" s="513">
        <f t="shared" ref="O99:O130" si="13">IF(N99&lt;&gt;0,+I99-N99,0)</f>
        <v>0</v>
      </c>
      <c r="P99" s="513">
        <f t="shared" ref="P99:P130" si="14">+O99-M99</f>
        <v>0</v>
      </c>
    </row>
    <row r="100" spans="1:16" ht="12.5">
      <c r="B100" s="195" t="str">
        <f>IF(D100=F99,"","IU")</f>
        <v/>
      </c>
      <c r="C100" s="507">
        <f>IF(D93="","-",+C99+1)</f>
        <v>2020</v>
      </c>
      <c r="D100" s="629">
        <v>2865787.4883720931</v>
      </c>
      <c r="E100" s="630">
        <v>69307.571428571435</v>
      </c>
      <c r="F100" s="631">
        <v>2796479.9169435217</v>
      </c>
      <c r="G100" s="631">
        <v>2831133.7026578076</v>
      </c>
      <c r="H100" s="633">
        <v>373863.47414547531</v>
      </c>
      <c r="I100" s="634">
        <v>373863.47414547531</v>
      </c>
      <c r="J100" s="514">
        <f t="shared" si="11"/>
        <v>0</v>
      </c>
      <c r="K100" s="514"/>
      <c r="L100" s="655">
        <f>+H100</f>
        <v>373863.47414547531</v>
      </c>
      <c r="M100" s="514">
        <f t="shared" si="12"/>
        <v>0</v>
      </c>
      <c r="N100" s="655">
        <f>+I100</f>
        <v>373863.47414547531</v>
      </c>
      <c r="O100" s="514">
        <f t="shared" si="13"/>
        <v>0</v>
      </c>
      <c r="P100" s="514">
        <f t="shared" si="14"/>
        <v>0</v>
      </c>
    </row>
    <row r="101" spans="1:16" ht="12.5">
      <c r="B101" s="195" t="str">
        <f t="shared" ref="B101:B154" si="15">IF(D101=F100,"","IU")</f>
        <v/>
      </c>
      <c r="C101" s="507">
        <f>IF(D93="","-",+C100+1)</f>
        <v>2021</v>
      </c>
      <c r="D101" s="374">
        <f>IF(F100+SUM(E$99:E100)=D$92,F100,D$92-SUM(E$99:E100))</f>
        <v>2796479.9169435217</v>
      </c>
      <c r="E101" s="522">
        <f>IF(+J96&lt;F100,J96,D101)</f>
        <v>70998</v>
      </c>
      <c r="F101" s="523">
        <f t="shared" ref="F101:F154" si="16">+D101-E101</f>
        <v>2725481.9169435217</v>
      </c>
      <c r="G101" s="523">
        <f t="shared" ref="G101:G154" si="17">+(F101+D101)/2</f>
        <v>2760980.9169435217</v>
      </c>
      <c r="H101" s="526">
        <f t="shared" ref="H101:H154" si="18">+J$94*G101+E101</f>
        <v>384408.61281414429</v>
      </c>
      <c r="I101" s="577">
        <f t="shared" ref="I101:I154" si="19">+J$95*G101+E101</f>
        <v>384408.61281414429</v>
      </c>
      <c r="J101" s="514">
        <f t="shared" si="11"/>
        <v>0</v>
      </c>
      <c r="K101" s="514"/>
      <c r="L101" s="525"/>
      <c r="M101" s="514">
        <f t="shared" ref="M101:M130" si="20">IF(L101&lt;&gt;0,+H101-L101,0)</f>
        <v>0</v>
      </c>
      <c r="N101" s="525"/>
      <c r="O101" s="514">
        <f t="shared" si="13"/>
        <v>0</v>
      </c>
      <c r="P101" s="514">
        <f t="shared" si="14"/>
        <v>0</v>
      </c>
    </row>
    <row r="102" spans="1:16" ht="12.5">
      <c r="B102" s="195" t="str">
        <f t="shared" si="15"/>
        <v/>
      </c>
      <c r="C102" s="507">
        <f>IF(D93="","-",+C101+1)</f>
        <v>2022</v>
      </c>
      <c r="D102" s="374">
        <f>IF(F101+SUM(E$99:E101)=D$92,F101,D$92-SUM(E$99:E101))</f>
        <v>2725481.9169435217</v>
      </c>
      <c r="E102" s="522">
        <f>IF(+J96&lt;F101,J96,D102)</f>
        <v>70998</v>
      </c>
      <c r="F102" s="523">
        <f t="shared" si="16"/>
        <v>2654483.9169435217</v>
      </c>
      <c r="G102" s="523">
        <f t="shared" si="17"/>
        <v>2689982.9169435217</v>
      </c>
      <c r="H102" s="526">
        <f t="shared" si="18"/>
        <v>376349.32977019926</v>
      </c>
      <c r="I102" s="577">
        <f t="shared" si="19"/>
        <v>376349.32977019926</v>
      </c>
      <c r="J102" s="514">
        <f t="shared" si="11"/>
        <v>0</v>
      </c>
      <c r="K102" s="514"/>
      <c r="L102" s="525"/>
      <c r="M102" s="514">
        <f t="shared" si="20"/>
        <v>0</v>
      </c>
      <c r="N102" s="525"/>
      <c r="O102" s="514">
        <f t="shared" si="13"/>
        <v>0</v>
      </c>
      <c r="P102" s="514">
        <f t="shared" si="14"/>
        <v>0</v>
      </c>
    </row>
    <row r="103" spans="1:16" ht="12.5">
      <c r="B103" s="195" t="str">
        <f t="shared" si="15"/>
        <v/>
      </c>
      <c r="C103" s="507">
        <f>IF(D93="","-",+C102+1)</f>
        <v>2023</v>
      </c>
      <c r="D103" s="374">
        <f>IF(F102+SUM(E$99:E102)=D$92,F102,D$92-SUM(E$99:E102))</f>
        <v>2654483.9169435217</v>
      </c>
      <c r="E103" s="522">
        <f>IF(+J96&lt;F102,J96,D103)</f>
        <v>70998</v>
      </c>
      <c r="F103" s="523">
        <f t="shared" si="16"/>
        <v>2583485.9169435217</v>
      </c>
      <c r="G103" s="523">
        <f t="shared" si="17"/>
        <v>2618984.9169435217</v>
      </c>
      <c r="H103" s="526">
        <f t="shared" si="18"/>
        <v>368290.04672625428</v>
      </c>
      <c r="I103" s="577">
        <f t="shared" si="19"/>
        <v>368290.04672625428</v>
      </c>
      <c r="J103" s="514">
        <f t="shared" si="11"/>
        <v>0</v>
      </c>
      <c r="K103" s="514"/>
      <c r="L103" s="525"/>
      <c r="M103" s="514">
        <f t="shared" si="20"/>
        <v>0</v>
      </c>
      <c r="N103" s="525"/>
      <c r="O103" s="514">
        <f t="shared" si="13"/>
        <v>0</v>
      </c>
      <c r="P103" s="514">
        <f t="shared" si="14"/>
        <v>0</v>
      </c>
    </row>
    <row r="104" spans="1:16" ht="12.5">
      <c r="B104" s="195" t="str">
        <f t="shared" si="15"/>
        <v/>
      </c>
      <c r="C104" s="507">
        <f>IF(D93="","-",+C103+1)</f>
        <v>2024</v>
      </c>
      <c r="D104" s="374">
        <f>IF(F103+SUM(E$99:E103)=D$92,F103,D$92-SUM(E$99:E103))</f>
        <v>2583485.9169435217</v>
      </c>
      <c r="E104" s="522">
        <f>IF(+J96&lt;F103,J96,D104)</f>
        <v>70998</v>
      </c>
      <c r="F104" s="523">
        <f t="shared" si="16"/>
        <v>2512487.9169435217</v>
      </c>
      <c r="G104" s="523">
        <f t="shared" si="17"/>
        <v>2547986.9169435217</v>
      </c>
      <c r="H104" s="526">
        <f t="shared" si="18"/>
        <v>360230.76368230931</v>
      </c>
      <c r="I104" s="577">
        <f t="shared" si="19"/>
        <v>360230.76368230931</v>
      </c>
      <c r="J104" s="514">
        <f t="shared" si="11"/>
        <v>0</v>
      </c>
      <c r="K104" s="514"/>
      <c r="L104" s="525"/>
      <c r="M104" s="514">
        <f t="shared" si="20"/>
        <v>0</v>
      </c>
      <c r="N104" s="525"/>
      <c r="O104" s="514">
        <f t="shared" si="13"/>
        <v>0</v>
      </c>
      <c r="P104" s="514">
        <f t="shared" si="14"/>
        <v>0</v>
      </c>
    </row>
    <row r="105" spans="1:16" ht="12.5">
      <c r="B105" s="195" t="str">
        <f t="shared" si="15"/>
        <v/>
      </c>
      <c r="C105" s="507">
        <f>IF(D93="","-",+C104+1)</f>
        <v>2025</v>
      </c>
      <c r="D105" s="374">
        <f>IF(F104+SUM(E$99:E104)=D$92,F104,D$92-SUM(E$99:E104))</f>
        <v>2512487.9169435217</v>
      </c>
      <c r="E105" s="522">
        <f>IF(+J96&lt;F104,J96,D105)</f>
        <v>70998</v>
      </c>
      <c r="F105" s="523">
        <f t="shared" si="16"/>
        <v>2441489.9169435217</v>
      </c>
      <c r="G105" s="523">
        <f t="shared" si="17"/>
        <v>2476988.9169435217</v>
      </c>
      <c r="H105" s="526">
        <f t="shared" si="18"/>
        <v>352171.48063836433</v>
      </c>
      <c r="I105" s="577">
        <f t="shared" si="19"/>
        <v>352171.48063836433</v>
      </c>
      <c r="J105" s="514">
        <f t="shared" si="11"/>
        <v>0</v>
      </c>
      <c r="K105" s="514"/>
      <c r="L105" s="525"/>
      <c r="M105" s="514">
        <f t="shared" si="20"/>
        <v>0</v>
      </c>
      <c r="N105" s="525"/>
      <c r="O105" s="514">
        <f t="shared" si="13"/>
        <v>0</v>
      </c>
      <c r="P105" s="514">
        <f t="shared" si="14"/>
        <v>0</v>
      </c>
    </row>
    <row r="106" spans="1:16" ht="12.5">
      <c r="B106" s="195" t="str">
        <f t="shared" si="15"/>
        <v/>
      </c>
      <c r="C106" s="507">
        <f>IF(D93="","-",+C105+1)</f>
        <v>2026</v>
      </c>
      <c r="D106" s="374">
        <f>IF(F105+SUM(E$99:E105)=D$92,F105,D$92-SUM(E$99:E105))</f>
        <v>2441489.9169435217</v>
      </c>
      <c r="E106" s="522">
        <f>IF(+J96&lt;F105,J96,D106)</f>
        <v>70998</v>
      </c>
      <c r="F106" s="523">
        <f t="shared" si="16"/>
        <v>2370491.9169435217</v>
      </c>
      <c r="G106" s="523">
        <f t="shared" si="17"/>
        <v>2405990.9169435217</v>
      </c>
      <c r="H106" s="526">
        <f t="shared" si="18"/>
        <v>344112.1975944193</v>
      </c>
      <c r="I106" s="577">
        <f t="shared" si="19"/>
        <v>344112.1975944193</v>
      </c>
      <c r="J106" s="514">
        <f t="shared" si="11"/>
        <v>0</v>
      </c>
      <c r="K106" s="514"/>
      <c r="L106" s="525"/>
      <c r="M106" s="514">
        <f t="shared" si="20"/>
        <v>0</v>
      </c>
      <c r="N106" s="525"/>
      <c r="O106" s="514">
        <f t="shared" si="13"/>
        <v>0</v>
      </c>
      <c r="P106" s="514">
        <f t="shared" si="14"/>
        <v>0</v>
      </c>
    </row>
    <row r="107" spans="1:16" ht="12.5">
      <c r="B107" s="195" t="str">
        <f t="shared" si="15"/>
        <v/>
      </c>
      <c r="C107" s="507">
        <f>IF(D93="","-",+C106+1)</f>
        <v>2027</v>
      </c>
      <c r="D107" s="374">
        <f>IF(F106+SUM(E$99:E106)=D$92,F106,D$92-SUM(E$99:E106))</f>
        <v>2370491.9169435217</v>
      </c>
      <c r="E107" s="522">
        <f>IF(+J96&lt;F106,J96,D107)</f>
        <v>70998</v>
      </c>
      <c r="F107" s="523">
        <f t="shared" si="16"/>
        <v>2299493.9169435217</v>
      </c>
      <c r="G107" s="523">
        <f t="shared" si="17"/>
        <v>2334992.9169435217</v>
      </c>
      <c r="H107" s="526">
        <f t="shared" si="18"/>
        <v>336052.91455047432</v>
      </c>
      <c r="I107" s="577">
        <f t="shared" si="19"/>
        <v>336052.91455047432</v>
      </c>
      <c r="J107" s="514">
        <f t="shared" si="11"/>
        <v>0</v>
      </c>
      <c r="K107" s="514"/>
      <c r="L107" s="525"/>
      <c r="M107" s="514">
        <f t="shared" si="20"/>
        <v>0</v>
      </c>
      <c r="N107" s="525"/>
      <c r="O107" s="514">
        <f t="shared" si="13"/>
        <v>0</v>
      </c>
      <c r="P107" s="514">
        <f t="shared" si="14"/>
        <v>0</v>
      </c>
    </row>
    <row r="108" spans="1:16" ht="12.5">
      <c r="B108" s="195" t="str">
        <f t="shared" si="15"/>
        <v/>
      </c>
      <c r="C108" s="507">
        <f>IF(D93="","-",+C107+1)</f>
        <v>2028</v>
      </c>
      <c r="D108" s="374">
        <f>IF(F107+SUM(E$99:E107)=D$92,F107,D$92-SUM(E$99:E107))</f>
        <v>2299493.9169435217</v>
      </c>
      <c r="E108" s="522">
        <f>IF(+J96&lt;F107,J96,D108)</f>
        <v>70998</v>
      </c>
      <c r="F108" s="523">
        <f t="shared" si="16"/>
        <v>2228495.9169435217</v>
      </c>
      <c r="G108" s="523">
        <f t="shared" si="17"/>
        <v>2263994.9169435217</v>
      </c>
      <c r="H108" s="526">
        <f t="shared" si="18"/>
        <v>327993.63150652935</v>
      </c>
      <c r="I108" s="577">
        <f t="shared" si="19"/>
        <v>327993.63150652935</v>
      </c>
      <c r="J108" s="514">
        <f t="shared" si="11"/>
        <v>0</v>
      </c>
      <c r="K108" s="514"/>
      <c r="L108" s="525"/>
      <c r="M108" s="514">
        <f t="shared" si="20"/>
        <v>0</v>
      </c>
      <c r="N108" s="525"/>
      <c r="O108" s="514">
        <f t="shared" si="13"/>
        <v>0</v>
      </c>
      <c r="P108" s="514">
        <f t="shared" si="14"/>
        <v>0</v>
      </c>
    </row>
    <row r="109" spans="1:16" ht="12.5">
      <c r="B109" s="195" t="str">
        <f t="shared" si="15"/>
        <v/>
      </c>
      <c r="C109" s="507">
        <f>IF(D93="","-",+C108+1)</f>
        <v>2029</v>
      </c>
      <c r="D109" s="374">
        <f>IF(F108+SUM(E$99:E108)=D$92,F108,D$92-SUM(E$99:E108))</f>
        <v>2228495.9169435217</v>
      </c>
      <c r="E109" s="522">
        <f>IF(+J96&lt;F108,J96,D109)</f>
        <v>70998</v>
      </c>
      <c r="F109" s="523">
        <f t="shared" si="16"/>
        <v>2157497.9169435217</v>
      </c>
      <c r="G109" s="523">
        <f t="shared" si="17"/>
        <v>2192996.9169435217</v>
      </c>
      <c r="H109" s="526">
        <f t="shared" si="18"/>
        <v>319934.34846258431</v>
      </c>
      <c r="I109" s="577">
        <f t="shared" si="19"/>
        <v>319934.34846258431</v>
      </c>
      <c r="J109" s="514">
        <f t="shared" si="11"/>
        <v>0</v>
      </c>
      <c r="K109" s="514"/>
      <c r="L109" s="525"/>
      <c r="M109" s="514">
        <f t="shared" si="20"/>
        <v>0</v>
      </c>
      <c r="N109" s="525"/>
      <c r="O109" s="514">
        <f t="shared" si="13"/>
        <v>0</v>
      </c>
      <c r="P109" s="514">
        <f t="shared" si="14"/>
        <v>0</v>
      </c>
    </row>
    <row r="110" spans="1:16" ht="12.5">
      <c r="B110" s="195" t="str">
        <f t="shared" si="15"/>
        <v/>
      </c>
      <c r="C110" s="507">
        <f>IF(D93="","-",+C109+1)</f>
        <v>2030</v>
      </c>
      <c r="D110" s="374">
        <f>IF(F109+SUM(E$99:E109)=D$92,F109,D$92-SUM(E$99:E109))</f>
        <v>2157497.9169435217</v>
      </c>
      <c r="E110" s="522">
        <f>IF(+J96&lt;F109,J96,D110)</f>
        <v>70998</v>
      </c>
      <c r="F110" s="523">
        <f t="shared" si="16"/>
        <v>2086499.9169435217</v>
      </c>
      <c r="G110" s="523">
        <f t="shared" si="17"/>
        <v>2121998.9169435217</v>
      </c>
      <c r="H110" s="526">
        <f t="shared" si="18"/>
        <v>311875.06541863934</v>
      </c>
      <c r="I110" s="577">
        <f t="shared" si="19"/>
        <v>311875.06541863934</v>
      </c>
      <c r="J110" s="514">
        <f t="shared" si="11"/>
        <v>0</v>
      </c>
      <c r="K110" s="514"/>
      <c r="L110" s="525"/>
      <c r="M110" s="514">
        <f t="shared" si="20"/>
        <v>0</v>
      </c>
      <c r="N110" s="525"/>
      <c r="O110" s="514">
        <f t="shared" si="13"/>
        <v>0</v>
      </c>
      <c r="P110" s="514">
        <f t="shared" si="14"/>
        <v>0</v>
      </c>
    </row>
    <row r="111" spans="1:16" ht="12.5">
      <c r="B111" s="195" t="str">
        <f t="shared" si="15"/>
        <v/>
      </c>
      <c r="C111" s="507">
        <f>IF(D93="","-",+C110+1)</f>
        <v>2031</v>
      </c>
      <c r="D111" s="374">
        <f>IF(F110+SUM(E$99:E110)=D$92,F110,D$92-SUM(E$99:E110))</f>
        <v>2086499.9169435217</v>
      </c>
      <c r="E111" s="522">
        <f>IF(+J96&lt;F110,J96,D111)</f>
        <v>70998</v>
      </c>
      <c r="F111" s="523">
        <f t="shared" si="16"/>
        <v>2015501.9169435217</v>
      </c>
      <c r="G111" s="523">
        <f t="shared" si="17"/>
        <v>2051000.9169435217</v>
      </c>
      <c r="H111" s="526">
        <f t="shared" si="18"/>
        <v>303815.78237469436</v>
      </c>
      <c r="I111" s="577">
        <f t="shared" si="19"/>
        <v>303815.78237469436</v>
      </c>
      <c r="J111" s="514">
        <f t="shared" si="11"/>
        <v>0</v>
      </c>
      <c r="K111" s="514"/>
      <c r="L111" s="525"/>
      <c r="M111" s="514">
        <f t="shared" si="20"/>
        <v>0</v>
      </c>
      <c r="N111" s="525"/>
      <c r="O111" s="514">
        <f t="shared" si="13"/>
        <v>0</v>
      </c>
      <c r="P111" s="514">
        <f t="shared" si="14"/>
        <v>0</v>
      </c>
    </row>
    <row r="112" spans="1:16" ht="12.5">
      <c r="B112" s="195" t="str">
        <f t="shared" si="15"/>
        <v/>
      </c>
      <c r="C112" s="507">
        <f>IF(D93="","-",+C111+1)</f>
        <v>2032</v>
      </c>
      <c r="D112" s="374">
        <f>IF(F111+SUM(E$99:E111)=D$92,F111,D$92-SUM(E$99:E111))</f>
        <v>2015501.9169435217</v>
      </c>
      <c r="E112" s="522">
        <f>IF(+J96&lt;F111,J96,D112)</f>
        <v>70998</v>
      </c>
      <c r="F112" s="523">
        <f t="shared" si="16"/>
        <v>1944503.9169435217</v>
      </c>
      <c r="G112" s="523">
        <f t="shared" si="17"/>
        <v>1980002.9169435217</v>
      </c>
      <c r="H112" s="526">
        <f t="shared" si="18"/>
        <v>295756.49933074939</v>
      </c>
      <c r="I112" s="577">
        <f t="shared" si="19"/>
        <v>295756.49933074939</v>
      </c>
      <c r="J112" s="514">
        <f t="shared" si="11"/>
        <v>0</v>
      </c>
      <c r="K112" s="514"/>
      <c r="L112" s="525"/>
      <c r="M112" s="514">
        <f t="shared" si="20"/>
        <v>0</v>
      </c>
      <c r="N112" s="525"/>
      <c r="O112" s="514">
        <f t="shared" si="13"/>
        <v>0</v>
      </c>
      <c r="P112" s="514">
        <f t="shared" si="14"/>
        <v>0</v>
      </c>
    </row>
    <row r="113" spans="2:16" ht="12.5">
      <c r="B113" s="195" t="str">
        <f t="shared" si="15"/>
        <v/>
      </c>
      <c r="C113" s="507">
        <f>IF(D93="","-",+C112+1)</f>
        <v>2033</v>
      </c>
      <c r="D113" s="374">
        <f>IF(F112+SUM(E$99:E112)=D$92,F112,D$92-SUM(E$99:E112))</f>
        <v>1944503.9169435217</v>
      </c>
      <c r="E113" s="522">
        <f>IF(+J96&lt;F112,J96,D113)</f>
        <v>70998</v>
      </c>
      <c r="F113" s="523">
        <f t="shared" si="16"/>
        <v>1873505.9169435217</v>
      </c>
      <c r="G113" s="523">
        <f t="shared" si="17"/>
        <v>1909004.9169435217</v>
      </c>
      <c r="H113" s="526">
        <f t="shared" si="18"/>
        <v>287697.21628680441</v>
      </c>
      <c r="I113" s="577">
        <f t="shared" si="19"/>
        <v>287697.21628680441</v>
      </c>
      <c r="J113" s="514">
        <f t="shared" si="11"/>
        <v>0</v>
      </c>
      <c r="K113" s="514"/>
      <c r="L113" s="525"/>
      <c r="M113" s="514">
        <f t="shared" si="20"/>
        <v>0</v>
      </c>
      <c r="N113" s="525"/>
      <c r="O113" s="514">
        <f t="shared" si="13"/>
        <v>0</v>
      </c>
      <c r="P113" s="514">
        <f t="shared" si="14"/>
        <v>0</v>
      </c>
    </row>
    <row r="114" spans="2:16" ht="12.5">
      <c r="B114" s="195" t="str">
        <f t="shared" si="15"/>
        <v/>
      </c>
      <c r="C114" s="507">
        <f>IF(D93="","-",+C113+1)</f>
        <v>2034</v>
      </c>
      <c r="D114" s="374">
        <f>IF(F113+SUM(E$99:E113)=D$92,F113,D$92-SUM(E$99:E113))</f>
        <v>1873505.9169435217</v>
      </c>
      <c r="E114" s="522">
        <f>IF(+J96&lt;F113,J96,D114)</f>
        <v>70998</v>
      </c>
      <c r="F114" s="523">
        <f t="shared" si="16"/>
        <v>1802507.9169435217</v>
      </c>
      <c r="G114" s="523">
        <f t="shared" si="17"/>
        <v>1838006.9169435217</v>
      </c>
      <c r="H114" s="526">
        <f t="shared" si="18"/>
        <v>279637.93324285944</v>
      </c>
      <c r="I114" s="577">
        <f t="shared" si="19"/>
        <v>279637.93324285944</v>
      </c>
      <c r="J114" s="514">
        <f t="shared" si="11"/>
        <v>0</v>
      </c>
      <c r="K114" s="514"/>
      <c r="L114" s="525"/>
      <c r="M114" s="514">
        <f t="shared" si="20"/>
        <v>0</v>
      </c>
      <c r="N114" s="525"/>
      <c r="O114" s="514">
        <f t="shared" si="13"/>
        <v>0</v>
      </c>
      <c r="P114" s="514">
        <f t="shared" si="14"/>
        <v>0</v>
      </c>
    </row>
    <row r="115" spans="2:16" ht="12.5">
      <c r="B115" s="195" t="str">
        <f t="shared" si="15"/>
        <v/>
      </c>
      <c r="C115" s="507">
        <f>IF(D93="","-",+C114+1)</f>
        <v>2035</v>
      </c>
      <c r="D115" s="374">
        <f>IF(F114+SUM(E$99:E114)=D$92,F114,D$92-SUM(E$99:E114))</f>
        <v>1802507.9169435217</v>
      </c>
      <c r="E115" s="522">
        <f>IF(+J96&lt;F114,J96,D115)</f>
        <v>70998</v>
      </c>
      <c r="F115" s="523">
        <f t="shared" si="16"/>
        <v>1731509.9169435217</v>
      </c>
      <c r="G115" s="523">
        <f t="shared" si="17"/>
        <v>1767008.9169435217</v>
      </c>
      <c r="H115" s="526">
        <f t="shared" si="18"/>
        <v>271578.6501989144</v>
      </c>
      <c r="I115" s="577">
        <f t="shared" si="19"/>
        <v>271578.6501989144</v>
      </c>
      <c r="J115" s="514">
        <f t="shared" si="11"/>
        <v>0</v>
      </c>
      <c r="K115" s="514"/>
      <c r="L115" s="525"/>
      <c r="M115" s="514">
        <f t="shared" si="20"/>
        <v>0</v>
      </c>
      <c r="N115" s="525"/>
      <c r="O115" s="514">
        <f t="shared" si="13"/>
        <v>0</v>
      </c>
      <c r="P115" s="514">
        <f t="shared" si="14"/>
        <v>0</v>
      </c>
    </row>
    <row r="116" spans="2:16" ht="12.5">
      <c r="B116" s="195" t="str">
        <f t="shared" si="15"/>
        <v/>
      </c>
      <c r="C116" s="507">
        <f>IF(D93="","-",+C115+1)</f>
        <v>2036</v>
      </c>
      <c r="D116" s="374">
        <f>IF(F115+SUM(E$99:E115)=D$92,F115,D$92-SUM(E$99:E115))</f>
        <v>1731509.9169435217</v>
      </c>
      <c r="E116" s="522">
        <f>IF(+J96&lt;F115,J96,D116)</f>
        <v>70998</v>
      </c>
      <c r="F116" s="523">
        <f t="shared" si="16"/>
        <v>1660511.9169435217</v>
      </c>
      <c r="G116" s="523">
        <f t="shared" si="17"/>
        <v>1696010.9169435217</v>
      </c>
      <c r="H116" s="526">
        <f t="shared" si="18"/>
        <v>263519.36715496943</v>
      </c>
      <c r="I116" s="577">
        <f t="shared" si="19"/>
        <v>263519.36715496943</v>
      </c>
      <c r="J116" s="514">
        <f t="shared" si="11"/>
        <v>0</v>
      </c>
      <c r="K116" s="514"/>
      <c r="L116" s="525"/>
      <c r="M116" s="514">
        <f t="shared" si="20"/>
        <v>0</v>
      </c>
      <c r="N116" s="525"/>
      <c r="O116" s="514">
        <f t="shared" si="13"/>
        <v>0</v>
      </c>
      <c r="P116" s="514">
        <f t="shared" si="14"/>
        <v>0</v>
      </c>
    </row>
    <row r="117" spans="2:16" ht="12.5">
      <c r="B117" s="195" t="str">
        <f t="shared" si="15"/>
        <v/>
      </c>
      <c r="C117" s="507">
        <f>IF(D93="","-",+C116+1)</f>
        <v>2037</v>
      </c>
      <c r="D117" s="374">
        <f>IF(F116+SUM(E$99:E116)=D$92,F116,D$92-SUM(E$99:E116))</f>
        <v>1660511.9169435217</v>
      </c>
      <c r="E117" s="522">
        <f>IF(+J96&lt;F116,J96,D117)</f>
        <v>70998</v>
      </c>
      <c r="F117" s="523">
        <f t="shared" si="16"/>
        <v>1589513.9169435217</v>
      </c>
      <c r="G117" s="523">
        <f t="shared" si="17"/>
        <v>1625012.9169435217</v>
      </c>
      <c r="H117" s="526">
        <f t="shared" si="18"/>
        <v>255460.08411102442</v>
      </c>
      <c r="I117" s="577">
        <f t="shared" si="19"/>
        <v>255460.08411102442</v>
      </c>
      <c r="J117" s="514">
        <f t="shared" si="11"/>
        <v>0</v>
      </c>
      <c r="K117" s="514"/>
      <c r="L117" s="525"/>
      <c r="M117" s="514">
        <f t="shared" si="20"/>
        <v>0</v>
      </c>
      <c r="N117" s="525"/>
      <c r="O117" s="514">
        <f t="shared" si="13"/>
        <v>0</v>
      </c>
      <c r="P117" s="514">
        <f t="shared" si="14"/>
        <v>0</v>
      </c>
    </row>
    <row r="118" spans="2:16" ht="12.5">
      <c r="B118" s="195" t="str">
        <f t="shared" si="15"/>
        <v/>
      </c>
      <c r="C118" s="507">
        <f>IF(D93="","-",+C117+1)</f>
        <v>2038</v>
      </c>
      <c r="D118" s="374">
        <f>IF(F117+SUM(E$99:E117)=D$92,F117,D$92-SUM(E$99:E117))</f>
        <v>1589513.9169435217</v>
      </c>
      <c r="E118" s="522">
        <f>IF(+J96&lt;F117,J96,D118)</f>
        <v>70998</v>
      </c>
      <c r="F118" s="523">
        <f t="shared" si="16"/>
        <v>1518515.9169435217</v>
      </c>
      <c r="G118" s="523">
        <f t="shared" si="17"/>
        <v>1554014.9169435217</v>
      </c>
      <c r="H118" s="526">
        <f t="shared" si="18"/>
        <v>247400.80106707945</v>
      </c>
      <c r="I118" s="577">
        <f t="shared" si="19"/>
        <v>247400.80106707945</v>
      </c>
      <c r="J118" s="514">
        <f t="shared" si="11"/>
        <v>0</v>
      </c>
      <c r="K118" s="514"/>
      <c r="L118" s="525"/>
      <c r="M118" s="514">
        <f t="shared" si="20"/>
        <v>0</v>
      </c>
      <c r="N118" s="525"/>
      <c r="O118" s="514">
        <f t="shared" si="13"/>
        <v>0</v>
      </c>
      <c r="P118" s="514">
        <f t="shared" si="14"/>
        <v>0</v>
      </c>
    </row>
    <row r="119" spans="2:16" ht="12.5">
      <c r="B119" s="195" t="str">
        <f t="shared" si="15"/>
        <v/>
      </c>
      <c r="C119" s="507">
        <f>IF(D93="","-",+C118+1)</f>
        <v>2039</v>
      </c>
      <c r="D119" s="374">
        <f>IF(F118+SUM(E$99:E118)=D$92,F118,D$92-SUM(E$99:E118))</f>
        <v>1518515.9169435217</v>
      </c>
      <c r="E119" s="522">
        <f>IF(+J96&lt;F118,J96,D119)</f>
        <v>70998</v>
      </c>
      <c r="F119" s="523">
        <f t="shared" si="16"/>
        <v>1447517.9169435217</v>
      </c>
      <c r="G119" s="523">
        <f t="shared" si="17"/>
        <v>1483016.9169435217</v>
      </c>
      <c r="H119" s="526">
        <f t="shared" si="18"/>
        <v>239341.51802313444</v>
      </c>
      <c r="I119" s="577">
        <f t="shared" si="19"/>
        <v>239341.51802313444</v>
      </c>
      <c r="J119" s="514">
        <f t="shared" si="11"/>
        <v>0</v>
      </c>
      <c r="K119" s="514"/>
      <c r="L119" s="525"/>
      <c r="M119" s="514">
        <f t="shared" si="20"/>
        <v>0</v>
      </c>
      <c r="N119" s="525"/>
      <c r="O119" s="514">
        <f t="shared" si="13"/>
        <v>0</v>
      </c>
      <c r="P119" s="514">
        <f t="shared" si="14"/>
        <v>0</v>
      </c>
    </row>
    <row r="120" spans="2:16" ht="12.5">
      <c r="B120" s="195" t="str">
        <f t="shared" si="15"/>
        <v/>
      </c>
      <c r="C120" s="507">
        <f>IF(D93="","-",+C119+1)</f>
        <v>2040</v>
      </c>
      <c r="D120" s="374">
        <f>IF(F119+SUM(E$99:E119)=D$92,F119,D$92-SUM(E$99:E119))</f>
        <v>1447517.9169435217</v>
      </c>
      <c r="E120" s="522">
        <f>IF(+J96&lt;F119,J96,D120)</f>
        <v>70998</v>
      </c>
      <c r="F120" s="523">
        <f t="shared" si="16"/>
        <v>1376519.9169435217</v>
      </c>
      <c r="G120" s="523">
        <f t="shared" si="17"/>
        <v>1412018.9169435217</v>
      </c>
      <c r="H120" s="526">
        <f t="shared" si="18"/>
        <v>231282.23497918947</v>
      </c>
      <c r="I120" s="577">
        <f t="shared" si="19"/>
        <v>231282.23497918947</v>
      </c>
      <c r="J120" s="514">
        <f t="shared" si="11"/>
        <v>0</v>
      </c>
      <c r="K120" s="514"/>
      <c r="L120" s="525"/>
      <c r="M120" s="514">
        <f t="shared" si="20"/>
        <v>0</v>
      </c>
      <c r="N120" s="525"/>
      <c r="O120" s="514">
        <f t="shared" si="13"/>
        <v>0</v>
      </c>
      <c r="P120" s="514">
        <f t="shared" si="14"/>
        <v>0</v>
      </c>
    </row>
    <row r="121" spans="2:16" ht="12.5">
      <c r="B121" s="195" t="str">
        <f t="shared" si="15"/>
        <v/>
      </c>
      <c r="C121" s="507">
        <f>IF(D93="","-",+C120+1)</f>
        <v>2041</v>
      </c>
      <c r="D121" s="374">
        <f>IF(F120+SUM(E$99:E120)=D$92,F120,D$92-SUM(E$99:E120))</f>
        <v>1376519.9169435217</v>
      </c>
      <c r="E121" s="522">
        <f>IF(+J96&lt;F120,J96,D121)</f>
        <v>70998</v>
      </c>
      <c r="F121" s="523">
        <f t="shared" si="16"/>
        <v>1305521.9169435217</v>
      </c>
      <c r="G121" s="523">
        <f t="shared" si="17"/>
        <v>1341020.9169435217</v>
      </c>
      <c r="H121" s="526">
        <f t="shared" si="18"/>
        <v>223222.95193524446</v>
      </c>
      <c r="I121" s="577">
        <f t="shared" si="19"/>
        <v>223222.95193524446</v>
      </c>
      <c r="J121" s="514">
        <f t="shared" si="11"/>
        <v>0</v>
      </c>
      <c r="K121" s="514"/>
      <c r="L121" s="525"/>
      <c r="M121" s="514">
        <f t="shared" si="20"/>
        <v>0</v>
      </c>
      <c r="N121" s="525"/>
      <c r="O121" s="514">
        <f t="shared" si="13"/>
        <v>0</v>
      </c>
      <c r="P121" s="514">
        <f t="shared" si="14"/>
        <v>0</v>
      </c>
    </row>
    <row r="122" spans="2:16" ht="12.5">
      <c r="B122" s="195" t="str">
        <f t="shared" si="15"/>
        <v/>
      </c>
      <c r="C122" s="507">
        <f>IF(D93="","-",+C121+1)</f>
        <v>2042</v>
      </c>
      <c r="D122" s="374">
        <f>IF(F121+SUM(E$99:E121)=D$92,F121,D$92-SUM(E$99:E121))</f>
        <v>1305521.9169435217</v>
      </c>
      <c r="E122" s="522">
        <f>IF(+J96&lt;F121,J96,D122)</f>
        <v>70998</v>
      </c>
      <c r="F122" s="523">
        <f t="shared" si="16"/>
        <v>1234523.9169435217</v>
      </c>
      <c r="G122" s="523">
        <f t="shared" si="17"/>
        <v>1270022.9169435217</v>
      </c>
      <c r="H122" s="526">
        <f t="shared" si="18"/>
        <v>215163.66889129949</v>
      </c>
      <c r="I122" s="577">
        <f t="shared" si="19"/>
        <v>215163.66889129949</v>
      </c>
      <c r="J122" s="514">
        <f t="shared" si="11"/>
        <v>0</v>
      </c>
      <c r="K122" s="514"/>
      <c r="L122" s="525"/>
      <c r="M122" s="514">
        <f t="shared" si="20"/>
        <v>0</v>
      </c>
      <c r="N122" s="525"/>
      <c r="O122" s="514">
        <f t="shared" si="13"/>
        <v>0</v>
      </c>
      <c r="P122" s="514">
        <f t="shared" si="14"/>
        <v>0</v>
      </c>
    </row>
    <row r="123" spans="2:16" ht="12.5">
      <c r="B123" s="195" t="str">
        <f t="shared" si="15"/>
        <v/>
      </c>
      <c r="C123" s="507">
        <f>IF(D93="","-",+C122+1)</f>
        <v>2043</v>
      </c>
      <c r="D123" s="374">
        <f>IF(F122+SUM(E$99:E122)=D$92,F122,D$92-SUM(E$99:E122))</f>
        <v>1234523.9169435217</v>
      </c>
      <c r="E123" s="522">
        <f>IF(+J96&lt;F122,J96,D123)</f>
        <v>70998</v>
      </c>
      <c r="F123" s="523">
        <f t="shared" si="16"/>
        <v>1163525.9169435217</v>
      </c>
      <c r="G123" s="523">
        <f t="shared" si="17"/>
        <v>1199024.9169435217</v>
      </c>
      <c r="H123" s="526">
        <f t="shared" si="18"/>
        <v>207104.38584735448</v>
      </c>
      <c r="I123" s="577">
        <f t="shared" si="19"/>
        <v>207104.38584735448</v>
      </c>
      <c r="J123" s="514">
        <f t="shared" si="11"/>
        <v>0</v>
      </c>
      <c r="K123" s="514"/>
      <c r="L123" s="525"/>
      <c r="M123" s="514">
        <f t="shared" si="20"/>
        <v>0</v>
      </c>
      <c r="N123" s="525"/>
      <c r="O123" s="514">
        <f t="shared" si="13"/>
        <v>0</v>
      </c>
      <c r="P123" s="514">
        <f t="shared" si="14"/>
        <v>0</v>
      </c>
    </row>
    <row r="124" spans="2:16" ht="12.5">
      <c r="B124" s="195" t="str">
        <f t="shared" si="15"/>
        <v/>
      </c>
      <c r="C124" s="507">
        <f>IF(D93="","-",+C123+1)</f>
        <v>2044</v>
      </c>
      <c r="D124" s="374">
        <f>IF(F123+SUM(E$99:E123)=D$92,F123,D$92-SUM(E$99:E123))</f>
        <v>1163525.9169435217</v>
      </c>
      <c r="E124" s="522">
        <f>IF(+J96&lt;F123,J96,D124)</f>
        <v>70998</v>
      </c>
      <c r="F124" s="523">
        <f t="shared" si="16"/>
        <v>1092527.9169435217</v>
      </c>
      <c r="G124" s="523">
        <f t="shared" si="17"/>
        <v>1128026.9169435217</v>
      </c>
      <c r="H124" s="526">
        <f t="shared" si="18"/>
        <v>199045.10280340951</v>
      </c>
      <c r="I124" s="577">
        <f t="shared" si="19"/>
        <v>199045.10280340951</v>
      </c>
      <c r="J124" s="514">
        <f t="shared" si="11"/>
        <v>0</v>
      </c>
      <c r="K124" s="514"/>
      <c r="L124" s="525"/>
      <c r="M124" s="514">
        <f t="shared" si="20"/>
        <v>0</v>
      </c>
      <c r="N124" s="525"/>
      <c r="O124" s="514">
        <f t="shared" si="13"/>
        <v>0</v>
      </c>
      <c r="P124" s="514">
        <f t="shared" si="14"/>
        <v>0</v>
      </c>
    </row>
    <row r="125" spans="2:16" ht="12.5">
      <c r="B125" s="195" t="str">
        <f t="shared" si="15"/>
        <v/>
      </c>
      <c r="C125" s="507">
        <f>IF(D93="","-",+C124+1)</f>
        <v>2045</v>
      </c>
      <c r="D125" s="374">
        <f>IF(F124+SUM(E$99:E124)=D$92,F124,D$92-SUM(E$99:E124))</f>
        <v>1092527.9169435217</v>
      </c>
      <c r="E125" s="522">
        <f>IF(+J96&lt;F124,J96,D125)</f>
        <v>70998</v>
      </c>
      <c r="F125" s="523">
        <f t="shared" si="16"/>
        <v>1021529.9169435217</v>
      </c>
      <c r="G125" s="523">
        <f t="shared" si="17"/>
        <v>1057028.9169435217</v>
      </c>
      <c r="H125" s="526">
        <f t="shared" si="18"/>
        <v>190985.8197594645</v>
      </c>
      <c r="I125" s="577">
        <f t="shared" si="19"/>
        <v>190985.8197594645</v>
      </c>
      <c r="J125" s="514">
        <f t="shared" si="11"/>
        <v>0</v>
      </c>
      <c r="K125" s="514"/>
      <c r="L125" s="525"/>
      <c r="M125" s="514">
        <f t="shared" si="20"/>
        <v>0</v>
      </c>
      <c r="N125" s="525"/>
      <c r="O125" s="514">
        <f t="shared" si="13"/>
        <v>0</v>
      </c>
      <c r="P125" s="514">
        <f t="shared" si="14"/>
        <v>0</v>
      </c>
    </row>
    <row r="126" spans="2:16" ht="12.5">
      <c r="B126" s="195" t="str">
        <f t="shared" si="15"/>
        <v/>
      </c>
      <c r="C126" s="507">
        <f>IF(D93="","-",+C125+1)</f>
        <v>2046</v>
      </c>
      <c r="D126" s="374">
        <f>IF(F125+SUM(E$99:E125)=D$92,F125,D$92-SUM(E$99:E125))</f>
        <v>1021529.9169435217</v>
      </c>
      <c r="E126" s="522">
        <f>IF(+J96&lt;F125,J96,D126)</f>
        <v>70998</v>
      </c>
      <c r="F126" s="523">
        <f t="shared" si="16"/>
        <v>950531.9169435217</v>
      </c>
      <c r="G126" s="523">
        <f t="shared" si="17"/>
        <v>986030.9169435217</v>
      </c>
      <c r="H126" s="526">
        <f t="shared" si="18"/>
        <v>182926.5367155195</v>
      </c>
      <c r="I126" s="577">
        <f t="shared" si="19"/>
        <v>182926.5367155195</v>
      </c>
      <c r="J126" s="514">
        <f t="shared" si="11"/>
        <v>0</v>
      </c>
      <c r="K126" s="514"/>
      <c r="L126" s="525"/>
      <c r="M126" s="514">
        <f t="shared" si="20"/>
        <v>0</v>
      </c>
      <c r="N126" s="525"/>
      <c r="O126" s="514">
        <f t="shared" si="13"/>
        <v>0</v>
      </c>
      <c r="P126" s="514">
        <f t="shared" si="14"/>
        <v>0</v>
      </c>
    </row>
    <row r="127" spans="2:16" ht="12.5">
      <c r="B127" s="195" t="str">
        <f t="shared" si="15"/>
        <v/>
      </c>
      <c r="C127" s="507">
        <f>IF(D93="","-",+C126+1)</f>
        <v>2047</v>
      </c>
      <c r="D127" s="374">
        <f>IF(F126+SUM(E$99:E126)=D$92,F126,D$92-SUM(E$99:E126))</f>
        <v>950531.9169435217</v>
      </c>
      <c r="E127" s="522">
        <f>IF(+J96&lt;F126,J96,D127)</f>
        <v>70998</v>
      </c>
      <c r="F127" s="523">
        <f t="shared" si="16"/>
        <v>879533.9169435217</v>
      </c>
      <c r="G127" s="523">
        <f t="shared" si="17"/>
        <v>915032.9169435217</v>
      </c>
      <c r="H127" s="526">
        <f t="shared" si="18"/>
        <v>174867.25367157452</v>
      </c>
      <c r="I127" s="577">
        <f t="shared" si="19"/>
        <v>174867.25367157452</v>
      </c>
      <c r="J127" s="514">
        <f t="shared" si="11"/>
        <v>0</v>
      </c>
      <c r="K127" s="514"/>
      <c r="L127" s="525"/>
      <c r="M127" s="514">
        <f t="shared" si="20"/>
        <v>0</v>
      </c>
      <c r="N127" s="525"/>
      <c r="O127" s="514">
        <f t="shared" si="13"/>
        <v>0</v>
      </c>
      <c r="P127" s="514">
        <f t="shared" si="14"/>
        <v>0</v>
      </c>
    </row>
    <row r="128" spans="2:16" ht="12.5">
      <c r="B128" s="195" t="str">
        <f t="shared" si="15"/>
        <v/>
      </c>
      <c r="C128" s="507">
        <f>IF(D93="","-",+C127+1)</f>
        <v>2048</v>
      </c>
      <c r="D128" s="374">
        <f>IF(F127+SUM(E$99:E127)=D$92,F127,D$92-SUM(E$99:E127))</f>
        <v>879533.9169435217</v>
      </c>
      <c r="E128" s="522">
        <f>IF(+J96&lt;F127,J96,D128)</f>
        <v>70998</v>
      </c>
      <c r="F128" s="523">
        <f t="shared" si="16"/>
        <v>808535.9169435217</v>
      </c>
      <c r="G128" s="523">
        <f t="shared" si="17"/>
        <v>844034.9169435217</v>
      </c>
      <c r="H128" s="526">
        <f t="shared" si="18"/>
        <v>166807.97062762955</v>
      </c>
      <c r="I128" s="577">
        <f t="shared" si="19"/>
        <v>166807.97062762955</v>
      </c>
      <c r="J128" s="514">
        <f t="shared" si="11"/>
        <v>0</v>
      </c>
      <c r="K128" s="514"/>
      <c r="L128" s="525"/>
      <c r="M128" s="514">
        <f t="shared" si="20"/>
        <v>0</v>
      </c>
      <c r="N128" s="525"/>
      <c r="O128" s="514">
        <f t="shared" si="13"/>
        <v>0</v>
      </c>
      <c r="P128" s="514">
        <f t="shared" si="14"/>
        <v>0</v>
      </c>
    </row>
    <row r="129" spans="2:16" ht="12.5">
      <c r="B129" s="195" t="str">
        <f t="shared" si="15"/>
        <v/>
      </c>
      <c r="C129" s="507">
        <f>IF(D93="","-",+C128+1)</f>
        <v>2049</v>
      </c>
      <c r="D129" s="374">
        <f>IF(F128+SUM(E$99:E128)=D$92,F128,D$92-SUM(E$99:E128))</f>
        <v>808535.9169435217</v>
      </c>
      <c r="E129" s="522">
        <f>IF(+J96&lt;F128,J96,D129)</f>
        <v>70998</v>
      </c>
      <c r="F129" s="523">
        <f t="shared" si="16"/>
        <v>737537.9169435217</v>
      </c>
      <c r="G129" s="523">
        <f t="shared" si="17"/>
        <v>773036.9169435217</v>
      </c>
      <c r="H129" s="526">
        <f t="shared" si="18"/>
        <v>158748.68758368457</v>
      </c>
      <c r="I129" s="577">
        <f t="shared" si="19"/>
        <v>158748.68758368457</v>
      </c>
      <c r="J129" s="514">
        <f t="shared" si="11"/>
        <v>0</v>
      </c>
      <c r="K129" s="514"/>
      <c r="L129" s="525"/>
      <c r="M129" s="514">
        <f t="shared" si="20"/>
        <v>0</v>
      </c>
      <c r="N129" s="525"/>
      <c r="O129" s="514">
        <f t="shared" si="13"/>
        <v>0</v>
      </c>
      <c r="P129" s="514">
        <f t="shared" si="14"/>
        <v>0</v>
      </c>
    </row>
    <row r="130" spans="2:16" ht="12.5">
      <c r="B130" s="195" t="str">
        <f t="shared" si="15"/>
        <v/>
      </c>
      <c r="C130" s="507">
        <f>IF(D93="","-",+C129+1)</f>
        <v>2050</v>
      </c>
      <c r="D130" s="374">
        <f>IF(F129+SUM(E$99:E129)=D$92,F129,D$92-SUM(E$99:E129))</f>
        <v>737537.9169435217</v>
      </c>
      <c r="E130" s="522">
        <f>IF(+J96&lt;F129,J96,D130)</f>
        <v>70998</v>
      </c>
      <c r="F130" s="523">
        <f t="shared" si="16"/>
        <v>666539.9169435217</v>
      </c>
      <c r="G130" s="523">
        <f t="shared" si="17"/>
        <v>702038.9169435217</v>
      </c>
      <c r="H130" s="526">
        <f t="shared" si="18"/>
        <v>150689.40453973957</v>
      </c>
      <c r="I130" s="577">
        <f t="shared" si="19"/>
        <v>150689.40453973957</v>
      </c>
      <c r="J130" s="514">
        <f t="shared" si="11"/>
        <v>0</v>
      </c>
      <c r="K130" s="514"/>
      <c r="L130" s="525"/>
      <c r="M130" s="514">
        <f t="shared" si="20"/>
        <v>0</v>
      </c>
      <c r="N130" s="525"/>
      <c r="O130" s="514">
        <f t="shared" si="13"/>
        <v>0</v>
      </c>
      <c r="P130" s="514">
        <f t="shared" si="14"/>
        <v>0</v>
      </c>
    </row>
    <row r="131" spans="2:16" ht="12.5">
      <c r="B131" s="195" t="str">
        <f t="shared" si="15"/>
        <v/>
      </c>
      <c r="C131" s="507">
        <f>IF(D93="","-",+C130+1)</f>
        <v>2051</v>
      </c>
      <c r="D131" s="374">
        <f>IF(F130+SUM(E$99:E130)=D$92,F130,D$92-SUM(E$99:E130))</f>
        <v>666539.9169435217</v>
      </c>
      <c r="E131" s="522">
        <f>IF(+J96&lt;F130,J96,D131)</f>
        <v>70998</v>
      </c>
      <c r="F131" s="523">
        <f t="shared" si="16"/>
        <v>595541.9169435217</v>
      </c>
      <c r="G131" s="523">
        <f t="shared" si="17"/>
        <v>631040.9169435217</v>
      </c>
      <c r="H131" s="526">
        <f t="shared" si="18"/>
        <v>142630.12149579456</v>
      </c>
      <c r="I131" s="577">
        <f t="shared" si="19"/>
        <v>142630.12149579456</v>
      </c>
      <c r="J131" s="514">
        <f t="shared" ref="J131:J154" si="21">+I541-H541</f>
        <v>0</v>
      </c>
      <c r="K131" s="514"/>
      <c r="L131" s="525"/>
      <c r="M131" s="514">
        <f t="shared" ref="M131:M154" si="22">IF(L541&lt;&gt;0,+H541-L541,0)</f>
        <v>0</v>
      </c>
      <c r="N131" s="525"/>
      <c r="O131" s="514">
        <f t="shared" ref="O131:O154" si="23">IF(N541&lt;&gt;0,+I541-N541,0)</f>
        <v>0</v>
      </c>
      <c r="P131" s="514">
        <f t="shared" ref="P131:P154" si="24">+O541-M541</f>
        <v>0</v>
      </c>
    </row>
    <row r="132" spans="2:16" ht="12.5">
      <c r="B132" s="195" t="str">
        <f t="shared" si="15"/>
        <v/>
      </c>
      <c r="C132" s="507">
        <f>IF(D93="","-",+C131+1)</f>
        <v>2052</v>
      </c>
      <c r="D132" s="374">
        <f>IF(F131+SUM(E$99:E131)=D$92,F131,D$92-SUM(E$99:E131))</f>
        <v>595541.9169435217</v>
      </c>
      <c r="E132" s="522">
        <f>IF(+J96&lt;F131,J96,D132)</f>
        <v>70998</v>
      </c>
      <c r="F132" s="523">
        <f t="shared" si="16"/>
        <v>524543.9169435217</v>
      </c>
      <c r="G132" s="523">
        <f t="shared" si="17"/>
        <v>560042.9169435217</v>
      </c>
      <c r="H132" s="526">
        <f t="shared" si="18"/>
        <v>134570.83845184959</v>
      </c>
      <c r="I132" s="577">
        <f t="shared" si="19"/>
        <v>134570.83845184959</v>
      </c>
      <c r="J132" s="514">
        <f t="shared" si="21"/>
        <v>0</v>
      </c>
      <c r="K132" s="514"/>
      <c r="L132" s="525"/>
      <c r="M132" s="514">
        <f t="shared" si="22"/>
        <v>0</v>
      </c>
      <c r="N132" s="525"/>
      <c r="O132" s="514">
        <f t="shared" si="23"/>
        <v>0</v>
      </c>
      <c r="P132" s="514">
        <f t="shared" si="24"/>
        <v>0</v>
      </c>
    </row>
    <row r="133" spans="2:16" ht="12.5">
      <c r="B133" s="195" t="str">
        <f t="shared" si="15"/>
        <v/>
      </c>
      <c r="C133" s="507">
        <f>IF(D93="","-",+C132+1)</f>
        <v>2053</v>
      </c>
      <c r="D133" s="374">
        <f>IF(F132+SUM(E$99:E132)=D$92,F132,D$92-SUM(E$99:E132))</f>
        <v>524543.9169435217</v>
      </c>
      <c r="E133" s="522">
        <f>IF(+J96&lt;F132,J96,D133)</f>
        <v>70998</v>
      </c>
      <c r="F133" s="523">
        <f t="shared" si="16"/>
        <v>453545.9169435217</v>
      </c>
      <c r="G133" s="523">
        <f t="shared" si="17"/>
        <v>489044.9169435217</v>
      </c>
      <c r="H133" s="526">
        <f t="shared" si="18"/>
        <v>126511.55540790458</v>
      </c>
      <c r="I133" s="577">
        <f t="shared" si="19"/>
        <v>126511.55540790458</v>
      </c>
      <c r="J133" s="514">
        <f t="shared" si="21"/>
        <v>0</v>
      </c>
      <c r="K133" s="514"/>
      <c r="L133" s="525"/>
      <c r="M133" s="514">
        <f t="shared" si="22"/>
        <v>0</v>
      </c>
      <c r="N133" s="525"/>
      <c r="O133" s="514">
        <f t="shared" si="23"/>
        <v>0</v>
      </c>
      <c r="P133" s="514">
        <f t="shared" si="24"/>
        <v>0</v>
      </c>
    </row>
    <row r="134" spans="2:16" ht="12.5">
      <c r="B134" s="195" t="str">
        <f t="shared" si="15"/>
        <v/>
      </c>
      <c r="C134" s="507">
        <f>IF(D93="","-",+C133+1)</f>
        <v>2054</v>
      </c>
      <c r="D134" s="374">
        <f>IF(F133+SUM(E$99:E133)=D$92,F133,D$92-SUM(E$99:E133))</f>
        <v>453545.9169435217</v>
      </c>
      <c r="E134" s="522">
        <f>IF(+J96&lt;F133,J96,D134)</f>
        <v>70998</v>
      </c>
      <c r="F134" s="523">
        <f t="shared" si="16"/>
        <v>382547.9169435217</v>
      </c>
      <c r="G134" s="523">
        <f t="shared" si="17"/>
        <v>418046.9169435217</v>
      </c>
      <c r="H134" s="526">
        <f t="shared" si="18"/>
        <v>118452.27236395961</v>
      </c>
      <c r="I134" s="577">
        <f t="shared" si="19"/>
        <v>118452.27236395961</v>
      </c>
      <c r="J134" s="514">
        <f t="shared" si="21"/>
        <v>0</v>
      </c>
      <c r="K134" s="514"/>
      <c r="L134" s="525"/>
      <c r="M134" s="514">
        <f t="shared" si="22"/>
        <v>0</v>
      </c>
      <c r="N134" s="525"/>
      <c r="O134" s="514">
        <f t="shared" si="23"/>
        <v>0</v>
      </c>
      <c r="P134" s="514">
        <f t="shared" si="24"/>
        <v>0</v>
      </c>
    </row>
    <row r="135" spans="2:16" ht="12.5">
      <c r="B135" s="195" t="str">
        <f t="shared" si="15"/>
        <v/>
      </c>
      <c r="C135" s="507">
        <f>IF(D93="","-",+C134+1)</f>
        <v>2055</v>
      </c>
      <c r="D135" s="374">
        <f>IF(F134+SUM(E$99:E134)=D$92,F134,D$92-SUM(E$99:E134))</f>
        <v>382547.9169435217</v>
      </c>
      <c r="E135" s="522">
        <f>IF(+J96&lt;F134,J96,D135)</f>
        <v>70998</v>
      </c>
      <c r="F135" s="523">
        <f t="shared" si="16"/>
        <v>311549.9169435217</v>
      </c>
      <c r="G135" s="523">
        <f t="shared" si="17"/>
        <v>347048.9169435217</v>
      </c>
      <c r="H135" s="526">
        <f t="shared" si="18"/>
        <v>110392.9893200146</v>
      </c>
      <c r="I135" s="577">
        <f t="shared" si="19"/>
        <v>110392.9893200146</v>
      </c>
      <c r="J135" s="514">
        <f t="shared" si="21"/>
        <v>0</v>
      </c>
      <c r="K135" s="514"/>
      <c r="L135" s="525"/>
      <c r="M135" s="514">
        <f t="shared" si="22"/>
        <v>0</v>
      </c>
      <c r="N135" s="525"/>
      <c r="O135" s="514">
        <f t="shared" si="23"/>
        <v>0</v>
      </c>
      <c r="P135" s="514">
        <f t="shared" si="24"/>
        <v>0</v>
      </c>
    </row>
    <row r="136" spans="2:16" ht="12.5">
      <c r="B136" s="195" t="str">
        <f t="shared" si="15"/>
        <v/>
      </c>
      <c r="C136" s="507">
        <f>IF(D93="","-",+C135+1)</f>
        <v>2056</v>
      </c>
      <c r="D136" s="374">
        <f>IF(F135+SUM(E$99:E135)=D$92,F135,D$92-SUM(E$99:E135))</f>
        <v>311549.9169435217</v>
      </c>
      <c r="E136" s="522">
        <f>IF(+J96&lt;F135,J96,D136)</f>
        <v>70998</v>
      </c>
      <c r="F136" s="523">
        <f t="shared" si="16"/>
        <v>240551.9169435217</v>
      </c>
      <c r="G136" s="523">
        <f t="shared" si="17"/>
        <v>276050.9169435217</v>
      </c>
      <c r="H136" s="526">
        <f t="shared" si="18"/>
        <v>102333.70627606963</v>
      </c>
      <c r="I136" s="577">
        <f t="shared" si="19"/>
        <v>102333.70627606963</v>
      </c>
      <c r="J136" s="514">
        <f t="shared" si="21"/>
        <v>0</v>
      </c>
      <c r="K136" s="514"/>
      <c r="L136" s="525"/>
      <c r="M136" s="514">
        <f t="shared" si="22"/>
        <v>0</v>
      </c>
      <c r="N136" s="525"/>
      <c r="O136" s="514">
        <f t="shared" si="23"/>
        <v>0</v>
      </c>
      <c r="P136" s="514">
        <f t="shared" si="24"/>
        <v>0</v>
      </c>
    </row>
    <row r="137" spans="2:16" ht="12.5">
      <c r="B137" s="195" t="str">
        <f t="shared" si="15"/>
        <v/>
      </c>
      <c r="C137" s="507">
        <f>IF(D93="","-",+C136+1)</f>
        <v>2057</v>
      </c>
      <c r="D137" s="374">
        <f>IF(F136+SUM(E$99:E136)=D$92,F136,D$92-SUM(E$99:E136))</f>
        <v>240551.9169435217</v>
      </c>
      <c r="E137" s="522">
        <f>IF(+J96&lt;F136,J96,D137)</f>
        <v>70998</v>
      </c>
      <c r="F137" s="523">
        <f t="shared" si="16"/>
        <v>169553.9169435217</v>
      </c>
      <c r="G137" s="523">
        <f t="shared" si="17"/>
        <v>205052.9169435217</v>
      </c>
      <c r="H137" s="526">
        <f t="shared" si="18"/>
        <v>94274.423232124638</v>
      </c>
      <c r="I137" s="577">
        <f t="shared" si="19"/>
        <v>94274.423232124638</v>
      </c>
      <c r="J137" s="514">
        <f t="shared" si="21"/>
        <v>0</v>
      </c>
      <c r="K137" s="514"/>
      <c r="L137" s="525"/>
      <c r="M137" s="514">
        <f t="shared" si="22"/>
        <v>0</v>
      </c>
      <c r="N137" s="525"/>
      <c r="O137" s="514">
        <f t="shared" si="23"/>
        <v>0</v>
      </c>
      <c r="P137" s="514">
        <f t="shared" si="24"/>
        <v>0</v>
      </c>
    </row>
    <row r="138" spans="2:16" ht="12.5">
      <c r="B138" s="195" t="str">
        <f t="shared" si="15"/>
        <v/>
      </c>
      <c r="C138" s="507">
        <f>IF(D93="","-",+C137+1)</f>
        <v>2058</v>
      </c>
      <c r="D138" s="374">
        <f>IF(F137+SUM(E$99:E137)=D$92,F137,D$92-SUM(E$99:E137))</f>
        <v>169553.9169435217</v>
      </c>
      <c r="E138" s="522">
        <f>IF(+J96&lt;F137,J96,D138)</f>
        <v>70998</v>
      </c>
      <c r="F138" s="523">
        <f t="shared" si="16"/>
        <v>98555.916943521705</v>
      </c>
      <c r="G138" s="523">
        <f t="shared" si="17"/>
        <v>134054.9169435217</v>
      </c>
      <c r="H138" s="526">
        <f t="shared" si="18"/>
        <v>86215.140188179648</v>
      </c>
      <c r="I138" s="577">
        <f t="shared" si="19"/>
        <v>86215.140188179648</v>
      </c>
      <c r="J138" s="514">
        <f t="shared" si="21"/>
        <v>0</v>
      </c>
      <c r="K138" s="514"/>
      <c r="L138" s="525"/>
      <c r="M138" s="514">
        <f t="shared" si="22"/>
        <v>0</v>
      </c>
      <c r="N138" s="525"/>
      <c r="O138" s="514">
        <f t="shared" si="23"/>
        <v>0</v>
      </c>
      <c r="P138" s="514">
        <f t="shared" si="24"/>
        <v>0</v>
      </c>
    </row>
    <row r="139" spans="2:16" ht="12.5">
      <c r="B139" s="195" t="str">
        <f t="shared" si="15"/>
        <v/>
      </c>
      <c r="C139" s="507">
        <f>IF(D93="","-",+C138+1)</f>
        <v>2059</v>
      </c>
      <c r="D139" s="374">
        <f>IF(F138+SUM(E$99:E138)=D$92,F138,D$92-SUM(E$99:E138))</f>
        <v>98555.916943521705</v>
      </c>
      <c r="E139" s="522">
        <f>IF(+J96&lt;F138,J96,D139)</f>
        <v>70998</v>
      </c>
      <c r="F139" s="523">
        <f t="shared" si="16"/>
        <v>27557.916943521705</v>
      </c>
      <c r="G139" s="523">
        <f t="shared" si="17"/>
        <v>63056.916943521705</v>
      </c>
      <c r="H139" s="526">
        <f t="shared" si="18"/>
        <v>78155.857144234658</v>
      </c>
      <c r="I139" s="577">
        <f t="shared" si="19"/>
        <v>78155.857144234658</v>
      </c>
      <c r="J139" s="514">
        <f t="shared" si="21"/>
        <v>0</v>
      </c>
      <c r="K139" s="514"/>
      <c r="L139" s="525"/>
      <c r="M139" s="514">
        <f t="shared" si="22"/>
        <v>0</v>
      </c>
      <c r="N139" s="525"/>
      <c r="O139" s="514">
        <f t="shared" si="23"/>
        <v>0</v>
      </c>
      <c r="P139" s="514">
        <f t="shared" si="24"/>
        <v>0</v>
      </c>
    </row>
    <row r="140" spans="2:16" ht="12.5">
      <c r="B140" s="195" t="str">
        <f t="shared" si="15"/>
        <v/>
      </c>
      <c r="C140" s="507">
        <f>IF(D93="","-",+C139+1)</f>
        <v>2060</v>
      </c>
      <c r="D140" s="374">
        <f>IF(F139+SUM(E$99:E139)=D$92,F139,D$92-SUM(E$99:E139))</f>
        <v>27557.916943521705</v>
      </c>
      <c r="E140" s="522">
        <f>IF(+J96&lt;F139,J96,D140)</f>
        <v>27557.916943521705</v>
      </c>
      <c r="F140" s="523">
        <f t="shared" si="16"/>
        <v>0</v>
      </c>
      <c r="G140" s="523">
        <f t="shared" si="17"/>
        <v>13778.958471760852</v>
      </c>
      <c r="H140" s="526">
        <f t="shared" si="18"/>
        <v>29122.024754652783</v>
      </c>
      <c r="I140" s="577">
        <f t="shared" si="19"/>
        <v>29122.024754652783</v>
      </c>
      <c r="J140" s="514">
        <f t="shared" si="21"/>
        <v>0</v>
      </c>
      <c r="K140" s="514"/>
      <c r="L140" s="525"/>
      <c r="M140" s="514">
        <f t="shared" si="22"/>
        <v>0</v>
      </c>
      <c r="N140" s="525"/>
      <c r="O140" s="514">
        <f t="shared" si="23"/>
        <v>0</v>
      </c>
      <c r="P140" s="514">
        <f t="shared" si="24"/>
        <v>0</v>
      </c>
    </row>
    <row r="141" spans="2:16" ht="12.5">
      <c r="B141" s="195" t="str">
        <f t="shared" si="15"/>
        <v/>
      </c>
      <c r="C141" s="507">
        <f>IF(D93="","-",+C140+1)</f>
        <v>2061</v>
      </c>
      <c r="D141" s="374">
        <f>IF(F140+SUM(E$99:E140)=D$92,F140,D$92-SUM(E$99:E140))</f>
        <v>0</v>
      </c>
      <c r="E141" s="522">
        <f>IF(+J96&lt;F140,J96,D141)</f>
        <v>0</v>
      </c>
      <c r="F141" s="523">
        <f t="shared" si="16"/>
        <v>0</v>
      </c>
      <c r="G141" s="523">
        <f t="shared" si="17"/>
        <v>0</v>
      </c>
      <c r="H141" s="526">
        <f t="shared" si="18"/>
        <v>0</v>
      </c>
      <c r="I141" s="577">
        <f t="shared" si="19"/>
        <v>0</v>
      </c>
      <c r="J141" s="514">
        <f t="shared" si="21"/>
        <v>0</v>
      </c>
      <c r="K141" s="514"/>
      <c r="L141" s="525"/>
      <c r="M141" s="514">
        <f t="shared" si="22"/>
        <v>0</v>
      </c>
      <c r="N141" s="525"/>
      <c r="O141" s="514">
        <f t="shared" si="23"/>
        <v>0</v>
      </c>
      <c r="P141" s="514">
        <f t="shared" si="24"/>
        <v>0</v>
      </c>
    </row>
    <row r="142" spans="2:16" ht="12.5">
      <c r="B142" s="195" t="str">
        <f t="shared" si="15"/>
        <v/>
      </c>
      <c r="C142" s="507">
        <f>IF(D93="","-",+C141+1)</f>
        <v>2062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16"/>
        <v>0</v>
      </c>
      <c r="G142" s="523">
        <f t="shared" si="17"/>
        <v>0</v>
      </c>
      <c r="H142" s="526">
        <f t="shared" si="18"/>
        <v>0</v>
      </c>
      <c r="I142" s="577">
        <f t="shared" si="19"/>
        <v>0</v>
      </c>
      <c r="J142" s="514">
        <f t="shared" si="21"/>
        <v>0</v>
      </c>
      <c r="K142" s="514"/>
      <c r="L142" s="525"/>
      <c r="M142" s="514">
        <f t="shared" si="22"/>
        <v>0</v>
      </c>
      <c r="N142" s="525"/>
      <c r="O142" s="514">
        <f t="shared" si="23"/>
        <v>0</v>
      </c>
      <c r="P142" s="514">
        <f t="shared" si="24"/>
        <v>0</v>
      </c>
    </row>
    <row r="143" spans="2:16" ht="12.5">
      <c r="B143" s="195" t="str">
        <f t="shared" si="15"/>
        <v/>
      </c>
      <c r="C143" s="507">
        <f>IF(D93="","-",+C142+1)</f>
        <v>2063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16"/>
        <v>0</v>
      </c>
      <c r="G143" s="523">
        <f t="shared" si="17"/>
        <v>0</v>
      </c>
      <c r="H143" s="526">
        <f t="shared" si="18"/>
        <v>0</v>
      </c>
      <c r="I143" s="577">
        <f t="shared" si="19"/>
        <v>0</v>
      </c>
      <c r="J143" s="514">
        <f t="shared" si="21"/>
        <v>0</v>
      </c>
      <c r="K143" s="514"/>
      <c r="L143" s="525"/>
      <c r="M143" s="514">
        <f t="shared" si="22"/>
        <v>0</v>
      </c>
      <c r="N143" s="525"/>
      <c r="O143" s="514">
        <f t="shared" si="23"/>
        <v>0</v>
      </c>
      <c r="P143" s="514">
        <f t="shared" si="24"/>
        <v>0</v>
      </c>
    </row>
    <row r="144" spans="2:16" ht="12.5">
      <c r="B144" s="195" t="str">
        <f t="shared" si="15"/>
        <v/>
      </c>
      <c r="C144" s="507">
        <f>IF(D93="","-",+C143+1)</f>
        <v>2064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16"/>
        <v>0</v>
      </c>
      <c r="G144" s="523">
        <f t="shared" si="17"/>
        <v>0</v>
      </c>
      <c r="H144" s="526">
        <f t="shared" si="18"/>
        <v>0</v>
      </c>
      <c r="I144" s="577">
        <f t="shared" si="19"/>
        <v>0</v>
      </c>
      <c r="J144" s="514">
        <f t="shared" si="21"/>
        <v>0</v>
      </c>
      <c r="K144" s="514"/>
      <c r="L144" s="525"/>
      <c r="M144" s="514">
        <f t="shared" si="22"/>
        <v>0</v>
      </c>
      <c r="N144" s="525"/>
      <c r="O144" s="514">
        <f t="shared" si="23"/>
        <v>0</v>
      </c>
      <c r="P144" s="514">
        <f t="shared" si="24"/>
        <v>0</v>
      </c>
    </row>
    <row r="145" spans="2:16" ht="12.5">
      <c r="B145" s="195" t="str">
        <f t="shared" si="15"/>
        <v/>
      </c>
      <c r="C145" s="507">
        <f>IF(D93="","-",+C144+1)</f>
        <v>2065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16"/>
        <v>0</v>
      </c>
      <c r="G145" s="523">
        <f t="shared" si="17"/>
        <v>0</v>
      </c>
      <c r="H145" s="526">
        <f t="shared" si="18"/>
        <v>0</v>
      </c>
      <c r="I145" s="577">
        <f t="shared" si="19"/>
        <v>0</v>
      </c>
      <c r="J145" s="514">
        <f t="shared" si="21"/>
        <v>0</v>
      </c>
      <c r="K145" s="514"/>
      <c r="L145" s="525"/>
      <c r="M145" s="514">
        <f t="shared" si="22"/>
        <v>0</v>
      </c>
      <c r="N145" s="525"/>
      <c r="O145" s="514">
        <f t="shared" si="23"/>
        <v>0</v>
      </c>
      <c r="P145" s="514">
        <f t="shared" si="24"/>
        <v>0</v>
      </c>
    </row>
    <row r="146" spans="2:16" ht="12.5">
      <c r="B146" s="195" t="str">
        <f t="shared" si="15"/>
        <v/>
      </c>
      <c r="C146" s="507">
        <f>IF(D93="","-",+C145+1)</f>
        <v>2066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16"/>
        <v>0</v>
      </c>
      <c r="G146" s="523">
        <f t="shared" si="17"/>
        <v>0</v>
      </c>
      <c r="H146" s="526">
        <f t="shared" si="18"/>
        <v>0</v>
      </c>
      <c r="I146" s="577">
        <f t="shared" si="19"/>
        <v>0</v>
      </c>
      <c r="J146" s="514">
        <f t="shared" si="21"/>
        <v>0</v>
      </c>
      <c r="K146" s="514"/>
      <c r="L146" s="525"/>
      <c r="M146" s="514">
        <f t="shared" si="22"/>
        <v>0</v>
      </c>
      <c r="N146" s="525"/>
      <c r="O146" s="514">
        <f t="shared" si="23"/>
        <v>0</v>
      </c>
      <c r="P146" s="514">
        <f t="shared" si="24"/>
        <v>0</v>
      </c>
    </row>
    <row r="147" spans="2:16" ht="12.5">
      <c r="B147" s="195" t="str">
        <f t="shared" si="15"/>
        <v/>
      </c>
      <c r="C147" s="507">
        <f>IF(D93="","-",+C146+1)</f>
        <v>2067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16"/>
        <v>0</v>
      </c>
      <c r="G147" s="523">
        <f t="shared" si="17"/>
        <v>0</v>
      </c>
      <c r="H147" s="526">
        <f t="shared" si="18"/>
        <v>0</v>
      </c>
      <c r="I147" s="577">
        <f t="shared" si="19"/>
        <v>0</v>
      </c>
      <c r="J147" s="514">
        <f t="shared" si="21"/>
        <v>0</v>
      </c>
      <c r="K147" s="514"/>
      <c r="L147" s="525"/>
      <c r="M147" s="514">
        <f t="shared" si="22"/>
        <v>0</v>
      </c>
      <c r="N147" s="525"/>
      <c r="O147" s="514">
        <f t="shared" si="23"/>
        <v>0</v>
      </c>
      <c r="P147" s="514">
        <f t="shared" si="24"/>
        <v>0</v>
      </c>
    </row>
    <row r="148" spans="2:16" ht="12.5">
      <c r="B148" s="195" t="str">
        <f t="shared" si="15"/>
        <v/>
      </c>
      <c r="C148" s="507">
        <f>IF(D93="","-",+C147+1)</f>
        <v>2068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16"/>
        <v>0</v>
      </c>
      <c r="G148" s="523">
        <f t="shared" si="17"/>
        <v>0</v>
      </c>
      <c r="H148" s="526">
        <f t="shared" si="18"/>
        <v>0</v>
      </c>
      <c r="I148" s="577">
        <f t="shared" si="19"/>
        <v>0</v>
      </c>
      <c r="J148" s="514">
        <f t="shared" si="21"/>
        <v>0</v>
      </c>
      <c r="K148" s="514"/>
      <c r="L148" s="525"/>
      <c r="M148" s="514">
        <f t="shared" si="22"/>
        <v>0</v>
      </c>
      <c r="N148" s="525"/>
      <c r="O148" s="514">
        <f t="shared" si="23"/>
        <v>0</v>
      </c>
      <c r="P148" s="514">
        <f t="shared" si="24"/>
        <v>0</v>
      </c>
    </row>
    <row r="149" spans="2:16" ht="12.5">
      <c r="B149" s="195" t="str">
        <f t="shared" si="15"/>
        <v/>
      </c>
      <c r="C149" s="507">
        <f>IF(D93="","-",+C148+1)</f>
        <v>2069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16"/>
        <v>0</v>
      </c>
      <c r="G149" s="523">
        <f t="shared" si="17"/>
        <v>0</v>
      </c>
      <c r="H149" s="526">
        <f t="shared" si="18"/>
        <v>0</v>
      </c>
      <c r="I149" s="577">
        <f t="shared" si="19"/>
        <v>0</v>
      </c>
      <c r="J149" s="514">
        <f t="shared" si="21"/>
        <v>0</v>
      </c>
      <c r="K149" s="514"/>
      <c r="L149" s="525"/>
      <c r="M149" s="514">
        <f t="shared" si="22"/>
        <v>0</v>
      </c>
      <c r="N149" s="525"/>
      <c r="O149" s="514">
        <f t="shared" si="23"/>
        <v>0</v>
      </c>
      <c r="P149" s="514">
        <f t="shared" si="24"/>
        <v>0</v>
      </c>
    </row>
    <row r="150" spans="2:16" ht="12.5">
      <c r="B150" s="195" t="str">
        <f t="shared" si="15"/>
        <v/>
      </c>
      <c r="C150" s="507">
        <f>IF(D93="","-",+C149+1)</f>
        <v>2070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16"/>
        <v>0</v>
      </c>
      <c r="G150" s="523">
        <f t="shared" si="17"/>
        <v>0</v>
      </c>
      <c r="H150" s="526">
        <f t="shared" si="18"/>
        <v>0</v>
      </c>
      <c r="I150" s="577">
        <f t="shared" si="19"/>
        <v>0</v>
      </c>
      <c r="J150" s="514">
        <f t="shared" si="21"/>
        <v>0</v>
      </c>
      <c r="K150" s="514"/>
      <c r="L150" s="525"/>
      <c r="M150" s="514">
        <f t="shared" si="22"/>
        <v>0</v>
      </c>
      <c r="N150" s="525"/>
      <c r="O150" s="514">
        <f t="shared" si="23"/>
        <v>0</v>
      </c>
      <c r="P150" s="514">
        <f t="shared" si="24"/>
        <v>0</v>
      </c>
    </row>
    <row r="151" spans="2:16" ht="12.5">
      <c r="B151" s="195" t="str">
        <f t="shared" si="15"/>
        <v/>
      </c>
      <c r="C151" s="507">
        <f>IF(D93="","-",+C150+1)</f>
        <v>2071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16"/>
        <v>0</v>
      </c>
      <c r="G151" s="523">
        <f t="shared" si="17"/>
        <v>0</v>
      </c>
      <c r="H151" s="526">
        <f t="shared" si="18"/>
        <v>0</v>
      </c>
      <c r="I151" s="577">
        <f t="shared" si="19"/>
        <v>0</v>
      </c>
      <c r="J151" s="514">
        <f t="shared" si="21"/>
        <v>0</v>
      </c>
      <c r="K151" s="514"/>
      <c r="L151" s="525"/>
      <c r="M151" s="514">
        <f t="shared" si="22"/>
        <v>0</v>
      </c>
      <c r="N151" s="525"/>
      <c r="O151" s="514">
        <f t="shared" si="23"/>
        <v>0</v>
      </c>
      <c r="P151" s="514">
        <f t="shared" si="24"/>
        <v>0</v>
      </c>
    </row>
    <row r="152" spans="2:16" ht="12.5">
      <c r="B152" s="195" t="str">
        <f t="shared" si="15"/>
        <v/>
      </c>
      <c r="C152" s="507">
        <f>IF(D93="","-",+C151+1)</f>
        <v>2072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16"/>
        <v>0</v>
      </c>
      <c r="G152" s="523">
        <f t="shared" si="17"/>
        <v>0</v>
      </c>
      <c r="H152" s="526">
        <f t="shared" si="18"/>
        <v>0</v>
      </c>
      <c r="I152" s="577">
        <f t="shared" si="19"/>
        <v>0</v>
      </c>
      <c r="J152" s="514">
        <f t="shared" si="21"/>
        <v>0</v>
      </c>
      <c r="K152" s="514"/>
      <c r="L152" s="525"/>
      <c r="M152" s="514">
        <f t="shared" si="22"/>
        <v>0</v>
      </c>
      <c r="N152" s="525"/>
      <c r="O152" s="514">
        <f t="shared" si="23"/>
        <v>0</v>
      </c>
      <c r="P152" s="514">
        <f t="shared" si="24"/>
        <v>0</v>
      </c>
    </row>
    <row r="153" spans="2:16" ht="12.5">
      <c r="B153" s="195" t="str">
        <f t="shared" si="15"/>
        <v/>
      </c>
      <c r="C153" s="507">
        <f>IF(D93="","-",+C152+1)</f>
        <v>2073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16"/>
        <v>0</v>
      </c>
      <c r="G153" s="523">
        <f t="shared" si="17"/>
        <v>0</v>
      </c>
      <c r="H153" s="526">
        <f t="shared" si="18"/>
        <v>0</v>
      </c>
      <c r="I153" s="577">
        <f t="shared" si="19"/>
        <v>0</v>
      </c>
      <c r="J153" s="514">
        <f t="shared" si="21"/>
        <v>0</v>
      </c>
      <c r="K153" s="514"/>
      <c r="L153" s="525"/>
      <c r="M153" s="514">
        <f t="shared" si="22"/>
        <v>0</v>
      </c>
      <c r="N153" s="525"/>
      <c r="O153" s="514">
        <f t="shared" si="23"/>
        <v>0</v>
      </c>
      <c r="P153" s="514">
        <f t="shared" si="24"/>
        <v>0</v>
      </c>
    </row>
    <row r="154" spans="2:16" ht="13" thickBot="1">
      <c r="B154" s="195" t="str">
        <f t="shared" si="15"/>
        <v/>
      </c>
      <c r="C154" s="527">
        <f>IF(D93="","-",+C153+1)</f>
        <v>2074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16"/>
        <v>0</v>
      </c>
      <c r="G154" s="528">
        <f t="shared" si="17"/>
        <v>0</v>
      </c>
      <c r="H154" s="530">
        <f t="shared" si="18"/>
        <v>0</v>
      </c>
      <c r="I154" s="579">
        <f t="shared" si="19"/>
        <v>0</v>
      </c>
      <c r="J154" s="533">
        <f t="shared" si="21"/>
        <v>0</v>
      </c>
      <c r="K154" s="514"/>
      <c r="L154" s="532"/>
      <c r="M154" s="533">
        <f t="shared" si="22"/>
        <v>0</v>
      </c>
      <c r="N154" s="532"/>
      <c r="O154" s="533">
        <f t="shared" si="23"/>
        <v>0</v>
      </c>
      <c r="P154" s="533">
        <f t="shared" si="24"/>
        <v>0</v>
      </c>
    </row>
    <row r="155" spans="2:16" ht="12.5">
      <c r="C155" s="374" t="s">
        <v>78</v>
      </c>
      <c r="D155" s="375"/>
      <c r="E155" s="375">
        <f>SUM(E99:E154)</f>
        <v>2910918</v>
      </c>
      <c r="F155" s="375"/>
      <c r="G155" s="375"/>
      <c r="H155" s="375">
        <f>SUM(H99:H154)</f>
        <v>9621500.9042307977</v>
      </c>
      <c r="I155" s="375">
        <f>SUM(I99:I154)</f>
        <v>9621500.9042307977</v>
      </c>
      <c r="J155" s="375">
        <f>SUM(J99:J154)</f>
        <v>0</v>
      </c>
      <c r="K155" s="375"/>
      <c r="L155" s="375"/>
      <c r="M155" s="375"/>
      <c r="N155" s="375"/>
      <c r="O155" s="375"/>
      <c r="P155" s="269"/>
    </row>
    <row r="156" spans="2:16" ht="12.5">
      <c r="C156" s="183" t="s">
        <v>92</v>
      </c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</row>
    <row r="157" spans="2:16" ht="12.5">
      <c r="C157" s="580"/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</row>
    <row r="158" spans="2:16" ht="13">
      <c r="C158" s="614" t="s">
        <v>132</v>
      </c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</row>
    <row r="159" spans="2:16" ht="13">
      <c r="C159" s="467" t="s">
        <v>79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</row>
    <row r="160" spans="2:16" ht="13">
      <c r="C160" s="581" t="s">
        <v>80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</row>
    <row r="161" spans="3:16" ht="13">
      <c r="C161" s="581"/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</row>
    <row r="162" spans="3:16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635" t="s">
        <v>131</v>
      </c>
    </row>
  </sheetData>
  <conditionalFormatting sqref="C17:C72">
    <cfRule type="cellIs" dxfId="3" priority="1" stopIfTrue="1" operator="equal">
      <formula>$I$10</formula>
    </cfRule>
  </conditionalFormatting>
  <conditionalFormatting sqref="C99:C154">
    <cfRule type="cellIs" dxfId="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SWEPCO TCOS - Worksheets F and G
Section IV -- (BPU Project Tables)
Page: &amp;P of &amp;N
</oddHeader>
  </headerFooter>
  <rowBreaks count="1" manualBreakCount="1">
    <brk id="80" max="16383" man="1"/>
  </row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58"/>
  <dimension ref="A1:P162"/>
  <sheetViews>
    <sheetView view="pageBreakPreview" topLeftCell="H1" zoomScale="80" zoomScaleNormal="100" zoomScaleSheetLayoutView="80" workbookViewId="0">
      <selection activeCell="P1" sqref="P1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8" t="s">
        <v>133</v>
      </c>
      <c r="B1" s="1"/>
      <c r="C1" s="10"/>
      <c r="D1" s="2"/>
      <c r="E1" s="1"/>
      <c r="F1" s="15"/>
      <c r="G1" s="1"/>
      <c r="H1" s="3"/>
      <c r="J1" s="7"/>
      <c r="K1" s="20"/>
      <c r="L1" s="20"/>
      <c r="M1" s="20"/>
      <c r="P1" s="124" t="str">
        <f ca="1">"SWEPCO Project "&amp;RIGHT(MID(CELL("filename",$A$1),FIND("]",CELL("filename",$A$1))+1,256),2)&amp;" of "&amp;COUNT('S.001:S.xyz - blank'!$P$3)-1</f>
        <v>SWEPCO Project nk of 74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9" t="s">
        <v>129</v>
      </c>
    </row>
    <row r="3" spans="1:16" ht="18">
      <c r="B3" s="5" t="s">
        <v>44</v>
      </c>
      <c r="C3" s="14" t="s">
        <v>45</v>
      </c>
      <c r="D3" s="2"/>
      <c r="E3" s="1"/>
      <c r="F3" s="1"/>
      <c r="G3" s="1"/>
      <c r="H3" s="3"/>
      <c r="I3" s="3"/>
      <c r="J3" s="22"/>
      <c r="K3" s="3"/>
      <c r="L3" s="3"/>
      <c r="M3" s="3"/>
      <c r="N3" s="3"/>
      <c r="O3" s="1"/>
      <c r="P3" s="115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2"/>
      <c r="K4" s="3"/>
      <c r="L4" s="3"/>
      <c r="M4" s="3"/>
      <c r="N4" s="3"/>
      <c r="O4" s="1"/>
      <c r="P4" s="1"/>
    </row>
    <row r="5" spans="1:16" ht="15.5">
      <c r="C5" s="23" t="s">
        <v>46</v>
      </c>
      <c r="D5" s="2"/>
      <c r="E5" s="1"/>
      <c r="F5" s="1"/>
      <c r="G5" s="24"/>
      <c r="H5" s="1" t="s">
        <v>47</v>
      </c>
      <c r="I5" s="1"/>
      <c r="J5" s="4"/>
      <c r="K5" s="143" t="s">
        <v>157</v>
      </c>
      <c r="L5" s="25"/>
      <c r="M5" s="26"/>
      <c r="N5" s="27">
        <f>VLOOKUP(I10,C17:I72,5)</f>
        <v>0</v>
      </c>
      <c r="P5" s="1"/>
    </row>
    <row r="6" spans="1:16" ht="15.5">
      <c r="C6" s="8"/>
      <c r="D6" s="2"/>
      <c r="E6" s="1"/>
      <c r="F6" s="1"/>
      <c r="G6" s="1"/>
      <c r="H6" s="28"/>
      <c r="I6" s="28"/>
      <c r="J6" s="29"/>
      <c r="K6" s="144" t="s">
        <v>158</v>
      </c>
      <c r="L6" s="30"/>
      <c r="M6" s="4"/>
      <c r="N6" s="31">
        <f>VLOOKUP(I10,C17:I72,6)</f>
        <v>0</v>
      </c>
      <c r="O6" s="1"/>
      <c r="P6" s="1"/>
    </row>
    <row r="7" spans="1:16" ht="13.5" thickBot="1">
      <c r="C7" s="32" t="s">
        <v>48</v>
      </c>
      <c r="D7" s="108" t="s">
        <v>390</v>
      </c>
      <c r="E7" s="1"/>
      <c r="F7" s="1"/>
      <c r="G7" s="1"/>
      <c r="H7" s="3"/>
      <c r="I7" s="3"/>
      <c r="J7" s="22"/>
      <c r="K7" s="33" t="s">
        <v>49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53" t="str">
        <f>IF(D10&lt;100000,"DOES NOT MEET SPP $100,000 MINIMUM INVESTMENT FOR REGIONAL BPU SHARING.","")</f>
        <v>DOES NOT MEET SPP $100,000 MINIMUM INVESTMENT FOR REGIONAL BPU SHARING.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50</v>
      </c>
      <c r="D9" s="110" t="s">
        <v>263</v>
      </c>
      <c r="E9" s="39"/>
      <c r="F9" s="39"/>
      <c r="G9" s="39"/>
      <c r="H9" s="39"/>
      <c r="I9" s="40"/>
      <c r="J9" s="41"/>
      <c r="O9" s="42"/>
      <c r="P9" s="4"/>
    </row>
    <row r="10" spans="1:16" ht="13">
      <c r="C10" s="43" t="s">
        <v>51</v>
      </c>
      <c r="D10" s="44">
        <v>0</v>
      </c>
      <c r="E10" s="12" t="s">
        <v>52</v>
      </c>
      <c r="F10" s="42"/>
      <c r="G10" s="45"/>
      <c r="H10" s="45"/>
      <c r="I10" s="46">
        <f>+'SWE.WS.F.BPU.ATRR.Projected'!L19</f>
        <v>2023</v>
      </c>
      <c r="J10" s="41"/>
      <c r="K10" s="22" t="s">
        <v>53</v>
      </c>
      <c r="O10" s="4"/>
      <c r="P10" s="4"/>
    </row>
    <row r="11" spans="1:16" ht="12.5">
      <c r="C11" s="47" t="s">
        <v>54</v>
      </c>
      <c r="D11" s="48">
        <v>2016</v>
      </c>
      <c r="E11" s="47" t="s">
        <v>55</v>
      </c>
      <c r="F11" s="45"/>
      <c r="G11" s="7"/>
      <c r="H11" s="7"/>
      <c r="I11" s="49">
        <f>IF(G5="",0,'SWE.WS.F.BPU.ATRR.Projected'!F$13)</f>
        <v>0</v>
      </c>
      <c r="J11" s="50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7" t="s">
        <v>56</v>
      </c>
      <c r="D12" s="44">
        <v>4</v>
      </c>
      <c r="E12" s="47" t="s">
        <v>57</v>
      </c>
      <c r="F12" s="45"/>
      <c r="G12" s="7"/>
      <c r="H12" s="7"/>
      <c r="I12" s="51">
        <f>'SWE.WS.F.BPU.ATRR.Projected'!$F$81</f>
        <v>0.12632678797962701</v>
      </c>
      <c r="J12" s="52"/>
      <c r="K12" t="s">
        <v>58</v>
      </c>
      <c r="O12" s="4"/>
      <c r="P12" s="4"/>
    </row>
    <row r="13" spans="1:16" ht="12.5">
      <c r="C13" s="47" t="s">
        <v>59</v>
      </c>
      <c r="D13" s="49">
        <f>+'SWE.WS.F.BPU.ATRR.Projected'!F$93</f>
        <v>42</v>
      </c>
      <c r="E13" s="47" t="s">
        <v>60</v>
      </c>
      <c r="F13" s="45"/>
      <c r="G13" s="7"/>
      <c r="H13" s="7"/>
      <c r="I13" s="51">
        <f>IF(G5="",I12,'SWE.WS.F.BPU.ATRR.Projected'!$F$80)</f>
        <v>0.12632678797962701</v>
      </c>
      <c r="J13" s="52"/>
      <c r="K13" s="22" t="s">
        <v>61</v>
      </c>
      <c r="L13" s="11"/>
      <c r="M13" s="11"/>
      <c r="N13" s="11"/>
      <c r="O13" s="4"/>
      <c r="P13" s="4"/>
    </row>
    <row r="14" spans="1:16" ht="13" thickBot="1">
      <c r="C14" s="47" t="s">
        <v>62</v>
      </c>
      <c r="D14" s="48" t="s">
        <v>63</v>
      </c>
      <c r="E14" s="4" t="s">
        <v>64</v>
      </c>
      <c r="F14" s="45"/>
      <c r="G14" s="7"/>
      <c r="H14" s="7"/>
      <c r="I14" s="53">
        <f>IF(D10=0,0,D10/D13)</f>
        <v>0</v>
      </c>
      <c r="J14" s="22"/>
      <c r="K14" s="22"/>
      <c r="L14" s="22"/>
      <c r="M14" s="22"/>
      <c r="N14" s="22"/>
      <c r="O14" s="4"/>
      <c r="P14" s="4"/>
    </row>
    <row r="15" spans="1:16" ht="39">
      <c r="C15" s="54" t="s">
        <v>51</v>
      </c>
      <c r="D15" s="55" t="s">
        <v>65</v>
      </c>
      <c r="E15" s="55" t="s">
        <v>66</v>
      </c>
      <c r="F15" s="55" t="s">
        <v>67</v>
      </c>
      <c r="G15" s="180" t="s">
        <v>388</v>
      </c>
      <c r="H15" s="181" t="s">
        <v>389</v>
      </c>
      <c r="I15" s="54" t="s">
        <v>68</v>
      </c>
      <c r="J15" s="56"/>
      <c r="K15" s="146" t="s">
        <v>227</v>
      </c>
      <c r="L15" s="57" t="s">
        <v>69</v>
      </c>
      <c r="M15" s="146" t="s">
        <v>227</v>
      </c>
      <c r="N15" s="57" t="s">
        <v>69</v>
      </c>
      <c r="O15" s="57" t="s">
        <v>70</v>
      </c>
      <c r="P15" s="4"/>
    </row>
    <row r="16" spans="1:16" ht="13.5" thickBot="1">
      <c r="C16" s="58" t="s">
        <v>71</v>
      </c>
      <c r="D16" s="58" t="s">
        <v>72</v>
      </c>
      <c r="E16" s="58" t="s">
        <v>73</v>
      </c>
      <c r="F16" s="58" t="s">
        <v>72</v>
      </c>
      <c r="G16" s="130" t="s">
        <v>74</v>
      </c>
      <c r="H16" s="59" t="s">
        <v>75</v>
      </c>
      <c r="I16" s="60" t="s">
        <v>94</v>
      </c>
      <c r="J16" s="61" t="s">
        <v>76</v>
      </c>
      <c r="K16" s="62" t="s">
        <v>77</v>
      </c>
      <c r="L16" s="62" t="s">
        <v>77</v>
      </c>
      <c r="M16" s="62" t="s">
        <v>95</v>
      </c>
      <c r="N16" s="63" t="s">
        <v>95</v>
      </c>
      <c r="O16" s="62" t="s">
        <v>95</v>
      </c>
      <c r="P16" s="4"/>
    </row>
    <row r="17" spans="2:16" ht="12.5">
      <c r="C17" s="64">
        <f>IF(D11= "","-",D11)</f>
        <v>2016</v>
      </c>
      <c r="D17" s="65">
        <v>0</v>
      </c>
      <c r="E17" s="182">
        <f>IF(D10&gt;=100000,I$14/12*(12-D12),0)</f>
        <v>0</v>
      </c>
      <c r="F17" s="70">
        <f>IF(D11=C17,+D10-E17,+D17-E17)</f>
        <v>0</v>
      </c>
      <c r="G17" s="66">
        <f t="shared" ref="G17:G48" si="0">+I$12*((D17+F17)/2)+E17</f>
        <v>0</v>
      </c>
      <c r="H17" s="53">
        <f t="shared" ref="H17:H48" si="1">+I$13*((D17+F17)/2)+E17</f>
        <v>0</v>
      </c>
      <c r="I17" s="67">
        <f t="shared" ref="I17:I48" si="2">H17-G17</f>
        <v>0</v>
      </c>
      <c r="J17" s="67"/>
      <c r="K17" s="131"/>
      <c r="L17" s="68">
        <f t="shared" ref="L17:L48" si="3">IF(K17&lt;&gt;0,+G17-K17,0)</f>
        <v>0</v>
      </c>
      <c r="M17" s="131"/>
      <c r="N17" s="68">
        <f t="shared" ref="N17:N48" si="4">IF(M17&lt;&gt;0,+H17-M17,0)</f>
        <v>0</v>
      </c>
      <c r="O17" s="69">
        <f t="shared" ref="O17:O48" si="5">+N17-L17</f>
        <v>0</v>
      </c>
      <c r="P17" s="4"/>
    </row>
    <row r="18" spans="2:16" ht="12.5">
      <c r="B18" s="9" t="str">
        <f>IF(D18=F17,"","IU")</f>
        <v/>
      </c>
      <c r="C18" s="64">
        <f>IF(D11="","-",+C17+1)</f>
        <v>2017</v>
      </c>
      <c r="D18" s="70">
        <f>IF(F17+SUM(E$17:E17)=D$10,F17,D$10-SUM(E$17:E17))</f>
        <v>0</v>
      </c>
      <c r="E18" s="71">
        <f>IF(+I14&lt;F17,I14,D18)</f>
        <v>0</v>
      </c>
      <c r="F18" s="70">
        <f t="shared" ref="F18:F48" si="6">+D18-E18</f>
        <v>0</v>
      </c>
      <c r="G18" s="72">
        <f t="shared" si="0"/>
        <v>0</v>
      </c>
      <c r="H18" s="53">
        <f t="shared" si="1"/>
        <v>0</v>
      </c>
      <c r="I18" s="67">
        <f t="shared" si="2"/>
        <v>0</v>
      </c>
      <c r="J18" s="67"/>
      <c r="K18" s="150"/>
      <c r="L18" s="69">
        <f t="shared" si="3"/>
        <v>0</v>
      </c>
      <c r="M18" s="150"/>
      <c r="N18" s="69">
        <f t="shared" si="4"/>
        <v>0</v>
      </c>
      <c r="O18" s="69">
        <f t="shared" si="5"/>
        <v>0</v>
      </c>
      <c r="P18" s="4"/>
    </row>
    <row r="19" spans="2:16" ht="12.5">
      <c r="B19" s="9" t="str">
        <f>IF(D19=F18,"","IU")</f>
        <v/>
      </c>
      <c r="C19" s="64">
        <f>IF(D11="","-",+C18+1)</f>
        <v>2018</v>
      </c>
      <c r="D19" s="70">
        <f>IF(F18+SUM(E$17:E18)=D$10,F18,D$10-SUM(E$17:E18))</f>
        <v>0</v>
      </c>
      <c r="E19" s="71">
        <f>IF(+I14&lt;F18,I14,D19)</f>
        <v>0</v>
      </c>
      <c r="F19" s="70">
        <f t="shared" si="6"/>
        <v>0</v>
      </c>
      <c r="G19" s="72">
        <f t="shared" si="0"/>
        <v>0</v>
      </c>
      <c r="H19" s="53">
        <f t="shared" si="1"/>
        <v>0</v>
      </c>
      <c r="I19" s="67">
        <f t="shared" si="2"/>
        <v>0</v>
      </c>
      <c r="J19" s="67"/>
      <c r="K19" s="150"/>
      <c r="L19" s="69">
        <f t="shared" si="3"/>
        <v>0</v>
      </c>
      <c r="M19" s="150"/>
      <c r="N19" s="69">
        <f t="shared" si="4"/>
        <v>0</v>
      </c>
      <c r="O19" s="69">
        <f t="shared" si="5"/>
        <v>0</v>
      </c>
      <c r="P19" s="4"/>
    </row>
    <row r="20" spans="2:16" ht="12.5">
      <c r="B20" s="9" t="str">
        <f t="shared" ref="B20:B72" si="7">IF(D20=F19,"","IU")</f>
        <v/>
      </c>
      <c r="C20" s="64">
        <f>IF(D11="","-",+C19+1)</f>
        <v>2019</v>
      </c>
      <c r="D20" s="70">
        <f>IF(F19+SUM(E$17:E19)=D$10,F19,D$10-SUM(E$17:E19))</f>
        <v>0</v>
      </c>
      <c r="E20" s="71">
        <f>IF(+I14&lt;F19,I14,D20)</f>
        <v>0</v>
      </c>
      <c r="F20" s="70">
        <f t="shared" si="6"/>
        <v>0</v>
      </c>
      <c r="G20" s="72">
        <f t="shared" si="0"/>
        <v>0</v>
      </c>
      <c r="H20" s="53">
        <f t="shared" si="1"/>
        <v>0</v>
      </c>
      <c r="I20" s="67">
        <f t="shared" si="2"/>
        <v>0</v>
      </c>
      <c r="J20" s="67"/>
      <c r="K20" s="150"/>
      <c r="L20" s="69">
        <f t="shared" si="3"/>
        <v>0</v>
      </c>
      <c r="M20" s="150"/>
      <c r="N20" s="69">
        <f t="shared" si="4"/>
        <v>0</v>
      </c>
      <c r="O20" s="69">
        <f t="shared" si="5"/>
        <v>0</v>
      </c>
      <c r="P20" s="4"/>
    </row>
    <row r="21" spans="2:16" ht="12.5">
      <c r="B21" s="9" t="str">
        <f t="shared" si="7"/>
        <v/>
      </c>
      <c r="C21" s="64">
        <f>IF(D11="","-",+C20+1)</f>
        <v>2020</v>
      </c>
      <c r="D21" s="70">
        <f>IF(F20+SUM(E$17:E20)=D$10,F20,D$10-SUM(E$17:E20))</f>
        <v>0</v>
      </c>
      <c r="E21" s="71">
        <f>IF(+I14&lt;F20,I14,D21)</f>
        <v>0</v>
      </c>
      <c r="F21" s="70">
        <f t="shared" si="6"/>
        <v>0</v>
      </c>
      <c r="G21" s="72">
        <f t="shared" si="0"/>
        <v>0</v>
      </c>
      <c r="H21" s="53">
        <f t="shared" si="1"/>
        <v>0</v>
      </c>
      <c r="I21" s="67">
        <f t="shared" si="2"/>
        <v>0</v>
      </c>
      <c r="J21" s="67"/>
      <c r="K21" s="150"/>
      <c r="L21" s="69">
        <f t="shared" si="3"/>
        <v>0</v>
      </c>
      <c r="M21" s="150"/>
      <c r="N21" s="69">
        <f t="shared" si="4"/>
        <v>0</v>
      </c>
      <c r="O21" s="69">
        <f t="shared" si="5"/>
        <v>0</v>
      </c>
      <c r="P21" s="4"/>
    </row>
    <row r="22" spans="2:16" ht="12.5">
      <c r="B22" s="9" t="str">
        <f t="shared" si="7"/>
        <v/>
      </c>
      <c r="C22" s="64">
        <f>IF(D11="","-",+C21+1)</f>
        <v>2021</v>
      </c>
      <c r="D22" s="70">
        <f>IF(F21+SUM(E$17:E21)=D$10,F21,D$10-SUM(E$17:E21))</f>
        <v>0</v>
      </c>
      <c r="E22" s="71">
        <f>IF(+I14&lt;F21,I14,D22)</f>
        <v>0</v>
      </c>
      <c r="F22" s="70">
        <f t="shared" si="6"/>
        <v>0</v>
      </c>
      <c r="G22" s="72">
        <f t="shared" si="0"/>
        <v>0</v>
      </c>
      <c r="H22" s="53">
        <f t="shared" si="1"/>
        <v>0</v>
      </c>
      <c r="I22" s="67">
        <f t="shared" si="2"/>
        <v>0</v>
      </c>
      <c r="J22" s="67"/>
      <c r="K22" s="150"/>
      <c r="L22" s="69">
        <f t="shared" si="3"/>
        <v>0</v>
      </c>
      <c r="M22" s="150"/>
      <c r="N22" s="69">
        <f t="shared" si="4"/>
        <v>0</v>
      </c>
      <c r="O22" s="69">
        <f t="shared" si="5"/>
        <v>0</v>
      </c>
      <c r="P22" s="4"/>
    </row>
    <row r="23" spans="2:16" ht="12.5">
      <c r="B23" s="9" t="str">
        <f t="shared" si="7"/>
        <v/>
      </c>
      <c r="C23" s="64">
        <f>IF(D11="","-",+C22+1)</f>
        <v>2022</v>
      </c>
      <c r="D23" s="70">
        <f>IF(F22+SUM(E$17:E22)=D$10,F22,D$10-SUM(E$17:E22))</f>
        <v>0</v>
      </c>
      <c r="E23" s="71">
        <f>IF(+I14&lt;F22,I14,D23)</f>
        <v>0</v>
      </c>
      <c r="F23" s="70">
        <f t="shared" si="6"/>
        <v>0</v>
      </c>
      <c r="G23" s="72">
        <f t="shared" si="0"/>
        <v>0</v>
      </c>
      <c r="H23" s="53">
        <f t="shared" si="1"/>
        <v>0</v>
      </c>
      <c r="I23" s="67">
        <f t="shared" si="2"/>
        <v>0</v>
      </c>
      <c r="J23" s="67"/>
      <c r="K23" s="150"/>
      <c r="L23" s="69">
        <f t="shared" si="3"/>
        <v>0</v>
      </c>
      <c r="M23" s="150"/>
      <c r="N23" s="69">
        <f t="shared" si="4"/>
        <v>0</v>
      </c>
      <c r="O23" s="69">
        <f t="shared" si="5"/>
        <v>0</v>
      </c>
      <c r="P23" s="4"/>
    </row>
    <row r="24" spans="2:16" ht="12.5">
      <c r="B24" s="9" t="str">
        <f t="shared" si="7"/>
        <v/>
      </c>
      <c r="C24" s="64">
        <f>IF(D11="","-",+C23+1)</f>
        <v>2023</v>
      </c>
      <c r="D24" s="70">
        <f>IF(F23+SUM(E$17:E23)=D$10,F23,D$10-SUM(E$17:E23))</f>
        <v>0</v>
      </c>
      <c r="E24" s="71">
        <f>IF(+I14&lt;F23,I14,D24)</f>
        <v>0</v>
      </c>
      <c r="F24" s="70">
        <f t="shared" si="6"/>
        <v>0</v>
      </c>
      <c r="G24" s="72">
        <f t="shared" si="0"/>
        <v>0</v>
      </c>
      <c r="H24" s="53">
        <f t="shared" si="1"/>
        <v>0</v>
      </c>
      <c r="I24" s="67">
        <f t="shared" si="2"/>
        <v>0</v>
      </c>
      <c r="J24" s="67"/>
      <c r="K24" s="150"/>
      <c r="L24" s="69">
        <f t="shared" si="3"/>
        <v>0</v>
      </c>
      <c r="M24" s="150"/>
      <c r="N24" s="69">
        <f t="shared" si="4"/>
        <v>0</v>
      </c>
      <c r="O24" s="69">
        <f t="shared" si="5"/>
        <v>0</v>
      </c>
      <c r="P24" s="4"/>
    </row>
    <row r="25" spans="2:16" ht="12.5">
      <c r="B25" s="9" t="str">
        <f t="shared" si="7"/>
        <v/>
      </c>
      <c r="C25" s="64">
        <f>IF(D11="","-",+C24+1)</f>
        <v>2024</v>
      </c>
      <c r="D25" s="70">
        <f>IF(F24+SUM(E$17:E24)=D$10,F24,D$10-SUM(E$17:E24))</f>
        <v>0</v>
      </c>
      <c r="E25" s="71">
        <f>IF(+I14&lt;F24,I14,D25)</f>
        <v>0</v>
      </c>
      <c r="F25" s="70">
        <f t="shared" si="6"/>
        <v>0</v>
      </c>
      <c r="G25" s="72">
        <f t="shared" si="0"/>
        <v>0</v>
      </c>
      <c r="H25" s="53">
        <f t="shared" si="1"/>
        <v>0</v>
      </c>
      <c r="I25" s="67">
        <f t="shared" si="2"/>
        <v>0</v>
      </c>
      <c r="J25" s="67"/>
      <c r="K25" s="150"/>
      <c r="L25" s="69">
        <f t="shared" si="3"/>
        <v>0</v>
      </c>
      <c r="M25" s="150"/>
      <c r="N25" s="69">
        <f t="shared" si="4"/>
        <v>0</v>
      </c>
      <c r="O25" s="69">
        <f t="shared" si="5"/>
        <v>0</v>
      </c>
      <c r="P25" s="4"/>
    </row>
    <row r="26" spans="2:16" ht="12.5">
      <c r="B26" s="9" t="str">
        <f t="shared" si="7"/>
        <v/>
      </c>
      <c r="C26" s="64">
        <f>IF(D11="","-",+C25+1)</f>
        <v>2025</v>
      </c>
      <c r="D26" s="70">
        <f>IF(F25+SUM(E$17:E25)=D$10,F25,D$10-SUM(E$17:E25))</f>
        <v>0</v>
      </c>
      <c r="E26" s="71">
        <f>IF(+I14&lt;F25,I14,D26)</f>
        <v>0</v>
      </c>
      <c r="F26" s="70">
        <f t="shared" si="6"/>
        <v>0</v>
      </c>
      <c r="G26" s="72">
        <f t="shared" si="0"/>
        <v>0</v>
      </c>
      <c r="H26" s="53">
        <f t="shared" si="1"/>
        <v>0</v>
      </c>
      <c r="I26" s="67">
        <f t="shared" si="2"/>
        <v>0</v>
      </c>
      <c r="J26" s="67"/>
      <c r="K26" s="150"/>
      <c r="L26" s="69">
        <f t="shared" si="3"/>
        <v>0</v>
      </c>
      <c r="M26" s="150"/>
      <c r="N26" s="69">
        <f t="shared" si="4"/>
        <v>0</v>
      </c>
      <c r="O26" s="69">
        <f t="shared" si="5"/>
        <v>0</v>
      </c>
      <c r="P26" s="4"/>
    </row>
    <row r="27" spans="2:16" ht="12.5">
      <c r="B27" s="9" t="str">
        <f t="shared" si="7"/>
        <v/>
      </c>
      <c r="C27" s="64">
        <f>IF(D11="","-",+C26+1)</f>
        <v>2026</v>
      </c>
      <c r="D27" s="70">
        <f>IF(F26+SUM(E$17:E26)=D$10,F26,D$10-SUM(E$17:E26))</f>
        <v>0</v>
      </c>
      <c r="E27" s="71">
        <f>IF(+I14&lt;F26,I14,D27)</f>
        <v>0</v>
      </c>
      <c r="F27" s="70">
        <f t="shared" si="6"/>
        <v>0</v>
      </c>
      <c r="G27" s="72">
        <f t="shared" si="0"/>
        <v>0</v>
      </c>
      <c r="H27" s="53">
        <f t="shared" si="1"/>
        <v>0</v>
      </c>
      <c r="I27" s="67">
        <f t="shared" si="2"/>
        <v>0</v>
      </c>
      <c r="J27" s="67"/>
      <c r="K27" s="150"/>
      <c r="L27" s="69">
        <f t="shared" si="3"/>
        <v>0</v>
      </c>
      <c r="M27" s="150"/>
      <c r="N27" s="69">
        <f t="shared" si="4"/>
        <v>0</v>
      </c>
      <c r="O27" s="69">
        <f t="shared" si="5"/>
        <v>0</v>
      </c>
      <c r="P27" s="4"/>
    </row>
    <row r="28" spans="2:16" ht="12.5">
      <c r="B28" s="9" t="str">
        <f t="shared" si="7"/>
        <v/>
      </c>
      <c r="C28" s="64">
        <f>IF(D11="","-",+C27+1)</f>
        <v>2027</v>
      </c>
      <c r="D28" s="70">
        <f>IF(F27+SUM(E$17:E27)=D$10,F27,D$10-SUM(E$17:E27))</f>
        <v>0</v>
      </c>
      <c r="E28" s="71">
        <f>IF(+I14&lt;F27,I14,D28)</f>
        <v>0</v>
      </c>
      <c r="F28" s="70">
        <f t="shared" si="6"/>
        <v>0</v>
      </c>
      <c r="G28" s="72">
        <f t="shared" si="0"/>
        <v>0</v>
      </c>
      <c r="H28" s="53">
        <f t="shared" si="1"/>
        <v>0</v>
      </c>
      <c r="I28" s="67">
        <f t="shared" si="2"/>
        <v>0</v>
      </c>
      <c r="J28" s="67"/>
      <c r="K28" s="150"/>
      <c r="L28" s="69">
        <f t="shared" si="3"/>
        <v>0</v>
      </c>
      <c r="M28" s="150"/>
      <c r="N28" s="69">
        <f t="shared" si="4"/>
        <v>0</v>
      </c>
      <c r="O28" s="69">
        <f t="shared" si="5"/>
        <v>0</v>
      </c>
      <c r="P28" s="4"/>
    </row>
    <row r="29" spans="2:16" ht="12.5">
      <c r="B29" s="9" t="str">
        <f t="shared" si="7"/>
        <v/>
      </c>
      <c r="C29" s="64">
        <f>IF(D11="","-",+C28+1)</f>
        <v>2028</v>
      </c>
      <c r="D29" s="70">
        <f>IF(F28+SUM(E$17:E28)=D$10,F28,D$10-SUM(E$17:E28))</f>
        <v>0</v>
      </c>
      <c r="E29" s="71">
        <f>IF(+I14&lt;F28,I14,D29)</f>
        <v>0</v>
      </c>
      <c r="F29" s="70">
        <f t="shared" si="6"/>
        <v>0</v>
      </c>
      <c r="G29" s="72">
        <f t="shared" si="0"/>
        <v>0</v>
      </c>
      <c r="H29" s="53">
        <f t="shared" si="1"/>
        <v>0</v>
      </c>
      <c r="I29" s="67">
        <f t="shared" si="2"/>
        <v>0</v>
      </c>
      <c r="J29" s="67"/>
      <c r="K29" s="150"/>
      <c r="L29" s="69">
        <f t="shared" si="3"/>
        <v>0</v>
      </c>
      <c r="M29" s="150"/>
      <c r="N29" s="69">
        <f t="shared" si="4"/>
        <v>0</v>
      </c>
      <c r="O29" s="69">
        <f t="shared" si="5"/>
        <v>0</v>
      </c>
      <c r="P29" s="4"/>
    </row>
    <row r="30" spans="2:16" ht="12.5">
      <c r="B30" s="9" t="str">
        <f t="shared" si="7"/>
        <v/>
      </c>
      <c r="C30" s="64">
        <f>IF(D11="","-",+C29+1)</f>
        <v>2029</v>
      </c>
      <c r="D30" s="70">
        <f>IF(F29+SUM(E$17:E29)=D$10,F29,D$10-SUM(E$17:E29))</f>
        <v>0</v>
      </c>
      <c r="E30" s="71">
        <f>IF(+I14&lt;F29,I14,D30)</f>
        <v>0</v>
      </c>
      <c r="F30" s="70">
        <f t="shared" si="6"/>
        <v>0</v>
      </c>
      <c r="G30" s="72">
        <f t="shared" si="0"/>
        <v>0</v>
      </c>
      <c r="H30" s="53">
        <f t="shared" si="1"/>
        <v>0</v>
      </c>
      <c r="I30" s="67">
        <f t="shared" si="2"/>
        <v>0</v>
      </c>
      <c r="J30" s="67"/>
      <c r="K30" s="150"/>
      <c r="L30" s="69">
        <f t="shared" si="3"/>
        <v>0</v>
      </c>
      <c r="M30" s="150"/>
      <c r="N30" s="69">
        <f t="shared" si="4"/>
        <v>0</v>
      </c>
      <c r="O30" s="69">
        <f t="shared" si="5"/>
        <v>0</v>
      </c>
      <c r="P30" s="4"/>
    </row>
    <row r="31" spans="2:16" ht="12.5">
      <c r="B31" s="9" t="str">
        <f t="shared" si="7"/>
        <v/>
      </c>
      <c r="C31" s="64">
        <f>IF(D11="","-",+C30+1)</f>
        <v>2030</v>
      </c>
      <c r="D31" s="70">
        <f>IF(F30+SUM(E$17:E30)=D$10,F30,D$10-SUM(E$17:E30))</f>
        <v>0</v>
      </c>
      <c r="E31" s="71">
        <f>IF(+I14&lt;F30,I14,D31)</f>
        <v>0</v>
      </c>
      <c r="F31" s="70">
        <f t="shared" si="6"/>
        <v>0</v>
      </c>
      <c r="G31" s="72">
        <f t="shared" si="0"/>
        <v>0</v>
      </c>
      <c r="H31" s="53">
        <f t="shared" si="1"/>
        <v>0</v>
      </c>
      <c r="I31" s="67">
        <f t="shared" si="2"/>
        <v>0</v>
      </c>
      <c r="J31" s="67"/>
      <c r="K31" s="150"/>
      <c r="L31" s="69">
        <f t="shared" si="3"/>
        <v>0</v>
      </c>
      <c r="M31" s="150"/>
      <c r="N31" s="69">
        <f t="shared" si="4"/>
        <v>0</v>
      </c>
      <c r="O31" s="69">
        <f t="shared" si="5"/>
        <v>0</v>
      </c>
      <c r="P31" s="4"/>
    </row>
    <row r="32" spans="2:16" ht="12.5">
      <c r="B32" s="9" t="str">
        <f t="shared" si="7"/>
        <v/>
      </c>
      <c r="C32" s="64">
        <f>IF(D11="","-",+C31+1)</f>
        <v>2031</v>
      </c>
      <c r="D32" s="70">
        <f>IF(F31+SUM(E$17:E31)=D$10,F31,D$10-SUM(E$17:E31))</f>
        <v>0</v>
      </c>
      <c r="E32" s="71">
        <f>IF(+I14&lt;F31,I14,D32)</f>
        <v>0</v>
      </c>
      <c r="F32" s="70">
        <f t="shared" si="6"/>
        <v>0</v>
      </c>
      <c r="G32" s="72">
        <f t="shared" si="0"/>
        <v>0</v>
      </c>
      <c r="H32" s="53">
        <f t="shared" si="1"/>
        <v>0</v>
      </c>
      <c r="I32" s="67">
        <f t="shared" si="2"/>
        <v>0</v>
      </c>
      <c r="J32" s="67"/>
      <c r="K32" s="150"/>
      <c r="L32" s="69">
        <f t="shared" si="3"/>
        <v>0</v>
      </c>
      <c r="M32" s="150"/>
      <c r="N32" s="69">
        <f t="shared" si="4"/>
        <v>0</v>
      </c>
      <c r="O32" s="69">
        <f t="shared" si="5"/>
        <v>0</v>
      </c>
      <c r="P32" s="4"/>
    </row>
    <row r="33" spans="2:16" ht="12.5">
      <c r="B33" s="9" t="str">
        <f t="shared" si="7"/>
        <v/>
      </c>
      <c r="C33" s="64">
        <f>IF(D11="","-",+C32+1)</f>
        <v>2032</v>
      </c>
      <c r="D33" s="70">
        <f>IF(F32+SUM(E$17:E32)=D$10,F32,D$10-SUM(E$17:E32))</f>
        <v>0</v>
      </c>
      <c r="E33" s="71">
        <f>IF(+I14&lt;F32,I14,D33)</f>
        <v>0</v>
      </c>
      <c r="F33" s="70">
        <f t="shared" si="6"/>
        <v>0</v>
      </c>
      <c r="G33" s="72">
        <f t="shared" si="0"/>
        <v>0</v>
      </c>
      <c r="H33" s="53">
        <f t="shared" si="1"/>
        <v>0</v>
      </c>
      <c r="I33" s="67">
        <f t="shared" si="2"/>
        <v>0</v>
      </c>
      <c r="J33" s="67"/>
      <c r="K33" s="150"/>
      <c r="L33" s="69">
        <f t="shared" si="3"/>
        <v>0</v>
      </c>
      <c r="M33" s="150"/>
      <c r="N33" s="69">
        <f t="shared" si="4"/>
        <v>0</v>
      </c>
      <c r="O33" s="69">
        <f t="shared" si="5"/>
        <v>0</v>
      </c>
      <c r="P33" s="4"/>
    </row>
    <row r="34" spans="2:16" ht="12.5">
      <c r="B34" s="9" t="str">
        <f t="shared" si="7"/>
        <v/>
      </c>
      <c r="C34" s="64">
        <f>IF(D11="","-",+C33+1)</f>
        <v>2033</v>
      </c>
      <c r="D34" s="70">
        <f>IF(F33+SUM(E$17:E33)=D$10,F33,D$10-SUM(E$17:E33))</f>
        <v>0</v>
      </c>
      <c r="E34" s="71">
        <f>IF(+I14&lt;F33,I14,D34)</f>
        <v>0</v>
      </c>
      <c r="F34" s="70">
        <f t="shared" si="6"/>
        <v>0</v>
      </c>
      <c r="G34" s="72">
        <f t="shared" si="0"/>
        <v>0</v>
      </c>
      <c r="H34" s="53">
        <f t="shared" si="1"/>
        <v>0</v>
      </c>
      <c r="I34" s="67">
        <f t="shared" si="2"/>
        <v>0</v>
      </c>
      <c r="J34" s="67"/>
      <c r="K34" s="150"/>
      <c r="L34" s="69">
        <f t="shared" si="3"/>
        <v>0</v>
      </c>
      <c r="M34" s="150"/>
      <c r="N34" s="69">
        <f t="shared" si="4"/>
        <v>0</v>
      </c>
      <c r="O34" s="69">
        <f t="shared" si="5"/>
        <v>0</v>
      </c>
      <c r="P34" s="4"/>
    </row>
    <row r="35" spans="2:16" ht="12.5">
      <c r="B35" s="9" t="str">
        <f t="shared" si="7"/>
        <v/>
      </c>
      <c r="C35" s="64">
        <f>IF(D11="","-",+C34+1)</f>
        <v>2034</v>
      </c>
      <c r="D35" s="70">
        <f>IF(F34+SUM(E$17:E34)=D$10,F34,D$10-SUM(E$17:E34))</f>
        <v>0</v>
      </c>
      <c r="E35" s="71">
        <f>IF(+I14&lt;F34,I14,D35)</f>
        <v>0</v>
      </c>
      <c r="F35" s="70">
        <f t="shared" si="6"/>
        <v>0</v>
      </c>
      <c r="G35" s="72">
        <f t="shared" si="0"/>
        <v>0</v>
      </c>
      <c r="H35" s="53">
        <f t="shared" si="1"/>
        <v>0</v>
      </c>
      <c r="I35" s="67">
        <f t="shared" si="2"/>
        <v>0</v>
      </c>
      <c r="J35" s="67"/>
      <c r="K35" s="150"/>
      <c r="L35" s="69">
        <f t="shared" si="3"/>
        <v>0</v>
      </c>
      <c r="M35" s="150"/>
      <c r="N35" s="69">
        <f t="shared" si="4"/>
        <v>0</v>
      </c>
      <c r="O35" s="69">
        <f t="shared" si="5"/>
        <v>0</v>
      </c>
      <c r="P35" s="4"/>
    </row>
    <row r="36" spans="2:16" ht="12.5">
      <c r="B36" s="9" t="str">
        <f t="shared" si="7"/>
        <v/>
      </c>
      <c r="C36" s="64">
        <f>IF(D11="","-",+C35+1)</f>
        <v>2035</v>
      </c>
      <c r="D36" s="70">
        <f>IF(F35+SUM(E$17:E35)=D$10,F35,D$10-SUM(E$17:E35))</f>
        <v>0</v>
      </c>
      <c r="E36" s="71">
        <f>IF(+I14&lt;F35,I14,D36)</f>
        <v>0</v>
      </c>
      <c r="F36" s="70">
        <f t="shared" si="6"/>
        <v>0</v>
      </c>
      <c r="G36" s="72">
        <f t="shared" si="0"/>
        <v>0</v>
      </c>
      <c r="H36" s="53">
        <f t="shared" si="1"/>
        <v>0</v>
      </c>
      <c r="I36" s="67">
        <f t="shared" si="2"/>
        <v>0</v>
      </c>
      <c r="J36" s="67"/>
      <c r="K36" s="150"/>
      <c r="L36" s="69">
        <f t="shared" si="3"/>
        <v>0</v>
      </c>
      <c r="M36" s="150"/>
      <c r="N36" s="69">
        <f t="shared" si="4"/>
        <v>0</v>
      </c>
      <c r="O36" s="69">
        <f t="shared" si="5"/>
        <v>0</v>
      </c>
      <c r="P36" s="4"/>
    </row>
    <row r="37" spans="2:16" ht="12.5">
      <c r="B37" s="9" t="str">
        <f t="shared" si="7"/>
        <v/>
      </c>
      <c r="C37" s="64">
        <f>IF(D11="","-",+C36+1)</f>
        <v>2036</v>
      </c>
      <c r="D37" s="70">
        <f>IF(F36+SUM(E$17:E36)=D$10,F36,D$10-SUM(E$17:E36))</f>
        <v>0</v>
      </c>
      <c r="E37" s="71">
        <f>IF(+I14&lt;F36,I14,D37)</f>
        <v>0</v>
      </c>
      <c r="F37" s="70">
        <f t="shared" si="6"/>
        <v>0</v>
      </c>
      <c r="G37" s="72">
        <f t="shared" si="0"/>
        <v>0</v>
      </c>
      <c r="H37" s="53">
        <f t="shared" si="1"/>
        <v>0</v>
      </c>
      <c r="I37" s="67">
        <f t="shared" si="2"/>
        <v>0</v>
      </c>
      <c r="J37" s="67"/>
      <c r="K37" s="150"/>
      <c r="L37" s="69">
        <f t="shared" si="3"/>
        <v>0</v>
      </c>
      <c r="M37" s="150"/>
      <c r="N37" s="69">
        <f t="shared" si="4"/>
        <v>0</v>
      </c>
      <c r="O37" s="69">
        <f t="shared" si="5"/>
        <v>0</v>
      </c>
      <c r="P37" s="4"/>
    </row>
    <row r="38" spans="2:16" ht="12.5">
      <c r="B38" s="9" t="str">
        <f t="shared" si="7"/>
        <v/>
      </c>
      <c r="C38" s="64">
        <f>IF(D11="","-",+C37+1)</f>
        <v>2037</v>
      </c>
      <c r="D38" s="70">
        <f>IF(F37+SUM(E$17:E37)=D$10,F37,D$10-SUM(E$17:E37))</f>
        <v>0</v>
      </c>
      <c r="E38" s="71">
        <f>IF(+I14&lt;F37,I14,D38)</f>
        <v>0</v>
      </c>
      <c r="F38" s="70">
        <f t="shared" si="6"/>
        <v>0</v>
      </c>
      <c r="G38" s="72">
        <f t="shared" si="0"/>
        <v>0</v>
      </c>
      <c r="H38" s="53">
        <f t="shared" si="1"/>
        <v>0</v>
      </c>
      <c r="I38" s="67">
        <f t="shared" si="2"/>
        <v>0</v>
      </c>
      <c r="J38" s="67"/>
      <c r="K38" s="150"/>
      <c r="L38" s="69">
        <f t="shared" si="3"/>
        <v>0</v>
      </c>
      <c r="M38" s="150"/>
      <c r="N38" s="69">
        <f t="shared" si="4"/>
        <v>0</v>
      </c>
      <c r="O38" s="69">
        <f t="shared" si="5"/>
        <v>0</v>
      </c>
      <c r="P38" s="4"/>
    </row>
    <row r="39" spans="2:16" ht="12.5">
      <c r="B39" s="9" t="str">
        <f t="shared" si="7"/>
        <v/>
      </c>
      <c r="C39" s="64">
        <f>IF(D11="","-",+C38+1)</f>
        <v>2038</v>
      </c>
      <c r="D39" s="70">
        <f>IF(F38+SUM(E$17:E38)=D$10,F38,D$10-SUM(E$17:E38))</f>
        <v>0</v>
      </c>
      <c r="E39" s="71">
        <f>IF(+I14&lt;F38,I14,D39)</f>
        <v>0</v>
      </c>
      <c r="F39" s="70">
        <f t="shared" si="6"/>
        <v>0</v>
      </c>
      <c r="G39" s="72">
        <f t="shared" si="0"/>
        <v>0</v>
      </c>
      <c r="H39" s="53">
        <f t="shared" si="1"/>
        <v>0</v>
      </c>
      <c r="I39" s="67">
        <f t="shared" si="2"/>
        <v>0</v>
      </c>
      <c r="J39" s="67"/>
      <c r="K39" s="150"/>
      <c r="L39" s="69">
        <f t="shared" si="3"/>
        <v>0</v>
      </c>
      <c r="M39" s="150"/>
      <c r="N39" s="69">
        <f t="shared" si="4"/>
        <v>0</v>
      </c>
      <c r="O39" s="69">
        <f t="shared" si="5"/>
        <v>0</v>
      </c>
      <c r="P39" s="4"/>
    </row>
    <row r="40" spans="2:16" ht="12.5">
      <c r="B40" s="9" t="str">
        <f t="shared" si="7"/>
        <v/>
      </c>
      <c r="C40" s="64">
        <f>IF(D11="","-",+C39+1)</f>
        <v>2039</v>
      </c>
      <c r="D40" s="70">
        <f>IF(F39+SUM(E$17:E39)=D$10,F39,D$10-SUM(E$17:E39))</f>
        <v>0</v>
      </c>
      <c r="E40" s="71">
        <f>IF(+I14&lt;F39,I14,D40)</f>
        <v>0</v>
      </c>
      <c r="F40" s="70">
        <f t="shared" si="6"/>
        <v>0</v>
      </c>
      <c r="G40" s="72">
        <f t="shared" si="0"/>
        <v>0</v>
      </c>
      <c r="H40" s="53">
        <f t="shared" si="1"/>
        <v>0</v>
      </c>
      <c r="I40" s="67">
        <f t="shared" si="2"/>
        <v>0</v>
      </c>
      <c r="J40" s="67"/>
      <c r="K40" s="150"/>
      <c r="L40" s="69">
        <f t="shared" si="3"/>
        <v>0</v>
      </c>
      <c r="M40" s="150"/>
      <c r="N40" s="69">
        <f t="shared" si="4"/>
        <v>0</v>
      </c>
      <c r="O40" s="69">
        <f t="shared" si="5"/>
        <v>0</v>
      </c>
      <c r="P40" s="4"/>
    </row>
    <row r="41" spans="2:16" ht="12.5">
      <c r="B41" s="9" t="str">
        <f t="shared" si="7"/>
        <v/>
      </c>
      <c r="C41" s="64">
        <f>IF(D11="","-",+C40+1)</f>
        <v>2040</v>
      </c>
      <c r="D41" s="70">
        <f>IF(F40+SUM(E$17:E40)=D$10,F40,D$10-SUM(E$17:E40))</f>
        <v>0</v>
      </c>
      <c r="E41" s="71">
        <f>IF(+I14&lt;F40,I14,D41)</f>
        <v>0</v>
      </c>
      <c r="F41" s="70">
        <f t="shared" si="6"/>
        <v>0</v>
      </c>
      <c r="G41" s="72">
        <f t="shared" si="0"/>
        <v>0</v>
      </c>
      <c r="H41" s="53">
        <f t="shared" si="1"/>
        <v>0</v>
      </c>
      <c r="I41" s="67">
        <f t="shared" si="2"/>
        <v>0</v>
      </c>
      <c r="J41" s="67"/>
      <c r="K41" s="150"/>
      <c r="L41" s="69">
        <f t="shared" si="3"/>
        <v>0</v>
      </c>
      <c r="M41" s="150"/>
      <c r="N41" s="69">
        <f t="shared" si="4"/>
        <v>0</v>
      </c>
      <c r="O41" s="69">
        <f t="shared" si="5"/>
        <v>0</v>
      </c>
      <c r="P41" s="4"/>
    </row>
    <row r="42" spans="2:16" ht="12.5">
      <c r="B42" s="9" t="str">
        <f t="shared" si="7"/>
        <v/>
      </c>
      <c r="C42" s="64">
        <f>IF(D11="","-",+C41+1)</f>
        <v>2041</v>
      </c>
      <c r="D42" s="70">
        <f>IF(F41+SUM(E$17:E41)=D$10,F41,D$10-SUM(E$17:E41))</f>
        <v>0</v>
      </c>
      <c r="E42" s="71">
        <f>IF(+I14&lt;F41,I14,D42)</f>
        <v>0</v>
      </c>
      <c r="F42" s="70">
        <f t="shared" si="6"/>
        <v>0</v>
      </c>
      <c r="G42" s="72">
        <f t="shared" si="0"/>
        <v>0</v>
      </c>
      <c r="H42" s="53">
        <f t="shared" si="1"/>
        <v>0</v>
      </c>
      <c r="I42" s="67">
        <f t="shared" si="2"/>
        <v>0</v>
      </c>
      <c r="J42" s="67"/>
      <c r="K42" s="150"/>
      <c r="L42" s="69">
        <f t="shared" si="3"/>
        <v>0</v>
      </c>
      <c r="M42" s="150"/>
      <c r="N42" s="69">
        <f t="shared" si="4"/>
        <v>0</v>
      </c>
      <c r="O42" s="69">
        <f t="shared" si="5"/>
        <v>0</v>
      </c>
      <c r="P42" s="4"/>
    </row>
    <row r="43" spans="2:16" ht="12.5">
      <c r="B43" s="9" t="str">
        <f t="shared" si="7"/>
        <v/>
      </c>
      <c r="C43" s="64">
        <f>IF(D11="","-",+C42+1)</f>
        <v>2042</v>
      </c>
      <c r="D43" s="70">
        <f>IF(F42+SUM(E$17:E42)=D$10,F42,D$10-SUM(E$17:E42))</f>
        <v>0</v>
      </c>
      <c r="E43" s="71">
        <f>IF(+I14&lt;F42,I14,D43)</f>
        <v>0</v>
      </c>
      <c r="F43" s="70">
        <f t="shared" si="6"/>
        <v>0</v>
      </c>
      <c r="G43" s="72">
        <f t="shared" si="0"/>
        <v>0</v>
      </c>
      <c r="H43" s="53">
        <f t="shared" si="1"/>
        <v>0</v>
      </c>
      <c r="I43" s="67">
        <f t="shared" si="2"/>
        <v>0</v>
      </c>
      <c r="J43" s="67"/>
      <c r="K43" s="150"/>
      <c r="L43" s="69">
        <f t="shared" si="3"/>
        <v>0</v>
      </c>
      <c r="M43" s="150"/>
      <c r="N43" s="69">
        <f t="shared" si="4"/>
        <v>0</v>
      </c>
      <c r="O43" s="69">
        <f t="shared" si="5"/>
        <v>0</v>
      </c>
      <c r="P43" s="4"/>
    </row>
    <row r="44" spans="2:16" ht="12.5">
      <c r="B44" s="9" t="str">
        <f t="shared" si="7"/>
        <v/>
      </c>
      <c r="C44" s="64">
        <f>IF(D11="","-",+C43+1)</f>
        <v>2043</v>
      </c>
      <c r="D44" s="70">
        <f>IF(F43+SUM(E$17:E43)=D$10,F43,D$10-SUM(E$17:E43))</f>
        <v>0</v>
      </c>
      <c r="E44" s="71">
        <f>IF(+I14&lt;F43,I14,D44)</f>
        <v>0</v>
      </c>
      <c r="F44" s="70">
        <f t="shared" si="6"/>
        <v>0</v>
      </c>
      <c r="G44" s="72">
        <f t="shared" si="0"/>
        <v>0</v>
      </c>
      <c r="H44" s="53">
        <f t="shared" si="1"/>
        <v>0</v>
      </c>
      <c r="I44" s="67">
        <f t="shared" si="2"/>
        <v>0</v>
      </c>
      <c r="J44" s="67"/>
      <c r="K44" s="150"/>
      <c r="L44" s="69">
        <f t="shared" si="3"/>
        <v>0</v>
      </c>
      <c r="M44" s="150"/>
      <c r="N44" s="69">
        <f t="shared" si="4"/>
        <v>0</v>
      </c>
      <c r="O44" s="69">
        <f t="shared" si="5"/>
        <v>0</v>
      </c>
      <c r="P44" s="4"/>
    </row>
    <row r="45" spans="2:16" ht="12.5">
      <c r="B45" s="9" t="str">
        <f t="shared" si="7"/>
        <v/>
      </c>
      <c r="C45" s="64">
        <f>IF(D11="","-",+C44+1)</f>
        <v>2044</v>
      </c>
      <c r="D45" s="70">
        <f>IF(F44+SUM(E$17:E44)=D$10,F44,D$10-SUM(E$17:E44))</f>
        <v>0</v>
      </c>
      <c r="E45" s="71">
        <f>IF(+I14&lt;F44,I14,D45)</f>
        <v>0</v>
      </c>
      <c r="F45" s="70">
        <f t="shared" si="6"/>
        <v>0</v>
      </c>
      <c r="G45" s="72">
        <f t="shared" si="0"/>
        <v>0</v>
      </c>
      <c r="H45" s="53">
        <f t="shared" si="1"/>
        <v>0</v>
      </c>
      <c r="I45" s="67">
        <f t="shared" si="2"/>
        <v>0</v>
      </c>
      <c r="J45" s="67"/>
      <c r="K45" s="150"/>
      <c r="L45" s="69">
        <f t="shared" si="3"/>
        <v>0</v>
      </c>
      <c r="M45" s="150"/>
      <c r="N45" s="69">
        <f t="shared" si="4"/>
        <v>0</v>
      </c>
      <c r="O45" s="69">
        <f t="shared" si="5"/>
        <v>0</v>
      </c>
      <c r="P45" s="4"/>
    </row>
    <row r="46" spans="2:16" ht="12.5">
      <c r="B46" s="9" t="str">
        <f t="shared" si="7"/>
        <v/>
      </c>
      <c r="C46" s="64">
        <f>IF(D11="","-",+C45+1)</f>
        <v>2045</v>
      </c>
      <c r="D46" s="70">
        <f>IF(F45+SUM(E$17:E45)=D$10,F45,D$10-SUM(E$17:E45))</f>
        <v>0</v>
      </c>
      <c r="E46" s="71">
        <f>IF(+I14&lt;F45,I14,D46)</f>
        <v>0</v>
      </c>
      <c r="F46" s="70">
        <f t="shared" si="6"/>
        <v>0</v>
      </c>
      <c r="G46" s="72">
        <f t="shared" si="0"/>
        <v>0</v>
      </c>
      <c r="H46" s="53">
        <f t="shared" si="1"/>
        <v>0</v>
      </c>
      <c r="I46" s="67">
        <f t="shared" si="2"/>
        <v>0</v>
      </c>
      <c r="J46" s="67"/>
      <c r="K46" s="150"/>
      <c r="L46" s="69">
        <f t="shared" si="3"/>
        <v>0</v>
      </c>
      <c r="M46" s="150"/>
      <c r="N46" s="69">
        <f t="shared" si="4"/>
        <v>0</v>
      </c>
      <c r="O46" s="69">
        <f t="shared" si="5"/>
        <v>0</v>
      </c>
      <c r="P46" s="4"/>
    </row>
    <row r="47" spans="2:16" ht="12.5">
      <c r="B47" s="9" t="str">
        <f t="shared" si="7"/>
        <v/>
      </c>
      <c r="C47" s="64">
        <f>IF(D11="","-",+C46+1)</f>
        <v>2046</v>
      </c>
      <c r="D47" s="70">
        <f>IF(F46+SUM(E$17:E46)=D$10,F46,D$10-SUM(E$17:E46))</f>
        <v>0</v>
      </c>
      <c r="E47" s="71">
        <f>IF(+I14&lt;F46,I14,D47)</f>
        <v>0</v>
      </c>
      <c r="F47" s="70">
        <f t="shared" si="6"/>
        <v>0</v>
      </c>
      <c r="G47" s="72">
        <f t="shared" si="0"/>
        <v>0</v>
      </c>
      <c r="H47" s="53">
        <f t="shared" si="1"/>
        <v>0</v>
      </c>
      <c r="I47" s="67">
        <f t="shared" si="2"/>
        <v>0</v>
      </c>
      <c r="J47" s="67"/>
      <c r="K47" s="150"/>
      <c r="L47" s="69">
        <f t="shared" si="3"/>
        <v>0</v>
      </c>
      <c r="M47" s="150"/>
      <c r="N47" s="69">
        <f t="shared" si="4"/>
        <v>0</v>
      </c>
      <c r="O47" s="69">
        <f t="shared" si="5"/>
        <v>0</v>
      </c>
      <c r="P47" s="4"/>
    </row>
    <row r="48" spans="2:16" ht="12.5">
      <c r="B48" s="9" t="str">
        <f t="shared" si="7"/>
        <v/>
      </c>
      <c r="C48" s="64">
        <f>IF(D11="","-",+C47+1)</f>
        <v>2047</v>
      </c>
      <c r="D48" s="70">
        <f>IF(F47+SUM(E$17:E47)=D$10,F47,D$10-SUM(E$17:E47))</f>
        <v>0</v>
      </c>
      <c r="E48" s="71">
        <f>IF(+I14&lt;F47,I14,D48)</f>
        <v>0</v>
      </c>
      <c r="F48" s="70">
        <f t="shared" si="6"/>
        <v>0</v>
      </c>
      <c r="G48" s="72">
        <f t="shared" si="0"/>
        <v>0</v>
      </c>
      <c r="H48" s="53">
        <f t="shared" si="1"/>
        <v>0</v>
      </c>
      <c r="I48" s="67">
        <f t="shared" si="2"/>
        <v>0</v>
      </c>
      <c r="J48" s="67"/>
      <c r="K48" s="150"/>
      <c r="L48" s="69">
        <f t="shared" si="3"/>
        <v>0</v>
      </c>
      <c r="M48" s="150"/>
      <c r="N48" s="69">
        <f t="shared" si="4"/>
        <v>0</v>
      </c>
      <c r="O48" s="69">
        <f t="shared" si="5"/>
        <v>0</v>
      </c>
      <c r="P48" s="4"/>
    </row>
    <row r="49" spans="2:16" ht="12.5">
      <c r="B49" s="9" t="str">
        <f t="shared" si="7"/>
        <v/>
      </c>
      <c r="C49" s="64">
        <f>IF(D11="","-",+C48+1)</f>
        <v>2048</v>
      </c>
      <c r="D49" s="70">
        <f>IF(F48+SUM(E$17:E48)=D$10,F48,D$10-SUM(E$17:E48))</f>
        <v>0</v>
      </c>
      <c r="E49" s="71">
        <f>IF(+I14&lt;F48,I14,D49)</f>
        <v>0</v>
      </c>
      <c r="F49" s="70">
        <f t="shared" ref="F49:F72" si="8">+D49-E49</f>
        <v>0</v>
      </c>
      <c r="G49" s="72">
        <f t="shared" ref="G49:G72" si="9">+I$12*((D49+F49)/2)+E49</f>
        <v>0</v>
      </c>
      <c r="H49" s="53">
        <f t="shared" ref="H49:H72" si="10">+I$13*((D49+F49)/2)+E49</f>
        <v>0</v>
      </c>
      <c r="I49" s="67">
        <f t="shared" ref="I49:I72" si="11">H49-G49</f>
        <v>0</v>
      </c>
      <c r="J49" s="67"/>
      <c r="K49" s="150"/>
      <c r="L49" s="69">
        <f t="shared" ref="L49:L72" si="12">IF(K49&lt;&gt;0,+G49-K49,0)</f>
        <v>0</v>
      </c>
      <c r="M49" s="150"/>
      <c r="N49" s="69">
        <f t="shared" ref="N49:N72" si="13">IF(M49&lt;&gt;0,+H49-M49,0)</f>
        <v>0</v>
      </c>
      <c r="O49" s="69">
        <f t="shared" ref="O49:O72" si="14">+N49-L49</f>
        <v>0</v>
      </c>
      <c r="P49" s="4"/>
    </row>
    <row r="50" spans="2:16" ht="12.5">
      <c r="B50" s="9" t="str">
        <f t="shared" si="7"/>
        <v/>
      </c>
      <c r="C50" s="64">
        <f>IF(D11="","-",+C49+1)</f>
        <v>2049</v>
      </c>
      <c r="D50" s="70">
        <f>IF(F49+SUM(E$17:E49)=D$10,F49,D$10-SUM(E$17:E49))</f>
        <v>0</v>
      </c>
      <c r="E50" s="71">
        <f>IF(+I14&lt;F49,I14,D50)</f>
        <v>0</v>
      </c>
      <c r="F50" s="70">
        <f t="shared" si="8"/>
        <v>0</v>
      </c>
      <c r="G50" s="72">
        <f t="shared" si="9"/>
        <v>0</v>
      </c>
      <c r="H50" s="53">
        <f t="shared" si="10"/>
        <v>0</v>
      </c>
      <c r="I50" s="67">
        <f t="shared" si="11"/>
        <v>0</v>
      </c>
      <c r="J50" s="67"/>
      <c r="K50" s="150"/>
      <c r="L50" s="69">
        <f t="shared" si="12"/>
        <v>0</v>
      </c>
      <c r="M50" s="150"/>
      <c r="N50" s="69">
        <f t="shared" si="13"/>
        <v>0</v>
      </c>
      <c r="O50" s="69">
        <f t="shared" si="14"/>
        <v>0</v>
      </c>
      <c r="P50" s="4"/>
    </row>
    <row r="51" spans="2:16" ht="12.5">
      <c r="B51" s="9" t="str">
        <f t="shared" si="7"/>
        <v/>
      </c>
      <c r="C51" s="64">
        <f>IF(D11="","-",+C50+1)</f>
        <v>2050</v>
      </c>
      <c r="D51" s="70">
        <f>IF(F50+SUM(E$17:E50)=D$10,F50,D$10-SUM(E$17:E50))</f>
        <v>0</v>
      </c>
      <c r="E51" s="71">
        <f>IF(+I14&lt;F50,I14,D51)</f>
        <v>0</v>
      </c>
      <c r="F51" s="70">
        <f t="shared" si="8"/>
        <v>0</v>
      </c>
      <c r="G51" s="72">
        <f t="shared" si="9"/>
        <v>0</v>
      </c>
      <c r="H51" s="53">
        <f t="shared" si="10"/>
        <v>0</v>
      </c>
      <c r="I51" s="67">
        <f t="shared" si="11"/>
        <v>0</v>
      </c>
      <c r="J51" s="67"/>
      <c r="K51" s="150"/>
      <c r="L51" s="69">
        <f t="shared" si="12"/>
        <v>0</v>
      </c>
      <c r="M51" s="150"/>
      <c r="N51" s="69">
        <f t="shared" si="13"/>
        <v>0</v>
      </c>
      <c r="O51" s="69">
        <f t="shared" si="14"/>
        <v>0</v>
      </c>
      <c r="P51" s="4"/>
    </row>
    <row r="52" spans="2:16" ht="12.5">
      <c r="B52" s="9" t="str">
        <f t="shared" si="7"/>
        <v/>
      </c>
      <c r="C52" s="64">
        <f>IF(D11="","-",+C51+1)</f>
        <v>2051</v>
      </c>
      <c r="D52" s="70">
        <f>IF(F51+SUM(E$17:E51)=D$10,F51,D$10-SUM(E$17:E51))</f>
        <v>0</v>
      </c>
      <c r="E52" s="71">
        <f>IF(+I14&lt;F51,I14,D52)</f>
        <v>0</v>
      </c>
      <c r="F52" s="70">
        <f t="shared" si="8"/>
        <v>0</v>
      </c>
      <c r="G52" s="72">
        <f t="shared" si="9"/>
        <v>0</v>
      </c>
      <c r="H52" s="53">
        <f t="shared" si="10"/>
        <v>0</v>
      </c>
      <c r="I52" s="67">
        <f t="shared" si="11"/>
        <v>0</v>
      </c>
      <c r="J52" s="67"/>
      <c r="K52" s="150"/>
      <c r="L52" s="69">
        <f t="shared" si="12"/>
        <v>0</v>
      </c>
      <c r="M52" s="150"/>
      <c r="N52" s="69">
        <f t="shared" si="13"/>
        <v>0</v>
      </c>
      <c r="O52" s="69">
        <f t="shared" si="14"/>
        <v>0</v>
      </c>
      <c r="P52" s="4"/>
    </row>
    <row r="53" spans="2:16" ht="12.5">
      <c r="B53" s="9" t="str">
        <f t="shared" si="7"/>
        <v/>
      </c>
      <c r="C53" s="64">
        <f>IF(D11="","-",+C52+1)</f>
        <v>2052</v>
      </c>
      <c r="D53" s="70">
        <f>IF(F52+SUM(E$17:E52)=D$10,F52,D$10-SUM(E$17:E52))</f>
        <v>0</v>
      </c>
      <c r="E53" s="71">
        <f>IF(+I14&lt;F52,I14,D53)</f>
        <v>0</v>
      </c>
      <c r="F53" s="70">
        <f t="shared" si="8"/>
        <v>0</v>
      </c>
      <c r="G53" s="72">
        <f t="shared" si="9"/>
        <v>0</v>
      </c>
      <c r="H53" s="53">
        <f t="shared" si="10"/>
        <v>0</v>
      </c>
      <c r="I53" s="67">
        <f t="shared" si="11"/>
        <v>0</v>
      </c>
      <c r="J53" s="67"/>
      <c r="K53" s="150"/>
      <c r="L53" s="69">
        <f t="shared" si="12"/>
        <v>0</v>
      </c>
      <c r="M53" s="150"/>
      <c r="N53" s="69">
        <f t="shared" si="13"/>
        <v>0</v>
      </c>
      <c r="O53" s="69">
        <f t="shared" si="14"/>
        <v>0</v>
      </c>
      <c r="P53" s="4"/>
    </row>
    <row r="54" spans="2:16" ht="12.5">
      <c r="B54" s="9" t="str">
        <f t="shared" si="7"/>
        <v/>
      </c>
      <c r="C54" s="64">
        <f>IF(D11="","-",+C53+1)</f>
        <v>2053</v>
      </c>
      <c r="D54" s="70">
        <f>IF(F53+SUM(E$17:E53)=D$10,F53,D$10-SUM(E$17:E53))</f>
        <v>0</v>
      </c>
      <c r="E54" s="71">
        <f>IF(+I14&lt;F53,I14,D54)</f>
        <v>0</v>
      </c>
      <c r="F54" s="70">
        <f t="shared" si="8"/>
        <v>0</v>
      </c>
      <c r="G54" s="72">
        <f t="shared" si="9"/>
        <v>0</v>
      </c>
      <c r="H54" s="53">
        <f t="shared" si="10"/>
        <v>0</v>
      </c>
      <c r="I54" s="67">
        <f t="shared" si="11"/>
        <v>0</v>
      </c>
      <c r="J54" s="67"/>
      <c r="K54" s="150"/>
      <c r="L54" s="69">
        <f t="shared" si="12"/>
        <v>0</v>
      </c>
      <c r="M54" s="150"/>
      <c r="N54" s="69">
        <f t="shared" si="13"/>
        <v>0</v>
      </c>
      <c r="O54" s="69">
        <f t="shared" si="14"/>
        <v>0</v>
      </c>
      <c r="P54" s="4"/>
    </row>
    <row r="55" spans="2:16" ht="12.5">
      <c r="B55" s="9" t="str">
        <f t="shared" si="7"/>
        <v/>
      </c>
      <c r="C55" s="64">
        <f>IF(D11="","-",+C54+1)</f>
        <v>2054</v>
      </c>
      <c r="D55" s="70">
        <f>IF(F54+SUM(E$17:E54)=D$10,F54,D$10-SUM(E$17:E54))</f>
        <v>0</v>
      </c>
      <c r="E55" s="71">
        <f>IF(+I14&lt;F54,I14,D55)</f>
        <v>0</v>
      </c>
      <c r="F55" s="70">
        <f t="shared" si="8"/>
        <v>0</v>
      </c>
      <c r="G55" s="72">
        <f t="shared" si="9"/>
        <v>0</v>
      </c>
      <c r="H55" s="53">
        <f t="shared" si="10"/>
        <v>0</v>
      </c>
      <c r="I55" s="67">
        <f t="shared" si="11"/>
        <v>0</v>
      </c>
      <c r="J55" s="67"/>
      <c r="K55" s="150"/>
      <c r="L55" s="69">
        <f t="shared" si="12"/>
        <v>0</v>
      </c>
      <c r="M55" s="150"/>
      <c r="N55" s="69">
        <f t="shared" si="13"/>
        <v>0</v>
      </c>
      <c r="O55" s="69">
        <f t="shared" si="14"/>
        <v>0</v>
      </c>
      <c r="P55" s="4"/>
    </row>
    <row r="56" spans="2:16" ht="12.5">
      <c r="B56" s="9" t="str">
        <f t="shared" si="7"/>
        <v/>
      </c>
      <c r="C56" s="64">
        <f>IF(D11="","-",+C55+1)</f>
        <v>2055</v>
      </c>
      <c r="D56" s="70">
        <f>IF(F55+SUM(E$17:E55)=D$10,F55,D$10-SUM(E$17:E55))</f>
        <v>0</v>
      </c>
      <c r="E56" s="71">
        <f>IF(+I14&lt;F55,I14,D56)</f>
        <v>0</v>
      </c>
      <c r="F56" s="70">
        <f t="shared" si="8"/>
        <v>0</v>
      </c>
      <c r="G56" s="72">
        <f t="shared" si="9"/>
        <v>0</v>
      </c>
      <c r="H56" s="53">
        <f t="shared" si="10"/>
        <v>0</v>
      </c>
      <c r="I56" s="67">
        <f t="shared" si="11"/>
        <v>0</v>
      </c>
      <c r="J56" s="67"/>
      <c r="K56" s="150"/>
      <c r="L56" s="69">
        <f t="shared" si="12"/>
        <v>0</v>
      </c>
      <c r="M56" s="150"/>
      <c r="N56" s="69">
        <f t="shared" si="13"/>
        <v>0</v>
      </c>
      <c r="O56" s="69">
        <f t="shared" si="14"/>
        <v>0</v>
      </c>
      <c r="P56" s="4"/>
    </row>
    <row r="57" spans="2:16" ht="12.5">
      <c r="B57" s="9" t="str">
        <f t="shared" si="7"/>
        <v/>
      </c>
      <c r="C57" s="64">
        <f>IF(D11="","-",+C56+1)</f>
        <v>2056</v>
      </c>
      <c r="D57" s="70">
        <f>IF(F56+SUM(E$17:E56)=D$10,F56,D$10-SUM(E$17:E56))</f>
        <v>0</v>
      </c>
      <c r="E57" s="71">
        <f>IF(+I14&lt;F56,I14,D57)</f>
        <v>0</v>
      </c>
      <c r="F57" s="70">
        <f t="shared" si="8"/>
        <v>0</v>
      </c>
      <c r="G57" s="72">
        <f t="shared" si="9"/>
        <v>0</v>
      </c>
      <c r="H57" s="53">
        <f t="shared" si="10"/>
        <v>0</v>
      </c>
      <c r="I57" s="67">
        <f t="shared" si="11"/>
        <v>0</v>
      </c>
      <c r="J57" s="67"/>
      <c r="K57" s="150"/>
      <c r="L57" s="69">
        <f t="shared" si="12"/>
        <v>0</v>
      </c>
      <c r="M57" s="150"/>
      <c r="N57" s="69">
        <f t="shared" si="13"/>
        <v>0</v>
      </c>
      <c r="O57" s="69">
        <f t="shared" si="14"/>
        <v>0</v>
      </c>
      <c r="P57" s="4"/>
    </row>
    <row r="58" spans="2:16" ht="12.5">
      <c r="B58" s="9" t="str">
        <f t="shared" si="7"/>
        <v/>
      </c>
      <c r="C58" s="64">
        <f>IF(D11="","-",+C57+1)</f>
        <v>2057</v>
      </c>
      <c r="D58" s="70">
        <f>IF(F57+SUM(E$17:E57)=D$10,F57,D$10-SUM(E$17:E57))</f>
        <v>0</v>
      </c>
      <c r="E58" s="71">
        <f>IF(+I14&lt;F57,I14,D58)</f>
        <v>0</v>
      </c>
      <c r="F58" s="70">
        <f t="shared" si="8"/>
        <v>0</v>
      </c>
      <c r="G58" s="72">
        <f t="shared" si="9"/>
        <v>0</v>
      </c>
      <c r="H58" s="53">
        <f t="shared" si="10"/>
        <v>0</v>
      </c>
      <c r="I58" s="67">
        <f t="shared" si="11"/>
        <v>0</v>
      </c>
      <c r="J58" s="67"/>
      <c r="K58" s="150"/>
      <c r="L58" s="69">
        <f t="shared" si="12"/>
        <v>0</v>
      </c>
      <c r="M58" s="150"/>
      <c r="N58" s="69">
        <f t="shared" si="13"/>
        <v>0</v>
      </c>
      <c r="O58" s="69">
        <f t="shared" si="14"/>
        <v>0</v>
      </c>
      <c r="P58" s="4"/>
    </row>
    <row r="59" spans="2:16" ht="12.5">
      <c r="B59" s="9" t="str">
        <f t="shared" si="7"/>
        <v/>
      </c>
      <c r="C59" s="64">
        <f>IF(D11="","-",+C58+1)</f>
        <v>2058</v>
      </c>
      <c r="D59" s="70">
        <f>IF(F58+SUM(E$17:E58)=D$10,F58,D$10-SUM(E$17:E58))</f>
        <v>0</v>
      </c>
      <c r="E59" s="71">
        <f>IF(+I14&lt;F58,I14,D59)</f>
        <v>0</v>
      </c>
      <c r="F59" s="70">
        <f t="shared" si="8"/>
        <v>0</v>
      </c>
      <c r="G59" s="72">
        <f t="shared" si="9"/>
        <v>0</v>
      </c>
      <c r="H59" s="53">
        <f t="shared" si="10"/>
        <v>0</v>
      </c>
      <c r="I59" s="67">
        <f t="shared" si="11"/>
        <v>0</v>
      </c>
      <c r="J59" s="67"/>
      <c r="K59" s="150"/>
      <c r="L59" s="69">
        <f t="shared" si="12"/>
        <v>0</v>
      </c>
      <c r="M59" s="150"/>
      <c r="N59" s="69">
        <f t="shared" si="13"/>
        <v>0</v>
      </c>
      <c r="O59" s="69">
        <f t="shared" si="14"/>
        <v>0</v>
      </c>
      <c r="P59" s="4"/>
    </row>
    <row r="60" spans="2:16" ht="12.5">
      <c r="B60" s="9" t="str">
        <f t="shared" si="7"/>
        <v/>
      </c>
      <c r="C60" s="64">
        <f>IF(D11="","-",+C59+1)</f>
        <v>2059</v>
      </c>
      <c r="D60" s="70">
        <f>IF(F59+SUM(E$17:E59)=D$10,F59,D$10-SUM(E$17:E59))</f>
        <v>0</v>
      </c>
      <c r="E60" s="71">
        <f>IF(+I14&lt;F59,I14,D60)</f>
        <v>0</v>
      </c>
      <c r="F60" s="70">
        <f t="shared" si="8"/>
        <v>0</v>
      </c>
      <c r="G60" s="72">
        <f t="shared" si="9"/>
        <v>0</v>
      </c>
      <c r="H60" s="53">
        <f t="shared" si="10"/>
        <v>0</v>
      </c>
      <c r="I60" s="67">
        <f t="shared" si="11"/>
        <v>0</v>
      </c>
      <c r="J60" s="67"/>
      <c r="K60" s="150"/>
      <c r="L60" s="69">
        <f t="shared" si="12"/>
        <v>0</v>
      </c>
      <c r="M60" s="150"/>
      <c r="N60" s="69">
        <f t="shared" si="13"/>
        <v>0</v>
      </c>
      <c r="O60" s="69">
        <f t="shared" si="14"/>
        <v>0</v>
      </c>
      <c r="P60" s="4"/>
    </row>
    <row r="61" spans="2:16" ht="12.5">
      <c r="B61" s="9" t="str">
        <f t="shared" si="7"/>
        <v/>
      </c>
      <c r="C61" s="64">
        <f>IF(D11="","-",+C60+1)</f>
        <v>2060</v>
      </c>
      <c r="D61" s="70">
        <f>IF(F60+SUM(E$17:E60)=D$10,F60,D$10-SUM(E$17:E60))</f>
        <v>0</v>
      </c>
      <c r="E61" s="71">
        <f>IF(+I14&lt;F60,I14,D61)</f>
        <v>0</v>
      </c>
      <c r="F61" s="70">
        <f t="shared" si="8"/>
        <v>0</v>
      </c>
      <c r="G61" s="73">
        <f t="shared" si="9"/>
        <v>0</v>
      </c>
      <c r="H61" s="53">
        <f t="shared" si="10"/>
        <v>0</v>
      </c>
      <c r="I61" s="67">
        <f t="shared" si="11"/>
        <v>0</v>
      </c>
      <c r="J61" s="67"/>
      <c r="K61" s="150"/>
      <c r="L61" s="69">
        <f t="shared" si="12"/>
        <v>0</v>
      </c>
      <c r="M61" s="150"/>
      <c r="N61" s="69">
        <f t="shared" si="13"/>
        <v>0</v>
      </c>
      <c r="O61" s="69">
        <f t="shared" si="14"/>
        <v>0</v>
      </c>
      <c r="P61" s="4"/>
    </row>
    <row r="62" spans="2:16" ht="12.5">
      <c r="B62" s="9" t="str">
        <f t="shared" si="7"/>
        <v/>
      </c>
      <c r="C62" s="64">
        <f>IF(D11="","-",+C61+1)</f>
        <v>2061</v>
      </c>
      <c r="D62" s="70">
        <f>IF(F61+SUM(E$17:E61)=D$10,F61,D$10-SUM(E$17:E61))</f>
        <v>0</v>
      </c>
      <c r="E62" s="71">
        <f>IF(+I14&lt;F61,I14,D62)</f>
        <v>0</v>
      </c>
      <c r="F62" s="70">
        <f t="shared" si="8"/>
        <v>0</v>
      </c>
      <c r="G62" s="73">
        <f t="shared" si="9"/>
        <v>0</v>
      </c>
      <c r="H62" s="53">
        <f t="shared" si="10"/>
        <v>0</v>
      </c>
      <c r="I62" s="67">
        <f t="shared" si="11"/>
        <v>0</v>
      </c>
      <c r="J62" s="67"/>
      <c r="K62" s="150"/>
      <c r="L62" s="69">
        <f t="shared" si="12"/>
        <v>0</v>
      </c>
      <c r="M62" s="150"/>
      <c r="N62" s="69">
        <f t="shared" si="13"/>
        <v>0</v>
      </c>
      <c r="O62" s="69">
        <f t="shared" si="14"/>
        <v>0</v>
      </c>
      <c r="P62" s="4"/>
    </row>
    <row r="63" spans="2:16" ht="12.5">
      <c r="B63" s="9" t="str">
        <f t="shared" si="7"/>
        <v/>
      </c>
      <c r="C63" s="64">
        <f>IF(D11="","-",+C62+1)</f>
        <v>2062</v>
      </c>
      <c r="D63" s="70">
        <f>IF(F62+SUM(E$17:E62)=D$10,F62,D$10-SUM(E$17:E62))</f>
        <v>0</v>
      </c>
      <c r="E63" s="71">
        <f>IF(+I14&lt;F62,I14,D63)</f>
        <v>0</v>
      </c>
      <c r="F63" s="70">
        <f t="shared" si="8"/>
        <v>0</v>
      </c>
      <c r="G63" s="73">
        <f t="shared" si="9"/>
        <v>0</v>
      </c>
      <c r="H63" s="53">
        <f t="shared" si="10"/>
        <v>0</v>
      </c>
      <c r="I63" s="67">
        <f t="shared" si="11"/>
        <v>0</v>
      </c>
      <c r="J63" s="67"/>
      <c r="K63" s="150"/>
      <c r="L63" s="69">
        <f t="shared" si="12"/>
        <v>0</v>
      </c>
      <c r="M63" s="150"/>
      <c r="N63" s="69">
        <f t="shared" si="13"/>
        <v>0</v>
      </c>
      <c r="O63" s="69">
        <f t="shared" si="14"/>
        <v>0</v>
      </c>
      <c r="P63" s="4"/>
    </row>
    <row r="64" spans="2:16" ht="12.5">
      <c r="B64" s="9" t="str">
        <f t="shared" si="7"/>
        <v/>
      </c>
      <c r="C64" s="64">
        <f>IF(D11="","-",+C63+1)</f>
        <v>2063</v>
      </c>
      <c r="D64" s="70">
        <f>IF(F63+SUM(E$17:E63)=D$10,F63,D$10-SUM(E$17:E63))</f>
        <v>0</v>
      </c>
      <c r="E64" s="71">
        <f>IF(+I14&lt;F63,I14,D64)</f>
        <v>0</v>
      </c>
      <c r="F64" s="70">
        <f t="shared" si="8"/>
        <v>0</v>
      </c>
      <c r="G64" s="73">
        <f t="shared" si="9"/>
        <v>0</v>
      </c>
      <c r="H64" s="53">
        <f t="shared" si="10"/>
        <v>0</v>
      </c>
      <c r="I64" s="67">
        <f t="shared" si="11"/>
        <v>0</v>
      </c>
      <c r="J64" s="67"/>
      <c r="K64" s="150"/>
      <c r="L64" s="69">
        <f t="shared" si="12"/>
        <v>0</v>
      </c>
      <c r="M64" s="150"/>
      <c r="N64" s="69">
        <f t="shared" si="13"/>
        <v>0</v>
      </c>
      <c r="O64" s="69">
        <f t="shared" si="14"/>
        <v>0</v>
      </c>
      <c r="P64" s="4"/>
    </row>
    <row r="65" spans="2:16" ht="12.5">
      <c r="B65" s="9" t="str">
        <f t="shared" si="7"/>
        <v/>
      </c>
      <c r="C65" s="64">
        <f>IF(D11="","-",+C64+1)</f>
        <v>2064</v>
      </c>
      <c r="D65" s="70">
        <f>IF(F64+SUM(E$17:E64)=D$10,F64,D$10-SUM(E$17:E64))</f>
        <v>0</v>
      </c>
      <c r="E65" s="71">
        <f>IF(+I14&lt;F64,I14,D65)</f>
        <v>0</v>
      </c>
      <c r="F65" s="70">
        <f t="shared" si="8"/>
        <v>0</v>
      </c>
      <c r="G65" s="73">
        <f t="shared" si="9"/>
        <v>0</v>
      </c>
      <c r="H65" s="53">
        <f t="shared" si="10"/>
        <v>0</v>
      </c>
      <c r="I65" s="67">
        <f t="shared" si="11"/>
        <v>0</v>
      </c>
      <c r="J65" s="67"/>
      <c r="K65" s="150"/>
      <c r="L65" s="69">
        <f t="shared" si="12"/>
        <v>0</v>
      </c>
      <c r="M65" s="150"/>
      <c r="N65" s="69">
        <f t="shared" si="13"/>
        <v>0</v>
      </c>
      <c r="O65" s="69">
        <f t="shared" si="14"/>
        <v>0</v>
      </c>
      <c r="P65" s="4"/>
    </row>
    <row r="66" spans="2:16" ht="12.5">
      <c r="B66" s="9" t="str">
        <f t="shared" si="7"/>
        <v/>
      </c>
      <c r="C66" s="64">
        <f>IF(D11="","-",+C65+1)</f>
        <v>2065</v>
      </c>
      <c r="D66" s="70">
        <f>IF(F65+SUM(E$17:E65)=D$10,F65,D$10-SUM(E$17:E65))</f>
        <v>0</v>
      </c>
      <c r="E66" s="71">
        <f>IF(+I14&lt;F65,I14,D66)</f>
        <v>0</v>
      </c>
      <c r="F66" s="70">
        <f t="shared" si="8"/>
        <v>0</v>
      </c>
      <c r="G66" s="73">
        <f t="shared" si="9"/>
        <v>0</v>
      </c>
      <c r="H66" s="53">
        <f t="shared" si="10"/>
        <v>0</v>
      </c>
      <c r="I66" s="67">
        <f t="shared" si="11"/>
        <v>0</v>
      </c>
      <c r="J66" s="67"/>
      <c r="K66" s="150"/>
      <c r="L66" s="69">
        <f t="shared" si="12"/>
        <v>0</v>
      </c>
      <c r="M66" s="150"/>
      <c r="N66" s="69">
        <f t="shared" si="13"/>
        <v>0</v>
      </c>
      <c r="O66" s="69">
        <f t="shared" si="14"/>
        <v>0</v>
      </c>
      <c r="P66" s="4"/>
    </row>
    <row r="67" spans="2:16" ht="12.5">
      <c r="B67" s="9" t="str">
        <f t="shared" si="7"/>
        <v/>
      </c>
      <c r="C67" s="64">
        <f>IF(D11="","-",+C66+1)</f>
        <v>2066</v>
      </c>
      <c r="D67" s="70">
        <f>IF(F66+SUM(E$17:E66)=D$10,F66,D$10-SUM(E$17:E66))</f>
        <v>0</v>
      </c>
      <c r="E67" s="71">
        <f>IF(+I14&lt;F66,I14,D67)</f>
        <v>0</v>
      </c>
      <c r="F67" s="70">
        <f t="shared" si="8"/>
        <v>0</v>
      </c>
      <c r="G67" s="73">
        <f t="shared" si="9"/>
        <v>0</v>
      </c>
      <c r="H67" s="53">
        <f t="shared" si="10"/>
        <v>0</v>
      </c>
      <c r="I67" s="67">
        <f t="shared" si="11"/>
        <v>0</v>
      </c>
      <c r="J67" s="67"/>
      <c r="K67" s="150"/>
      <c r="L67" s="69">
        <f t="shared" si="12"/>
        <v>0</v>
      </c>
      <c r="M67" s="150"/>
      <c r="N67" s="69">
        <f t="shared" si="13"/>
        <v>0</v>
      </c>
      <c r="O67" s="69">
        <f t="shared" si="14"/>
        <v>0</v>
      </c>
      <c r="P67" s="4"/>
    </row>
    <row r="68" spans="2:16" ht="12.5">
      <c r="B68" s="9" t="str">
        <f t="shared" si="7"/>
        <v/>
      </c>
      <c r="C68" s="64">
        <f>IF(D11="","-",+C67+1)</f>
        <v>2067</v>
      </c>
      <c r="D68" s="70">
        <f>IF(F67+SUM(E$17:E67)=D$10,F67,D$10-SUM(E$17:E67))</f>
        <v>0</v>
      </c>
      <c r="E68" s="71">
        <f>IF(+I14&lt;F67,I14,D68)</f>
        <v>0</v>
      </c>
      <c r="F68" s="70">
        <f t="shared" si="8"/>
        <v>0</v>
      </c>
      <c r="G68" s="73">
        <f t="shared" si="9"/>
        <v>0</v>
      </c>
      <c r="H68" s="53">
        <f t="shared" si="10"/>
        <v>0</v>
      </c>
      <c r="I68" s="67">
        <f t="shared" si="11"/>
        <v>0</v>
      </c>
      <c r="J68" s="67"/>
      <c r="K68" s="150"/>
      <c r="L68" s="69">
        <f t="shared" si="12"/>
        <v>0</v>
      </c>
      <c r="M68" s="150"/>
      <c r="N68" s="69">
        <f t="shared" si="13"/>
        <v>0</v>
      </c>
      <c r="O68" s="69">
        <f t="shared" si="14"/>
        <v>0</v>
      </c>
      <c r="P68" s="4"/>
    </row>
    <row r="69" spans="2:16" ht="12.5">
      <c r="B69" s="9" t="str">
        <f t="shared" si="7"/>
        <v/>
      </c>
      <c r="C69" s="64">
        <f>IF(D11="","-",+C68+1)</f>
        <v>2068</v>
      </c>
      <c r="D69" s="70">
        <f>IF(F68+SUM(E$17:E68)=D$10,F68,D$10-SUM(E$17:E68))</f>
        <v>0</v>
      </c>
      <c r="E69" s="71">
        <f>IF(+I14&lt;F68,I14,D69)</f>
        <v>0</v>
      </c>
      <c r="F69" s="70">
        <f t="shared" si="8"/>
        <v>0</v>
      </c>
      <c r="G69" s="73">
        <f t="shared" si="9"/>
        <v>0</v>
      </c>
      <c r="H69" s="53">
        <f t="shared" si="10"/>
        <v>0</v>
      </c>
      <c r="I69" s="67">
        <f t="shared" si="11"/>
        <v>0</v>
      </c>
      <c r="J69" s="67"/>
      <c r="K69" s="150"/>
      <c r="L69" s="69">
        <f t="shared" si="12"/>
        <v>0</v>
      </c>
      <c r="M69" s="150"/>
      <c r="N69" s="69">
        <f t="shared" si="13"/>
        <v>0</v>
      </c>
      <c r="O69" s="69">
        <f t="shared" si="14"/>
        <v>0</v>
      </c>
      <c r="P69" s="4"/>
    </row>
    <row r="70" spans="2:16" ht="12.5">
      <c r="B70" s="9" t="str">
        <f t="shared" si="7"/>
        <v/>
      </c>
      <c r="C70" s="64">
        <f>IF(D11="","-",+C69+1)</f>
        <v>2069</v>
      </c>
      <c r="D70" s="70">
        <f>IF(F69+SUM(E$17:E69)=D$10,F69,D$10-SUM(E$17:E69))</f>
        <v>0</v>
      </c>
      <c r="E70" s="71">
        <f>IF(+I14&lt;F69,I14,D70)</f>
        <v>0</v>
      </c>
      <c r="F70" s="70">
        <f t="shared" si="8"/>
        <v>0</v>
      </c>
      <c r="G70" s="73">
        <f t="shared" si="9"/>
        <v>0</v>
      </c>
      <c r="H70" s="53">
        <f t="shared" si="10"/>
        <v>0</v>
      </c>
      <c r="I70" s="67">
        <f t="shared" si="11"/>
        <v>0</v>
      </c>
      <c r="J70" s="67"/>
      <c r="K70" s="150"/>
      <c r="L70" s="69">
        <f t="shared" si="12"/>
        <v>0</v>
      </c>
      <c r="M70" s="150"/>
      <c r="N70" s="69">
        <f t="shared" si="13"/>
        <v>0</v>
      </c>
      <c r="O70" s="69">
        <f t="shared" si="14"/>
        <v>0</v>
      </c>
      <c r="P70" s="4"/>
    </row>
    <row r="71" spans="2:16" ht="12.5">
      <c r="B71" s="9" t="str">
        <f t="shared" si="7"/>
        <v/>
      </c>
      <c r="C71" s="64">
        <f>IF(D11="","-",+C70+1)</f>
        <v>2070</v>
      </c>
      <c r="D71" s="70">
        <f>IF(F70+SUM(E$17:E70)=D$10,F70,D$10-SUM(E$17:E70))</f>
        <v>0</v>
      </c>
      <c r="E71" s="71">
        <f>IF(+I14&lt;F70,I14,D71)</f>
        <v>0</v>
      </c>
      <c r="F71" s="70">
        <f t="shared" si="8"/>
        <v>0</v>
      </c>
      <c r="G71" s="73">
        <f t="shared" si="9"/>
        <v>0</v>
      </c>
      <c r="H71" s="53">
        <f t="shared" si="10"/>
        <v>0</v>
      </c>
      <c r="I71" s="67">
        <f t="shared" si="11"/>
        <v>0</v>
      </c>
      <c r="J71" s="67"/>
      <c r="K71" s="150"/>
      <c r="L71" s="69">
        <f t="shared" si="12"/>
        <v>0</v>
      </c>
      <c r="M71" s="150"/>
      <c r="N71" s="69">
        <f t="shared" si="13"/>
        <v>0</v>
      </c>
      <c r="O71" s="69">
        <f t="shared" si="14"/>
        <v>0</v>
      </c>
      <c r="P71" s="4"/>
    </row>
    <row r="72" spans="2:16" ht="13" thickBot="1">
      <c r="B72" s="9" t="str">
        <f t="shared" si="7"/>
        <v/>
      </c>
      <c r="C72" s="74">
        <f>IF(D11="","-",+C71+1)</f>
        <v>2071</v>
      </c>
      <c r="D72" s="75">
        <f>IF(F71+SUM(E$17:E71)=D$10,F71,D$10-SUM(E$17:E71))</f>
        <v>0</v>
      </c>
      <c r="E72" s="76">
        <f>IF(+I14&lt;F71,I14,D72)</f>
        <v>0</v>
      </c>
      <c r="F72" s="75">
        <f t="shared" si="8"/>
        <v>0</v>
      </c>
      <c r="G72" s="77">
        <f t="shared" si="9"/>
        <v>0</v>
      </c>
      <c r="H72" s="35">
        <f t="shared" si="10"/>
        <v>0</v>
      </c>
      <c r="I72" s="78">
        <f t="shared" si="11"/>
        <v>0</v>
      </c>
      <c r="J72" s="67"/>
      <c r="K72" s="151"/>
      <c r="L72" s="79">
        <f t="shared" si="12"/>
        <v>0</v>
      </c>
      <c r="M72" s="151"/>
      <c r="N72" s="79">
        <f t="shared" si="13"/>
        <v>0</v>
      </c>
      <c r="O72" s="79">
        <f t="shared" si="14"/>
        <v>0</v>
      </c>
      <c r="P72" s="4"/>
    </row>
    <row r="73" spans="2:16" ht="12.5">
      <c r="C73" s="65" t="s">
        <v>78</v>
      </c>
      <c r="D73" s="22"/>
      <c r="E73" s="22">
        <f>SUM(E17:E72)</f>
        <v>0</v>
      </c>
      <c r="F73" s="22"/>
      <c r="G73" s="22">
        <f>SUM(G17:G72)</f>
        <v>0</v>
      </c>
      <c r="H73" s="22">
        <f>SUM(H17:H72)</f>
        <v>0</v>
      </c>
      <c r="I73" s="22">
        <f>SUM(I17:I72)</f>
        <v>0</v>
      </c>
      <c r="J73" s="22"/>
      <c r="K73" s="22"/>
      <c r="L73" s="22"/>
      <c r="M73" s="22"/>
      <c r="N73" s="22"/>
      <c r="O73" s="4"/>
      <c r="P73" s="4"/>
    </row>
    <row r="74" spans="2:16" ht="12.5">
      <c r="D74" s="2"/>
      <c r="E74" s="1"/>
      <c r="F74" s="1"/>
      <c r="G74" s="1"/>
      <c r="H74" s="3"/>
      <c r="I74" s="3"/>
      <c r="J74" s="22"/>
      <c r="K74" s="3"/>
      <c r="L74" s="3"/>
      <c r="M74" s="3"/>
      <c r="N74" s="3"/>
      <c r="O74" s="1"/>
      <c r="P74" s="1"/>
    </row>
    <row r="75" spans="2:16" ht="13">
      <c r="C75" s="80" t="s">
        <v>96</v>
      </c>
      <c r="D75" s="2"/>
      <c r="E75" s="1"/>
      <c r="F75" s="1"/>
      <c r="G75" s="1"/>
      <c r="H75" s="3"/>
      <c r="I75" s="3"/>
      <c r="J75" s="22"/>
      <c r="K75" s="3"/>
      <c r="L75" s="3"/>
      <c r="M75" s="3"/>
      <c r="N75" s="3"/>
      <c r="O75" s="1"/>
      <c r="P75" s="1"/>
    </row>
    <row r="76" spans="2:16" ht="13">
      <c r="C76" s="32" t="s">
        <v>79</v>
      </c>
      <c r="D76" s="2"/>
      <c r="E76" s="1"/>
      <c r="F76" s="1"/>
      <c r="G76" s="1"/>
      <c r="H76" s="3"/>
      <c r="I76" s="3"/>
      <c r="J76" s="22"/>
      <c r="K76" s="3"/>
      <c r="L76" s="3"/>
      <c r="M76" s="3"/>
      <c r="N76" s="3"/>
      <c r="O76" s="4"/>
      <c r="P76" s="4"/>
    </row>
    <row r="77" spans="2:16" ht="13">
      <c r="C77" s="32" t="s">
        <v>80</v>
      </c>
      <c r="D77" s="65"/>
      <c r="E77" s="65"/>
      <c r="F77" s="65"/>
      <c r="G77" s="22"/>
      <c r="H77" s="22"/>
      <c r="I77" s="81"/>
      <c r="J77" s="81"/>
      <c r="K77" s="81"/>
      <c r="L77" s="81"/>
      <c r="M77" s="81"/>
      <c r="N77" s="81"/>
      <c r="O77" s="4"/>
      <c r="P77" s="4"/>
    </row>
    <row r="78" spans="2:16" ht="13">
      <c r="C78" s="32"/>
      <c r="D78" s="65"/>
      <c r="E78" s="65"/>
      <c r="F78" s="65"/>
      <c r="G78" s="22"/>
      <c r="H78" s="22"/>
      <c r="I78" s="81"/>
      <c r="J78" s="81"/>
      <c r="K78" s="81"/>
      <c r="L78" s="81"/>
      <c r="M78" s="81"/>
      <c r="N78" s="81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17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9" t="s">
        <v>130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8" t="s">
        <v>134</v>
      </c>
      <c r="B83" s="1"/>
      <c r="C83" s="10"/>
      <c r="D83" s="2"/>
      <c r="E83" s="1"/>
      <c r="F83" s="15"/>
      <c r="G83" s="15"/>
      <c r="H83" s="1"/>
      <c r="I83" s="3"/>
      <c r="K83" s="7"/>
      <c r="L83" s="20"/>
      <c r="M83" s="20"/>
      <c r="P83" s="20" t="str">
        <f ca="1">P1</f>
        <v>SWEPCO Project nk of 74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9" t="s">
        <v>128</v>
      </c>
    </row>
    <row r="85" spans="1:16" ht="17.5" thickBot="1">
      <c r="B85" s="5" t="s">
        <v>44</v>
      </c>
      <c r="C85" s="84" t="s">
        <v>83</v>
      </c>
      <c r="D85" s="2"/>
      <c r="E85" s="1"/>
      <c r="F85" s="1"/>
      <c r="G85" s="1"/>
      <c r="H85" s="1"/>
      <c r="I85" s="3"/>
      <c r="J85" s="3"/>
      <c r="K85" s="22"/>
      <c r="L85" s="3"/>
      <c r="M85" s="3"/>
      <c r="N85" s="3"/>
      <c r="O85" s="22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2"/>
      <c r="L86" s="140">
        <f>+J92</f>
        <v>2021</v>
      </c>
      <c r="M86" s="141" t="s">
        <v>9</v>
      </c>
      <c r="N86" s="145" t="s">
        <v>159</v>
      </c>
      <c r="O86" s="142" t="s">
        <v>11</v>
      </c>
      <c r="P86" s="1"/>
    </row>
    <row r="87" spans="1:16" ht="15.5">
      <c r="C87" s="111" t="s">
        <v>46</v>
      </c>
      <c r="D87" s="2"/>
      <c r="E87" s="1"/>
      <c r="F87" s="1"/>
      <c r="G87" s="1"/>
      <c r="H87" s="24"/>
      <c r="I87" s="1" t="s">
        <v>47</v>
      </c>
      <c r="J87" s="1"/>
      <c r="K87" s="136"/>
      <c r="L87" s="134" t="s">
        <v>391</v>
      </c>
      <c r="M87" s="85">
        <f>IF(J92&lt;D11,0,VLOOKUP(J92,C17:O72,9))</f>
        <v>0</v>
      </c>
      <c r="N87" s="85">
        <f>IF(J92&lt;D11,0,VLOOKUP(J92,C17:O72,11))</f>
        <v>0</v>
      </c>
      <c r="O87" s="86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8"/>
      <c r="J88" s="28"/>
      <c r="K88" s="138"/>
      <c r="L88" s="139" t="s">
        <v>392</v>
      </c>
      <c r="M88" s="87">
        <f>IF(J92&lt;D11,0,VLOOKUP(J92,C99:P154,6))</f>
        <v>0</v>
      </c>
      <c r="N88" s="87">
        <f>IF(J92&lt;D11,0,VLOOKUP(J92,C99:P154,7))</f>
        <v>0</v>
      </c>
      <c r="O88" s="88">
        <f>+N88-M88</f>
        <v>0</v>
      </c>
      <c r="P88" s="1"/>
    </row>
    <row r="89" spans="1:16" ht="13.5" thickBot="1">
      <c r="C89" s="32" t="s">
        <v>84</v>
      </c>
      <c r="D89" s="121" t="str">
        <f>+D7</f>
        <v>insert project name here</v>
      </c>
      <c r="E89" s="1"/>
      <c r="F89" s="1"/>
      <c r="G89" s="1"/>
      <c r="H89" s="1"/>
      <c r="I89" s="3"/>
      <c r="J89" s="3"/>
      <c r="K89" s="137"/>
      <c r="L89" s="135" t="s">
        <v>156</v>
      </c>
      <c r="M89" s="90">
        <f>+M88-M87</f>
        <v>0</v>
      </c>
      <c r="N89" s="90">
        <f>+N88-N87</f>
        <v>0</v>
      </c>
      <c r="O89" s="91">
        <f>+O88-O87</f>
        <v>0</v>
      </c>
      <c r="P89" s="1"/>
    </row>
    <row r="90" spans="1:16" ht="13.5" thickBot="1">
      <c r="C90" s="80"/>
      <c r="D90" s="83" t="str">
        <f>D8</f>
        <v>DOES NOT MEET SPP $100,000 MINIMUM INVESTMENT FOR REGIONAL BPU SHARING.</v>
      </c>
      <c r="E90" s="18"/>
      <c r="F90" s="18"/>
      <c r="G90" s="18"/>
      <c r="H90" s="37"/>
      <c r="I90" s="3"/>
      <c r="J90" s="3"/>
      <c r="K90" s="22"/>
      <c r="L90" s="3"/>
      <c r="M90" s="3"/>
      <c r="N90" s="3"/>
      <c r="O90" s="22"/>
      <c r="P90" s="1"/>
    </row>
    <row r="91" spans="1:16" ht="13.5" thickBot="1">
      <c r="A91" s="17"/>
      <c r="C91" s="92" t="s">
        <v>85</v>
      </c>
      <c r="D91" s="109" t="str">
        <f>+D9</f>
        <v>TP______</v>
      </c>
      <c r="E91" s="93"/>
      <c r="F91" s="93"/>
      <c r="G91" s="93"/>
      <c r="H91" s="93"/>
      <c r="I91" s="93"/>
      <c r="J91" s="93"/>
      <c r="K91" s="94"/>
      <c r="P91" s="42"/>
    </row>
    <row r="92" spans="1:16" ht="13">
      <c r="C92" s="47" t="s">
        <v>51</v>
      </c>
      <c r="D92" s="105">
        <f>IF(D11=I10,0,D10)</f>
        <v>0</v>
      </c>
      <c r="E92" s="10" t="s">
        <v>86</v>
      </c>
      <c r="H92" s="45"/>
      <c r="I92" s="45"/>
      <c r="J92" s="46">
        <f>+'SWE.WS.G.BPU.ATRR.True-up'!M16</f>
        <v>2021</v>
      </c>
      <c r="K92" s="41"/>
      <c r="L92" s="22" t="s">
        <v>87</v>
      </c>
      <c r="P92" s="4"/>
    </row>
    <row r="93" spans="1:16" ht="12.5">
      <c r="C93" s="47" t="s">
        <v>54</v>
      </c>
      <c r="D93" s="106">
        <f>IF(D11=I10,"",D11)</f>
        <v>2016</v>
      </c>
      <c r="E93" s="47" t="s">
        <v>55</v>
      </c>
      <c r="F93" s="45"/>
      <c r="G93" s="45"/>
      <c r="J93" s="49">
        <f>IF(H87="",0,'SWE.WS.G.BPU.ATRR.True-up'!$F$13)</f>
        <v>0</v>
      </c>
      <c r="K93" s="50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7" t="s">
        <v>56</v>
      </c>
      <c r="D94" s="105">
        <f>IF(D11=I10,"",D12)</f>
        <v>4</v>
      </c>
      <c r="E94" s="47" t="s">
        <v>57</v>
      </c>
      <c r="F94" s="45"/>
      <c r="G94" s="45"/>
      <c r="J94" s="51">
        <f>'SWE.WS.G.BPU.ATRR.True-up'!$F$81</f>
        <v>0.11351422637179906</v>
      </c>
      <c r="K94" s="52"/>
      <c r="L94" t="s">
        <v>88</v>
      </c>
      <c r="P94" s="4"/>
    </row>
    <row r="95" spans="1:16" ht="12.5">
      <c r="C95" s="47" t="s">
        <v>59</v>
      </c>
      <c r="D95" s="49">
        <f>'SWE.WS.G.BPU.ATRR.True-up'!F$93</f>
        <v>41</v>
      </c>
      <c r="E95" s="47" t="s">
        <v>60</v>
      </c>
      <c r="F95" s="45"/>
      <c r="G95" s="45"/>
      <c r="J95" s="51">
        <f>IF(H87="",J94,'SWE.WS.G.BPU.ATRR.True-up'!$F$80)</f>
        <v>0.11351422637179906</v>
      </c>
      <c r="K95" s="11"/>
      <c r="L95" s="22" t="s">
        <v>61</v>
      </c>
      <c r="M95" s="11"/>
      <c r="N95" s="11"/>
      <c r="O95" s="11"/>
      <c r="P95" s="4"/>
    </row>
    <row r="96" spans="1:16" ht="13" thickBot="1">
      <c r="C96" s="47" t="s">
        <v>62</v>
      </c>
      <c r="D96" s="107" t="str">
        <f>+D14</f>
        <v>No</v>
      </c>
      <c r="E96" s="89" t="s">
        <v>64</v>
      </c>
      <c r="F96" s="95"/>
      <c r="G96" s="95"/>
      <c r="H96" s="96"/>
      <c r="I96" s="96"/>
      <c r="J96" s="35">
        <f>IF(D92=0,0,D92/D95)</f>
        <v>0</v>
      </c>
      <c r="K96" s="22"/>
      <c r="L96" s="22"/>
      <c r="M96" s="22"/>
      <c r="N96" s="22"/>
      <c r="O96" s="22"/>
      <c r="P96" s="4"/>
    </row>
    <row r="97" spans="1:16" ht="39">
      <c r="A97" s="6"/>
      <c r="B97" s="6"/>
      <c r="C97" s="97" t="s">
        <v>51</v>
      </c>
      <c r="D97" s="98" t="s">
        <v>65</v>
      </c>
      <c r="E97" s="57" t="s">
        <v>66</v>
      </c>
      <c r="F97" s="57" t="s">
        <v>67</v>
      </c>
      <c r="G97" s="55" t="s">
        <v>89</v>
      </c>
      <c r="H97" s="180" t="s">
        <v>388</v>
      </c>
      <c r="I97" s="181" t="s">
        <v>389</v>
      </c>
      <c r="J97" s="97" t="s">
        <v>90</v>
      </c>
      <c r="K97" s="99"/>
      <c r="L97" s="146" t="s">
        <v>228</v>
      </c>
      <c r="M97" s="57" t="s">
        <v>91</v>
      </c>
      <c r="N97" s="146" t="s">
        <v>228</v>
      </c>
      <c r="O97" s="57" t="s">
        <v>91</v>
      </c>
      <c r="P97" s="57" t="s">
        <v>70</v>
      </c>
    </row>
    <row r="98" spans="1:16" ht="13.5" thickBot="1">
      <c r="C98" s="58" t="s">
        <v>71</v>
      </c>
      <c r="D98" s="100" t="s">
        <v>72</v>
      </c>
      <c r="E98" s="58" t="s">
        <v>73</v>
      </c>
      <c r="F98" s="58" t="s">
        <v>72</v>
      </c>
      <c r="G98" s="58" t="s">
        <v>72</v>
      </c>
      <c r="H98" s="129" t="s">
        <v>74</v>
      </c>
      <c r="I98" s="59" t="s">
        <v>75</v>
      </c>
      <c r="J98" s="60" t="s">
        <v>94</v>
      </c>
      <c r="K98" s="61"/>
      <c r="L98" s="62" t="s">
        <v>77</v>
      </c>
      <c r="M98" s="62" t="s">
        <v>77</v>
      </c>
      <c r="N98" s="62" t="s">
        <v>95</v>
      </c>
      <c r="O98" s="62" t="s">
        <v>95</v>
      </c>
      <c r="P98" s="62" t="s">
        <v>95</v>
      </c>
    </row>
    <row r="99" spans="1:16" ht="12.5">
      <c r="C99" s="64">
        <f>IF(D93= "","-",D93)</f>
        <v>2016</v>
      </c>
      <c r="D99" s="65">
        <f>IF(D93=C99,0,D92)</f>
        <v>0</v>
      </c>
      <c r="E99" s="72">
        <f>IF(D11=I10,0,J96/12*(12-D94))</f>
        <v>0</v>
      </c>
      <c r="F99" s="70">
        <f>IF(D93=C99,+D92-E99,+D99-E99)</f>
        <v>0</v>
      </c>
      <c r="G99" s="101">
        <f t="shared" ref="G99:G130" si="15">+(F99+D99)/2</f>
        <v>0</v>
      </c>
      <c r="H99" s="125">
        <f>+J94*G99+E99</f>
        <v>0</v>
      </c>
      <c r="I99" s="126">
        <f>+J95*G99+E99</f>
        <v>0</v>
      </c>
      <c r="J99" s="69">
        <f t="shared" ref="J99:J130" si="16">+I99-H99</f>
        <v>0</v>
      </c>
      <c r="K99" s="69"/>
      <c r="L99" s="149"/>
      <c r="M99" s="68">
        <f t="shared" ref="M99:M130" si="17">IF(L99&lt;&gt;0,+H99-L99,0)</f>
        <v>0</v>
      </c>
      <c r="N99" s="149"/>
      <c r="O99" s="68">
        <f t="shared" ref="O99:O130" si="18">IF(N99&lt;&gt;0,+I99-N99,0)</f>
        <v>0</v>
      </c>
      <c r="P99" s="68">
        <f t="shared" ref="P99:P130" si="19">+O99-M99</f>
        <v>0</v>
      </c>
    </row>
    <row r="100" spans="1:16" ht="12.5">
      <c r="B100" s="9" t="str">
        <f>IF(D100=F99,"","IU")</f>
        <v/>
      </c>
      <c r="C100" s="64">
        <f>IF(D93="","-",+C99+1)</f>
        <v>2017</v>
      </c>
      <c r="D100" s="65">
        <f>IF(F99+SUM(E$99:E99)=D$92,F99,D$92-SUM(E$99:E99))</f>
        <v>0</v>
      </c>
      <c r="E100" s="71">
        <f>IF(+J96&lt;F99,J96,D100)</f>
        <v>0</v>
      </c>
      <c r="F100" s="70">
        <f t="shared" ref="F100:F130" si="20">+D100-E100</f>
        <v>0</v>
      </c>
      <c r="G100" s="70">
        <f t="shared" si="15"/>
        <v>0</v>
      </c>
      <c r="H100" s="73">
        <f t="shared" ref="H100:H112" si="21">+J$94*G100+E100</f>
        <v>0</v>
      </c>
      <c r="I100" s="127">
        <f t="shared" ref="I100:I112" si="22">+J$95*G100+E100</f>
        <v>0</v>
      </c>
      <c r="J100" s="69">
        <f t="shared" si="16"/>
        <v>0</v>
      </c>
      <c r="K100" s="69"/>
      <c r="L100" s="150"/>
      <c r="M100" s="69">
        <f t="shared" si="17"/>
        <v>0</v>
      </c>
      <c r="N100" s="150"/>
      <c r="O100" s="69">
        <f t="shared" si="18"/>
        <v>0</v>
      </c>
      <c r="P100" s="69">
        <f t="shared" si="19"/>
        <v>0</v>
      </c>
    </row>
    <row r="101" spans="1:16" ht="12.5">
      <c r="B101" s="9" t="str">
        <f t="shared" ref="B101:B154" si="23">IF(D101=F100,"","IU")</f>
        <v/>
      </c>
      <c r="C101" s="64">
        <f>IF(D93="","-",+C100+1)</f>
        <v>2018</v>
      </c>
      <c r="D101" s="65">
        <f>IF(F100+SUM(E$99:E100)=D$92,F100,D$92-SUM(E$99:E100))</f>
        <v>0</v>
      </c>
      <c r="E101" s="71">
        <f>IF(+J96&lt;F100,J96,D101)</f>
        <v>0</v>
      </c>
      <c r="F101" s="70">
        <f t="shared" si="20"/>
        <v>0</v>
      </c>
      <c r="G101" s="70">
        <f t="shared" si="15"/>
        <v>0</v>
      </c>
      <c r="H101" s="73">
        <f t="shared" si="21"/>
        <v>0</v>
      </c>
      <c r="I101" s="127">
        <f t="shared" si="22"/>
        <v>0</v>
      </c>
      <c r="J101" s="69">
        <f t="shared" si="16"/>
        <v>0</v>
      </c>
      <c r="K101" s="69"/>
      <c r="L101" s="150"/>
      <c r="M101" s="69">
        <f t="shared" si="17"/>
        <v>0</v>
      </c>
      <c r="N101" s="150"/>
      <c r="O101" s="69">
        <f t="shared" si="18"/>
        <v>0</v>
      </c>
      <c r="P101" s="69">
        <f t="shared" si="19"/>
        <v>0</v>
      </c>
    </row>
    <row r="102" spans="1:16" ht="12.5">
      <c r="B102" s="9" t="str">
        <f t="shared" si="23"/>
        <v/>
      </c>
      <c r="C102" s="64">
        <f>IF(D93="","-",+C101+1)</f>
        <v>2019</v>
      </c>
      <c r="D102" s="65">
        <f>IF(F101+SUM(E$99:E101)=D$92,F101,D$92-SUM(E$99:E101))</f>
        <v>0</v>
      </c>
      <c r="E102" s="71">
        <f>IF(+J96&lt;F101,J96,D102)</f>
        <v>0</v>
      </c>
      <c r="F102" s="70">
        <f t="shared" si="20"/>
        <v>0</v>
      </c>
      <c r="G102" s="70">
        <f t="shared" si="15"/>
        <v>0</v>
      </c>
      <c r="H102" s="73">
        <f t="shared" si="21"/>
        <v>0</v>
      </c>
      <c r="I102" s="127">
        <f t="shared" si="22"/>
        <v>0</v>
      </c>
      <c r="J102" s="69">
        <f t="shared" si="16"/>
        <v>0</v>
      </c>
      <c r="K102" s="69"/>
      <c r="L102" s="150"/>
      <c r="M102" s="69">
        <f t="shared" si="17"/>
        <v>0</v>
      </c>
      <c r="N102" s="150"/>
      <c r="O102" s="69">
        <f t="shared" si="18"/>
        <v>0</v>
      </c>
      <c r="P102" s="69">
        <f t="shared" si="19"/>
        <v>0</v>
      </c>
    </row>
    <row r="103" spans="1:16" ht="12.5">
      <c r="B103" s="9" t="str">
        <f t="shared" si="23"/>
        <v/>
      </c>
      <c r="C103" s="64">
        <f>IF(D93="","-",+C102+1)</f>
        <v>2020</v>
      </c>
      <c r="D103" s="65">
        <f>IF(F102+SUM(E$99:E102)=D$92,F102,D$92-SUM(E$99:E102))</f>
        <v>0</v>
      </c>
      <c r="E103" s="71">
        <f>IF(+J96&lt;F102,J96,D103)</f>
        <v>0</v>
      </c>
      <c r="F103" s="70">
        <f t="shared" si="20"/>
        <v>0</v>
      </c>
      <c r="G103" s="70">
        <f t="shared" si="15"/>
        <v>0</v>
      </c>
      <c r="H103" s="73">
        <f t="shared" si="21"/>
        <v>0</v>
      </c>
      <c r="I103" s="127">
        <f t="shared" si="22"/>
        <v>0</v>
      </c>
      <c r="J103" s="69">
        <f t="shared" si="16"/>
        <v>0</v>
      </c>
      <c r="K103" s="69"/>
      <c r="L103" s="150"/>
      <c r="M103" s="69">
        <f t="shared" si="17"/>
        <v>0</v>
      </c>
      <c r="N103" s="150"/>
      <c r="O103" s="69">
        <f t="shared" si="18"/>
        <v>0</v>
      </c>
      <c r="P103" s="69">
        <f t="shared" si="19"/>
        <v>0</v>
      </c>
    </row>
    <row r="104" spans="1:16" ht="12.5">
      <c r="B104" s="9" t="str">
        <f t="shared" si="23"/>
        <v/>
      </c>
      <c r="C104" s="64">
        <f>IF(D93="","-",+C103+1)</f>
        <v>2021</v>
      </c>
      <c r="D104" s="65">
        <f>IF(F103+SUM(E$99:E103)=D$92,F103,D$92-SUM(E$99:E103))</f>
        <v>0</v>
      </c>
      <c r="E104" s="71">
        <f>IF(+J96&lt;F103,J96,D104)</f>
        <v>0</v>
      </c>
      <c r="F104" s="70">
        <f t="shared" si="20"/>
        <v>0</v>
      </c>
      <c r="G104" s="70">
        <f t="shared" si="15"/>
        <v>0</v>
      </c>
      <c r="H104" s="73">
        <f t="shared" si="21"/>
        <v>0</v>
      </c>
      <c r="I104" s="127">
        <f t="shared" si="22"/>
        <v>0</v>
      </c>
      <c r="J104" s="69">
        <f t="shared" si="16"/>
        <v>0</v>
      </c>
      <c r="K104" s="69"/>
      <c r="L104" s="150"/>
      <c r="M104" s="69">
        <f t="shared" si="17"/>
        <v>0</v>
      </c>
      <c r="N104" s="150"/>
      <c r="O104" s="69">
        <f t="shared" si="18"/>
        <v>0</v>
      </c>
      <c r="P104" s="69">
        <f t="shared" si="19"/>
        <v>0</v>
      </c>
    </row>
    <row r="105" spans="1:16" ht="12.5">
      <c r="B105" s="9" t="str">
        <f t="shared" si="23"/>
        <v/>
      </c>
      <c r="C105" s="64">
        <f>IF(D93="","-",+C104+1)</f>
        <v>2022</v>
      </c>
      <c r="D105" s="65">
        <f>IF(F104+SUM(E$99:E104)=D$92,F104,D$92-SUM(E$99:E104))</f>
        <v>0</v>
      </c>
      <c r="E105" s="71">
        <f>IF(+J96&lt;F104,J96,D105)</f>
        <v>0</v>
      </c>
      <c r="F105" s="70">
        <f t="shared" si="20"/>
        <v>0</v>
      </c>
      <c r="G105" s="70">
        <f t="shared" si="15"/>
        <v>0</v>
      </c>
      <c r="H105" s="73">
        <f t="shared" si="21"/>
        <v>0</v>
      </c>
      <c r="I105" s="127">
        <f t="shared" si="22"/>
        <v>0</v>
      </c>
      <c r="J105" s="69">
        <f t="shared" si="16"/>
        <v>0</v>
      </c>
      <c r="K105" s="69"/>
      <c r="L105" s="150"/>
      <c r="M105" s="69">
        <f t="shared" si="17"/>
        <v>0</v>
      </c>
      <c r="N105" s="150"/>
      <c r="O105" s="69">
        <f t="shared" si="18"/>
        <v>0</v>
      </c>
      <c r="P105" s="69">
        <f t="shared" si="19"/>
        <v>0</v>
      </c>
    </row>
    <row r="106" spans="1:16" ht="12.5">
      <c r="B106" s="9" t="str">
        <f t="shared" si="23"/>
        <v/>
      </c>
      <c r="C106" s="64">
        <f>IF(D93="","-",+C105+1)</f>
        <v>2023</v>
      </c>
      <c r="D106" s="65">
        <f>IF(F105+SUM(E$99:E105)=D$92,F105,D$92-SUM(E$99:E105))</f>
        <v>0</v>
      </c>
      <c r="E106" s="71">
        <f>IF(+J96&lt;F105,J96,D106)</f>
        <v>0</v>
      </c>
      <c r="F106" s="70">
        <f t="shared" si="20"/>
        <v>0</v>
      </c>
      <c r="G106" s="70">
        <f t="shared" si="15"/>
        <v>0</v>
      </c>
      <c r="H106" s="73">
        <f t="shared" si="21"/>
        <v>0</v>
      </c>
      <c r="I106" s="127">
        <f t="shared" si="22"/>
        <v>0</v>
      </c>
      <c r="J106" s="69">
        <f t="shared" si="16"/>
        <v>0</v>
      </c>
      <c r="K106" s="69"/>
      <c r="L106" s="150"/>
      <c r="M106" s="69">
        <f t="shared" si="17"/>
        <v>0</v>
      </c>
      <c r="N106" s="150"/>
      <c r="O106" s="69">
        <f t="shared" si="18"/>
        <v>0</v>
      </c>
      <c r="P106" s="69">
        <f t="shared" si="19"/>
        <v>0</v>
      </c>
    </row>
    <row r="107" spans="1:16" ht="12.5">
      <c r="B107" s="9" t="str">
        <f t="shared" si="23"/>
        <v/>
      </c>
      <c r="C107" s="64">
        <f>IF(D93="","-",+C106+1)</f>
        <v>2024</v>
      </c>
      <c r="D107" s="65">
        <f>IF(F106+SUM(E$99:E106)=D$92,F106,D$92-SUM(E$99:E106))</f>
        <v>0</v>
      </c>
      <c r="E107" s="71">
        <f>IF(+J96&lt;F106,J96,D107)</f>
        <v>0</v>
      </c>
      <c r="F107" s="70">
        <f t="shared" si="20"/>
        <v>0</v>
      </c>
      <c r="G107" s="70">
        <f t="shared" si="15"/>
        <v>0</v>
      </c>
      <c r="H107" s="73">
        <f t="shared" si="21"/>
        <v>0</v>
      </c>
      <c r="I107" s="127">
        <f t="shared" si="22"/>
        <v>0</v>
      </c>
      <c r="J107" s="69">
        <f t="shared" si="16"/>
        <v>0</v>
      </c>
      <c r="K107" s="69"/>
      <c r="L107" s="150"/>
      <c r="M107" s="69">
        <f t="shared" si="17"/>
        <v>0</v>
      </c>
      <c r="N107" s="150"/>
      <c r="O107" s="69">
        <f t="shared" si="18"/>
        <v>0</v>
      </c>
      <c r="P107" s="69">
        <f t="shared" si="19"/>
        <v>0</v>
      </c>
    </row>
    <row r="108" spans="1:16" ht="12.5">
      <c r="B108" s="9" t="str">
        <f t="shared" si="23"/>
        <v/>
      </c>
      <c r="C108" s="64">
        <f>IF(D93="","-",+C107+1)</f>
        <v>2025</v>
      </c>
      <c r="D108" s="65">
        <f>IF(F107+SUM(E$99:E107)=D$92,F107,D$92-SUM(E$99:E107))</f>
        <v>0</v>
      </c>
      <c r="E108" s="71">
        <f>IF(+J96&lt;F107,J96,D108)</f>
        <v>0</v>
      </c>
      <c r="F108" s="70">
        <f t="shared" si="20"/>
        <v>0</v>
      </c>
      <c r="G108" s="70">
        <f t="shared" si="15"/>
        <v>0</v>
      </c>
      <c r="H108" s="73">
        <f t="shared" si="21"/>
        <v>0</v>
      </c>
      <c r="I108" s="127">
        <f t="shared" si="22"/>
        <v>0</v>
      </c>
      <c r="J108" s="69">
        <f t="shared" si="16"/>
        <v>0</v>
      </c>
      <c r="K108" s="69"/>
      <c r="L108" s="150"/>
      <c r="M108" s="69">
        <f t="shared" si="17"/>
        <v>0</v>
      </c>
      <c r="N108" s="150"/>
      <c r="O108" s="69">
        <f t="shared" si="18"/>
        <v>0</v>
      </c>
      <c r="P108" s="69">
        <f t="shared" si="19"/>
        <v>0</v>
      </c>
    </row>
    <row r="109" spans="1:16" ht="12.5">
      <c r="B109" s="9" t="str">
        <f t="shared" si="23"/>
        <v/>
      </c>
      <c r="C109" s="64">
        <f>IF(D93="","-",+C108+1)</f>
        <v>2026</v>
      </c>
      <c r="D109" s="65">
        <f>IF(F108+SUM(E$99:E108)=D$92,F108,D$92-SUM(E$99:E108))</f>
        <v>0</v>
      </c>
      <c r="E109" s="71">
        <f>IF(+J96&lt;F108,J96,D109)</f>
        <v>0</v>
      </c>
      <c r="F109" s="70">
        <f t="shared" si="20"/>
        <v>0</v>
      </c>
      <c r="G109" s="70">
        <f t="shared" si="15"/>
        <v>0</v>
      </c>
      <c r="H109" s="73">
        <f t="shared" si="21"/>
        <v>0</v>
      </c>
      <c r="I109" s="127">
        <f t="shared" si="22"/>
        <v>0</v>
      </c>
      <c r="J109" s="69">
        <f t="shared" si="16"/>
        <v>0</v>
      </c>
      <c r="K109" s="69"/>
      <c r="L109" s="150"/>
      <c r="M109" s="69">
        <f t="shared" si="17"/>
        <v>0</v>
      </c>
      <c r="N109" s="150"/>
      <c r="O109" s="69">
        <f t="shared" si="18"/>
        <v>0</v>
      </c>
      <c r="P109" s="69">
        <f t="shared" si="19"/>
        <v>0</v>
      </c>
    </row>
    <row r="110" spans="1:16" ht="12.5">
      <c r="B110" s="9" t="str">
        <f t="shared" si="23"/>
        <v/>
      </c>
      <c r="C110" s="64">
        <f>IF(D93="","-",+C109+1)</f>
        <v>2027</v>
      </c>
      <c r="D110" s="65">
        <f>IF(F109+SUM(E$99:E109)=D$92,F109,D$92-SUM(E$99:E109))</f>
        <v>0</v>
      </c>
      <c r="E110" s="71">
        <f>IF(+J96&lt;F109,J96,D110)</f>
        <v>0</v>
      </c>
      <c r="F110" s="70">
        <f t="shared" si="20"/>
        <v>0</v>
      </c>
      <c r="G110" s="70">
        <f t="shared" si="15"/>
        <v>0</v>
      </c>
      <c r="H110" s="73">
        <f t="shared" si="21"/>
        <v>0</v>
      </c>
      <c r="I110" s="127">
        <f t="shared" si="22"/>
        <v>0</v>
      </c>
      <c r="J110" s="69">
        <f t="shared" si="16"/>
        <v>0</v>
      </c>
      <c r="K110" s="69"/>
      <c r="L110" s="150"/>
      <c r="M110" s="69">
        <f t="shared" si="17"/>
        <v>0</v>
      </c>
      <c r="N110" s="150"/>
      <c r="O110" s="69">
        <f t="shared" si="18"/>
        <v>0</v>
      </c>
      <c r="P110" s="69">
        <f t="shared" si="19"/>
        <v>0</v>
      </c>
    </row>
    <row r="111" spans="1:16" ht="12.5">
      <c r="B111" s="9" t="str">
        <f t="shared" si="23"/>
        <v/>
      </c>
      <c r="C111" s="64">
        <f>IF(D93="","-",+C110+1)</f>
        <v>2028</v>
      </c>
      <c r="D111" s="65">
        <f>IF(F110+SUM(E$99:E110)=D$92,F110,D$92-SUM(E$99:E110))</f>
        <v>0</v>
      </c>
      <c r="E111" s="71">
        <f>IF(+J96&lt;F110,J96,D111)</f>
        <v>0</v>
      </c>
      <c r="F111" s="70">
        <f t="shared" si="20"/>
        <v>0</v>
      </c>
      <c r="G111" s="70">
        <f t="shared" si="15"/>
        <v>0</v>
      </c>
      <c r="H111" s="73">
        <f t="shared" si="21"/>
        <v>0</v>
      </c>
      <c r="I111" s="127">
        <f t="shared" si="22"/>
        <v>0</v>
      </c>
      <c r="J111" s="69">
        <f t="shared" si="16"/>
        <v>0</v>
      </c>
      <c r="K111" s="69"/>
      <c r="L111" s="150"/>
      <c r="M111" s="69">
        <f t="shared" si="17"/>
        <v>0</v>
      </c>
      <c r="N111" s="150"/>
      <c r="O111" s="69">
        <f t="shared" si="18"/>
        <v>0</v>
      </c>
      <c r="P111" s="69">
        <f t="shared" si="19"/>
        <v>0</v>
      </c>
    </row>
    <row r="112" spans="1:16" ht="12.5">
      <c r="B112" s="9" t="str">
        <f t="shared" si="23"/>
        <v/>
      </c>
      <c r="C112" s="64">
        <f>IF(D93="","-",+C111+1)</f>
        <v>2029</v>
      </c>
      <c r="D112" s="65">
        <f>IF(F111+SUM(E$99:E111)=D$92,F111,D$92-SUM(E$99:E111))</f>
        <v>0</v>
      </c>
      <c r="E112" s="71">
        <f>IF(+J96&lt;F111,J96,D112)</f>
        <v>0</v>
      </c>
      <c r="F112" s="70">
        <f t="shared" si="20"/>
        <v>0</v>
      </c>
      <c r="G112" s="70">
        <f t="shared" si="15"/>
        <v>0</v>
      </c>
      <c r="H112" s="73">
        <f t="shared" si="21"/>
        <v>0</v>
      </c>
      <c r="I112" s="127">
        <f t="shared" si="22"/>
        <v>0</v>
      </c>
      <c r="J112" s="69">
        <f t="shared" si="16"/>
        <v>0</v>
      </c>
      <c r="K112" s="69"/>
      <c r="L112" s="150"/>
      <c r="M112" s="69">
        <f t="shared" si="17"/>
        <v>0</v>
      </c>
      <c r="N112" s="150"/>
      <c r="O112" s="69">
        <f t="shared" si="18"/>
        <v>0</v>
      </c>
      <c r="P112" s="69">
        <f t="shared" si="19"/>
        <v>0</v>
      </c>
    </row>
    <row r="113" spans="2:16" ht="12.5">
      <c r="B113" s="9" t="str">
        <f t="shared" si="23"/>
        <v/>
      </c>
      <c r="C113" s="64">
        <f>IF(D93="","-",+C112+1)</f>
        <v>2030</v>
      </c>
      <c r="D113" s="65">
        <f>IF(F112+SUM(E$99:E112)=D$92,F112,D$92-SUM(E$99:E112))</f>
        <v>0</v>
      </c>
      <c r="E113" s="71">
        <f>IF(+J96&lt;F112,J96,D113)</f>
        <v>0</v>
      </c>
      <c r="F113" s="70">
        <f t="shared" si="20"/>
        <v>0</v>
      </c>
      <c r="G113" s="70">
        <f t="shared" si="15"/>
        <v>0</v>
      </c>
      <c r="H113" s="73">
        <f t="shared" ref="H113:H154" si="24">+J$94*G113+E113</f>
        <v>0</v>
      </c>
      <c r="I113" s="127">
        <f t="shared" ref="I113:I154" si="25">+J$95*G113+E113</f>
        <v>0</v>
      </c>
      <c r="J113" s="69">
        <f t="shared" si="16"/>
        <v>0</v>
      </c>
      <c r="K113" s="69"/>
      <c r="L113" s="150"/>
      <c r="M113" s="69">
        <f t="shared" si="17"/>
        <v>0</v>
      </c>
      <c r="N113" s="150"/>
      <c r="O113" s="69">
        <f t="shared" si="18"/>
        <v>0</v>
      </c>
      <c r="P113" s="69">
        <f t="shared" si="19"/>
        <v>0</v>
      </c>
    </row>
    <row r="114" spans="2:16" ht="12.5">
      <c r="B114" s="9" t="str">
        <f t="shared" si="23"/>
        <v/>
      </c>
      <c r="C114" s="64">
        <f>IF(D93="","-",+C113+1)</f>
        <v>2031</v>
      </c>
      <c r="D114" s="65">
        <f>IF(F113+SUM(E$99:E113)=D$92,F113,D$92-SUM(E$99:E113))</f>
        <v>0</v>
      </c>
      <c r="E114" s="71">
        <f>IF(+J96&lt;F113,J96,D114)</f>
        <v>0</v>
      </c>
      <c r="F114" s="70">
        <f t="shared" si="20"/>
        <v>0</v>
      </c>
      <c r="G114" s="70">
        <f t="shared" si="15"/>
        <v>0</v>
      </c>
      <c r="H114" s="73">
        <f t="shared" si="24"/>
        <v>0</v>
      </c>
      <c r="I114" s="127">
        <f t="shared" si="25"/>
        <v>0</v>
      </c>
      <c r="J114" s="69">
        <f t="shared" si="16"/>
        <v>0</v>
      </c>
      <c r="K114" s="69"/>
      <c r="L114" s="150"/>
      <c r="M114" s="69">
        <f t="shared" si="17"/>
        <v>0</v>
      </c>
      <c r="N114" s="150"/>
      <c r="O114" s="69">
        <f t="shared" si="18"/>
        <v>0</v>
      </c>
      <c r="P114" s="69">
        <f t="shared" si="19"/>
        <v>0</v>
      </c>
    </row>
    <row r="115" spans="2:16" ht="12.5">
      <c r="B115" s="9" t="str">
        <f t="shared" si="23"/>
        <v/>
      </c>
      <c r="C115" s="64">
        <f>IF(D93="","-",+C114+1)</f>
        <v>2032</v>
      </c>
      <c r="D115" s="65">
        <f>IF(F114+SUM(E$99:E114)=D$92,F114,D$92-SUM(E$99:E114))</f>
        <v>0</v>
      </c>
      <c r="E115" s="71">
        <f>IF(+J96&lt;F114,J96,D115)</f>
        <v>0</v>
      </c>
      <c r="F115" s="70">
        <f t="shared" si="20"/>
        <v>0</v>
      </c>
      <c r="G115" s="70">
        <f t="shared" si="15"/>
        <v>0</v>
      </c>
      <c r="H115" s="73">
        <f t="shared" si="24"/>
        <v>0</v>
      </c>
      <c r="I115" s="127">
        <f t="shared" si="25"/>
        <v>0</v>
      </c>
      <c r="J115" s="69">
        <f t="shared" si="16"/>
        <v>0</v>
      </c>
      <c r="K115" s="69"/>
      <c r="L115" s="150"/>
      <c r="M115" s="69">
        <f t="shared" si="17"/>
        <v>0</v>
      </c>
      <c r="N115" s="150"/>
      <c r="O115" s="69">
        <f t="shared" si="18"/>
        <v>0</v>
      </c>
      <c r="P115" s="69">
        <f t="shared" si="19"/>
        <v>0</v>
      </c>
    </row>
    <row r="116" spans="2:16" ht="12.5">
      <c r="B116" s="9" t="str">
        <f t="shared" si="23"/>
        <v/>
      </c>
      <c r="C116" s="64">
        <f>IF(D93="","-",+C115+1)</f>
        <v>2033</v>
      </c>
      <c r="D116" s="65">
        <f>IF(F115+SUM(E$99:E115)=D$92,F115,D$92-SUM(E$99:E115))</f>
        <v>0</v>
      </c>
      <c r="E116" s="71">
        <f>IF(+J96&lt;F115,J96,D116)</f>
        <v>0</v>
      </c>
      <c r="F116" s="70">
        <f t="shared" si="20"/>
        <v>0</v>
      </c>
      <c r="G116" s="70">
        <f t="shared" si="15"/>
        <v>0</v>
      </c>
      <c r="H116" s="73">
        <f t="shared" si="24"/>
        <v>0</v>
      </c>
      <c r="I116" s="127">
        <f t="shared" si="25"/>
        <v>0</v>
      </c>
      <c r="J116" s="69">
        <f t="shared" si="16"/>
        <v>0</v>
      </c>
      <c r="K116" s="69"/>
      <c r="L116" s="150"/>
      <c r="M116" s="69">
        <f t="shared" si="17"/>
        <v>0</v>
      </c>
      <c r="N116" s="150"/>
      <c r="O116" s="69">
        <f t="shared" si="18"/>
        <v>0</v>
      </c>
      <c r="P116" s="69">
        <f t="shared" si="19"/>
        <v>0</v>
      </c>
    </row>
    <row r="117" spans="2:16" ht="12.5">
      <c r="B117" s="9" t="str">
        <f t="shared" si="23"/>
        <v/>
      </c>
      <c r="C117" s="64">
        <f>IF(D93="","-",+C116+1)</f>
        <v>2034</v>
      </c>
      <c r="D117" s="65">
        <f>IF(F116+SUM(E$99:E116)=D$92,F116,D$92-SUM(E$99:E116))</f>
        <v>0</v>
      </c>
      <c r="E117" s="71">
        <f>IF(+J96&lt;F116,J96,D117)</f>
        <v>0</v>
      </c>
      <c r="F117" s="70">
        <f t="shared" si="20"/>
        <v>0</v>
      </c>
      <c r="G117" s="70">
        <f t="shared" si="15"/>
        <v>0</v>
      </c>
      <c r="H117" s="73">
        <f t="shared" si="24"/>
        <v>0</v>
      </c>
      <c r="I117" s="127">
        <f t="shared" si="25"/>
        <v>0</v>
      </c>
      <c r="J117" s="69">
        <f t="shared" si="16"/>
        <v>0</v>
      </c>
      <c r="K117" s="69"/>
      <c r="L117" s="150"/>
      <c r="M117" s="69">
        <f t="shared" si="17"/>
        <v>0</v>
      </c>
      <c r="N117" s="150"/>
      <c r="O117" s="69">
        <f t="shared" si="18"/>
        <v>0</v>
      </c>
      <c r="P117" s="69">
        <f t="shared" si="19"/>
        <v>0</v>
      </c>
    </row>
    <row r="118" spans="2:16" ht="12.5">
      <c r="B118" s="9" t="str">
        <f t="shared" si="23"/>
        <v/>
      </c>
      <c r="C118" s="64">
        <f>IF(D93="","-",+C117+1)</f>
        <v>2035</v>
      </c>
      <c r="D118" s="65">
        <f>IF(F117+SUM(E$99:E117)=D$92,F117,D$92-SUM(E$99:E117))</f>
        <v>0</v>
      </c>
      <c r="E118" s="71">
        <f>IF(+J96&lt;F117,J96,D118)</f>
        <v>0</v>
      </c>
      <c r="F118" s="70">
        <f t="shared" si="20"/>
        <v>0</v>
      </c>
      <c r="G118" s="70">
        <f t="shared" si="15"/>
        <v>0</v>
      </c>
      <c r="H118" s="73">
        <f t="shared" si="24"/>
        <v>0</v>
      </c>
      <c r="I118" s="127">
        <f t="shared" si="25"/>
        <v>0</v>
      </c>
      <c r="J118" s="69">
        <f t="shared" si="16"/>
        <v>0</v>
      </c>
      <c r="K118" s="69"/>
      <c r="L118" s="150"/>
      <c r="M118" s="69">
        <f t="shared" si="17"/>
        <v>0</v>
      </c>
      <c r="N118" s="150"/>
      <c r="O118" s="69">
        <f t="shared" si="18"/>
        <v>0</v>
      </c>
      <c r="P118" s="69">
        <f t="shared" si="19"/>
        <v>0</v>
      </c>
    </row>
    <row r="119" spans="2:16" ht="12.5">
      <c r="B119" s="9" t="str">
        <f t="shared" si="23"/>
        <v/>
      </c>
      <c r="C119" s="64">
        <f>IF(D93="","-",+C118+1)</f>
        <v>2036</v>
      </c>
      <c r="D119" s="65">
        <f>IF(F118+SUM(E$99:E118)=D$92,F118,D$92-SUM(E$99:E118))</f>
        <v>0</v>
      </c>
      <c r="E119" s="71">
        <f>IF(+J96&lt;F118,J96,D119)</f>
        <v>0</v>
      </c>
      <c r="F119" s="70">
        <f t="shared" si="20"/>
        <v>0</v>
      </c>
      <c r="G119" s="70">
        <f t="shared" si="15"/>
        <v>0</v>
      </c>
      <c r="H119" s="73">
        <f t="shared" si="24"/>
        <v>0</v>
      </c>
      <c r="I119" s="127">
        <f t="shared" si="25"/>
        <v>0</v>
      </c>
      <c r="J119" s="69">
        <f t="shared" si="16"/>
        <v>0</v>
      </c>
      <c r="K119" s="69"/>
      <c r="L119" s="150"/>
      <c r="M119" s="69">
        <f t="shared" si="17"/>
        <v>0</v>
      </c>
      <c r="N119" s="150"/>
      <c r="O119" s="69">
        <f t="shared" si="18"/>
        <v>0</v>
      </c>
      <c r="P119" s="69">
        <f t="shared" si="19"/>
        <v>0</v>
      </c>
    </row>
    <row r="120" spans="2:16" ht="12.5">
      <c r="B120" s="9" t="str">
        <f t="shared" si="23"/>
        <v/>
      </c>
      <c r="C120" s="64">
        <f>IF(D93="","-",+C119+1)</f>
        <v>2037</v>
      </c>
      <c r="D120" s="65">
        <f>IF(F119+SUM(E$99:E119)=D$92,F119,D$92-SUM(E$99:E119))</f>
        <v>0</v>
      </c>
      <c r="E120" s="71">
        <f>IF(+J96&lt;F119,J96,D120)</f>
        <v>0</v>
      </c>
      <c r="F120" s="70">
        <f t="shared" si="20"/>
        <v>0</v>
      </c>
      <c r="G120" s="70">
        <f t="shared" si="15"/>
        <v>0</v>
      </c>
      <c r="H120" s="73">
        <f t="shared" si="24"/>
        <v>0</v>
      </c>
      <c r="I120" s="127">
        <f t="shared" si="25"/>
        <v>0</v>
      </c>
      <c r="J120" s="69">
        <f t="shared" si="16"/>
        <v>0</v>
      </c>
      <c r="K120" s="69"/>
      <c r="L120" s="150"/>
      <c r="M120" s="69">
        <f t="shared" si="17"/>
        <v>0</v>
      </c>
      <c r="N120" s="150"/>
      <c r="O120" s="69">
        <f t="shared" si="18"/>
        <v>0</v>
      </c>
      <c r="P120" s="69">
        <f t="shared" si="19"/>
        <v>0</v>
      </c>
    </row>
    <row r="121" spans="2:16" ht="12.5">
      <c r="B121" s="9" t="str">
        <f t="shared" si="23"/>
        <v/>
      </c>
      <c r="C121" s="64">
        <f>IF(D93="","-",+C120+1)</f>
        <v>2038</v>
      </c>
      <c r="D121" s="65">
        <f>IF(F120+SUM(E$99:E120)=D$92,F120,D$92-SUM(E$99:E120))</f>
        <v>0</v>
      </c>
      <c r="E121" s="71">
        <f>IF(+J96&lt;F120,J96,D121)</f>
        <v>0</v>
      </c>
      <c r="F121" s="70">
        <f t="shared" si="20"/>
        <v>0</v>
      </c>
      <c r="G121" s="70">
        <f t="shared" si="15"/>
        <v>0</v>
      </c>
      <c r="H121" s="73">
        <f t="shared" si="24"/>
        <v>0</v>
      </c>
      <c r="I121" s="127">
        <f t="shared" si="25"/>
        <v>0</v>
      </c>
      <c r="J121" s="69">
        <f t="shared" si="16"/>
        <v>0</v>
      </c>
      <c r="K121" s="69"/>
      <c r="L121" s="150"/>
      <c r="M121" s="69">
        <f t="shared" si="17"/>
        <v>0</v>
      </c>
      <c r="N121" s="150"/>
      <c r="O121" s="69">
        <f t="shared" si="18"/>
        <v>0</v>
      </c>
      <c r="P121" s="69">
        <f t="shared" si="19"/>
        <v>0</v>
      </c>
    </row>
    <row r="122" spans="2:16" ht="12.5">
      <c r="B122" s="9" t="str">
        <f t="shared" si="23"/>
        <v/>
      </c>
      <c r="C122" s="64">
        <f>IF(D93="","-",+C121+1)</f>
        <v>2039</v>
      </c>
      <c r="D122" s="65">
        <f>IF(F121+SUM(E$99:E121)=D$92,F121,D$92-SUM(E$99:E121))</f>
        <v>0</v>
      </c>
      <c r="E122" s="71">
        <f>IF(+J96&lt;F121,J96,D122)</f>
        <v>0</v>
      </c>
      <c r="F122" s="70">
        <f t="shared" si="20"/>
        <v>0</v>
      </c>
      <c r="G122" s="70">
        <f t="shared" si="15"/>
        <v>0</v>
      </c>
      <c r="H122" s="73">
        <f t="shared" si="24"/>
        <v>0</v>
      </c>
      <c r="I122" s="127">
        <f t="shared" si="25"/>
        <v>0</v>
      </c>
      <c r="J122" s="69">
        <f t="shared" si="16"/>
        <v>0</v>
      </c>
      <c r="K122" s="69"/>
      <c r="L122" s="150"/>
      <c r="M122" s="69">
        <f t="shared" si="17"/>
        <v>0</v>
      </c>
      <c r="N122" s="150"/>
      <c r="O122" s="69">
        <f t="shared" si="18"/>
        <v>0</v>
      </c>
      <c r="P122" s="69">
        <f t="shared" si="19"/>
        <v>0</v>
      </c>
    </row>
    <row r="123" spans="2:16" ht="12.5">
      <c r="B123" s="9" t="str">
        <f t="shared" si="23"/>
        <v/>
      </c>
      <c r="C123" s="64">
        <f>IF(D93="","-",+C122+1)</f>
        <v>2040</v>
      </c>
      <c r="D123" s="65">
        <f>IF(F122+SUM(E$99:E122)=D$92,F122,D$92-SUM(E$99:E122))</f>
        <v>0</v>
      </c>
      <c r="E123" s="71">
        <f>IF(+J96&lt;F122,J96,D123)</f>
        <v>0</v>
      </c>
      <c r="F123" s="70">
        <f t="shared" si="20"/>
        <v>0</v>
      </c>
      <c r="G123" s="70">
        <f t="shared" si="15"/>
        <v>0</v>
      </c>
      <c r="H123" s="73">
        <f t="shared" si="24"/>
        <v>0</v>
      </c>
      <c r="I123" s="127">
        <f t="shared" si="25"/>
        <v>0</v>
      </c>
      <c r="J123" s="69">
        <f t="shared" si="16"/>
        <v>0</v>
      </c>
      <c r="K123" s="69"/>
      <c r="L123" s="150"/>
      <c r="M123" s="69">
        <f t="shared" si="17"/>
        <v>0</v>
      </c>
      <c r="N123" s="150"/>
      <c r="O123" s="69">
        <f t="shared" si="18"/>
        <v>0</v>
      </c>
      <c r="P123" s="69">
        <f t="shared" si="19"/>
        <v>0</v>
      </c>
    </row>
    <row r="124" spans="2:16" ht="12.5">
      <c r="B124" s="9" t="str">
        <f t="shared" si="23"/>
        <v/>
      </c>
      <c r="C124" s="64">
        <f>IF(D93="","-",+C123+1)</f>
        <v>2041</v>
      </c>
      <c r="D124" s="65">
        <f>IF(F123+SUM(E$99:E123)=D$92,F123,D$92-SUM(E$99:E123))</f>
        <v>0</v>
      </c>
      <c r="E124" s="71">
        <f>IF(+J96&lt;F123,J96,D124)</f>
        <v>0</v>
      </c>
      <c r="F124" s="70">
        <f t="shared" si="20"/>
        <v>0</v>
      </c>
      <c r="G124" s="70">
        <f t="shared" si="15"/>
        <v>0</v>
      </c>
      <c r="H124" s="73">
        <f t="shared" si="24"/>
        <v>0</v>
      </c>
      <c r="I124" s="127">
        <f t="shared" si="25"/>
        <v>0</v>
      </c>
      <c r="J124" s="69">
        <f t="shared" si="16"/>
        <v>0</v>
      </c>
      <c r="K124" s="69"/>
      <c r="L124" s="150"/>
      <c r="M124" s="69">
        <f t="shared" si="17"/>
        <v>0</v>
      </c>
      <c r="N124" s="150"/>
      <c r="O124" s="69">
        <f t="shared" si="18"/>
        <v>0</v>
      </c>
      <c r="P124" s="69">
        <f t="shared" si="19"/>
        <v>0</v>
      </c>
    </row>
    <row r="125" spans="2:16" ht="12.5">
      <c r="B125" s="9" t="str">
        <f t="shared" si="23"/>
        <v/>
      </c>
      <c r="C125" s="64">
        <f>IF(D93="","-",+C124+1)</f>
        <v>2042</v>
      </c>
      <c r="D125" s="65">
        <f>IF(F124+SUM(E$99:E124)=D$92,F124,D$92-SUM(E$99:E124))</f>
        <v>0</v>
      </c>
      <c r="E125" s="71">
        <f>IF(+J96&lt;F124,J96,D125)</f>
        <v>0</v>
      </c>
      <c r="F125" s="70">
        <f t="shared" si="20"/>
        <v>0</v>
      </c>
      <c r="G125" s="70">
        <f t="shared" si="15"/>
        <v>0</v>
      </c>
      <c r="H125" s="73">
        <f t="shared" si="24"/>
        <v>0</v>
      </c>
      <c r="I125" s="127">
        <f t="shared" si="25"/>
        <v>0</v>
      </c>
      <c r="J125" s="69">
        <f t="shared" si="16"/>
        <v>0</v>
      </c>
      <c r="K125" s="69"/>
      <c r="L125" s="150"/>
      <c r="M125" s="69">
        <f t="shared" si="17"/>
        <v>0</v>
      </c>
      <c r="N125" s="150"/>
      <c r="O125" s="69">
        <f t="shared" si="18"/>
        <v>0</v>
      </c>
      <c r="P125" s="69">
        <f t="shared" si="19"/>
        <v>0</v>
      </c>
    </row>
    <row r="126" spans="2:16" ht="12.5">
      <c r="B126" s="9" t="str">
        <f t="shared" si="23"/>
        <v/>
      </c>
      <c r="C126" s="64">
        <f>IF(D93="","-",+C125+1)</f>
        <v>2043</v>
      </c>
      <c r="D126" s="65">
        <f>IF(F125+SUM(E$99:E125)=D$92,F125,D$92-SUM(E$99:E125))</f>
        <v>0</v>
      </c>
      <c r="E126" s="71">
        <f>IF(+J96&lt;F125,J96,D126)</f>
        <v>0</v>
      </c>
      <c r="F126" s="70">
        <f t="shared" si="20"/>
        <v>0</v>
      </c>
      <c r="G126" s="70">
        <f t="shared" si="15"/>
        <v>0</v>
      </c>
      <c r="H126" s="73">
        <f t="shared" si="24"/>
        <v>0</v>
      </c>
      <c r="I126" s="127">
        <f t="shared" si="25"/>
        <v>0</v>
      </c>
      <c r="J126" s="69">
        <f t="shared" si="16"/>
        <v>0</v>
      </c>
      <c r="K126" s="69"/>
      <c r="L126" s="150"/>
      <c r="M126" s="69">
        <f t="shared" si="17"/>
        <v>0</v>
      </c>
      <c r="N126" s="150"/>
      <c r="O126" s="69">
        <f t="shared" si="18"/>
        <v>0</v>
      </c>
      <c r="P126" s="69">
        <f t="shared" si="19"/>
        <v>0</v>
      </c>
    </row>
    <row r="127" spans="2:16" ht="12.5">
      <c r="B127" s="9" t="str">
        <f t="shared" si="23"/>
        <v/>
      </c>
      <c r="C127" s="64">
        <f>IF(D93="","-",+C126+1)</f>
        <v>2044</v>
      </c>
      <c r="D127" s="65">
        <f>IF(F126+SUM(E$99:E126)=D$92,F126,D$92-SUM(E$99:E126))</f>
        <v>0</v>
      </c>
      <c r="E127" s="71">
        <f>IF(+J96&lt;F126,J96,D127)</f>
        <v>0</v>
      </c>
      <c r="F127" s="70">
        <f t="shared" si="20"/>
        <v>0</v>
      </c>
      <c r="G127" s="70">
        <f t="shared" si="15"/>
        <v>0</v>
      </c>
      <c r="H127" s="73">
        <f t="shared" si="24"/>
        <v>0</v>
      </c>
      <c r="I127" s="127">
        <f t="shared" si="25"/>
        <v>0</v>
      </c>
      <c r="J127" s="69">
        <f t="shared" si="16"/>
        <v>0</v>
      </c>
      <c r="K127" s="69"/>
      <c r="L127" s="150"/>
      <c r="M127" s="69">
        <f t="shared" si="17"/>
        <v>0</v>
      </c>
      <c r="N127" s="150"/>
      <c r="O127" s="69">
        <f t="shared" si="18"/>
        <v>0</v>
      </c>
      <c r="P127" s="69">
        <f t="shared" si="19"/>
        <v>0</v>
      </c>
    </row>
    <row r="128" spans="2:16" ht="12.5">
      <c r="B128" s="9" t="str">
        <f t="shared" si="23"/>
        <v/>
      </c>
      <c r="C128" s="64">
        <f>IF(D93="","-",+C127+1)</f>
        <v>2045</v>
      </c>
      <c r="D128" s="65">
        <f>IF(F127+SUM(E$99:E127)=D$92,F127,D$92-SUM(E$99:E127))</f>
        <v>0</v>
      </c>
      <c r="E128" s="71">
        <f>IF(+J96&lt;F127,J96,D128)</f>
        <v>0</v>
      </c>
      <c r="F128" s="70">
        <f t="shared" si="20"/>
        <v>0</v>
      </c>
      <c r="G128" s="70">
        <f t="shared" si="15"/>
        <v>0</v>
      </c>
      <c r="H128" s="73">
        <f t="shared" si="24"/>
        <v>0</v>
      </c>
      <c r="I128" s="127">
        <f t="shared" si="25"/>
        <v>0</v>
      </c>
      <c r="J128" s="69">
        <f t="shared" si="16"/>
        <v>0</v>
      </c>
      <c r="K128" s="69"/>
      <c r="L128" s="150"/>
      <c r="M128" s="69">
        <f t="shared" si="17"/>
        <v>0</v>
      </c>
      <c r="N128" s="150"/>
      <c r="O128" s="69">
        <f t="shared" si="18"/>
        <v>0</v>
      </c>
      <c r="P128" s="69">
        <f t="shared" si="19"/>
        <v>0</v>
      </c>
    </row>
    <row r="129" spans="2:16" ht="12.5">
      <c r="B129" s="9" t="str">
        <f t="shared" si="23"/>
        <v/>
      </c>
      <c r="C129" s="64">
        <f>IF(D93="","-",+C128+1)</f>
        <v>2046</v>
      </c>
      <c r="D129" s="65">
        <f>IF(F128+SUM(E$99:E128)=D$92,F128,D$92-SUM(E$99:E128))</f>
        <v>0</v>
      </c>
      <c r="E129" s="71">
        <f>IF(+J96&lt;F128,J96,D129)</f>
        <v>0</v>
      </c>
      <c r="F129" s="70">
        <f t="shared" si="20"/>
        <v>0</v>
      </c>
      <c r="G129" s="70">
        <f t="shared" si="15"/>
        <v>0</v>
      </c>
      <c r="H129" s="73">
        <f t="shared" si="24"/>
        <v>0</v>
      </c>
      <c r="I129" s="127">
        <f t="shared" si="25"/>
        <v>0</v>
      </c>
      <c r="J129" s="69">
        <f t="shared" si="16"/>
        <v>0</v>
      </c>
      <c r="K129" s="69"/>
      <c r="L129" s="150"/>
      <c r="M129" s="69">
        <f t="shared" si="17"/>
        <v>0</v>
      </c>
      <c r="N129" s="150"/>
      <c r="O129" s="69">
        <f t="shared" si="18"/>
        <v>0</v>
      </c>
      <c r="P129" s="69">
        <f t="shared" si="19"/>
        <v>0</v>
      </c>
    </row>
    <row r="130" spans="2:16" ht="12.5">
      <c r="B130" s="9" t="str">
        <f t="shared" si="23"/>
        <v/>
      </c>
      <c r="C130" s="64">
        <f>IF(D93="","-",+C129+1)</f>
        <v>2047</v>
      </c>
      <c r="D130" s="65">
        <f>IF(F129+SUM(E$99:E129)=D$92,F129,D$92-SUM(E$99:E129))</f>
        <v>0</v>
      </c>
      <c r="E130" s="71">
        <f>IF(+J96&lt;F129,J96,D130)</f>
        <v>0</v>
      </c>
      <c r="F130" s="70">
        <f t="shared" si="20"/>
        <v>0</v>
      </c>
      <c r="G130" s="70">
        <f t="shared" si="15"/>
        <v>0</v>
      </c>
      <c r="H130" s="73">
        <f t="shared" si="24"/>
        <v>0</v>
      </c>
      <c r="I130" s="127">
        <f t="shared" si="25"/>
        <v>0</v>
      </c>
      <c r="J130" s="69">
        <f t="shared" si="16"/>
        <v>0</v>
      </c>
      <c r="K130" s="69"/>
      <c r="L130" s="150"/>
      <c r="M130" s="69">
        <f t="shared" si="17"/>
        <v>0</v>
      </c>
      <c r="N130" s="150"/>
      <c r="O130" s="69">
        <f t="shared" si="18"/>
        <v>0</v>
      </c>
      <c r="P130" s="69">
        <f t="shared" si="19"/>
        <v>0</v>
      </c>
    </row>
    <row r="131" spans="2:16" ht="12.5">
      <c r="B131" s="9" t="str">
        <f t="shared" si="23"/>
        <v/>
      </c>
      <c r="C131" s="64">
        <f>IF(D93="","-",+C130+1)</f>
        <v>2048</v>
      </c>
      <c r="D131" s="65">
        <f>IF(F130+SUM(E$99:E130)=D$92,F130,D$92-SUM(E$99:E130))</f>
        <v>0</v>
      </c>
      <c r="E131" s="71">
        <f>IF(+J96&lt;F130,J96,D131)</f>
        <v>0</v>
      </c>
      <c r="F131" s="70">
        <f t="shared" ref="F131:F154" si="26">+D131-E131</f>
        <v>0</v>
      </c>
      <c r="G131" s="70">
        <f t="shared" ref="G131:G154" si="27">+(F131+D131)/2</f>
        <v>0</v>
      </c>
      <c r="H131" s="73">
        <f t="shared" si="24"/>
        <v>0</v>
      </c>
      <c r="I131" s="127">
        <f t="shared" si="25"/>
        <v>0</v>
      </c>
      <c r="J131" s="69">
        <f t="shared" ref="J131:J154" si="28">+I541-H541</f>
        <v>0</v>
      </c>
      <c r="K131" s="69"/>
      <c r="L131" s="150"/>
      <c r="M131" s="69">
        <f t="shared" ref="M131:M154" si="29">IF(L541&lt;&gt;0,+H541-L541,0)</f>
        <v>0</v>
      </c>
      <c r="N131" s="150"/>
      <c r="O131" s="69">
        <f t="shared" ref="O131:O154" si="30">IF(N541&lt;&gt;0,+I541-N541,0)</f>
        <v>0</v>
      </c>
      <c r="P131" s="69">
        <f t="shared" ref="P131:P154" si="31">+O541-M541</f>
        <v>0</v>
      </c>
    </row>
    <row r="132" spans="2:16" ht="12.5">
      <c r="B132" s="9" t="str">
        <f t="shared" si="23"/>
        <v/>
      </c>
      <c r="C132" s="64">
        <f>IF(D93="","-",+C131+1)</f>
        <v>2049</v>
      </c>
      <c r="D132" s="65">
        <f>IF(F131+SUM(E$99:E131)=D$92,F131,D$92-SUM(E$99:E131))</f>
        <v>0</v>
      </c>
      <c r="E132" s="71">
        <f>IF(+J96&lt;F131,J96,D132)</f>
        <v>0</v>
      </c>
      <c r="F132" s="70">
        <f t="shared" si="26"/>
        <v>0</v>
      </c>
      <c r="G132" s="70">
        <f t="shared" si="27"/>
        <v>0</v>
      </c>
      <c r="H132" s="73">
        <f t="shared" si="24"/>
        <v>0</v>
      </c>
      <c r="I132" s="127">
        <f t="shared" si="25"/>
        <v>0</v>
      </c>
      <c r="J132" s="69">
        <f t="shared" si="28"/>
        <v>0</v>
      </c>
      <c r="K132" s="69"/>
      <c r="L132" s="150"/>
      <c r="M132" s="69">
        <f t="shared" si="29"/>
        <v>0</v>
      </c>
      <c r="N132" s="150"/>
      <c r="O132" s="69">
        <f t="shared" si="30"/>
        <v>0</v>
      </c>
      <c r="P132" s="69">
        <f t="shared" si="31"/>
        <v>0</v>
      </c>
    </row>
    <row r="133" spans="2:16" ht="12.5">
      <c r="B133" s="9" t="str">
        <f t="shared" si="23"/>
        <v/>
      </c>
      <c r="C133" s="64">
        <f>IF(D93="","-",+C132+1)</f>
        <v>2050</v>
      </c>
      <c r="D133" s="65">
        <f>IF(F132+SUM(E$99:E132)=D$92,F132,D$92-SUM(E$99:E132))</f>
        <v>0</v>
      </c>
      <c r="E133" s="71">
        <f>IF(+J96&lt;F132,J96,D133)</f>
        <v>0</v>
      </c>
      <c r="F133" s="70">
        <f t="shared" si="26"/>
        <v>0</v>
      </c>
      <c r="G133" s="70">
        <f t="shared" si="27"/>
        <v>0</v>
      </c>
      <c r="H133" s="73">
        <f t="shared" si="24"/>
        <v>0</v>
      </c>
      <c r="I133" s="127">
        <f t="shared" si="25"/>
        <v>0</v>
      </c>
      <c r="J133" s="69">
        <f t="shared" si="28"/>
        <v>0</v>
      </c>
      <c r="K133" s="69"/>
      <c r="L133" s="150"/>
      <c r="M133" s="69">
        <f t="shared" si="29"/>
        <v>0</v>
      </c>
      <c r="N133" s="150"/>
      <c r="O133" s="69">
        <f t="shared" si="30"/>
        <v>0</v>
      </c>
      <c r="P133" s="69">
        <f t="shared" si="31"/>
        <v>0</v>
      </c>
    </row>
    <row r="134" spans="2:16" ht="12.5">
      <c r="B134" s="9" t="str">
        <f t="shared" si="23"/>
        <v/>
      </c>
      <c r="C134" s="64">
        <f>IF(D93="","-",+C133+1)</f>
        <v>2051</v>
      </c>
      <c r="D134" s="65">
        <f>IF(F133+SUM(E$99:E133)=D$92,F133,D$92-SUM(E$99:E133))</f>
        <v>0</v>
      </c>
      <c r="E134" s="71">
        <f>IF(+J96&lt;F133,J96,D134)</f>
        <v>0</v>
      </c>
      <c r="F134" s="70">
        <f t="shared" si="26"/>
        <v>0</v>
      </c>
      <c r="G134" s="70">
        <f t="shared" si="27"/>
        <v>0</v>
      </c>
      <c r="H134" s="73">
        <f t="shared" si="24"/>
        <v>0</v>
      </c>
      <c r="I134" s="127">
        <f t="shared" si="25"/>
        <v>0</v>
      </c>
      <c r="J134" s="69">
        <f t="shared" si="28"/>
        <v>0</v>
      </c>
      <c r="K134" s="69"/>
      <c r="L134" s="150"/>
      <c r="M134" s="69">
        <f t="shared" si="29"/>
        <v>0</v>
      </c>
      <c r="N134" s="150"/>
      <c r="O134" s="69">
        <f t="shared" si="30"/>
        <v>0</v>
      </c>
      <c r="P134" s="69">
        <f t="shared" si="31"/>
        <v>0</v>
      </c>
    </row>
    <row r="135" spans="2:16" ht="12.5">
      <c r="B135" s="9" t="str">
        <f t="shared" si="23"/>
        <v/>
      </c>
      <c r="C135" s="64">
        <f>IF(D93="","-",+C134+1)</f>
        <v>2052</v>
      </c>
      <c r="D135" s="65">
        <f>IF(F134+SUM(E$99:E134)=D$92,F134,D$92-SUM(E$99:E134))</f>
        <v>0</v>
      </c>
      <c r="E135" s="71">
        <f>IF(+J96&lt;F134,J96,D135)</f>
        <v>0</v>
      </c>
      <c r="F135" s="70">
        <f t="shared" si="26"/>
        <v>0</v>
      </c>
      <c r="G135" s="70">
        <f t="shared" si="27"/>
        <v>0</v>
      </c>
      <c r="H135" s="73">
        <f t="shared" si="24"/>
        <v>0</v>
      </c>
      <c r="I135" s="127">
        <f t="shared" si="25"/>
        <v>0</v>
      </c>
      <c r="J135" s="69">
        <f t="shared" si="28"/>
        <v>0</v>
      </c>
      <c r="K135" s="69"/>
      <c r="L135" s="150"/>
      <c r="M135" s="69">
        <f t="shared" si="29"/>
        <v>0</v>
      </c>
      <c r="N135" s="150"/>
      <c r="O135" s="69">
        <f t="shared" si="30"/>
        <v>0</v>
      </c>
      <c r="P135" s="69">
        <f t="shared" si="31"/>
        <v>0</v>
      </c>
    </row>
    <row r="136" spans="2:16" ht="12.5">
      <c r="B136" s="9" t="str">
        <f t="shared" si="23"/>
        <v/>
      </c>
      <c r="C136" s="64">
        <f>IF(D93="","-",+C135+1)</f>
        <v>2053</v>
      </c>
      <c r="D136" s="65">
        <f>IF(F135+SUM(E$99:E135)=D$92,F135,D$92-SUM(E$99:E135))</f>
        <v>0</v>
      </c>
      <c r="E136" s="71">
        <f>IF(+J96&lt;F135,J96,D136)</f>
        <v>0</v>
      </c>
      <c r="F136" s="70">
        <f t="shared" si="26"/>
        <v>0</v>
      </c>
      <c r="G136" s="70">
        <f t="shared" si="27"/>
        <v>0</v>
      </c>
      <c r="H136" s="73">
        <f t="shared" si="24"/>
        <v>0</v>
      </c>
      <c r="I136" s="127">
        <f t="shared" si="25"/>
        <v>0</v>
      </c>
      <c r="J136" s="69">
        <f t="shared" si="28"/>
        <v>0</v>
      </c>
      <c r="K136" s="69"/>
      <c r="L136" s="150"/>
      <c r="M136" s="69">
        <f t="shared" si="29"/>
        <v>0</v>
      </c>
      <c r="N136" s="150"/>
      <c r="O136" s="69">
        <f t="shared" si="30"/>
        <v>0</v>
      </c>
      <c r="P136" s="69">
        <f t="shared" si="31"/>
        <v>0</v>
      </c>
    </row>
    <row r="137" spans="2:16" ht="12.5">
      <c r="B137" s="9" t="str">
        <f t="shared" si="23"/>
        <v/>
      </c>
      <c r="C137" s="64">
        <f>IF(D93="","-",+C136+1)</f>
        <v>2054</v>
      </c>
      <c r="D137" s="65">
        <f>IF(F136+SUM(E$99:E136)=D$92,F136,D$92-SUM(E$99:E136))</f>
        <v>0</v>
      </c>
      <c r="E137" s="71">
        <f>IF(+J96&lt;F136,J96,D137)</f>
        <v>0</v>
      </c>
      <c r="F137" s="70">
        <f t="shared" si="26"/>
        <v>0</v>
      </c>
      <c r="G137" s="70">
        <f t="shared" si="27"/>
        <v>0</v>
      </c>
      <c r="H137" s="73">
        <f t="shared" si="24"/>
        <v>0</v>
      </c>
      <c r="I137" s="127">
        <f t="shared" si="25"/>
        <v>0</v>
      </c>
      <c r="J137" s="69">
        <f t="shared" si="28"/>
        <v>0</v>
      </c>
      <c r="K137" s="69"/>
      <c r="L137" s="150"/>
      <c r="M137" s="69">
        <f t="shared" si="29"/>
        <v>0</v>
      </c>
      <c r="N137" s="150"/>
      <c r="O137" s="69">
        <f t="shared" si="30"/>
        <v>0</v>
      </c>
      <c r="P137" s="69">
        <f t="shared" si="31"/>
        <v>0</v>
      </c>
    </row>
    <row r="138" spans="2:16" ht="12.5">
      <c r="B138" s="9" t="str">
        <f t="shared" si="23"/>
        <v/>
      </c>
      <c r="C138" s="64">
        <f>IF(D93="","-",+C137+1)</f>
        <v>2055</v>
      </c>
      <c r="D138" s="65">
        <f>IF(F137+SUM(E$99:E137)=D$92,F137,D$92-SUM(E$99:E137))</f>
        <v>0</v>
      </c>
      <c r="E138" s="71">
        <f>IF(+J96&lt;F137,J96,D138)</f>
        <v>0</v>
      </c>
      <c r="F138" s="70">
        <f t="shared" si="26"/>
        <v>0</v>
      </c>
      <c r="G138" s="70">
        <f t="shared" si="27"/>
        <v>0</v>
      </c>
      <c r="H138" s="73">
        <f t="shared" si="24"/>
        <v>0</v>
      </c>
      <c r="I138" s="127">
        <f t="shared" si="25"/>
        <v>0</v>
      </c>
      <c r="J138" s="69">
        <f t="shared" si="28"/>
        <v>0</v>
      </c>
      <c r="K138" s="69"/>
      <c r="L138" s="150"/>
      <c r="M138" s="69">
        <f t="shared" si="29"/>
        <v>0</v>
      </c>
      <c r="N138" s="150"/>
      <c r="O138" s="69">
        <f t="shared" si="30"/>
        <v>0</v>
      </c>
      <c r="P138" s="69">
        <f t="shared" si="31"/>
        <v>0</v>
      </c>
    </row>
    <row r="139" spans="2:16" ht="12.5">
      <c r="B139" s="9" t="str">
        <f t="shared" si="23"/>
        <v/>
      </c>
      <c r="C139" s="64">
        <f>IF(D93="","-",+C138+1)</f>
        <v>2056</v>
      </c>
      <c r="D139" s="65">
        <f>IF(F138+SUM(E$99:E138)=D$92,F138,D$92-SUM(E$99:E138))</f>
        <v>0</v>
      </c>
      <c r="E139" s="71">
        <f>IF(+J96&lt;F138,J96,D139)</f>
        <v>0</v>
      </c>
      <c r="F139" s="70">
        <f t="shared" si="26"/>
        <v>0</v>
      </c>
      <c r="G139" s="70">
        <f t="shared" si="27"/>
        <v>0</v>
      </c>
      <c r="H139" s="73">
        <f t="shared" si="24"/>
        <v>0</v>
      </c>
      <c r="I139" s="127">
        <f t="shared" si="25"/>
        <v>0</v>
      </c>
      <c r="J139" s="69">
        <f t="shared" si="28"/>
        <v>0</v>
      </c>
      <c r="K139" s="69"/>
      <c r="L139" s="150"/>
      <c r="M139" s="69">
        <f t="shared" si="29"/>
        <v>0</v>
      </c>
      <c r="N139" s="150"/>
      <c r="O139" s="69">
        <f t="shared" si="30"/>
        <v>0</v>
      </c>
      <c r="P139" s="69">
        <f t="shared" si="31"/>
        <v>0</v>
      </c>
    </row>
    <row r="140" spans="2:16" ht="12.5">
      <c r="B140" s="9" t="str">
        <f t="shared" si="23"/>
        <v/>
      </c>
      <c r="C140" s="64">
        <f>IF(D93="","-",+C139+1)</f>
        <v>2057</v>
      </c>
      <c r="D140" s="65">
        <f>IF(F139+SUM(E$99:E139)=D$92,F139,D$92-SUM(E$99:E139))</f>
        <v>0</v>
      </c>
      <c r="E140" s="71">
        <f>IF(+J96&lt;F139,J96,D140)</f>
        <v>0</v>
      </c>
      <c r="F140" s="70">
        <f t="shared" si="26"/>
        <v>0</v>
      </c>
      <c r="G140" s="70">
        <f t="shared" si="27"/>
        <v>0</v>
      </c>
      <c r="H140" s="73">
        <f t="shared" si="24"/>
        <v>0</v>
      </c>
      <c r="I140" s="127">
        <f t="shared" si="25"/>
        <v>0</v>
      </c>
      <c r="J140" s="69">
        <f t="shared" si="28"/>
        <v>0</v>
      </c>
      <c r="K140" s="69"/>
      <c r="L140" s="150"/>
      <c r="M140" s="69">
        <f t="shared" si="29"/>
        <v>0</v>
      </c>
      <c r="N140" s="150"/>
      <c r="O140" s="69">
        <f t="shared" si="30"/>
        <v>0</v>
      </c>
      <c r="P140" s="69">
        <f t="shared" si="31"/>
        <v>0</v>
      </c>
    </row>
    <row r="141" spans="2:16" ht="12.5">
      <c r="B141" s="9" t="str">
        <f t="shared" si="23"/>
        <v/>
      </c>
      <c r="C141" s="64">
        <f>IF(D93="","-",+C140+1)</f>
        <v>2058</v>
      </c>
      <c r="D141" s="65">
        <f>IF(F140+SUM(E$99:E140)=D$92,F140,D$92-SUM(E$99:E140))</f>
        <v>0</v>
      </c>
      <c r="E141" s="71">
        <f>IF(+J96&lt;F140,J96,D141)</f>
        <v>0</v>
      </c>
      <c r="F141" s="70">
        <f t="shared" si="26"/>
        <v>0</v>
      </c>
      <c r="G141" s="70">
        <f t="shared" si="27"/>
        <v>0</v>
      </c>
      <c r="H141" s="73">
        <f t="shared" si="24"/>
        <v>0</v>
      </c>
      <c r="I141" s="127">
        <f t="shared" si="25"/>
        <v>0</v>
      </c>
      <c r="J141" s="69">
        <f t="shared" si="28"/>
        <v>0</v>
      </c>
      <c r="K141" s="69"/>
      <c r="L141" s="150"/>
      <c r="M141" s="69">
        <f t="shared" si="29"/>
        <v>0</v>
      </c>
      <c r="N141" s="150"/>
      <c r="O141" s="69">
        <f t="shared" si="30"/>
        <v>0</v>
      </c>
      <c r="P141" s="69">
        <f t="shared" si="31"/>
        <v>0</v>
      </c>
    </row>
    <row r="142" spans="2:16" ht="12.5">
      <c r="B142" s="9" t="str">
        <f t="shared" si="23"/>
        <v/>
      </c>
      <c r="C142" s="64">
        <f>IF(D93="","-",+C141+1)</f>
        <v>2059</v>
      </c>
      <c r="D142" s="65">
        <f>IF(F141+SUM(E$99:E141)=D$92,F141,D$92-SUM(E$99:E141))</f>
        <v>0</v>
      </c>
      <c r="E142" s="71">
        <f>IF(+J96&lt;F141,J96,D142)</f>
        <v>0</v>
      </c>
      <c r="F142" s="70">
        <f t="shared" si="26"/>
        <v>0</v>
      </c>
      <c r="G142" s="70">
        <f t="shared" si="27"/>
        <v>0</v>
      </c>
      <c r="H142" s="73">
        <f t="shared" si="24"/>
        <v>0</v>
      </c>
      <c r="I142" s="127">
        <f t="shared" si="25"/>
        <v>0</v>
      </c>
      <c r="J142" s="69">
        <f t="shared" si="28"/>
        <v>0</v>
      </c>
      <c r="K142" s="69"/>
      <c r="L142" s="150"/>
      <c r="M142" s="69">
        <f t="shared" si="29"/>
        <v>0</v>
      </c>
      <c r="N142" s="150"/>
      <c r="O142" s="69">
        <f t="shared" si="30"/>
        <v>0</v>
      </c>
      <c r="P142" s="69">
        <f t="shared" si="31"/>
        <v>0</v>
      </c>
    </row>
    <row r="143" spans="2:16" ht="12.5">
      <c r="B143" s="9" t="str">
        <f t="shared" si="23"/>
        <v/>
      </c>
      <c r="C143" s="64">
        <f>IF(D93="","-",+C142+1)</f>
        <v>2060</v>
      </c>
      <c r="D143" s="65">
        <f>IF(F142+SUM(E$99:E142)=D$92,F142,D$92-SUM(E$99:E142))</f>
        <v>0</v>
      </c>
      <c r="E143" s="71">
        <f>IF(+J96&lt;F142,J96,D143)</f>
        <v>0</v>
      </c>
      <c r="F143" s="70">
        <f t="shared" si="26"/>
        <v>0</v>
      </c>
      <c r="G143" s="70">
        <f t="shared" si="27"/>
        <v>0</v>
      </c>
      <c r="H143" s="73">
        <f t="shared" si="24"/>
        <v>0</v>
      </c>
      <c r="I143" s="127">
        <f t="shared" si="25"/>
        <v>0</v>
      </c>
      <c r="J143" s="69">
        <f t="shared" si="28"/>
        <v>0</v>
      </c>
      <c r="K143" s="69"/>
      <c r="L143" s="150"/>
      <c r="M143" s="69">
        <f t="shared" si="29"/>
        <v>0</v>
      </c>
      <c r="N143" s="150"/>
      <c r="O143" s="69">
        <f t="shared" si="30"/>
        <v>0</v>
      </c>
      <c r="P143" s="69">
        <f t="shared" si="31"/>
        <v>0</v>
      </c>
    </row>
    <row r="144" spans="2:16" ht="12.5">
      <c r="B144" s="9" t="str">
        <f t="shared" si="23"/>
        <v/>
      </c>
      <c r="C144" s="64">
        <f>IF(D93="","-",+C143+1)</f>
        <v>2061</v>
      </c>
      <c r="D144" s="65">
        <f>IF(F143+SUM(E$99:E143)=D$92,F143,D$92-SUM(E$99:E143))</f>
        <v>0</v>
      </c>
      <c r="E144" s="71">
        <f>IF(+J96&lt;F143,J96,D144)</f>
        <v>0</v>
      </c>
      <c r="F144" s="70">
        <f t="shared" si="26"/>
        <v>0</v>
      </c>
      <c r="G144" s="70">
        <f t="shared" si="27"/>
        <v>0</v>
      </c>
      <c r="H144" s="73">
        <f t="shared" si="24"/>
        <v>0</v>
      </c>
      <c r="I144" s="127">
        <f t="shared" si="25"/>
        <v>0</v>
      </c>
      <c r="J144" s="69">
        <f t="shared" si="28"/>
        <v>0</v>
      </c>
      <c r="K144" s="69"/>
      <c r="L144" s="150"/>
      <c r="M144" s="69">
        <f t="shared" si="29"/>
        <v>0</v>
      </c>
      <c r="N144" s="150"/>
      <c r="O144" s="69">
        <f t="shared" si="30"/>
        <v>0</v>
      </c>
      <c r="P144" s="69">
        <f t="shared" si="31"/>
        <v>0</v>
      </c>
    </row>
    <row r="145" spans="2:16" ht="12.5">
      <c r="B145" s="9" t="str">
        <f t="shared" si="23"/>
        <v/>
      </c>
      <c r="C145" s="64">
        <f>IF(D93="","-",+C144+1)</f>
        <v>2062</v>
      </c>
      <c r="D145" s="65">
        <f>IF(F144+SUM(E$99:E144)=D$92,F144,D$92-SUM(E$99:E144))</f>
        <v>0</v>
      </c>
      <c r="E145" s="71">
        <f>IF(+J96&lt;F144,J96,D145)</f>
        <v>0</v>
      </c>
      <c r="F145" s="70">
        <f t="shared" si="26"/>
        <v>0</v>
      </c>
      <c r="G145" s="70">
        <f t="shared" si="27"/>
        <v>0</v>
      </c>
      <c r="H145" s="73">
        <f t="shared" si="24"/>
        <v>0</v>
      </c>
      <c r="I145" s="127">
        <f t="shared" si="25"/>
        <v>0</v>
      </c>
      <c r="J145" s="69">
        <f t="shared" si="28"/>
        <v>0</v>
      </c>
      <c r="K145" s="69"/>
      <c r="L145" s="150"/>
      <c r="M145" s="69">
        <f t="shared" si="29"/>
        <v>0</v>
      </c>
      <c r="N145" s="150"/>
      <c r="O145" s="69">
        <f t="shared" si="30"/>
        <v>0</v>
      </c>
      <c r="P145" s="69">
        <f t="shared" si="31"/>
        <v>0</v>
      </c>
    </row>
    <row r="146" spans="2:16" ht="12.5">
      <c r="B146" s="9" t="str">
        <f t="shared" si="23"/>
        <v/>
      </c>
      <c r="C146" s="64">
        <f>IF(D93="","-",+C145+1)</f>
        <v>2063</v>
      </c>
      <c r="D146" s="65">
        <f>IF(F145+SUM(E$99:E145)=D$92,F145,D$92-SUM(E$99:E145))</f>
        <v>0</v>
      </c>
      <c r="E146" s="71">
        <f>IF(+J96&lt;F145,J96,D146)</f>
        <v>0</v>
      </c>
      <c r="F146" s="70">
        <f t="shared" si="26"/>
        <v>0</v>
      </c>
      <c r="G146" s="70">
        <f t="shared" si="27"/>
        <v>0</v>
      </c>
      <c r="H146" s="73">
        <f t="shared" si="24"/>
        <v>0</v>
      </c>
      <c r="I146" s="127">
        <f t="shared" si="25"/>
        <v>0</v>
      </c>
      <c r="J146" s="69">
        <f t="shared" si="28"/>
        <v>0</v>
      </c>
      <c r="K146" s="69"/>
      <c r="L146" s="150"/>
      <c r="M146" s="69">
        <f t="shared" si="29"/>
        <v>0</v>
      </c>
      <c r="N146" s="150"/>
      <c r="O146" s="69">
        <f t="shared" si="30"/>
        <v>0</v>
      </c>
      <c r="P146" s="69">
        <f t="shared" si="31"/>
        <v>0</v>
      </c>
    </row>
    <row r="147" spans="2:16" ht="12.5">
      <c r="B147" s="9" t="str">
        <f t="shared" si="23"/>
        <v/>
      </c>
      <c r="C147" s="64">
        <f>IF(D93="","-",+C146+1)</f>
        <v>2064</v>
      </c>
      <c r="D147" s="65">
        <f>IF(F146+SUM(E$99:E146)=D$92,F146,D$92-SUM(E$99:E146))</f>
        <v>0</v>
      </c>
      <c r="E147" s="71">
        <f>IF(+J96&lt;F146,J96,D147)</f>
        <v>0</v>
      </c>
      <c r="F147" s="70">
        <f t="shared" si="26"/>
        <v>0</v>
      </c>
      <c r="G147" s="70">
        <f t="shared" si="27"/>
        <v>0</v>
      </c>
      <c r="H147" s="73">
        <f t="shared" si="24"/>
        <v>0</v>
      </c>
      <c r="I147" s="127">
        <f t="shared" si="25"/>
        <v>0</v>
      </c>
      <c r="J147" s="69">
        <f t="shared" si="28"/>
        <v>0</v>
      </c>
      <c r="K147" s="69"/>
      <c r="L147" s="150"/>
      <c r="M147" s="69">
        <f t="shared" si="29"/>
        <v>0</v>
      </c>
      <c r="N147" s="150"/>
      <c r="O147" s="69">
        <f t="shared" si="30"/>
        <v>0</v>
      </c>
      <c r="P147" s="69">
        <f t="shared" si="31"/>
        <v>0</v>
      </c>
    </row>
    <row r="148" spans="2:16" ht="12.5">
      <c r="B148" s="9" t="str">
        <f t="shared" si="23"/>
        <v/>
      </c>
      <c r="C148" s="64">
        <f>IF(D93="","-",+C147+1)</f>
        <v>2065</v>
      </c>
      <c r="D148" s="65">
        <f>IF(F147+SUM(E$99:E147)=D$92,F147,D$92-SUM(E$99:E147))</f>
        <v>0</v>
      </c>
      <c r="E148" s="71">
        <f>IF(+J96&lt;F147,J96,D148)</f>
        <v>0</v>
      </c>
      <c r="F148" s="70">
        <f t="shared" si="26"/>
        <v>0</v>
      </c>
      <c r="G148" s="70">
        <f t="shared" si="27"/>
        <v>0</v>
      </c>
      <c r="H148" s="73">
        <f t="shared" si="24"/>
        <v>0</v>
      </c>
      <c r="I148" s="127">
        <f t="shared" si="25"/>
        <v>0</v>
      </c>
      <c r="J148" s="69">
        <f t="shared" si="28"/>
        <v>0</v>
      </c>
      <c r="K148" s="69"/>
      <c r="L148" s="150"/>
      <c r="M148" s="69">
        <f t="shared" si="29"/>
        <v>0</v>
      </c>
      <c r="N148" s="150"/>
      <c r="O148" s="69">
        <f t="shared" si="30"/>
        <v>0</v>
      </c>
      <c r="P148" s="69">
        <f t="shared" si="31"/>
        <v>0</v>
      </c>
    </row>
    <row r="149" spans="2:16" ht="12.5">
      <c r="B149" s="9" t="str">
        <f t="shared" si="23"/>
        <v/>
      </c>
      <c r="C149" s="64">
        <f>IF(D93="","-",+C148+1)</f>
        <v>2066</v>
      </c>
      <c r="D149" s="65">
        <f>IF(F148+SUM(E$99:E148)=D$92,F148,D$92-SUM(E$99:E148))</f>
        <v>0</v>
      </c>
      <c r="E149" s="71">
        <f>IF(+J96&lt;F148,J96,D149)</f>
        <v>0</v>
      </c>
      <c r="F149" s="70">
        <f t="shared" si="26"/>
        <v>0</v>
      </c>
      <c r="G149" s="70">
        <f t="shared" si="27"/>
        <v>0</v>
      </c>
      <c r="H149" s="73">
        <f t="shared" si="24"/>
        <v>0</v>
      </c>
      <c r="I149" s="127">
        <f t="shared" si="25"/>
        <v>0</v>
      </c>
      <c r="J149" s="69">
        <f t="shared" si="28"/>
        <v>0</v>
      </c>
      <c r="K149" s="69"/>
      <c r="L149" s="150"/>
      <c r="M149" s="69">
        <f t="shared" si="29"/>
        <v>0</v>
      </c>
      <c r="N149" s="150"/>
      <c r="O149" s="69">
        <f t="shared" si="30"/>
        <v>0</v>
      </c>
      <c r="P149" s="69">
        <f t="shared" si="31"/>
        <v>0</v>
      </c>
    </row>
    <row r="150" spans="2:16" ht="12.5">
      <c r="B150" s="9" t="str">
        <f t="shared" si="23"/>
        <v/>
      </c>
      <c r="C150" s="64">
        <f>IF(D93="","-",+C149+1)</f>
        <v>2067</v>
      </c>
      <c r="D150" s="65">
        <f>IF(F149+SUM(E$99:E149)=D$92,F149,D$92-SUM(E$99:E149))</f>
        <v>0</v>
      </c>
      <c r="E150" s="71">
        <f>IF(+J96&lt;F149,J96,D150)</f>
        <v>0</v>
      </c>
      <c r="F150" s="70">
        <f t="shared" si="26"/>
        <v>0</v>
      </c>
      <c r="G150" s="70">
        <f t="shared" si="27"/>
        <v>0</v>
      </c>
      <c r="H150" s="73">
        <f t="shared" si="24"/>
        <v>0</v>
      </c>
      <c r="I150" s="127">
        <f t="shared" si="25"/>
        <v>0</v>
      </c>
      <c r="J150" s="69">
        <f t="shared" si="28"/>
        <v>0</v>
      </c>
      <c r="K150" s="69"/>
      <c r="L150" s="150"/>
      <c r="M150" s="69">
        <f t="shared" si="29"/>
        <v>0</v>
      </c>
      <c r="N150" s="150"/>
      <c r="O150" s="69">
        <f t="shared" si="30"/>
        <v>0</v>
      </c>
      <c r="P150" s="69">
        <f t="shared" si="31"/>
        <v>0</v>
      </c>
    </row>
    <row r="151" spans="2:16" ht="12.5">
      <c r="B151" s="9" t="str">
        <f t="shared" si="23"/>
        <v/>
      </c>
      <c r="C151" s="64">
        <f>IF(D93="","-",+C150+1)</f>
        <v>2068</v>
      </c>
      <c r="D151" s="65">
        <f>IF(F150+SUM(E$99:E150)=D$92,F150,D$92-SUM(E$99:E150))</f>
        <v>0</v>
      </c>
      <c r="E151" s="71">
        <f>IF(+J96&lt;F150,J96,D151)</f>
        <v>0</v>
      </c>
      <c r="F151" s="70">
        <f t="shared" si="26"/>
        <v>0</v>
      </c>
      <c r="G151" s="70">
        <f t="shared" si="27"/>
        <v>0</v>
      </c>
      <c r="H151" s="73">
        <f t="shared" si="24"/>
        <v>0</v>
      </c>
      <c r="I151" s="127">
        <f t="shared" si="25"/>
        <v>0</v>
      </c>
      <c r="J151" s="69">
        <f t="shared" si="28"/>
        <v>0</v>
      </c>
      <c r="K151" s="69"/>
      <c r="L151" s="150"/>
      <c r="M151" s="69">
        <f t="shared" si="29"/>
        <v>0</v>
      </c>
      <c r="N151" s="150"/>
      <c r="O151" s="69">
        <f t="shared" si="30"/>
        <v>0</v>
      </c>
      <c r="P151" s="69">
        <f t="shared" si="31"/>
        <v>0</v>
      </c>
    </row>
    <row r="152" spans="2:16" ht="12.5">
      <c r="B152" s="9" t="str">
        <f t="shared" si="23"/>
        <v/>
      </c>
      <c r="C152" s="64">
        <f>IF(D93="","-",+C151+1)</f>
        <v>2069</v>
      </c>
      <c r="D152" s="65">
        <f>IF(F151+SUM(E$99:E151)=D$92,F151,D$92-SUM(E$99:E151))</f>
        <v>0</v>
      </c>
      <c r="E152" s="71">
        <f>IF(+J96&lt;F151,J96,D152)</f>
        <v>0</v>
      </c>
      <c r="F152" s="70">
        <f t="shared" si="26"/>
        <v>0</v>
      </c>
      <c r="G152" s="70">
        <f t="shared" si="27"/>
        <v>0</v>
      </c>
      <c r="H152" s="73">
        <f t="shared" si="24"/>
        <v>0</v>
      </c>
      <c r="I152" s="127">
        <f t="shared" si="25"/>
        <v>0</v>
      </c>
      <c r="J152" s="69">
        <f t="shared" si="28"/>
        <v>0</v>
      </c>
      <c r="K152" s="69"/>
      <c r="L152" s="150"/>
      <c r="M152" s="69">
        <f t="shared" si="29"/>
        <v>0</v>
      </c>
      <c r="N152" s="150"/>
      <c r="O152" s="69">
        <f t="shared" si="30"/>
        <v>0</v>
      </c>
      <c r="P152" s="69">
        <f t="shared" si="31"/>
        <v>0</v>
      </c>
    </row>
    <row r="153" spans="2:16" ht="12.5">
      <c r="B153" s="9" t="str">
        <f t="shared" si="23"/>
        <v/>
      </c>
      <c r="C153" s="64">
        <f>IF(D93="","-",+C152+1)</f>
        <v>2070</v>
      </c>
      <c r="D153" s="65">
        <f>IF(F152+SUM(E$99:E152)=D$92,F152,D$92-SUM(E$99:E152))</f>
        <v>0</v>
      </c>
      <c r="E153" s="71">
        <f>IF(+J96&lt;F152,J96,D153)</f>
        <v>0</v>
      </c>
      <c r="F153" s="70">
        <f t="shared" si="26"/>
        <v>0</v>
      </c>
      <c r="G153" s="70">
        <f t="shared" si="27"/>
        <v>0</v>
      </c>
      <c r="H153" s="73">
        <f t="shared" si="24"/>
        <v>0</v>
      </c>
      <c r="I153" s="127">
        <f t="shared" si="25"/>
        <v>0</v>
      </c>
      <c r="J153" s="69">
        <f t="shared" si="28"/>
        <v>0</v>
      </c>
      <c r="K153" s="69"/>
      <c r="L153" s="150"/>
      <c r="M153" s="69">
        <f t="shared" si="29"/>
        <v>0</v>
      </c>
      <c r="N153" s="150"/>
      <c r="O153" s="69">
        <f t="shared" si="30"/>
        <v>0</v>
      </c>
      <c r="P153" s="69">
        <f t="shared" si="31"/>
        <v>0</v>
      </c>
    </row>
    <row r="154" spans="2:16" ht="13" thickBot="1">
      <c r="B154" s="9" t="str">
        <f t="shared" si="23"/>
        <v/>
      </c>
      <c r="C154" s="74">
        <f>IF(D93="","-",+C153+1)</f>
        <v>2071</v>
      </c>
      <c r="D154" s="102">
        <f>IF(F153+SUM(E$99:E153)=D$92,F153,D$92-SUM(E$99:E153))</f>
        <v>0</v>
      </c>
      <c r="E154" s="76">
        <f>IF(+J96&lt;F153,J96,D154)</f>
        <v>0</v>
      </c>
      <c r="F154" s="75">
        <f t="shared" si="26"/>
        <v>0</v>
      </c>
      <c r="G154" s="75">
        <f t="shared" si="27"/>
        <v>0</v>
      </c>
      <c r="H154" s="77">
        <f t="shared" si="24"/>
        <v>0</v>
      </c>
      <c r="I154" s="128">
        <f t="shared" si="25"/>
        <v>0</v>
      </c>
      <c r="J154" s="79">
        <f t="shared" si="28"/>
        <v>0</v>
      </c>
      <c r="K154" s="69"/>
      <c r="L154" s="151"/>
      <c r="M154" s="79">
        <f t="shared" si="29"/>
        <v>0</v>
      </c>
      <c r="N154" s="151"/>
      <c r="O154" s="79">
        <f t="shared" si="30"/>
        <v>0</v>
      </c>
      <c r="P154" s="79">
        <f t="shared" si="31"/>
        <v>0</v>
      </c>
    </row>
    <row r="155" spans="2:16" ht="12.5">
      <c r="C155" s="65" t="s">
        <v>78</v>
      </c>
      <c r="D155" s="22"/>
      <c r="E155" s="22">
        <f>SUM(E99:E154)</f>
        <v>0</v>
      </c>
      <c r="F155" s="22"/>
      <c r="G155" s="22"/>
      <c r="H155" s="22">
        <f>SUM(H99:H154)</f>
        <v>0</v>
      </c>
      <c r="I155" s="22">
        <f>SUM(I99:I154)</f>
        <v>0</v>
      </c>
      <c r="J155" s="22">
        <f>SUM(J99:J154)</f>
        <v>0</v>
      </c>
      <c r="K155" s="22"/>
      <c r="L155" s="22"/>
      <c r="M155" s="22"/>
      <c r="N155" s="22"/>
      <c r="O155" s="22"/>
      <c r="P155" s="1"/>
    </row>
    <row r="156" spans="2:16" ht="12.5">
      <c r="C156" t="s">
        <v>92</v>
      </c>
      <c r="D156" s="2"/>
      <c r="E156" s="1"/>
      <c r="F156" s="1"/>
      <c r="G156" s="1"/>
      <c r="H156" s="1"/>
      <c r="I156" s="3"/>
      <c r="J156" s="3"/>
      <c r="K156" s="22"/>
      <c r="L156" s="3"/>
      <c r="M156" s="3"/>
      <c r="N156" s="3"/>
      <c r="O156" s="3"/>
      <c r="P156" s="1"/>
    </row>
    <row r="157" spans="2:16" ht="12.5">
      <c r="C157" s="103"/>
      <c r="D157" s="2"/>
      <c r="E157" s="1"/>
      <c r="F157" s="1"/>
      <c r="G157" s="1"/>
      <c r="H157" s="1"/>
      <c r="I157" s="3"/>
      <c r="J157" s="3"/>
      <c r="K157" s="22"/>
      <c r="L157" s="3"/>
      <c r="M157" s="3"/>
      <c r="N157" s="3"/>
      <c r="O157" s="3"/>
      <c r="P157" s="1"/>
    </row>
    <row r="158" spans="2:16" ht="13">
      <c r="C158" s="123" t="s">
        <v>132</v>
      </c>
      <c r="D158" s="2"/>
      <c r="E158" s="1"/>
      <c r="F158" s="1"/>
      <c r="G158" s="1"/>
      <c r="H158" s="1"/>
      <c r="I158" s="3"/>
      <c r="J158" s="3"/>
      <c r="K158" s="22"/>
      <c r="L158" s="3"/>
      <c r="M158" s="3"/>
      <c r="N158" s="3"/>
      <c r="O158" s="3"/>
      <c r="P158" s="1"/>
    </row>
    <row r="159" spans="2:16" ht="13">
      <c r="C159" s="32" t="s">
        <v>79</v>
      </c>
      <c r="D159" s="65"/>
      <c r="E159" s="65"/>
      <c r="F159" s="65"/>
      <c r="G159" s="65"/>
      <c r="H159" s="22"/>
      <c r="I159" s="22"/>
      <c r="J159" s="81"/>
      <c r="K159" s="81"/>
      <c r="L159" s="81"/>
      <c r="M159" s="81"/>
      <c r="N159" s="81"/>
      <c r="O159" s="81"/>
      <c r="P159" s="1"/>
    </row>
    <row r="160" spans="2:16" ht="13">
      <c r="C160" s="104" t="s">
        <v>80</v>
      </c>
      <c r="D160" s="65"/>
      <c r="E160" s="65"/>
      <c r="F160" s="65"/>
      <c r="G160" s="65"/>
      <c r="H160" s="22"/>
      <c r="I160" s="22"/>
      <c r="J160" s="81"/>
      <c r="K160" s="81"/>
      <c r="L160" s="81"/>
      <c r="M160" s="81"/>
      <c r="N160" s="81"/>
      <c r="O160" s="81"/>
      <c r="P160" s="1"/>
    </row>
    <row r="161" spans="3:16" ht="13">
      <c r="C161" s="104"/>
      <c r="D161" s="65"/>
      <c r="E161" s="65"/>
      <c r="F161" s="65"/>
      <c r="G161" s="65"/>
      <c r="H161" s="22"/>
      <c r="I161" s="22"/>
      <c r="J161" s="81"/>
      <c r="K161" s="81"/>
      <c r="L161" s="81"/>
      <c r="M161" s="81"/>
      <c r="N161" s="81"/>
      <c r="O161" s="81"/>
      <c r="P161" s="1"/>
    </row>
    <row r="162" spans="3:16" ht="17.5">
      <c r="C162" s="104"/>
      <c r="D162" s="65"/>
      <c r="E162" s="65"/>
      <c r="F162" s="65"/>
      <c r="G162" s="65"/>
      <c r="H162" s="22"/>
      <c r="I162" s="22"/>
      <c r="J162" s="81"/>
      <c r="K162" s="81"/>
      <c r="L162" s="81"/>
      <c r="M162" s="81"/>
      <c r="N162" s="81"/>
      <c r="P162" s="120" t="s">
        <v>131</v>
      </c>
    </row>
  </sheetData>
  <phoneticPr fontId="0" type="noConversion"/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3"/>
  <dimension ref="A1:Q162"/>
  <sheetViews>
    <sheetView view="pageBreakPreview" zoomScale="80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450" t="s">
        <v>133</v>
      </c>
      <c r="B1" s="269"/>
      <c r="C1" s="340"/>
      <c r="D1" s="270"/>
      <c r="E1" s="269"/>
      <c r="F1" s="366"/>
      <c r="G1" s="269"/>
      <c r="H1" s="271"/>
      <c r="J1" s="23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5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324996.32688893087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324996.32688893087</v>
      </c>
      <c r="O6" s="269"/>
      <c r="P6" s="269"/>
    </row>
    <row r="7" spans="1:17" ht="13.5" thickBot="1">
      <c r="C7" s="467" t="s">
        <v>48</v>
      </c>
      <c r="D7" s="468" t="s">
        <v>243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144</v>
      </c>
      <c r="E9" s="666" t="s">
        <v>475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2981768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12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70994.476190476184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2111061</v>
      </c>
      <c r="E17" s="509">
        <v>0</v>
      </c>
      <c r="F17" s="508">
        <v>2111061</v>
      </c>
      <c r="G17" s="509">
        <v>26962</v>
      </c>
      <c r="H17" s="510">
        <v>26962</v>
      </c>
      <c r="I17" s="511">
        <f t="shared" ref="I17:I48" si="0">H17-G17</f>
        <v>0</v>
      </c>
      <c r="J17" s="511"/>
      <c r="K17" s="512">
        <v>26962</v>
      </c>
      <c r="L17" s="513">
        <f t="shared" ref="L17:L48" si="1">IF(K17&lt;&gt;0,+G17-K17,0)</f>
        <v>0</v>
      </c>
      <c r="M17" s="512">
        <v>26962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2981232</v>
      </c>
      <c r="E18" s="516">
        <v>78453</v>
      </c>
      <c r="F18" s="515">
        <v>2902778</v>
      </c>
      <c r="G18" s="516">
        <v>495771</v>
      </c>
      <c r="H18" s="510">
        <v>495771</v>
      </c>
      <c r="I18" s="517">
        <v>0</v>
      </c>
      <c r="J18" s="511"/>
      <c r="K18" s="518">
        <f t="shared" ref="K18:K23" si="4">G18</f>
        <v>495771</v>
      </c>
      <c r="L18" s="519">
        <f t="shared" si="1"/>
        <v>0</v>
      </c>
      <c r="M18" s="518">
        <f t="shared" ref="M18:M23" si="5">H18</f>
        <v>495771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2902779</v>
      </c>
      <c r="E19" s="516">
        <v>72712.975609756104</v>
      </c>
      <c r="F19" s="515">
        <v>2830066.0243902439</v>
      </c>
      <c r="G19" s="516">
        <v>514747.16993514739</v>
      </c>
      <c r="H19" s="510">
        <v>514747.16993514739</v>
      </c>
      <c r="I19" s="517">
        <v>0</v>
      </c>
      <c r="J19" s="511"/>
      <c r="K19" s="518">
        <f t="shared" si="4"/>
        <v>514747.16993514739</v>
      </c>
      <c r="L19" s="519">
        <f t="shared" si="1"/>
        <v>0</v>
      </c>
      <c r="M19" s="518">
        <f t="shared" si="5"/>
        <v>514747.16993514739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/>
      </c>
      <c r="C20" s="507">
        <f>IF(D11="","-",+C19+1)</f>
        <v>2012</v>
      </c>
      <c r="D20" s="515">
        <v>2830066.0243902439</v>
      </c>
      <c r="E20" s="520">
        <v>70981.71428571429</v>
      </c>
      <c r="F20" s="515">
        <v>2759084.3101045298</v>
      </c>
      <c r="G20" s="516">
        <v>481313.11934217566</v>
      </c>
      <c r="H20" s="510">
        <v>481313.11934217566</v>
      </c>
      <c r="I20" s="517">
        <v>0</v>
      </c>
      <c r="J20" s="511"/>
      <c r="K20" s="518">
        <f t="shared" si="4"/>
        <v>481313.11934217566</v>
      </c>
      <c r="L20" s="519">
        <f t="shared" si="1"/>
        <v>0</v>
      </c>
      <c r="M20" s="518">
        <f t="shared" si="5"/>
        <v>481313.11934217566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/>
      </c>
      <c r="C21" s="507">
        <f>IF(D12="","-",+C20+1)</f>
        <v>2013</v>
      </c>
      <c r="D21" s="515">
        <v>2759084.3101045298</v>
      </c>
      <c r="E21" s="520">
        <v>70981.71428571429</v>
      </c>
      <c r="F21" s="515">
        <v>2688102.5958188158</v>
      </c>
      <c r="G21" s="516">
        <v>447281.35299477971</v>
      </c>
      <c r="H21" s="510">
        <v>447281.35299477971</v>
      </c>
      <c r="I21" s="511">
        <v>0</v>
      </c>
      <c r="J21" s="511"/>
      <c r="K21" s="518">
        <f t="shared" si="4"/>
        <v>447281.35299477971</v>
      </c>
      <c r="L21" s="519">
        <f t="shared" ref="L21:L26" si="7">IF(K21&lt;&gt;0,+G21-K21,0)</f>
        <v>0</v>
      </c>
      <c r="M21" s="518">
        <f t="shared" si="5"/>
        <v>447281.35299477971</v>
      </c>
      <c r="N21" s="514">
        <f t="shared" ref="N21:N26" si="8">IF(M21&lt;&gt;0,+H21-M21,0)</f>
        <v>0</v>
      </c>
      <c r="O21" s="514">
        <f>+N21-L21</f>
        <v>0</v>
      </c>
      <c r="P21" s="272"/>
    </row>
    <row r="22" spans="2:16" ht="12.5">
      <c r="B22" s="195" t="str">
        <f t="shared" si="6"/>
        <v/>
      </c>
      <c r="C22" s="507">
        <f>IF(D11="","-",+C21+1)</f>
        <v>2014</v>
      </c>
      <c r="D22" s="515">
        <v>2688102.5958188158</v>
      </c>
      <c r="E22" s="520">
        <v>70981.71428571429</v>
      </c>
      <c r="F22" s="515">
        <v>2617120.8815331017</v>
      </c>
      <c r="G22" s="516">
        <v>424058.82256501901</v>
      </c>
      <c r="H22" s="510">
        <v>424058.82256501901</v>
      </c>
      <c r="I22" s="511">
        <v>0</v>
      </c>
      <c r="J22" s="511"/>
      <c r="K22" s="518">
        <f t="shared" si="4"/>
        <v>424058.82256501901</v>
      </c>
      <c r="L22" s="519">
        <f t="shared" si="7"/>
        <v>0</v>
      </c>
      <c r="M22" s="518">
        <f t="shared" si="5"/>
        <v>424058.82256501901</v>
      </c>
      <c r="N22" s="514">
        <f t="shared" si="8"/>
        <v>0</v>
      </c>
      <c r="O22" s="514">
        <f t="shared" si="3"/>
        <v>0</v>
      </c>
      <c r="P22" s="272"/>
    </row>
    <row r="23" spans="2:16" ht="12.5">
      <c r="B23" s="195" t="str">
        <f t="shared" si="6"/>
        <v/>
      </c>
      <c r="C23" s="507">
        <f>IF(D11="","-",+C22+1)</f>
        <v>2015</v>
      </c>
      <c r="D23" s="515">
        <v>2617120.8815331017</v>
      </c>
      <c r="E23" s="520">
        <v>70981.71428571429</v>
      </c>
      <c r="F23" s="515">
        <v>2546139.1672473876</v>
      </c>
      <c r="G23" s="516">
        <v>406320.46656296717</v>
      </c>
      <c r="H23" s="510">
        <v>406320.46656296717</v>
      </c>
      <c r="I23" s="511">
        <v>0</v>
      </c>
      <c r="J23" s="511"/>
      <c r="K23" s="518">
        <f t="shared" si="4"/>
        <v>406320.46656296717</v>
      </c>
      <c r="L23" s="519">
        <f t="shared" si="7"/>
        <v>0</v>
      </c>
      <c r="M23" s="518">
        <f t="shared" si="5"/>
        <v>406320.46656296717</v>
      </c>
      <c r="N23" s="514">
        <f t="shared" si="8"/>
        <v>0</v>
      </c>
      <c r="O23" s="514">
        <f>+N23-L23</f>
        <v>0</v>
      </c>
      <c r="P23" s="272"/>
    </row>
    <row r="24" spans="2:16" ht="12.5">
      <c r="B24" s="195" t="str">
        <f t="shared" si="6"/>
        <v>IU</v>
      </c>
      <c r="C24" s="507">
        <f>IF(D11="","-",+C23+1)</f>
        <v>2016</v>
      </c>
      <c r="D24" s="515">
        <v>2546675.1672473866</v>
      </c>
      <c r="E24" s="520">
        <v>70994.476190476184</v>
      </c>
      <c r="F24" s="515">
        <v>2475680.6910569104</v>
      </c>
      <c r="G24" s="516">
        <v>393030.95863797772</v>
      </c>
      <c r="H24" s="510">
        <v>393030.95863797772</v>
      </c>
      <c r="I24" s="511">
        <f t="shared" si="0"/>
        <v>0</v>
      </c>
      <c r="J24" s="511"/>
      <c r="K24" s="518">
        <f t="shared" ref="K24:K29" si="9">G24</f>
        <v>393030.95863797772</v>
      </c>
      <c r="L24" s="519">
        <f t="shared" si="7"/>
        <v>0</v>
      </c>
      <c r="M24" s="518">
        <f t="shared" ref="M24:M29" si="10">H24</f>
        <v>393030.95863797772</v>
      </c>
      <c r="N24" s="514">
        <f t="shared" si="8"/>
        <v>0</v>
      </c>
      <c r="O24" s="514">
        <f>+N24-L24</f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2475680.6910569104</v>
      </c>
      <c r="E25" s="520">
        <v>69343.441860465115</v>
      </c>
      <c r="F25" s="515">
        <v>2406337.2491964451</v>
      </c>
      <c r="G25" s="516">
        <v>371766.22774985479</v>
      </c>
      <c r="H25" s="510">
        <v>371766.22774985479</v>
      </c>
      <c r="I25" s="511">
        <f t="shared" si="0"/>
        <v>0</v>
      </c>
      <c r="J25" s="511"/>
      <c r="K25" s="518">
        <f t="shared" si="9"/>
        <v>371766.22774985479</v>
      </c>
      <c r="L25" s="519">
        <f t="shared" si="7"/>
        <v>0</v>
      </c>
      <c r="M25" s="518">
        <f t="shared" si="10"/>
        <v>371766.22774985479</v>
      </c>
      <c r="N25" s="514">
        <f t="shared" si="8"/>
        <v>0</v>
      </c>
      <c r="O25" s="514">
        <f>+N25-L25</f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2406337.2491964451</v>
      </c>
      <c r="E26" s="520">
        <v>72726.048780487807</v>
      </c>
      <c r="F26" s="515">
        <v>2333611.2004159573</v>
      </c>
      <c r="G26" s="516">
        <v>373935.78736543196</v>
      </c>
      <c r="H26" s="510">
        <v>373935.78736543196</v>
      </c>
      <c r="I26" s="511">
        <f t="shared" si="0"/>
        <v>0</v>
      </c>
      <c r="J26" s="511"/>
      <c r="K26" s="518">
        <f t="shared" si="9"/>
        <v>373935.78736543196</v>
      </c>
      <c r="L26" s="519">
        <f t="shared" si="7"/>
        <v>0</v>
      </c>
      <c r="M26" s="518">
        <f t="shared" si="10"/>
        <v>373935.78736543196</v>
      </c>
      <c r="N26" s="514">
        <f t="shared" si="8"/>
        <v>0</v>
      </c>
      <c r="O26" s="514">
        <f>+N26-L26</f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2333611.2004159573</v>
      </c>
      <c r="E27" s="520">
        <v>72726.048780487807</v>
      </c>
      <c r="F27" s="515">
        <v>2260885.1516354694</v>
      </c>
      <c r="G27" s="516">
        <v>364692.73572706321</v>
      </c>
      <c r="H27" s="510">
        <v>364692.73572706321</v>
      </c>
      <c r="I27" s="511">
        <f t="shared" si="0"/>
        <v>0</v>
      </c>
      <c r="J27" s="511"/>
      <c r="K27" s="518">
        <f t="shared" si="9"/>
        <v>364692.73572706321</v>
      </c>
      <c r="L27" s="519">
        <f t="shared" ref="L27" si="11">IF(K27&lt;&gt;0,+G27-K27,0)</f>
        <v>0</v>
      </c>
      <c r="M27" s="518">
        <f t="shared" si="10"/>
        <v>364692.73572706321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2260885.1516354694</v>
      </c>
      <c r="E28" s="520">
        <v>72726.048780487807</v>
      </c>
      <c r="F28" s="515">
        <v>2188159.1028549816</v>
      </c>
      <c r="G28" s="516">
        <v>300373.53346769244</v>
      </c>
      <c r="H28" s="510">
        <v>300373.53346769244</v>
      </c>
      <c r="I28" s="511">
        <f t="shared" si="0"/>
        <v>0</v>
      </c>
      <c r="J28" s="511"/>
      <c r="K28" s="518">
        <f t="shared" si="9"/>
        <v>300373.53346769244</v>
      </c>
      <c r="L28" s="519">
        <f t="shared" ref="L28" si="12">IF(K28&lt;&gt;0,+G28-K28,0)</f>
        <v>0</v>
      </c>
      <c r="M28" s="518">
        <f t="shared" si="10"/>
        <v>300373.53346769244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15">
        <v>2191541.7097750045</v>
      </c>
      <c r="E29" s="520">
        <v>70994.476190476184</v>
      </c>
      <c r="F29" s="515">
        <v>2120547.2335845283</v>
      </c>
      <c r="G29" s="516">
        <v>299544.98950255034</v>
      </c>
      <c r="H29" s="510">
        <v>299544.98950255034</v>
      </c>
      <c r="I29" s="511">
        <f t="shared" si="0"/>
        <v>0</v>
      </c>
      <c r="J29" s="511"/>
      <c r="K29" s="518">
        <f t="shared" si="9"/>
        <v>299544.98950255034</v>
      </c>
      <c r="L29" s="519">
        <f t="shared" ref="L29" si="13">IF(K29&lt;&gt;0,+G29-K29,0)</f>
        <v>0</v>
      </c>
      <c r="M29" s="518">
        <f t="shared" si="10"/>
        <v>299544.98950255034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515">
        <v>2117164.6266645053</v>
      </c>
      <c r="E30" s="520">
        <v>70994.476190476184</v>
      </c>
      <c r="F30" s="515">
        <v>2046170.1504740291</v>
      </c>
      <c r="G30" s="516">
        <v>305065.68570908706</v>
      </c>
      <c r="H30" s="510">
        <v>305065.68570908706</v>
      </c>
      <c r="I30" s="511">
        <f t="shared" si="0"/>
        <v>0</v>
      </c>
      <c r="J30" s="511"/>
      <c r="K30" s="518">
        <f t="shared" ref="K30" si="14">G30</f>
        <v>305065.68570908706</v>
      </c>
      <c r="L30" s="519">
        <f t="shared" ref="L30" si="15">IF(K30&lt;&gt;0,+G30-K30,0)</f>
        <v>0</v>
      </c>
      <c r="M30" s="518">
        <f t="shared" ref="M30" si="16">H30</f>
        <v>305065.68570908706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2046170.1504740291</v>
      </c>
      <c r="E31" s="522">
        <f>IF(+I14&lt;F30,I14,D31)</f>
        <v>70994.476190476184</v>
      </c>
      <c r="F31" s="523">
        <f t="shared" ref="F31:F48" si="17">+D31-E31</f>
        <v>1975175.6742835529</v>
      </c>
      <c r="G31" s="524">
        <f t="shared" ref="G31:G72" si="18">+I$12*((D31+F31)/2)+E31</f>
        <v>324996.32688893087</v>
      </c>
      <c r="H31" s="491">
        <f t="shared" ref="H31:H72" si="19">+I$13*((D31+F31)/2)+E31</f>
        <v>324996.32688893087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1975175.6742835529</v>
      </c>
      <c r="E32" s="522">
        <f>IF(+I14&lt;F31,I14,D32)</f>
        <v>70994.476190476184</v>
      </c>
      <c r="F32" s="523">
        <f t="shared" si="17"/>
        <v>1904181.1980930767</v>
      </c>
      <c r="G32" s="524">
        <f t="shared" si="18"/>
        <v>316027.82274749188</v>
      </c>
      <c r="H32" s="491">
        <f t="shared" si="19"/>
        <v>316027.82274749188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1904181.1980930767</v>
      </c>
      <c r="E33" s="522">
        <f>IF(+I14&lt;F32,I14,D33)</f>
        <v>70994.476190476184</v>
      </c>
      <c r="F33" s="523">
        <f t="shared" si="17"/>
        <v>1833186.7219026005</v>
      </c>
      <c r="G33" s="524">
        <f t="shared" si="18"/>
        <v>307059.31860605296</v>
      </c>
      <c r="H33" s="491">
        <f t="shared" si="19"/>
        <v>307059.31860605296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1833186.7219026005</v>
      </c>
      <c r="E34" s="522">
        <f>IF(+I14&lt;F33,I14,D34)</f>
        <v>70994.476190476184</v>
      </c>
      <c r="F34" s="523">
        <f t="shared" si="17"/>
        <v>1762192.2457121243</v>
      </c>
      <c r="G34" s="524">
        <f t="shared" si="18"/>
        <v>298090.81446461397</v>
      </c>
      <c r="H34" s="491">
        <f t="shared" si="19"/>
        <v>298090.81446461397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1762192.2457121243</v>
      </c>
      <c r="E35" s="522">
        <f>IF(+I14&lt;F34,I14,D35)</f>
        <v>70994.476190476184</v>
      </c>
      <c r="F35" s="523">
        <f t="shared" si="17"/>
        <v>1691197.7695216481</v>
      </c>
      <c r="G35" s="524">
        <f t="shared" si="18"/>
        <v>289122.31032317504</v>
      </c>
      <c r="H35" s="491">
        <f t="shared" si="19"/>
        <v>289122.31032317504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1691197.7695216481</v>
      </c>
      <c r="E36" s="522">
        <f>IF(+I14&lt;F35,I14,D36)</f>
        <v>70994.476190476184</v>
      </c>
      <c r="F36" s="523">
        <f t="shared" si="17"/>
        <v>1620203.2933311719</v>
      </c>
      <c r="G36" s="524">
        <f t="shared" si="18"/>
        <v>280153.80618173606</v>
      </c>
      <c r="H36" s="491">
        <f t="shared" si="19"/>
        <v>280153.80618173606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1620203.2933311719</v>
      </c>
      <c r="E37" s="522">
        <f>IF(+I14&lt;F36,I14,D37)</f>
        <v>70994.476190476184</v>
      </c>
      <c r="F37" s="523">
        <f t="shared" si="17"/>
        <v>1549208.8171406956</v>
      </c>
      <c r="G37" s="524">
        <f t="shared" si="18"/>
        <v>271185.30204029707</v>
      </c>
      <c r="H37" s="491">
        <f t="shared" si="19"/>
        <v>271185.30204029707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1549208.8171406956</v>
      </c>
      <c r="E38" s="522">
        <f>IF(+I14&lt;F37,I14,D38)</f>
        <v>70994.476190476184</v>
      </c>
      <c r="F38" s="523">
        <f t="shared" si="17"/>
        <v>1478214.3409502194</v>
      </c>
      <c r="G38" s="524">
        <f t="shared" si="18"/>
        <v>262216.79789885809</v>
      </c>
      <c r="H38" s="491">
        <f t="shared" si="19"/>
        <v>262216.79789885809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1478214.3409502194</v>
      </c>
      <c r="E39" s="522">
        <f>IF(+I14&lt;F38,I14,D39)</f>
        <v>70994.476190476184</v>
      </c>
      <c r="F39" s="523">
        <f t="shared" si="17"/>
        <v>1407219.8647597432</v>
      </c>
      <c r="G39" s="524">
        <f t="shared" si="18"/>
        <v>253248.29375741916</v>
      </c>
      <c r="H39" s="491">
        <f t="shared" si="19"/>
        <v>253248.29375741916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1407219.8647597432</v>
      </c>
      <c r="E40" s="522">
        <f>IF(+I14&lt;F39,I14,D40)</f>
        <v>70994.476190476184</v>
      </c>
      <c r="F40" s="523">
        <f t="shared" si="17"/>
        <v>1336225.388569267</v>
      </c>
      <c r="G40" s="524">
        <f t="shared" si="18"/>
        <v>244279.78961598017</v>
      </c>
      <c r="H40" s="491">
        <f t="shared" si="19"/>
        <v>244279.78961598017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1336225.388569267</v>
      </c>
      <c r="E41" s="522">
        <f>IF(+I14&lt;F40,I14,D41)</f>
        <v>70994.476190476184</v>
      </c>
      <c r="F41" s="523">
        <f t="shared" si="17"/>
        <v>1265230.9123787908</v>
      </c>
      <c r="G41" s="524">
        <f t="shared" si="18"/>
        <v>235311.28547454122</v>
      </c>
      <c r="H41" s="491">
        <f t="shared" si="19"/>
        <v>235311.28547454122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1265230.9123787908</v>
      </c>
      <c r="E42" s="522">
        <f>IF(+I14&lt;F41,I14,D42)</f>
        <v>70994.476190476184</v>
      </c>
      <c r="F42" s="523">
        <f t="shared" si="17"/>
        <v>1194236.4361883146</v>
      </c>
      <c r="G42" s="524">
        <f t="shared" si="18"/>
        <v>226342.78133310226</v>
      </c>
      <c r="H42" s="491">
        <f t="shared" si="19"/>
        <v>226342.78133310226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1194236.4361883146</v>
      </c>
      <c r="E43" s="522">
        <f>IF(+I14&lt;F42,I14,D43)</f>
        <v>70994.476190476184</v>
      </c>
      <c r="F43" s="523">
        <f t="shared" si="17"/>
        <v>1123241.9599978384</v>
      </c>
      <c r="G43" s="524">
        <f t="shared" si="18"/>
        <v>217374.27719166328</v>
      </c>
      <c r="H43" s="491">
        <f t="shared" si="19"/>
        <v>217374.27719166328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1123241.9599978384</v>
      </c>
      <c r="E44" s="522">
        <f>IF(+I14&lt;F43,I14,D44)</f>
        <v>70994.476190476184</v>
      </c>
      <c r="F44" s="523">
        <f t="shared" si="17"/>
        <v>1052247.4838073622</v>
      </c>
      <c r="G44" s="524">
        <f t="shared" si="18"/>
        <v>208405.77305022432</v>
      </c>
      <c r="H44" s="491">
        <f t="shared" si="19"/>
        <v>208405.77305022432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1052247.4838073622</v>
      </c>
      <c r="E45" s="522">
        <f>IF(+I14&lt;F44,I14,D45)</f>
        <v>70994.476190476184</v>
      </c>
      <c r="F45" s="523">
        <f t="shared" si="17"/>
        <v>981253.00761688594</v>
      </c>
      <c r="G45" s="524">
        <f t="shared" si="18"/>
        <v>199437.26890878537</v>
      </c>
      <c r="H45" s="491">
        <f t="shared" si="19"/>
        <v>199437.26890878537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981253.00761688594</v>
      </c>
      <c r="E46" s="522">
        <f>IF(+I14&lt;F45,I14,D46)</f>
        <v>70994.476190476184</v>
      </c>
      <c r="F46" s="523">
        <f t="shared" si="17"/>
        <v>910258.53142640973</v>
      </c>
      <c r="G46" s="524">
        <f t="shared" si="18"/>
        <v>190468.76476734638</v>
      </c>
      <c r="H46" s="491">
        <f t="shared" si="19"/>
        <v>190468.76476734638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910258.53142640973</v>
      </c>
      <c r="E47" s="522">
        <f>IF(+I14&lt;F46,I14,D47)</f>
        <v>70994.476190476184</v>
      </c>
      <c r="F47" s="523">
        <f t="shared" si="17"/>
        <v>839264.05523593351</v>
      </c>
      <c r="G47" s="524">
        <f t="shared" si="18"/>
        <v>181500.26062590739</v>
      </c>
      <c r="H47" s="491">
        <f t="shared" si="19"/>
        <v>181500.26062590739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839264.05523593351</v>
      </c>
      <c r="E48" s="522">
        <f>IF(+I14&lt;F47,I14,D48)</f>
        <v>70994.476190476184</v>
      </c>
      <c r="F48" s="523">
        <f t="shared" si="17"/>
        <v>768269.5790454573</v>
      </c>
      <c r="G48" s="524">
        <f t="shared" si="18"/>
        <v>172531.75648446847</v>
      </c>
      <c r="H48" s="491">
        <f t="shared" si="19"/>
        <v>172531.75648446847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768269.5790454573</v>
      </c>
      <c r="E49" s="522">
        <f>IF(+I14&lt;F48,I14,D49)</f>
        <v>70994.476190476184</v>
      </c>
      <c r="F49" s="523">
        <f t="shared" ref="F49:F72" si="20">+D49-E49</f>
        <v>697275.10285498109</v>
      </c>
      <c r="G49" s="524">
        <f t="shared" si="18"/>
        <v>163563.25234302948</v>
      </c>
      <c r="H49" s="491">
        <f t="shared" si="19"/>
        <v>163563.25234302948</v>
      </c>
      <c r="I49" s="511">
        <f t="shared" ref="I49:I72" si="21">H49-G49</f>
        <v>0</v>
      </c>
      <c r="J49" s="511"/>
      <c r="K49" s="525"/>
      <c r="L49" s="514">
        <f t="shared" ref="L49:L72" si="22">IF(K49&lt;&gt;0,+G49-K49,0)</f>
        <v>0</v>
      </c>
      <c r="M49" s="525"/>
      <c r="N49" s="514">
        <f t="shared" ref="N49:N72" si="23">IF(M49&lt;&gt;0,+H49-M49,0)</f>
        <v>0</v>
      </c>
      <c r="O49" s="514">
        <f t="shared" ref="O49:O72" si="24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697275.10285498109</v>
      </c>
      <c r="E50" s="522">
        <f>IF(+I14&lt;F49,I14,D50)</f>
        <v>70994.476190476184</v>
      </c>
      <c r="F50" s="523">
        <f t="shared" si="20"/>
        <v>626280.62666450487</v>
      </c>
      <c r="G50" s="524">
        <f t="shared" si="18"/>
        <v>154594.7482015905</v>
      </c>
      <c r="H50" s="491">
        <f t="shared" si="19"/>
        <v>154594.7482015905</v>
      </c>
      <c r="I50" s="511">
        <f t="shared" si="21"/>
        <v>0</v>
      </c>
      <c r="J50" s="511"/>
      <c r="K50" s="525"/>
      <c r="L50" s="514">
        <f t="shared" si="22"/>
        <v>0</v>
      </c>
      <c r="M50" s="525"/>
      <c r="N50" s="514">
        <f t="shared" si="23"/>
        <v>0</v>
      </c>
      <c r="O50" s="514">
        <f t="shared" si="24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626280.62666450487</v>
      </c>
      <c r="E51" s="522">
        <f>IF(+I14&lt;F50,I14,D51)</f>
        <v>70994.476190476184</v>
      </c>
      <c r="F51" s="523">
        <f t="shared" si="20"/>
        <v>555286.15047402866</v>
      </c>
      <c r="G51" s="524">
        <f t="shared" si="18"/>
        <v>145626.24406015157</v>
      </c>
      <c r="H51" s="491">
        <f t="shared" si="19"/>
        <v>145626.24406015157</v>
      </c>
      <c r="I51" s="511">
        <f t="shared" si="21"/>
        <v>0</v>
      </c>
      <c r="J51" s="511"/>
      <c r="K51" s="525"/>
      <c r="L51" s="514">
        <f t="shared" si="22"/>
        <v>0</v>
      </c>
      <c r="M51" s="525"/>
      <c r="N51" s="514">
        <f t="shared" si="23"/>
        <v>0</v>
      </c>
      <c r="O51" s="514">
        <f t="shared" si="24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555286.15047402866</v>
      </c>
      <c r="E52" s="522">
        <f>IF(+I14&lt;F51,I14,D52)</f>
        <v>70994.476190476184</v>
      </c>
      <c r="F52" s="523">
        <f t="shared" si="20"/>
        <v>484291.67428355245</v>
      </c>
      <c r="G52" s="524">
        <f t="shared" si="18"/>
        <v>136657.73991871258</v>
      </c>
      <c r="H52" s="491">
        <f t="shared" si="19"/>
        <v>136657.73991871258</v>
      </c>
      <c r="I52" s="511">
        <f t="shared" si="21"/>
        <v>0</v>
      </c>
      <c r="J52" s="511"/>
      <c r="K52" s="525"/>
      <c r="L52" s="514">
        <f t="shared" si="22"/>
        <v>0</v>
      </c>
      <c r="M52" s="525"/>
      <c r="N52" s="514">
        <f t="shared" si="23"/>
        <v>0</v>
      </c>
      <c r="O52" s="514">
        <f t="shared" si="24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484291.67428355245</v>
      </c>
      <c r="E53" s="522">
        <f>IF(+I14&lt;F52,I14,D53)</f>
        <v>70994.476190476184</v>
      </c>
      <c r="F53" s="523">
        <f t="shared" si="20"/>
        <v>413297.19809307624</v>
      </c>
      <c r="G53" s="524">
        <f t="shared" si="18"/>
        <v>127689.23577727361</v>
      </c>
      <c r="H53" s="491">
        <f t="shared" si="19"/>
        <v>127689.23577727361</v>
      </c>
      <c r="I53" s="511">
        <f t="shared" si="21"/>
        <v>0</v>
      </c>
      <c r="J53" s="511"/>
      <c r="K53" s="525"/>
      <c r="L53" s="514">
        <f t="shared" si="22"/>
        <v>0</v>
      </c>
      <c r="M53" s="525"/>
      <c r="N53" s="514">
        <f t="shared" si="23"/>
        <v>0</v>
      </c>
      <c r="O53" s="514">
        <f t="shared" si="24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413297.19809307624</v>
      </c>
      <c r="E54" s="522">
        <f>IF(+I14&lt;F53,I14,D54)</f>
        <v>70994.476190476184</v>
      </c>
      <c r="F54" s="523">
        <f t="shared" si="20"/>
        <v>342302.72190260002</v>
      </c>
      <c r="G54" s="524">
        <f t="shared" si="18"/>
        <v>118720.73163583464</v>
      </c>
      <c r="H54" s="491">
        <f t="shared" si="19"/>
        <v>118720.73163583464</v>
      </c>
      <c r="I54" s="511">
        <f t="shared" si="21"/>
        <v>0</v>
      </c>
      <c r="J54" s="511"/>
      <c r="K54" s="525"/>
      <c r="L54" s="514">
        <f t="shared" si="22"/>
        <v>0</v>
      </c>
      <c r="M54" s="525"/>
      <c r="N54" s="514">
        <f t="shared" si="23"/>
        <v>0</v>
      </c>
      <c r="O54" s="514">
        <f t="shared" si="24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342302.72190260002</v>
      </c>
      <c r="E55" s="522">
        <f>IF(+I14&lt;F54,I14,D55)</f>
        <v>70994.476190476184</v>
      </c>
      <c r="F55" s="523">
        <f t="shared" si="20"/>
        <v>271308.24571212381</v>
      </c>
      <c r="G55" s="524">
        <f t="shared" si="18"/>
        <v>109752.22749439569</v>
      </c>
      <c r="H55" s="491">
        <f t="shared" si="19"/>
        <v>109752.22749439569</v>
      </c>
      <c r="I55" s="511">
        <f t="shared" si="21"/>
        <v>0</v>
      </c>
      <c r="J55" s="511"/>
      <c r="K55" s="525"/>
      <c r="L55" s="514">
        <f t="shared" si="22"/>
        <v>0</v>
      </c>
      <c r="M55" s="525"/>
      <c r="N55" s="514">
        <f t="shared" si="23"/>
        <v>0</v>
      </c>
      <c r="O55" s="514">
        <f t="shared" si="24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271308.24571212381</v>
      </c>
      <c r="E56" s="522">
        <f>IF(+I14&lt;F55,I14,D56)</f>
        <v>70994.476190476184</v>
      </c>
      <c r="F56" s="523">
        <f t="shared" si="20"/>
        <v>200313.76952164763</v>
      </c>
      <c r="G56" s="524">
        <f t="shared" si="18"/>
        <v>100783.72335295672</v>
      </c>
      <c r="H56" s="491">
        <f t="shared" si="19"/>
        <v>100783.72335295672</v>
      </c>
      <c r="I56" s="511">
        <f t="shared" si="21"/>
        <v>0</v>
      </c>
      <c r="J56" s="511"/>
      <c r="K56" s="525"/>
      <c r="L56" s="514">
        <f t="shared" si="22"/>
        <v>0</v>
      </c>
      <c r="M56" s="525"/>
      <c r="N56" s="514">
        <f t="shared" si="23"/>
        <v>0</v>
      </c>
      <c r="O56" s="514">
        <f t="shared" si="24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200313.76952164763</v>
      </c>
      <c r="E57" s="522">
        <f>IF(+I14&lt;F56,I14,D57)</f>
        <v>70994.476190476184</v>
      </c>
      <c r="F57" s="523">
        <f t="shared" si="20"/>
        <v>129319.29333117144</v>
      </c>
      <c r="G57" s="524">
        <f t="shared" si="18"/>
        <v>91815.21921151776</v>
      </c>
      <c r="H57" s="491">
        <f t="shared" si="19"/>
        <v>91815.21921151776</v>
      </c>
      <c r="I57" s="511">
        <f t="shared" si="21"/>
        <v>0</v>
      </c>
      <c r="J57" s="511"/>
      <c r="K57" s="525"/>
      <c r="L57" s="514">
        <f t="shared" si="22"/>
        <v>0</v>
      </c>
      <c r="M57" s="525"/>
      <c r="N57" s="514">
        <f t="shared" si="23"/>
        <v>0</v>
      </c>
      <c r="O57" s="514">
        <f t="shared" si="24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129319.29333117144</v>
      </c>
      <c r="E58" s="522">
        <f>IF(+I14&lt;F57,I14,D58)</f>
        <v>70994.476190476184</v>
      </c>
      <c r="F58" s="523">
        <f t="shared" si="20"/>
        <v>58324.817140695261</v>
      </c>
      <c r="G58" s="524">
        <f t="shared" si="18"/>
        <v>82846.71507007879</v>
      </c>
      <c r="H58" s="491">
        <f t="shared" si="19"/>
        <v>82846.71507007879</v>
      </c>
      <c r="I58" s="511">
        <f t="shared" si="21"/>
        <v>0</v>
      </c>
      <c r="J58" s="511"/>
      <c r="K58" s="525"/>
      <c r="L58" s="514">
        <f t="shared" si="22"/>
        <v>0</v>
      </c>
      <c r="M58" s="525"/>
      <c r="N58" s="514">
        <f t="shared" si="23"/>
        <v>0</v>
      </c>
      <c r="O58" s="514">
        <f t="shared" si="24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58324.817140695261</v>
      </c>
      <c r="E59" s="522">
        <f>IF(+I14&lt;F58,I14,D59)</f>
        <v>58324.817140695261</v>
      </c>
      <c r="F59" s="523">
        <f t="shared" si="20"/>
        <v>0</v>
      </c>
      <c r="G59" s="524">
        <f t="shared" si="18"/>
        <v>62008.810545136825</v>
      </c>
      <c r="H59" s="491">
        <f t="shared" si="19"/>
        <v>62008.810545136825</v>
      </c>
      <c r="I59" s="511">
        <f t="shared" si="21"/>
        <v>0</v>
      </c>
      <c r="J59" s="511"/>
      <c r="K59" s="525"/>
      <c r="L59" s="514">
        <f t="shared" si="22"/>
        <v>0</v>
      </c>
      <c r="M59" s="525"/>
      <c r="N59" s="514">
        <f t="shared" si="23"/>
        <v>0</v>
      </c>
      <c r="O59" s="514">
        <f t="shared" si="24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0</v>
      </c>
      <c r="E60" s="522">
        <f>IF(+I14&lt;F59,I14,D60)</f>
        <v>0</v>
      </c>
      <c r="F60" s="523">
        <f t="shared" si="20"/>
        <v>0</v>
      </c>
      <c r="G60" s="524">
        <f t="shared" si="18"/>
        <v>0</v>
      </c>
      <c r="H60" s="491">
        <f t="shared" si="19"/>
        <v>0</v>
      </c>
      <c r="I60" s="511">
        <f t="shared" si="21"/>
        <v>0</v>
      </c>
      <c r="J60" s="511"/>
      <c r="K60" s="525"/>
      <c r="L60" s="514">
        <f t="shared" si="22"/>
        <v>0</v>
      </c>
      <c r="M60" s="525"/>
      <c r="N60" s="514">
        <f t="shared" si="23"/>
        <v>0</v>
      </c>
      <c r="O60" s="514">
        <f t="shared" si="24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0"/>
        <v>0</v>
      </c>
      <c r="G61" s="526">
        <f t="shared" si="18"/>
        <v>0</v>
      </c>
      <c r="H61" s="491">
        <f t="shared" si="19"/>
        <v>0</v>
      </c>
      <c r="I61" s="511">
        <f t="shared" si="21"/>
        <v>0</v>
      </c>
      <c r="J61" s="511"/>
      <c r="K61" s="525"/>
      <c r="L61" s="514">
        <f t="shared" si="22"/>
        <v>0</v>
      </c>
      <c r="M61" s="525"/>
      <c r="N61" s="514">
        <f t="shared" si="23"/>
        <v>0</v>
      </c>
      <c r="O61" s="514">
        <f t="shared" si="24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0"/>
        <v>0</v>
      </c>
      <c r="G62" s="526">
        <f t="shared" si="18"/>
        <v>0</v>
      </c>
      <c r="H62" s="491">
        <f t="shared" si="19"/>
        <v>0</v>
      </c>
      <c r="I62" s="511">
        <f t="shared" si="21"/>
        <v>0</v>
      </c>
      <c r="J62" s="511"/>
      <c r="K62" s="525"/>
      <c r="L62" s="514">
        <f t="shared" si="22"/>
        <v>0</v>
      </c>
      <c r="M62" s="525"/>
      <c r="N62" s="514">
        <f t="shared" si="23"/>
        <v>0</v>
      </c>
      <c r="O62" s="514">
        <f t="shared" si="24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0"/>
        <v>0</v>
      </c>
      <c r="G63" s="526">
        <f t="shared" si="18"/>
        <v>0</v>
      </c>
      <c r="H63" s="491">
        <f t="shared" si="19"/>
        <v>0</v>
      </c>
      <c r="I63" s="511">
        <f t="shared" si="21"/>
        <v>0</v>
      </c>
      <c r="J63" s="511"/>
      <c r="K63" s="525"/>
      <c r="L63" s="514">
        <f t="shared" si="22"/>
        <v>0</v>
      </c>
      <c r="M63" s="525"/>
      <c r="N63" s="514">
        <f t="shared" si="23"/>
        <v>0</v>
      </c>
      <c r="O63" s="514">
        <f t="shared" si="24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0"/>
        <v>0</v>
      </c>
      <c r="G64" s="526">
        <f t="shared" si="18"/>
        <v>0</v>
      </c>
      <c r="H64" s="491">
        <f t="shared" si="19"/>
        <v>0</v>
      </c>
      <c r="I64" s="511">
        <f t="shared" si="21"/>
        <v>0</v>
      </c>
      <c r="J64" s="511"/>
      <c r="K64" s="525"/>
      <c r="L64" s="514">
        <f t="shared" si="22"/>
        <v>0</v>
      </c>
      <c r="M64" s="525"/>
      <c r="N64" s="514">
        <f t="shared" si="23"/>
        <v>0</v>
      </c>
      <c r="O64" s="514">
        <f t="shared" si="24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0"/>
        <v>0</v>
      </c>
      <c r="G65" s="526">
        <f t="shared" si="18"/>
        <v>0</v>
      </c>
      <c r="H65" s="491">
        <f t="shared" si="19"/>
        <v>0</v>
      </c>
      <c r="I65" s="511">
        <f t="shared" si="21"/>
        <v>0</v>
      </c>
      <c r="J65" s="511"/>
      <c r="K65" s="525"/>
      <c r="L65" s="514">
        <f t="shared" si="22"/>
        <v>0</v>
      </c>
      <c r="M65" s="525"/>
      <c r="N65" s="514">
        <f t="shared" si="23"/>
        <v>0</v>
      </c>
      <c r="O65" s="514">
        <f t="shared" si="24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0"/>
        <v>0</v>
      </c>
      <c r="G66" s="526">
        <f t="shared" si="18"/>
        <v>0</v>
      </c>
      <c r="H66" s="491">
        <f t="shared" si="19"/>
        <v>0</v>
      </c>
      <c r="I66" s="511">
        <f t="shared" si="21"/>
        <v>0</v>
      </c>
      <c r="J66" s="511"/>
      <c r="K66" s="525"/>
      <c r="L66" s="514">
        <f t="shared" si="22"/>
        <v>0</v>
      </c>
      <c r="M66" s="525"/>
      <c r="N66" s="514">
        <f t="shared" si="23"/>
        <v>0</v>
      </c>
      <c r="O66" s="514">
        <f t="shared" si="24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0"/>
        <v>0</v>
      </c>
      <c r="G67" s="526">
        <f t="shared" si="18"/>
        <v>0</v>
      </c>
      <c r="H67" s="491">
        <f t="shared" si="19"/>
        <v>0</v>
      </c>
      <c r="I67" s="511">
        <f t="shared" si="21"/>
        <v>0</v>
      </c>
      <c r="J67" s="511"/>
      <c r="K67" s="525"/>
      <c r="L67" s="514">
        <f t="shared" si="22"/>
        <v>0</v>
      </c>
      <c r="M67" s="525"/>
      <c r="N67" s="514">
        <f t="shared" si="23"/>
        <v>0</v>
      </c>
      <c r="O67" s="514">
        <f t="shared" si="24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0"/>
        <v>0</v>
      </c>
      <c r="G68" s="526">
        <f t="shared" si="18"/>
        <v>0</v>
      </c>
      <c r="H68" s="491">
        <f t="shared" si="19"/>
        <v>0</v>
      </c>
      <c r="I68" s="511">
        <f t="shared" si="21"/>
        <v>0</v>
      </c>
      <c r="J68" s="511"/>
      <c r="K68" s="525"/>
      <c r="L68" s="514">
        <f t="shared" si="22"/>
        <v>0</v>
      </c>
      <c r="M68" s="525"/>
      <c r="N68" s="514">
        <f t="shared" si="23"/>
        <v>0</v>
      </c>
      <c r="O68" s="514">
        <f t="shared" si="24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0"/>
        <v>0</v>
      </c>
      <c r="G69" s="526">
        <f t="shared" si="18"/>
        <v>0</v>
      </c>
      <c r="H69" s="491">
        <f t="shared" si="19"/>
        <v>0</v>
      </c>
      <c r="I69" s="511">
        <f t="shared" si="21"/>
        <v>0</v>
      </c>
      <c r="J69" s="511"/>
      <c r="K69" s="525"/>
      <c r="L69" s="514">
        <f t="shared" si="22"/>
        <v>0</v>
      </c>
      <c r="M69" s="525"/>
      <c r="N69" s="514">
        <f t="shared" si="23"/>
        <v>0</v>
      </c>
      <c r="O69" s="514">
        <f t="shared" si="24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0"/>
        <v>0</v>
      </c>
      <c r="G70" s="526">
        <f t="shared" si="18"/>
        <v>0</v>
      </c>
      <c r="H70" s="491">
        <f t="shared" si="19"/>
        <v>0</v>
      </c>
      <c r="I70" s="511">
        <f t="shared" si="21"/>
        <v>0</v>
      </c>
      <c r="J70" s="511"/>
      <c r="K70" s="525"/>
      <c r="L70" s="514">
        <f t="shared" si="22"/>
        <v>0</v>
      </c>
      <c r="M70" s="525"/>
      <c r="N70" s="514">
        <f t="shared" si="23"/>
        <v>0</v>
      </c>
      <c r="O70" s="514">
        <f t="shared" si="24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0"/>
        <v>0</v>
      </c>
      <c r="G71" s="526">
        <f t="shared" si="18"/>
        <v>0</v>
      </c>
      <c r="H71" s="491">
        <f t="shared" si="19"/>
        <v>0</v>
      </c>
      <c r="I71" s="511">
        <f t="shared" si="21"/>
        <v>0</v>
      </c>
      <c r="J71" s="511"/>
      <c r="K71" s="525"/>
      <c r="L71" s="514">
        <f t="shared" si="22"/>
        <v>0</v>
      </c>
      <c r="M71" s="525"/>
      <c r="N71" s="514">
        <f t="shared" si="23"/>
        <v>0</v>
      </c>
      <c r="O71" s="514">
        <f t="shared" si="24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0"/>
        <v>0</v>
      </c>
      <c r="G72" s="530">
        <f t="shared" si="18"/>
        <v>0</v>
      </c>
      <c r="H72" s="471">
        <f t="shared" si="19"/>
        <v>0</v>
      </c>
      <c r="I72" s="531">
        <f t="shared" si="21"/>
        <v>0</v>
      </c>
      <c r="J72" s="511"/>
      <c r="K72" s="532"/>
      <c r="L72" s="533">
        <f t="shared" si="22"/>
        <v>0</v>
      </c>
      <c r="M72" s="532"/>
      <c r="N72" s="533">
        <f t="shared" si="23"/>
        <v>0</v>
      </c>
      <c r="O72" s="533">
        <f t="shared" si="24"/>
        <v>0</v>
      </c>
      <c r="P72" s="272"/>
    </row>
    <row r="73" spans="1:16" ht="12.5">
      <c r="C73" s="374" t="s">
        <v>78</v>
      </c>
      <c r="D73" s="375"/>
      <c r="E73" s="375">
        <f>SUM(E17:E72)</f>
        <v>2981767.9999999995</v>
      </c>
      <c r="F73" s="375"/>
      <c r="G73" s="375">
        <f>SUM(G17:G72)</f>
        <v>10976675.247531017</v>
      </c>
      <c r="H73" s="375">
        <f>SUM(H17:H72)</f>
        <v>10976675.247531017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5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299544.98950255034</v>
      </c>
      <c r="N87" s="546">
        <f>IF(J92&lt;D11,0,VLOOKUP(J92,C17:O72,11))</f>
        <v>299544.98950255034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318609.25475096708</v>
      </c>
      <c r="N88" s="550">
        <f>IF(J92&lt;D11,0,VLOOKUP(J92,C99:P154,7))</f>
        <v>318609.25475096708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[Greenwood, AR Area Improve]  N Huntington, Greenwood, Reeves, Bonanza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19064.265248416748</v>
      </c>
      <c r="N89" s="555">
        <f>+N88-N87</f>
        <v>19064.265248416748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TP2007120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v>2981768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12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72726.048780487807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0</v>
      </c>
      <c r="F99" s="515">
        <v>2981232</v>
      </c>
      <c r="G99" s="574">
        <v>1490616</v>
      </c>
      <c r="H99" s="575">
        <v>215748</v>
      </c>
      <c r="I99" s="576">
        <v>215748</v>
      </c>
      <c r="J99" s="514">
        <f t="shared" ref="J99:J130" si="25">+I99-H99</f>
        <v>0</v>
      </c>
      <c r="K99" s="514"/>
      <c r="L99" s="512">
        <f t="shared" ref="L99:L104" si="26">H99</f>
        <v>215748</v>
      </c>
      <c r="M99" s="513">
        <f t="shared" ref="M99:M130" si="27">IF(L99&lt;&gt;0,+H99-L99,0)</f>
        <v>0</v>
      </c>
      <c r="N99" s="512">
        <f t="shared" ref="N99:N104" si="28">I99</f>
        <v>215748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 ht="12.5">
      <c r="B100" s="195" t="str">
        <f>IF(D100=F99,"","IU")</f>
        <v/>
      </c>
      <c r="C100" s="507">
        <f>IF(D93="","-",+C99+1)</f>
        <v>2010</v>
      </c>
      <c r="D100" s="508">
        <v>2981232</v>
      </c>
      <c r="E100" s="516">
        <v>72712.975609756104</v>
      </c>
      <c r="F100" s="515">
        <v>2908519.0243902439</v>
      </c>
      <c r="G100" s="515">
        <v>2944875.512195122</v>
      </c>
      <c r="H100" s="516">
        <v>558870.93622757494</v>
      </c>
      <c r="I100" s="510">
        <v>558870.93622757494</v>
      </c>
      <c r="J100" s="514">
        <f t="shared" si="25"/>
        <v>0</v>
      </c>
      <c r="K100" s="514"/>
      <c r="L100" s="518">
        <f t="shared" si="26"/>
        <v>558870.93622757494</v>
      </c>
      <c r="M100" s="519">
        <f t="shared" si="27"/>
        <v>0</v>
      </c>
      <c r="N100" s="518">
        <f t="shared" si="28"/>
        <v>558870.93622757494</v>
      </c>
      <c r="O100" s="514">
        <f t="shared" si="29"/>
        <v>0</v>
      </c>
      <c r="P100" s="514">
        <f t="shared" si="30"/>
        <v>0</v>
      </c>
      <c r="Q100" s="269"/>
    </row>
    <row r="101" spans="1:17" ht="12.5">
      <c r="B101" s="195" t="str">
        <f t="shared" ref="B101:B154" si="31">IF(D101=F100,"","IU")</f>
        <v/>
      </c>
      <c r="C101" s="507">
        <f>IF(D93="","-",+C100+1)</f>
        <v>2011</v>
      </c>
      <c r="D101" s="508">
        <v>2908519.0243902439</v>
      </c>
      <c r="E101" s="520">
        <v>70981.71428571429</v>
      </c>
      <c r="F101" s="515">
        <v>2837537.3101045298</v>
      </c>
      <c r="G101" s="515">
        <v>2873028.1672473866</v>
      </c>
      <c r="H101" s="516">
        <v>503027.40641582396</v>
      </c>
      <c r="I101" s="510">
        <v>503027.40641582396</v>
      </c>
      <c r="J101" s="514">
        <f t="shared" si="25"/>
        <v>0</v>
      </c>
      <c r="K101" s="514"/>
      <c r="L101" s="518">
        <f t="shared" si="26"/>
        <v>503027.40641582396</v>
      </c>
      <c r="M101" s="519">
        <f t="shared" si="27"/>
        <v>0</v>
      </c>
      <c r="N101" s="518">
        <f t="shared" si="28"/>
        <v>503027.40641582396</v>
      </c>
      <c r="O101" s="514">
        <f t="shared" si="29"/>
        <v>0</v>
      </c>
      <c r="P101" s="514">
        <f t="shared" si="30"/>
        <v>0</v>
      </c>
      <c r="Q101" s="269"/>
    </row>
    <row r="102" spans="1:17" ht="12.5">
      <c r="B102" s="195" t="str">
        <f t="shared" si="31"/>
        <v/>
      </c>
      <c r="C102" s="507">
        <f>IF(D93="","-",+C101+1)</f>
        <v>2012</v>
      </c>
      <c r="D102" s="508">
        <v>2837537.3101045298</v>
      </c>
      <c r="E102" s="516">
        <v>70981.71428571429</v>
      </c>
      <c r="F102" s="515">
        <v>2766555.5958188158</v>
      </c>
      <c r="G102" s="515">
        <v>2802046.452961673</v>
      </c>
      <c r="H102" s="516">
        <v>483313.86691448453</v>
      </c>
      <c r="I102" s="510">
        <v>483313.86691448453</v>
      </c>
      <c r="J102" s="514">
        <f t="shared" si="25"/>
        <v>0</v>
      </c>
      <c r="K102" s="514"/>
      <c r="L102" s="518">
        <f t="shared" si="26"/>
        <v>483313.86691448453</v>
      </c>
      <c r="M102" s="519">
        <f t="shared" si="27"/>
        <v>0</v>
      </c>
      <c r="N102" s="518">
        <f t="shared" si="28"/>
        <v>483313.86691448453</v>
      </c>
      <c r="O102" s="514">
        <f t="shared" si="29"/>
        <v>0</v>
      </c>
      <c r="P102" s="514">
        <f t="shared" si="30"/>
        <v>0</v>
      </c>
      <c r="Q102" s="269"/>
    </row>
    <row r="103" spans="1:17" ht="12.5">
      <c r="B103" s="195" t="str">
        <f t="shared" si="31"/>
        <v/>
      </c>
      <c r="C103" s="507">
        <f>IF(D93="","-",+C102+1)</f>
        <v>2013</v>
      </c>
      <c r="D103" s="508">
        <v>2766555.5958188158</v>
      </c>
      <c r="E103" s="516">
        <v>70981.71428571429</v>
      </c>
      <c r="F103" s="515">
        <v>2695573.8815331017</v>
      </c>
      <c r="G103" s="515">
        <v>2731064.7386759585</v>
      </c>
      <c r="H103" s="516">
        <v>440472.11189849139</v>
      </c>
      <c r="I103" s="510">
        <v>440472.11189849139</v>
      </c>
      <c r="J103" s="514">
        <v>0</v>
      </c>
      <c r="K103" s="514"/>
      <c r="L103" s="518">
        <f t="shared" si="26"/>
        <v>440472.11189849139</v>
      </c>
      <c r="M103" s="519">
        <f t="shared" ref="M103:M108" si="32">IF(L103&lt;&gt;0,+H103-L103,0)</f>
        <v>0</v>
      </c>
      <c r="N103" s="518">
        <f t="shared" si="28"/>
        <v>440472.11189849139</v>
      </c>
      <c r="O103" s="514">
        <f t="shared" ref="O103:O108" si="33"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1"/>
        <v/>
      </c>
      <c r="C104" s="507">
        <f>IF(D93="","-",+C103+1)</f>
        <v>2014</v>
      </c>
      <c r="D104" s="508">
        <v>2695573.8815331017</v>
      </c>
      <c r="E104" s="516">
        <v>70981.71428571429</v>
      </c>
      <c r="F104" s="515">
        <v>2624592.1672473876</v>
      </c>
      <c r="G104" s="515">
        <v>2660083.0243902449</v>
      </c>
      <c r="H104" s="516">
        <v>432549.40222158958</v>
      </c>
      <c r="I104" s="510">
        <v>432549.40222158958</v>
      </c>
      <c r="J104" s="514">
        <v>0</v>
      </c>
      <c r="K104" s="514"/>
      <c r="L104" s="518">
        <f t="shared" si="26"/>
        <v>432549.40222158958</v>
      </c>
      <c r="M104" s="519">
        <f t="shared" si="32"/>
        <v>0</v>
      </c>
      <c r="N104" s="518">
        <f t="shared" si="28"/>
        <v>432549.40222158958</v>
      </c>
      <c r="O104" s="514">
        <f t="shared" si="33"/>
        <v>0</v>
      </c>
      <c r="P104" s="514">
        <f>+O104-M104</f>
        <v>0</v>
      </c>
      <c r="Q104" s="269"/>
    </row>
    <row r="105" spans="1:17" ht="12.5">
      <c r="B105" s="195" t="str">
        <f t="shared" si="31"/>
        <v>IU</v>
      </c>
      <c r="C105" s="507">
        <f>IF(D93="","-",+C104+1)</f>
        <v>2015</v>
      </c>
      <c r="D105" s="508">
        <v>2625128.1672473866</v>
      </c>
      <c r="E105" s="516">
        <v>70994.476190476184</v>
      </c>
      <c r="F105" s="515">
        <v>2554133.6910569104</v>
      </c>
      <c r="G105" s="515">
        <v>2589630.9291521488</v>
      </c>
      <c r="H105" s="516">
        <v>412227.237835226</v>
      </c>
      <c r="I105" s="510">
        <v>412227.237835226</v>
      </c>
      <c r="J105" s="514">
        <f t="shared" si="25"/>
        <v>0</v>
      </c>
      <c r="K105" s="514"/>
      <c r="L105" s="518">
        <f t="shared" ref="L105:L110" si="34">H105</f>
        <v>412227.237835226</v>
      </c>
      <c r="M105" s="519">
        <f t="shared" si="32"/>
        <v>0</v>
      </c>
      <c r="N105" s="518">
        <f t="shared" ref="N105:N110" si="35">I105</f>
        <v>412227.237835226</v>
      </c>
      <c r="O105" s="514">
        <f t="shared" si="33"/>
        <v>0</v>
      </c>
      <c r="P105" s="514">
        <f>+O105-M105</f>
        <v>0</v>
      </c>
      <c r="Q105" s="269"/>
    </row>
    <row r="106" spans="1:17" ht="12.5">
      <c r="B106" s="195" t="str">
        <f t="shared" si="31"/>
        <v/>
      </c>
      <c r="C106" s="507">
        <f>IF(D93="","-",+C105+1)</f>
        <v>2016</v>
      </c>
      <c r="D106" s="508">
        <v>2554133.6910569104</v>
      </c>
      <c r="E106" s="516">
        <v>69343.441860465115</v>
      </c>
      <c r="F106" s="515">
        <v>2484790.2491964451</v>
      </c>
      <c r="G106" s="515">
        <v>2519461.9701266778</v>
      </c>
      <c r="H106" s="516">
        <v>389189.1094610201</v>
      </c>
      <c r="I106" s="510">
        <v>389189.1094610201</v>
      </c>
      <c r="J106" s="514">
        <f t="shared" si="25"/>
        <v>0</v>
      </c>
      <c r="K106" s="514"/>
      <c r="L106" s="518">
        <f t="shared" si="34"/>
        <v>389189.1094610201</v>
      </c>
      <c r="M106" s="519">
        <f t="shared" si="32"/>
        <v>0</v>
      </c>
      <c r="N106" s="518">
        <f t="shared" si="35"/>
        <v>389189.1094610201</v>
      </c>
      <c r="O106" s="514">
        <f t="shared" si="33"/>
        <v>0</v>
      </c>
      <c r="P106" s="514">
        <f>+O106-M106</f>
        <v>0</v>
      </c>
      <c r="Q106" s="269"/>
    </row>
    <row r="107" spans="1:17" ht="12.5">
      <c r="B107" s="195" t="str">
        <f t="shared" si="31"/>
        <v/>
      </c>
      <c r="C107" s="507">
        <f>IF(D93="","-",+C106+1)</f>
        <v>2017</v>
      </c>
      <c r="D107" s="508">
        <v>2484790.2491964451</v>
      </c>
      <c r="E107" s="516">
        <v>70994.476190476184</v>
      </c>
      <c r="F107" s="515">
        <v>2413795.7730059689</v>
      </c>
      <c r="G107" s="515">
        <v>2449293.0111012068</v>
      </c>
      <c r="H107" s="516">
        <v>368513.66854412947</v>
      </c>
      <c r="I107" s="510">
        <v>368513.66854412947</v>
      </c>
      <c r="J107" s="514">
        <f t="shared" si="25"/>
        <v>0</v>
      </c>
      <c r="K107" s="514"/>
      <c r="L107" s="518">
        <f t="shared" si="34"/>
        <v>368513.66854412947</v>
      </c>
      <c r="M107" s="519">
        <f t="shared" si="32"/>
        <v>0</v>
      </c>
      <c r="N107" s="518">
        <f t="shared" si="35"/>
        <v>368513.66854412947</v>
      </c>
      <c r="O107" s="514">
        <f t="shared" si="33"/>
        <v>0</v>
      </c>
      <c r="P107" s="514">
        <f>+O107-M107</f>
        <v>0</v>
      </c>
      <c r="Q107" s="269"/>
    </row>
    <row r="108" spans="1:17" ht="12.5">
      <c r="B108" s="195" t="str">
        <f t="shared" si="31"/>
        <v/>
      </c>
      <c r="C108" s="507">
        <f>IF(D93="","-",+C107+1)</f>
        <v>2018</v>
      </c>
      <c r="D108" s="508">
        <v>2413795.7730059689</v>
      </c>
      <c r="E108" s="516">
        <v>70994.476190476184</v>
      </c>
      <c r="F108" s="515">
        <v>2342801.2968154927</v>
      </c>
      <c r="G108" s="515">
        <v>2378298.534910731</v>
      </c>
      <c r="H108" s="516">
        <v>322153.70792553568</v>
      </c>
      <c r="I108" s="510">
        <v>322153.70792553568</v>
      </c>
      <c r="J108" s="514">
        <f t="shared" si="25"/>
        <v>0</v>
      </c>
      <c r="K108" s="514"/>
      <c r="L108" s="518">
        <f t="shared" si="34"/>
        <v>322153.70792553568</v>
      </c>
      <c r="M108" s="519">
        <f t="shared" si="32"/>
        <v>0</v>
      </c>
      <c r="N108" s="518">
        <f t="shared" si="35"/>
        <v>322153.70792553568</v>
      </c>
      <c r="O108" s="514">
        <f t="shared" si="33"/>
        <v>0</v>
      </c>
      <c r="P108" s="514">
        <f t="shared" si="30"/>
        <v>0</v>
      </c>
      <c r="Q108" s="269"/>
    </row>
    <row r="109" spans="1:17" ht="12.5">
      <c r="B109" s="195" t="str">
        <f t="shared" si="31"/>
        <v/>
      </c>
      <c r="C109" s="507">
        <f>IF(D93="","-",+C108+1)</f>
        <v>2019</v>
      </c>
      <c r="D109" s="508">
        <v>2342801.2968154927</v>
      </c>
      <c r="E109" s="516">
        <v>69343.441860465115</v>
      </c>
      <c r="F109" s="515">
        <v>2273457.8549550273</v>
      </c>
      <c r="G109" s="515">
        <v>2308129.57588526</v>
      </c>
      <c r="H109" s="516">
        <v>316406.89315312036</v>
      </c>
      <c r="I109" s="510">
        <v>316406.89315312036</v>
      </c>
      <c r="J109" s="514">
        <f t="shared" si="25"/>
        <v>0</v>
      </c>
      <c r="K109" s="514"/>
      <c r="L109" s="518">
        <f t="shared" si="34"/>
        <v>316406.89315312036</v>
      </c>
      <c r="M109" s="519">
        <f t="shared" ref="M109:M110" si="36">IF(L109&lt;&gt;0,+H109-L109,0)</f>
        <v>0</v>
      </c>
      <c r="N109" s="518">
        <f t="shared" si="35"/>
        <v>316406.89315312036</v>
      </c>
      <c r="O109" s="514">
        <f t="shared" si="29"/>
        <v>0</v>
      </c>
      <c r="P109" s="514">
        <f t="shared" si="30"/>
        <v>0</v>
      </c>
      <c r="Q109" s="269"/>
    </row>
    <row r="110" spans="1:17" ht="12.5">
      <c r="B110" s="195" t="str">
        <f t="shared" si="31"/>
        <v/>
      </c>
      <c r="C110" s="507">
        <f>IF(D93="","-",+C109+1)</f>
        <v>2020</v>
      </c>
      <c r="D110" s="508">
        <v>2273457.8549550273</v>
      </c>
      <c r="E110" s="516">
        <v>70994.476190476184</v>
      </c>
      <c r="F110" s="515">
        <v>2202463.3787645511</v>
      </c>
      <c r="G110" s="515">
        <v>2237960.616859789</v>
      </c>
      <c r="H110" s="516">
        <v>311740.47673179838</v>
      </c>
      <c r="I110" s="510">
        <v>311740.47673179838</v>
      </c>
      <c r="J110" s="514">
        <f t="shared" si="25"/>
        <v>0</v>
      </c>
      <c r="K110" s="514"/>
      <c r="L110" s="518">
        <f t="shared" si="34"/>
        <v>311740.47673179838</v>
      </c>
      <c r="M110" s="519">
        <f t="shared" si="36"/>
        <v>0</v>
      </c>
      <c r="N110" s="518">
        <f t="shared" si="35"/>
        <v>311740.47673179838</v>
      </c>
      <c r="O110" s="514">
        <f t="shared" si="29"/>
        <v>0</v>
      </c>
      <c r="P110" s="514">
        <f t="shared" si="30"/>
        <v>0</v>
      </c>
      <c r="Q110" s="269"/>
    </row>
    <row r="111" spans="1:17" ht="12.5">
      <c r="B111" s="195" t="str">
        <f t="shared" si="31"/>
        <v/>
      </c>
      <c r="C111" s="507">
        <f>IF(D93="","-",+C110+1)</f>
        <v>2021</v>
      </c>
      <c r="D111" s="374">
        <f>IF(F110+SUM(E$99:E110)=D$92,F110,D$92-SUM(E$99:E110))</f>
        <v>2202463.3787645511</v>
      </c>
      <c r="E111" s="522">
        <f>IF(+J96&lt;F110,J96,D111)</f>
        <v>72726.048780487807</v>
      </c>
      <c r="F111" s="523">
        <f t="shared" ref="F111:F130" si="37">+D111-E111</f>
        <v>2129737.3299840633</v>
      </c>
      <c r="G111" s="523">
        <f t="shared" ref="G111:G130" si="38">+(F111+D111)/2</f>
        <v>2166100.3543743072</v>
      </c>
      <c r="H111" s="526">
        <f>+J$94*G111+E111</f>
        <v>318609.25475096708</v>
      </c>
      <c r="I111" s="577">
        <f>+J$95*G111+E111</f>
        <v>318609.25475096708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 ht="12.5">
      <c r="B112" s="195" t="str">
        <f t="shared" si="31"/>
        <v/>
      </c>
      <c r="C112" s="507">
        <f>IF(D93="","-",+C111+1)</f>
        <v>2022</v>
      </c>
      <c r="D112" s="374">
        <f>IF(F111+SUM(E$99:E111)=D$92,F111,D$92-SUM(E$99:E111))</f>
        <v>2129737.3299840633</v>
      </c>
      <c r="E112" s="522">
        <f>IF(+J96&lt;F111,J96,D112)</f>
        <v>72726.048780487807</v>
      </c>
      <c r="F112" s="523">
        <f t="shared" si="37"/>
        <v>2057011.2812035754</v>
      </c>
      <c r="G112" s="523">
        <f t="shared" si="38"/>
        <v>2093374.3055938194</v>
      </c>
      <c r="H112" s="526">
        <f>+J$94*G112+E112</f>
        <v>310353.8135865723</v>
      </c>
      <c r="I112" s="577">
        <f>+J$95*G112+E112</f>
        <v>310353.8135865723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 ht="12.5">
      <c r="B113" s="195" t="str">
        <f t="shared" si="31"/>
        <v/>
      </c>
      <c r="C113" s="507">
        <f>IF(D93="","-",+C112+1)</f>
        <v>2023</v>
      </c>
      <c r="D113" s="374">
        <f>IF(F112+SUM(E$99:E112)=D$92,F112,D$92-SUM(E$99:E112))</f>
        <v>2057011.2812035754</v>
      </c>
      <c r="E113" s="522">
        <f>IF(+J96&lt;F112,J96,D113)</f>
        <v>72726.048780487807</v>
      </c>
      <c r="F113" s="523">
        <f t="shared" si="37"/>
        <v>1984285.2324230876</v>
      </c>
      <c r="G113" s="523">
        <f t="shared" si="38"/>
        <v>2020648.2568133315</v>
      </c>
      <c r="H113" s="526">
        <f t="shared" ref="H113:H154" si="39">+J$94*G113+E113</f>
        <v>302098.37242217746</v>
      </c>
      <c r="I113" s="577">
        <f t="shared" ref="I113:I154" si="40">+J$95*G113+E113</f>
        <v>302098.37242217746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 ht="12.5">
      <c r="B114" s="195" t="str">
        <f t="shared" si="31"/>
        <v/>
      </c>
      <c r="C114" s="507">
        <f>IF(D93="","-",+C113+1)</f>
        <v>2024</v>
      </c>
      <c r="D114" s="374">
        <f>IF(F113+SUM(E$99:E113)=D$92,F113,D$92-SUM(E$99:E113))</f>
        <v>1984285.2324230876</v>
      </c>
      <c r="E114" s="522">
        <f>IF(+J96&lt;F113,J96,D114)</f>
        <v>72726.048780487807</v>
      </c>
      <c r="F114" s="523">
        <f t="shared" si="37"/>
        <v>1911559.1836425997</v>
      </c>
      <c r="G114" s="523">
        <f t="shared" si="38"/>
        <v>1947922.2080328437</v>
      </c>
      <c r="H114" s="526">
        <f t="shared" si="39"/>
        <v>293842.93125778268</v>
      </c>
      <c r="I114" s="577">
        <f t="shared" si="40"/>
        <v>293842.93125778268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 ht="12.5">
      <c r="B115" s="195" t="str">
        <f t="shared" si="31"/>
        <v/>
      </c>
      <c r="C115" s="507">
        <f>IF(D93="","-",+C114+1)</f>
        <v>2025</v>
      </c>
      <c r="D115" s="374">
        <f>IF(F114+SUM(E$99:E114)=D$92,F114,D$92-SUM(E$99:E114))</f>
        <v>1911559.1836425997</v>
      </c>
      <c r="E115" s="522">
        <f>IF(+J96&lt;F114,J96,D115)</f>
        <v>72726.048780487807</v>
      </c>
      <c r="F115" s="523">
        <f t="shared" si="37"/>
        <v>1838833.1348621119</v>
      </c>
      <c r="G115" s="523">
        <f t="shared" si="38"/>
        <v>1875196.1592523558</v>
      </c>
      <c r="H115" s="526">
        <f t="shared" si="39"/>
        <v>285587.4900933879</v>
      </c>
      <c r="I115" s="577">
        <f t="shared" si="40"/>
        <v>285587.4900933879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 ht="12.5">
      <c r="B116" s="195" t="str">
        <f t="shared" si="31"/>
        <v/>
      </c>
      <c r="C116" s="507">
        <f>IF(D93="","-",+C115+1)</f>
        <v>2026</v>
      </c>
      <c r="D116" s="374">
        <f>IF(F115+SUM(E$99:E115)=D$92,F115,D$92-SUM(E$99:E115))</f>
        <v>1838833.1348621119</v>
      </c>
      <c r="E116" s="522">
        <f>IF(+J96&lt;F115,J96,D116)</f>
        <v>72726.048780487807</v>
      </c>
      <c r="F116" s="523">
        <f t="shared" si="37"/>
        <v>1766107.086081624</v>
      </c>
      <c r="G116" s="523">
        <f t="shared" si="38"/>
        <v>1802470.110471868</v>
      </c>
      <c r="H116" s="526">
        <f t="shared" si="39"/>
        <v>277332.04892899306</v>
      </c>
      <c r="I116" s="577">
        <f t="shared" si="40"/>
        <v>277332.04892899306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 ht="12.5">
      <c r="B117" s="195" t="str">
        <f t="shared" si="31"/>
        <v/>
      </c>
      <c r="C117" s="507">
        <f>IF(D93="","-",+C116+1)</f>
        <v>2027</v>
      </c>
      <c r="D117" s="374">
        <f>IF(F116+SUM(E$99:E116)=D$92,F116,D$92-SUM(E$99:E116))</f>
        <v>1766107.086081624</v>
      </c>
      <c r="E117" s="522">
        <f>IF(+J96&lt;F116,J96,D117)</f>
        <v>72726.048780487807</v>
      </c>
      <c r="F117" s="523">
        <f t="shared" si="37"/>
        <v>1693381.0373011362</v>
      </c>
      <c r="G117" s="523">
        <f t="shared" si="38"/>
        <v>1729744.0616913801</v>
      </c>
      <c r="H117" s="526">
        <f t="shared" si="39"/>
        <v>269076.60776459827</v>
      </c>
      <c r="I117" s="577">
        <f t="shared" si="40"/>
        <v>269076.60776459827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 ht="12.5">
      <c r="B118" s="195" t="str">
        <f t="shared" si="31"/>
        <v/>
      </c>
      <c r="C118" s="507">
        <f>IF(D93="","-",+C117+1)</f>
        <v>2028</v>
      </c>
      <c r="D118" s="374">
        <f>IF(F117+SUM(E$99:E117)=D$92,F117,D$92-SUM(E$99:E117))</f>
        <v>1693381.0373011362</v>
      </c>
      <c r="E118" s="522">
        <f>IF(+J96&lt;F117,J96,D118)</f>
        <v>72726.048780487807</v>
      </c>
      <c r="F118" s="523">
        <f t="shared" si="37"/>
        <v>1620654.9885206483</v>
      </c>
      <c r="G118" s="523">
        <f t="shared" si="38"/>
        <v>1657018.0129108923</v>
      </c>
      <c r="H118" s="526">
        <f t="shared" si="39"/>
        <v>260821.16660020349</v>
      </c>
      <c r="I118" s="577">
        <f t="shared" si="40"/>
        <v>260821.16660020349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 ht="12.5">
      <c r="B119" s="195" t="str">
        <f t="shared" si="31"/>
        <v/>
      </c>
      <c r="C119" s="507">
        <f>IF(D93="","-",+C118+1)</f>
        <v>2029</v>
      </c>
      <c r="D119" s="374">
        <f>IF(F118+SUM(E$99:E118)=D$92,F118,D$92-SUM(E$99:E118))</f>
        <v>1620654.9885206483</v>
      </c>
      <c r="E119" s="522">
        <f>IF(+J96&lt;F118,J96,D119)</f>
        <v>72726.048780487807</v>
      </c>
      <c r="F119" s="523">
        <f t="shared" si="37"/>
        <v>1547928.9397401605</v>
      </c>
      <c r="G119" s="523">
        <f t="shared" si="38"/>
        <v>1584291.9641304044</v>
      </c>
      <c r="H119" s="526">
        <f t="shared" si="39"/>
        <v>252565.72543580871</v>
      </c>
      <c r="I119" s="577">
        <f t="shared" si="40"/>
        <v>252565.72543580871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 ht="12.5">
      <c r="B120" s="195" t="str">
        <f t="shared" si="31"/>
        <v/>
      </c>
      <c r="C120" s="507">
        <f>IF(D93="","-",+C119+1)</f>
        <v>2030</v>
      </c>
      <c r="D120" s="374">
        <f>IF(F119+SUM(E$99:E119)=D$92,F119,D$92-SUM(E$99:E119))</f>
        <v>1547928.9397401605</v>
      </c>
      <c r="E120" s="522">
        <f>IF(+J96&lt;F119,J96,D120)</f>
        <v>72726.048780487807</v>
      </c>
      <c r="F120" s="523">
        <f t="shared" si="37"/>
        <v>1475202.8909596726</v>
      </c>
      <c r="G120" s="523">
        <f t="shared" si="38"/>
        <v>1511565.9153499166</v>
      </c>
      <c r="H120" s="526">
        <f t="shared" si="39"/>
        <v>244310.28427141387</v>
      </c>
      <c r="I120" s="577">
        <f t="shared" si="40"/>
        <v>244310.28427141387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 ht="12.5">
      <c r="B121" s="195" t="str">
        <f t="shared" si="31"/>
        <v/>
      </c>
      <c r="C121" s="507">
        <f>IF(D93="","-",+C120+1)</f>
        <v>2031</v>
      </c>
      <c r="D121" s="374">
        <f>IF(F120+SUM(E$99:E120)=D$92,F120,D$92-SUM(E$99:E120))</f>
        <v>1475202.8909596726</v>
      </c>
      <c r="E121" s="522">
        <f>IF(+J96&lt;F120,J96,D121)</f>
        <v>72726.048780487807</v>
      </c>
      <c r="F121" s="523">
        <f t="shared" si="37"/>
        <v>1402476.8421791848</v>
      </c>
      <c r="G121" s="523">
        <f t="shared" si="38"/>
        <v>1438839.8665694287</v>
      </c>
      <c r="H121" s="526">
        <f t="shared" si="39"/>
        <v>236054.84310701909</v>
      </c>
      <c r="I121" s="577">
        <f t="shared" si="40"/>
        <v>236054.84310701909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 ht="12.5">
      <c r="B122" s="195" t="str">
        <f t="shared" si="31"/>
        <v/>
      </c>
      <c r="C122" s="507">
        <f>IF(D93="","-",+C121+1)</f>
        <v>2032</v>
      </c>
      <c r="D122" s="374">
        <f>IF(F121+SUM(E$99:E121)=D$92,F121,D$92-SUM(E$99:E121))</f>
        <v>1402476.8421791848</v>
      </c>
      <c r="E122" s="522">
        <f>IF(+J96&lt;F121,J96,D122)</f>
        <v>72726.048780487807</v>
      </c>
      <c r="F122" s="523">
        <f t="shared" si="37"/>
        <v>1329750.7933986969</v>
      </c>
      <c r="G122" s="523">
        <f t="shared" si="38"/>
        <v>1366113.8177889409</v>
      </c>
      <c r="H122" s="526">
        <f t="shared" si="39"/>
        <v>227799.4019426243</v>
      </c>
      <c r="I122" s="577">
        <f t="shared" si="40"/>
        <v>227799.4019426243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 ht="12.5">
      <c r="B123" s="195" t="str">
        <f t="shared" si="31"/>
        <v/>
      </c>
      <c r="C123" s="507">
        <f>IF(D93="","-",+C122+1)</f>
        <v>2033</v>
      </c>
      <c r="D123" s="374">
        <f>IF(F122+SUM(E$99:E122)=D$92,F122,D$92-SUM(E$99:E122))</f>
        <v>1329750.7933986969</v>
      </c>
      <c r="E123" s="522">
        <f>IF(+J96&lt;F122,J96,D123)</f>
        <v>72726.048780487807</v>
      </c>
      <c r="F123" s="523">
        <f t="shared" si="37"/>
        <v>1257024.7446182091</v>
      </c>
      <c r="G123" s="523">
        <f t="shared" si="38"/>
        <v>1293387.769008453</v>
      </c>
      <c r="H123" s="526">
        <f t="shared" si="39"/>
        <v>219543.96077822952</v>
      </c>
      <c r="I123" s="577">
        <f t="shared" si="40"/>
        <v>219543.96077822952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 ht="12.5">
      <c r="B124" s="195" t="str">
        <f t="shared" si="31"/>
        <v/>
      </c>
      <c r="C124" s="507">
        <f>IF(D93="","-",+C123+1)</f>
        <v>2034</v>
      </c>
      <c r="D124" s="374">
        <f>IF(F123+SUM(E$99:E123)=D$92,F123,D$92-SUM(E$99:E123))</f>
        <v>1257024.7446182091</v>
      </c>
      <c r="E124" s="522">
        <f>IF(+J96&lt;F123,J96,D124)</f>
        <v>72726.048780487807</v>
      </c>
      <c r="F124" s="523">
        <f t="shared" si="37"/>
        <v>1184298.6958377212</v>
      </c>
      <c r="G124" s="523">
        <f t="shared" si="38"/>
        <v>1220661.7202279652</v>
      </c>
      <c r="H124" s="526">
        <f t="shared" si="39"/>
        <v>211288.51961383468</v>
      </c>
      <c r="I124" s="577">
        <f t="shared" si="40"/>
        <v>211288.51961383468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 ht="12.5">
      <c r="B125" s="195" t="str">
        <f t="shared" si="31"/>
        <v/>
      </c>
      <c r="C125" s="507">
        <f>IF(D93="","-",+C124+1)</f>
        <v>2035</v>
      </c>
      <c r="D125" s="374">
        <f>IF(F124+SUM(E$99:E124)=D$92,F124,D$92-SUM(E$99:E124))</f>
        <v>1184298.6958377212</v>
      </c>
      <c r="E125" s="522">
        <f>IF(+J96&lt;F124,J96,D125)</f>
        <v>72726.048780487807</v>
      </c>
      <c r="F125" s="523">
        <f t="shared" si="37"/>
        <v>1111572.6470572334</v>
      </c>
      <c r="G125" s="523">
        <f t="shared" si="38"/>
        <v>1147935.6714474773</v>
      </c>
      <c r="H125" s="526">
        <f t="shared" si="39"/>
        <v>203033.0784494399</v>
      </c>
      <c r="I125" s="577">
        <f t="shared" si="40"/>
        <v>203033.0784494399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 ht="12.5">
      <c r="B126" s="195" t="str">
        <f t="shared" si="31"/>
        <v/>
      </c>
      <c r="C126" s="507">
        <f>IF(D93="","-",+C125+1)</f>
        <v>2036</v>
      </c>
      <c r="D126" s="374">
        <f>IF(F125+SUM(E$99:E125)=D$92,F125,D$92-SUM(E$99:E125))</f>
        <v>1111572.6470572334</v>
      </c>
      <c r="E126" s="522">
        <f>IF(+J96&lt;F125,J96,D126)</f>
        <v>72726.048780487807</v>
      </c>
      <c r="F126" s="523">
        <f t="shared" si="37"/>
        <v>1038846.5982767455</v>
      </c>
      <c r="G126" s="523">
        <f t="shared" si="38"/>
        <v>1075209.6226669895</v>
      </c>
      <c r="H126" s="526">
        <f t="shared" si="39"/>
        <v>194777.63728504512</v>
      </c>
      <c r="I126" s="577">
        <f t="shared" si="40"/>
        <v>194777.63728504512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 ht="12.5">
      <c r="B127" s="195" t="str">
        <f t="shared" si="31"/>
        <v/>
      </c>
      <c r="C127" s="507">
        <f>IF(D93="","-",+C126+1)</f>
        <v>2037</v>
      </c>
      <c r="D127" s="374">
        <f>IF(F126+SUM(E$99:E126)=D$92,F126,D$92-SUM(E$99:E126))</f>
        <v>1038846.5982767455</v>
      </c>
      <c r="E127" s="522">
        <f>IF(+J96&lt;F126,J96,D127)</f>
        <v>72726.048780487807</v>
      </c>
      <c r="F127" s="523">
        <f t="shared" si="37"/>
        <v>966120.54949625768</v>
      </c>
      <c r="G127" s="523">
        <f t="shared" si="38"/>
        <v>1002483.5738865016</v>
      </c>
      <c r="H127" s="526">
        <f t="shared" si="39"/>
        <v>186522.1961206503</v>
      </c>
      <c r="I127" s="577">
        <f t="shared" si="40"/>
        <v>186522.1961206503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 ht="12.5">
      <c r="B128" s="195" t="str">
        <f t="shared" si="31"/>
        <v/>
      </c>
      <c r="C128" s="507">
        <f>IF(D93="","-",+C127+1)</f>
        <v>2038</v>
      </c>
      <c r="D128" s="374">
        <f>IF(F127+SUM(E$99:E127)=D$92,F127,D$92-SUM(E$99:E127))</f>
        <v>966120.54949625768</v>
      </c>
      <c r="E128" s="522">
        <f>IF(+J96&lt;F127,J96,D128)</f>
        <v>72726.048780487807</v>
      </c>
      <c r="F128" s="523">
        <f t="shared" si="37"/>
        <v>893394.50071576983</v>
      </c>
      <c r="G128" s="523">
        <f t="shared" si="38"/>
        <v>929757.52510601375</v>
      </c>
      <c r="H128" s="526">
        <f t="shared" si="39"/>
        <v>178266.75495625549</v>
      </c>
      <c r="I128" s="577">
        <f t="shared" si="40"/>
        <v>178266.75495625549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 ht="12.5">
      <c r="B129" s="195" t="str">
        <f t="shared" si="31"/>
        <v/>
      </c>
      <c r="C129" s="507">
        <f>IF(D93="","-",+C128+1)</f>
        <v>2039</v>
      </c>
      <c r="D129" s="374">
        <f>IF(F128+SUM(E$99:E128)=D$92,F128,D$92-SUM(E$99:E128))</f>
        <v>893394.50071576983</v>
      </c>
      <c r="E129" s="522">
        <f>IF(+J96&lt;F128,J96,D129)</f>
        <v>72726.048780487807</v>
      </c>
      <c r="F129" s="523">
        <f t="shared" si="37"/>
        <v>820668.45193528198</v>
      </c>
      <c r="G129" s="523">
        <f t="shared" si="38"/>
        <v>857031.4763255259</v>
      </c>
      <c r="H129" s="526">
        <f t="shared" si="39"/>
        <v>170011.31379186071</v>
      </c>
      <c r="I129" s="577">
        <f t="shared" si="40"/>
        <v>170011.31379186071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 ht="12.5">
      <c r="B130" s="195" t="str">
        <f t="shared" si="31"/>
        <v/>
      </c>
      <c r="C130" s="507">
        <f>IF(D93="","-",+C129+1)</f>
        <v>2040</v>
      </c>
      <c r="D130" s="374">
        <f>IF(F129+SUM(E$99:E129)=D$92,F129,D$92-SUM(E$99:E129))</f>
        <v>820668.45193528198</v>
      </c>
      <c r="E130" s="522">
        <f>IF(+J96&lt;F129,J96,D130)</f>
        <v>72726.048780487807</v>
      </c>
      <c r="F130" s="523">
        <f t="shared" si="37"/>
        <v>747942.40315479413</v>
      </c>
      <c r="G130" s="523">
        <f t="shared" si="38"/>
        <v>784305.42754503805</v>
      </c>
      <c r="H130" s="526">
        <f t="shared" si="39"/>
        <v>161755.8726274659</v>
      </c>
      <c r="I130" s="577">
        <f t="shared" si="40"/>
        <v>161755.8726274659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 ht="12.5">
      <c r="B131" s="195" t="str">
        <f t="shared" si="31"/>
        <v/>
      </c>
      <c r="C131" s="507">
        <f>IF(D93="","-",+C130+1)</f>
        <v>2041</v>
      </c>
      <c r="D131" s="374">
        <f>IF(F130+SUM(E$99:E130)=D$92,F130,D$92-SUM(E$99:E130))</f>
        <v>747942.40315479413</v>
      </c>
      <c r="E131" s="522">
        <f>IF(+J96&lt;F130,J96,D131)</f>
        <v>72726.048780487807</v>
      </c>
      <c r="F131" s="523">
        <f t="shared" ref="F131:F154" si="41">+D131-E131</f>
        <v>675216.35437430628</v>
      </c>
      <c r="G131" s="523">
        <f t="shared" ref="G131:G154" si="42">+(F131+D131)/2</f>
        <v>711579.3787645502</v>
      </c>
      <c r="H131" s="526">
        <f t="shared" si="39"/>
        <v>153500.43146307109</v>
      </c>
      <c r="I131" s="577">
        <f t="shared" si="40"/>
        <v>153500.43146307109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</row>
    <row r="132" spans="2:17" ht="12.5">
      <c r="B132" s="195" t="str">
        <f t="shared" si="31"/>
        <v/>
      </c>
      <c r="C132" s="507">
        <f>IF(D93="","-",+C131+1)</f>
        <v>2042</v>
      </c>
      <c r="D132" s="374">
        <f>IF(F131+SUM(E$99:E131)=D$92,F131,D$92-SUM(E$99:E131))</f>
        <v>675216.35437430628</v>
      </c>
      <c r="E132" s="522">
        <f>IF(+J96&lt;F131,J96,D132)</f>
        <v>72726.048780487807</v>
      </c>
      <c r="F132" s="523">
        <f t="shared" si="41"/>
        <v>602490.30559381843</v>
      </c>
      <c r="G132" s="523">
        <f t="shared" si="42"/>
        <v>638853.32998406235</v>
      </c>
      <c r="H132" s="526">
        <f t="shared" si="39"/>
        <v>145244.9902986763</v>
      </c>
      <c r="I132" s="577">
        <f t="shared" si="40"/>
        <v>145244.9902986763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 ht="12.5">
      <c r="B133" s="195" t="str">
        <f t="shared" si="31"/>
        <v/>
      </c>
      <c r="C133" s="507">
        <f>IF(D93="","-",+C132+1)</f>
        <v>2043</v>
      </c>
      <c r="D133" s="374">
        <f>IF(F132+SUM(E$99:E132)=D$92,F132,D$92-SUM(E$99:E132))</f>
        <v>602490.30559381843</v>
      </c>
      <c r="E133" s="522">
        <f>IF(+J96&lt;F132,J96,D133)</f>
        <v>72726.048780487807</v>
      </c>
      <c r="F133" s="523">
        <f t="shared" si="41"/>
        <v>529764.25681333058</v>
      </c>
      <c r="G133" s="523">
        <f t="shared" si="42"/>
        <v>566127.2812035745</v>
      </c>
      <c r="H133" s="526">
        <f t="shared" si="39"/>
        <v>136989.54913428152</v>
      </c>
      <c r="I133" s="577">
        <f t="shared" si="40"/>
        <v>136989.54913428152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 ht="12.5">
      <c r="B134" s="195" t="str">
        <f t="shared" si="31"/>
        <v/>
      </c>
      <c r="C134" s="507">
        <f>IF(D93="","-",+C133+1)</f>
        <v>2044</v>
      </c>
      <c r="D134" s="374">
        <f>IF(F133+SUM(E$99:E133)=D$92,F133,D$92-SUM(E$99:E133))</f>
        <v>529764.25681333058</v>
      </c>
      <c r="E134" s="522">
        <f>IF(+J96&lt;F133,J96,D134)</f>
        <v>72726.048780487807</v>
      </c>
      <c r="F134" s="523">
        <f t="shared" si="41"/>
        <v>457038.20803284278</v>
      </c>
      <c r="G134" s="523">
        <f t="shared" si="42"/>
        <v>493401.23242308665</v>
      </c>
      <c r="H134" s="526">
        <f t="shared" si="39"/>
        <v>128734.10796988671</v>
      </c>
      <c r="I134" s="577">
        <f t="shared" si="40"/>
        <v>128734.10796988671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 ht="12.5">
      <c r="B135" s="195" t="str">
        <f t="shared" si="31"/>
        <v/>
      </c>
      <c r="C135" s="507">
        <f>IF(D93="","-",+C134+1)</f>
        <v>2045</v>
      </c>
      <c r="D135" s="374">
        <f>IF(F134+SUM(E$99:E134)=D$92,F134,D$92-SUM(E$99:E134))</f>
        <v>457038.20803284278</v>
      </c>
      <c r="E135" s="522">
        <f>IF(+J96&lt;F134,J96,D135)</f>
        <v>72726.048780487807</v>
      </c>
      <c r="F135" s="523">
        <f t="shared" si="41"/>
        <v>384312.15925235499</v>
      </c>
      <c r="G135" s="523">
        <f t="shared" si="42"/>
        <v>420675.18364259892</v>
      </c>
      <c r="H135" s="526">
        <f t="shared" si="39"/>
        <v>120478.66680549193</v>
      </c>
      <c r="I135" s="577">
        <f t="shared" si="40"/>
        <v>120478.66680549193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 ht="12.5">
      <c r="B136" s="195" t="str">
        <f t="shared" si="31"/>
        <v/>
      </c>
      <c r="C136" s="507">
        <f>IF(D93="","-",+C135+1)</f>
        <v>2046</v>
      </c>
      <c r="D136" s="374">
        <f>IF(F135+SUM(E$99:E135)=D$92,F135,D$92-SUM(E$99:E135))</f>
        <v>384312.15925235499</v>
      </c>
      <c r="E136" s="522">
        <f>IF(+J96&lt;F135,J96,D136)</f>
        <v>72726.048780487807</v>
      </c>
      <c r="F136" s="523">
        <f t="shared" si="41"/>
        <v>311586.1104718672</v>
      </c>
      <c r="G136" s="523">
        <f t="shared" si="42"/>
        <v>347949.13486211107</v>
      </c>
      <c r="H136" s="526">
        <f t="shared" si="39"/>
        <v>112223.22564109712</v>
      </c>
      <c r="I136" s="577">
        <f t="shared" si="40"/>
        <v>112223.22564109712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 ht="12.5">
      <c r="B137" s="195" t="str">
        <f t="shared" si="31"/>
        <v/>
      </c>
      <c r="C137" s="507">
        <f>IF(D93="","-",+C136+1)</f>
        <v>2047</v>
      </c>
      <c r="D137" s="374">
        <f>IF(F136+SUM(E$99:E136)=D$92,F136,D$92-SUM(E$99:E136))</f>
        <v>311586.1104718672</v>
      </c>
      <c r="E137" s="522">
        <f>IF(+J96&lt;F136,J96,D137)</f>
        <v>72726.048780487807</v>
      </c>
      <c r="F137" s="523">
        <f t="shared" si="41"/>
        <v>238860.06169137941</v>
      </c>
      <c r="G137" s="523">
        <f t="shared" si="42"/>
        <v>275223.08608162333</v>
      </c>
      <c r="H137" s="526">
        <f t="shared" si="39"/>
        <v>103967.78447670233</v>
      </c>
      <c r="I137" s="577">
        <f t="shared" si="40"/>
        <v>103967.78447670233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 ht="12.5">
      <c r="B138" s="195" t="str">
        <f t="shared" si="31"/>
        <v/>
      </c>
      <c r="C138" s="507">
        <f>IF(D93="","-",+C137+1)</f>
        <v>2048</v>
      </c>
      <c r="D138" s="374">
        <f>IF(F137+SUM(E$99:E137)=D$92,F137,D$92-SUM(E$99:E137))</f>
        <v>238860.06169137941</v>
      </c>
      <c r="E138" s="522">
        <f>IF(+J96&lt;F137,J96,D138)</f>
        <v>72726.048780487807</v>
      </c>
      <c r="F138" s="523">
        <f t="shared" si="41"/>
        <v>166134.01291089162</v>
      </c>
      <c r="G138" s="523">
        <f t="shared" si="42"/>
        <v>202497.03730113551</v>
      </c>
      <c r="H138" s="526">
        <f t="shared" si="39"/>
        <v>95712.343312307537</v>
      </c>
      <c r="I138" s="577">
        <f t="shared" si="40"/>
        <v>95712.343312307537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 ht="12.5">
      <c r="B139" s="195" t="str">
        <f t="shared" si="31"/>
        <v/>
      </c>
      <c r="C139" s="507">
        <f>IF(D93="","-",+C138+1)</f>
        <v>2049</v>
      </c>
      <c r="D139" s="374">
        <f>IF(F138+SUM(E$99:E138)=D$92,F138,D$92-SUM(E$99:E138))</f>
        <v>166134.01291089162</v>
      </c>
      <c r="E139" s="522">
        <f>IF(+J96&lt;F138,J96,D139)</f>
        <v>72726.048780487807</v>
      </c>
      <c r="F139" s="523">
        <f t="shared" si="41"/>
        <v>93407.964130403809</v>
      </c>
      <c r="G139" s="523">
        <f t="shared" si="42"/>
        <v>129770.98852064772</v>
      </c>
      <c r="H139" s="526">
        <f t="shared" si="39"/>
        <v>87456.902147912755</v>
      </c>
      <c r="I139" s="577">
        <f t="shared" si="40"/>
        <v>87456.902147912755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 ht="12.5">
      <c r="B140" s="195" t="str">
        <f t="shared" si="31"/>
        <v/>
      </c>
      <c r="C140" s="507">
        <f>IF(D93="","-",+C139+1)</f>
        <v>2050</v>
      </c>
      <c r="D140" s="374">
        <f>IF(F139+SUM(E$99:E139)=D$92,F139,D$92-SUM(E$99:E139))</f>
        <v>93407.964130403809</v>
      </c>
      <c r="E140" s="522">
        <f>IF(+J96&lt;F139,J96,D140)</f>
        <v>72726.048780487807</v>
      </c>
      <c r="F140" s="523">
        <f t="shared" si="41"/>
        <v>20681.915349916002</v>
      </c>
      <c r="G140" s="523">
        <f t="shared" si="42"/>
        <v>57044.939740159905</v>
      </c>
      <c r="H140" s="526">
        <f t="shared" si="39"/>
        <v>79201.460983517958</v>
      </c>
      <c r="I140" s="577">
        <f t="shared" si="40"/>
        <v>79201.460983517958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 ht="12.5">
      <c r="B141" s="195" t="str">
        <f t="shared" si="31"/>
        <v/>
      </c>
      <c r="C141" s="507">
        <f>IF(D93="","-",+C140+1)</f>
        <v>2051</v>
      </c>
      <c r="D141" s="374">
        <f>IF(F140+SUM(E$99:E140)=D$92,F140,D$92-SUM(E$99:E140))</f>
        <v>20681.915349916002</v>
      </c>
      <c r="E141" s="522">
        <f>IF(+J96&lt;F140,J96,D141)</f>
        <v>20681.915349916002</v>
      </c>
      <c r="F141" s="523">
        <f t="shared" si="41"/>
        <v>0</v>
      </c>
      <c r="G141" s="523">
        <f t="shared" si="42"/>
        <v>10340.957674958001</v>
      </c>
      <c r="H141" s="526">
        <f t="shared" si="39"/>
        <v>21855.761160332378</v>
      </c>
      <c r="I141" s="577">
        <f t="shared" si="40"/>
        <v>21855.761160332378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 ht="12.5">
      <c r="B142" s="195" t="str">
        <f t="shared" si="31"/>
        <v/>
      </c>
      <c r="C142" s="507">
        <f>IF(D93="","-",+C141+1)</f>
        <v>2052</v>
      </c>
      <c r="D142" s="374">
        <f>IF(F141+SUM(E$99:E141)=D$92,F141,D$92-SUM(E$99:E141))</f>
        <v>0</v>
      </c>
      <c r="E142" s="522">
        <f>IF(+J96&lt;F141,J96,D142)</f>
        <v>0</v>
      </c>
      <c r="F142" s="523">
        <f t="shared" si="41"/>
        <v>0</v>
      </c>
      <c r="G142" s="523">
        <f t="shared" si="42"/>
        <v>0</v>
      </c>
      <c r="H142" s="526">
        <f t="shared" si="39"/>
        <v>0</v>
      </c>
      <c r="I142" s="577">
        <f t="shared" si="40"/>
        <v>0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 ht="12.5">
      <c r="B143" s="195" t="str">
        <f t="shared" si="31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1"/>
        <v>0</v>
      </c>
      <c r="G143" s="523">
        <f t="shared" si="42"/>
        <v>0</v>
      </c>
      <c r="H143" s="526">
        <f t="shared" si="39"/>
        <v>0</v>
      </c>
      <c r="I143" s="577">
        <f t="shared" si="40"/>
        <v>0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 ht="12.5">
      <c r="B144" s="195" t="str">
        <f t="shared" si="31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42"/>
        <v>0</v>
      </c>
      <c r="H144" s="526">
        <f t="shared" si="39"/>
        <v>0</v>
      </c>
      <c r="I144" s="577">
        <f t="shared" si="40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 ht="12.5">
      <c r="B145" s="195" t="str">
        <f t="shared" si="31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42"/>
        <v>0</v>
      </c>
      <c r="H145" s="526">
        <f t="shared" si="39"/>
        <v>0</v>
      </c>
      <c r="I145" s="577">
        <f t="shared" si="40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 ht="12.5">
      <c r="B146" s="195" t="str">
        <f t="shared" si="31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42"/>
        <v>0</v>
      </c>
      <c r="H146" s="526">
        <f t="shared" si="39"/>
        <v>0</v>
      </c>
      <c r="I146" s="577">
        <f t="shared" si="40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 ht="12.5">
      <c r="B147" s="195" t="str">
        <f t="shared" si="31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42"/>
        <v>0</v>
      </c>
      <c r="H147" s="526">
        <f t="shared" si="39"/>
        <v>0</v>
      </c>
      <c r="I147" s="577">
        <f t="shared" si="40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 ht="12.5">
      <c r="B148" s="195" t="str">
        <f t="shared" si="31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42"/>
        <v>0</v>
      </c>
      <c r="H148" s="526">
        <f t="shared" si="39"/>
        <v>0</v>
      </c>
      <c r="I148" s="577">
        <f t="shared" si="40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 ht="12.5">
      <c r="B149" s="195" t="str">
        <f t="shared" si="31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42"/>
        <v>0</v>
      </c>
      <c r="H149" s="526">
        <f t="shared" si="39"/>
        <v>0</v>
      </c>
      <c r="I149" s="577">
        <f t="shared" si="40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 ht="12.5">
      <c r="B150" s="195" t="str">
        <f t="shared" si="31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42"/>
        <v>0</v>
      </c>
      <c r="H150" s="526">
        <f t="shared" si="39"/>
        <v>0</v>
      </c>
      <c r="I150" s="577">
        <f t="shared" si="40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 ht="12.5">
      <c r="B151" s="195" t="str">
        <f t="shared" si="31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42"/>
        <v>0</v>
      </c>
      <c r="H151" s="526">
        <f t="shared" si="39"/>
        <v>0</v>
      </c>
      <c r="I151" s="577">
        <f t="shared" si="40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 ht="12.5">
      <c r="B152" s="195" t="str">
        <f t="shared" si="31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42"/>
        <v>0</v>
      </c>
      <c r="H152" s="526">
        <f t="shared" si="39"/>
        <v>0</v>
      </c>
      <c r="I152" s="577">
        <f t="shared" si="40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 ht="12.5">
      <c r="B153" s="195" t="str">
        <f t="shared" si="31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42"/>
        <v>0</v>
      </c>
      <c r="H153" s="526">
        <f t="shared" si="39"/>
        <v>0</v>
      </c>
      <c r="I153" s="577">
        <f t="shared" si="40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" thickBot="1">
      <c r="B154" s="195" t="str">
        <f t="shared" si="31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42"/>
        <v>0</v>
      </c>
      <c r="H154" s="530">
        <f t="shared" si="39"/>
        <v>0</v>
      </c>
      <c r="I154" s="579">
        <f t="shared" si="40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 ht="12.5">
      <c r="C155" s="374" t="s">
        <v>78</v>
      </c>
      <c r="D155" s="375"/>
      <c r="E155" s="375">
        <f>SUM(E99:E154)</f>
        <v>2981767.9999999995</v>
      </c>
      <c r="F155" s="375"/>
      <c r="G155" s="375"/>
      <c r="H155" s="375">
        <f>SUM(H99:H154)</f>
        <v>10743229.3145064</v>
      </c>
      <c r="I155" s="375">
        <f>SUM(I99:I154)</f>
        <v>10743229.3145064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51" priority="1" stopIfTrue="1" operator="equal">
      <formula>$I$10</formula>
    </cfRule>
  </conditionalFormatting>
  <conditionalFormatting sqref="C99:C154">
    <cfRule type="cellIs" dxfId="15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4"/>
  <dimension ref="A1:Q162"/>
  <sheetViews>
    <sheetView view="pageBreakPreview" zoomScale="80" zoomScaleNormal="100" zoomScaleSheetLayoutView="80" workbookViewId="0">
      <selection activeCell="D11" sqref="D11"/>
    </sheetView>
  </sheetViews>
  <sheetFormatPr defaultColWidth="8.7265625" defaultRowHeight="12.75" customHeight="1"/>
  <cols>
    <col min="1" max="1" width="4.7265625" style="183" customWidth="1"/>
    <col min="2" max="2" width="6.7265625" style="183" customWidth="1"/>
    <col min="3" max="3" width="23.26953125" style="183" customWidth="1"/>
    <col min="4" max="8" width="17.7265625" style="183" customWidth="1"/>
    <col min="9" max="9" width="20.453125" style="183" customWidth="1"/>
    <col min="10" max="10" width="16.453125" style="183" customWidth="1"/>
    <col min="11" max="11" width="17.7265625" style="183" customWidth="1"/>
    <col min="12" max="12" width="16.1796875" style="183" customWidth="1"/>
    <col min="13" max="13" width="17.7265625" style="183" customWidth="1"/>
    <col min="14" max="14" width="16.1796875" style="183" customWidth="1"/>
    <col min="15" max="15" width="16.81640625" style="183" customWidth="1"/>
    <col min="16" max="16" width="24.453125" style="183" customWidth="1"/>
    <col min="17" max="17" width="4.7265625" style="183" customWidth="1"/>
    <col min="18" max="22" width="8.7265625" style="183"/>
    <col min="23" max="23" width="9.1796875" style="183" customWidth="1"/>
    <col min="24" max="16384" width="8.7265625" style="183"/>
  </cols>
  <sheetData>
    <row r="1" spans="1:17" ht="20">
      <c r="A1" s="586" t="s">
        <v>133</v>
      </c>
      <c r="B1" s="587"/>
      <c r="C1" s="588"/>
      <c r="D1" s="589"/>
      <c r="E1" s="587"/>
      <c r="F1" s="590"/>
      <c r="G1" s="587"/>
      <c r="H1" s="591"/>
      <c r="I1" s="592"/>
      <c r="J1" s="593"/>
      <c r="K1" s="451"/>
      <c r="L1" s="451"/>
      <c r="M1" s="451"/>
      <c r="P1" s="452" t="str">
        <f ca="1">"SWEPCO Project "&amp;RIGHT(MID(CELL("filename",$A$1),FIND("]",CELL("filename",$A$1))+1,256),1)&amp;" of "&amp;COUNT('S.001:S.xyz - blank'!$P$3)-1</f>
        <v>SWEPCO Project 6 of 74</v>
      </c>
      <c r="Q1" s="453"/>
    </row>
    <row r="2" spans="1:17" ht="17.5">
      <c r="B2" s="269"/>
      <c r="C2" s="269"/>
      <c r="D2" s="270"/>
      <c r="E2" s="269"/>
      <c r="F2" s="269"/>
      <c r="G2" s="269"/>
      <c r="H2" s="271"/>
      <c r="I2" s="269"/>
      <c r="J2" s="272"/>
      <c r="K2" s="269"/>
      <c r="L2" s="269"/>
      <c r="M2" s="269"/>
      <c r="N2" s="269"/>
      <c r="P2" s="454" t="s">
        <v>129</v>
      </c>
    </row>
    <row r="3" spans="1:17" ht="18">
      <c r="B3" s="273" t="s">
        <v>44</v>
      </c>
      <c r="C3" s="332" t="s">
        <v>45</v>
      </c>
      <c r="D3" s="270"/>
      <c r="E3" s="269"/>
      <c r="F3" s="269"/>
      <c r="G3" s="269"/>
      <c r="H3" s="271"/>
      <c r="I3" s="271"/>
      <c r="J3" s="375"/>
      <c r="K3" s="271"/>
      <c r="L3" s="271"/>
      <c r="M3" s="271"/>
      <c r="N3" s="271"/>
      <c r="O3" s="269" t="str">
        <f>RIGHT(N3,3)</f>
        <v/>
      </c>
      <c r="P3" s="455">
        <v>1</v>
      </c>
    </row>
    <row r="4" spans="1:17" ht="16" thickBot="1">
      <c r="C4" s="331"/>
      <c r="D4" s="270"/>
      <c r="E4" s="269"/>
      <c r="F4" s="269"/>
      <c r="G4" s="269"/>
      <c r="H4" s="271"/>
      <c r="I4" s="271"/>
      <c r="J4" s="375"/>
      <c r="K4" s="271"/>
      <c r="L4" s="271"/>
      <c r="M4" s="271"/>
      <c r="N4" s="271"/>
      <c r="O4" s="269"/>
      <c r="P4" s="269"/>
    </row>
    <row r="5" spans="1:17" ht="15.5">
      <c r="C5" s="456" t="s">
        <v>46</v>
      </c>
      <c r="D5" s="270"/>
      <c r="E5" s="269"/>
      <c r="F5" s="269"/>
      <c r="G5" s="457"/>
      <c r="H5" s="269" t="s">
        <v>47</v>
      </c>
      <c r="I5" s="269"/>
      <c r="J5" s="272"/>
      <c r="K5" s="458" t="s">
        <v>157</v>
      </c>
      <c r="L5" s="459"/>
      <c r="M5" s="460"/>
      <c r="N5" s="461">
        <f>VLOOKUP(I10,C17:I72,5)</f>
        <v>4157929.5482090265</v>
      </c>
      <c r="P5" s="269"/>
    </row>
    <row r="6" spans="1:17" ht="15.5">
      <c r="C6" s="274"/>
      <c r="D6" s="270"/>
      <c r="E6" s="269"/>
      <c r="F6" s="269"/>
      <c r="G6" s="269"/>
      <c r="H6" s="462"/>
      <c r="I6" s="462"/>
      <c r="J6" s="463"/>
      <c r="K6" s="464" t="s">
        <v>158</v>
      </c>
      <c r="L6" s="465"/>
      <c r="M6" s="272"/>
      <c r="N6" s="466">
        <f>VLOOKUP(I10,C17:I72,6)</f>
        <v>4157929.5482090265</v>
      </c>
      <c r="O6" s="269"/>
      <c r="P6" s="269"/>
    </row>
    <row r="7" spans="1:17" ht="13.5" thickBot="1">
      <c r="C7" s="467" t="s">
        <v>48</v>
      </c>
      <c r="D7" s="468" t="s">
        <v>239</v>
      </c>
      <c r="E7" s="269"/>
      <c r="F7" s="269"/>
      <c r="G7" s="269"/>
      <c r="H7" s="271"/>
      <c r="I7" s="271"/>
      <c r="J7" s="375"/>
      <c r="K7" s="469" t="s">
        <v>49</v>
      </c>
      <c r="L7" s="470"/>
      <c r="M7" s="470"/>
      <c r="N7" s="471">
        <f>+N6-N5</f>
        <v>0</v>
      </c>
      <c r="O7" s="269"/>
      <c r="P7" s="269"/>
    </row>
    <row r="8" spans="1:17" ht="13.5" thickBot="1">
      <c r="C8" s="472"/>
      <c r="D8" s="473" t="str">
        <f>IF(D10&lt;100000,"DOES NOT MEET SPP $100,000 MINIMUM INVESTMENT FOR REGIONAL BPU SHARING.","")</f>
        <v/>
      </c>
      <c r="E8" s="474"/>
      <c r="F8" s="474"/>
      <c r="G8" s="474"/>
      <c r="H8" s="474"/>
      <c r="I8" s="474"/>
      <c r="J8" s="475"/>
      <c r="K8" s="474"/>
      <c r="L8" s="474"/>
      <c r="M8" s="474"/>
      <c r="N8" s="474"/>
      <c r="O8" s="475"/>
      <c r="P8" s="340"/>
    </row>
    <row r="9" spans="1:17" ht="13.5" thickBot="1">
      <c r="A9" s="191"/>
      <c r="C9" s="476" t="s">
        <v>50</v>
      </c>
      <c r="D9" s="477" t="s">
        <v>145</v>
      </c>
      <c r="E9" s="666" t="s">
        <v>476</v>
      </c>
      <c r="F9" s="478"/>
      <c r="G9" s="478"/>
      <c r="H9" s="478"/>
      <c r="I9" s="479"/>
      <c r="J9" s="480"/>
      <c r="O9" s="481"/>
      <c r="P9" s="272"/>
    </row>
    <row r="10" spans="1:17" ht="13">
      <c r="C10" s="482" t="s">
        <v>51</v>
      </c>
      <c r="D10" s="483">
        <v>37028625</v>
      </c>
      <c r="E10" s="353" t="s">
        <v>52</v>
      </c>
      <c r="F10" s="481"/>
      <c r="G10" s="484"/>
      <c r="H10" s="484"/>
      <c r="I10" s="485">
        <f>+'SWE.WS.F.BPU.ATRR.Projected'!L19</f>
        <v>2023</v>
      </c>
      <c r="J10" s="480"/>
      <c r="K10" s="375" t="s">
        <v>53</v>
      </c>
      <c r="O10" s="272"/>
      <c r="P10" s="272"/>
    </row>
    <row r="11" spans="1:17" ht="12.5">
      <c r="C11" s="486" t="s">
        <v>54</v>
      </c>
      <c r="D11" s="487">
        <v>2009</v>
      </c>
      <c r="E11" s="486" t="s">
        <v>55</v>
      </c>
      <c r="F11" s="484"/>
      <c r="G11" s="233"/>
      <c r="H11" s="233"/>
      <c r="I11" s="488">
        <v>0</v>
      </c>
      <c r="J11" s="489"/>
      <c r="K11" s="183" t="str">
        <f>"          INPUT PROJECTED ARR (WITH &amp; WITHOUT INCENTIVES) FROM EACH PRIOR YEAR"</f>
        <v xml:space="preserve">          INPUT PROJECTED ARR (WITH &amp; WITHOUT INCENTIVES) FROM EACH PRIOR YEAR</v>
      </c>
      <c r="O11" s="272"/>
      <c r="P11" s="272"/>
    </row>
    <row r="12" spans="1:17" ht="12.5">
      <c r="C12" s="486" t="s">
        <v>56</v>
      </c>
      <c r="D12" s="483">
        <v>6</v>
      </c>
      <c r="E12" s="486" t="s">
        <v>57</v>
      </c>
      <c r="F12" s="484"/>
      <c r="G12" s="233"/>
      <c r="H12" s="233"/>
      <c r="I12" s="490">
        <f>'SWE.WS.F.BPU.ATRR.Projected'!$F$81</f>
        <v>0.12632678797962701</v>
      </c>
      <c r="J12" s="425"/>
      <c r="K12" s="183" t="s">
        <v>58</v>
      </c>
      <c r="O12" s="272"/>
      <c r="P12" s="272"/>
    </row>
    <row r="13" spans="1:17" ht="12.5">
      <c r="C13" s="486" t="s">
        <v>59</v>
      </c>
      <c r="D13" s="488">
        <f>+'SWE.WS.F.BPU.ATRR.Projected'!F$93</f>
        <v>42</v>
      </c>
      <c r="E13" s="486" t="s">
        <v>60</v>
      </c>
      <c r="F13" s="484"/>
      <c r="G13" s="233"/>
      <c r="H13" s="233"/>
      <c r="I13" s="490">
        <f>IF(G5="",I12,'SWE.WS.F.BPU.ATRR.Projected'!$F$80)</f>
        <v>0.12632678797962701</v>
      </c>
      <c r="J13" s="425"/>
      <c r="K13" s="375" t="s">
        <v>61</v>
      </c>
      <c r="L13" s="324"/>
      <c r="M13" s="324"/>
      <c r="N13" s="324"/>
      <c r="O13" s="272"/>
      <c r="P13" s="272"/>
    </row>
    <row r="14" spans="1:17" ht="13" thickBot="1">
      <c r="C14" s="486" t="s">
        <v>62</v>
      </c>
      <c r="D14" s="487" t="s">
        <v>63</v>
      </c>
      <c r="E14" s="272" t="s">
        <v>64</v>
      </c>
      <c r="F14" s="484"/>
      <c r="G14" s="233"/>
      <c r="H14" s="233"/>
      <c r="I14" s="491">
        <f>IF(D10=0,0,D10/D13)</f>
        <v>881633.92857142852</v>
      </c>
      <c r="J14" s="375"/>
      <c r="K14" s="375"/>
      <c r="L14" s="375"/>
      <c r="M14" s="375"/>
      <c r="N14" s="375"/>
      <c r="O14" s="272"/>
      <c r="P14" s="272"/>
    </row>
    <row r="15" spans="1:17" ht="39">
      <c r="C15" s="492" t="s">
        <v>51</v>
      </c>
      <c r="D15" s="493" t="s">
        <v>65</v>
      </c>
      <c r="E15" s="493" t="s">
        <v>66</v>
      </c>
      <c r="F15" s="493" t="s">
        <v>67</v>
      </c>
      <c r="G15" s="494" t="s">
        <v>388</v>
      </c>
      <c r="H15" s="495" t="s">
        <v>389</v>
      </c>
      <c r="I15" s="496" t="s">
        <v>260</v>
      </c>
      <c r="J15" s="497"/>
      <c r="K15" s="498" t="s">
        <v>227</v>
      </c>
      <c r="L15" s="499" t="s">
        <v>69</v>
      </c>
      <c r="M15" s="498" t="s">
        <v>227</v>
      </c>
      <c r="N15" s="499" t="s">
        <v>69</v>
      </c>
      <c r="O15" s="499" t="s">
        <v>70</v>
      </c>
      <c r="P15" s="272"/>
    </row>
    <row r="16" spans="1:17" ht="13.5" thickBot="1">
      <c r="C16" s="500" t="s">
        <v>71</v>
      </c>
      <c r="D16" s="500" t="s">
        <v>72</v>
      </c>
      <c r="E16" s="500" t="s">
        <v>73</v>
      </c>
      <c r="F16" s="500" t="s">
        <v>72</v>
      </c>
      <c r="G16" s="501" t="s">
        <v>74</v>
      </c>
      <c r="H16" s="502" t="s">
        <v>75</v>
      </c>
      <c r="I16" s="503" t="s">
        <v>94</v>
      </c>
      <c r="J16" s="504" t="s">
        <v>76</v>
      </c>
      <c r="K16" s="505" t="s">
        <v>77</v>
      </c>
      <c r="L16" s="505" t="s">
        <v>77</v>
      </c>
      <c r="M16" s="505" t="s">
        <v>95</v>
      </c>
      <c r="N16" s="506" t="s">
        <v>95</v>
      </c>
      <c r="O16" s="505" t="s">
        <v>95</v>
      </c>
      <c r="P16" s="272"/>
    </row>
    <row r="17" spans="2:16" ht="12.5">
      <c r="C17" s="507">
        <f>IF(D11= "","-",D11)</f>
        <v>2009</v>
      </c>
      <c r="D17" s="508">
        <v>17101764</v>
      </c>
      <c r="E17" s="509">
        <v>231105</v>
      </c>
      <c r="F17" s="508">
        <v>16870659</v>
      </c>
      <c r="G17" s="509">
        <v>1739394</v>
      </c>
      <c r="H17" s="510">
        <v>1739394</v>
      </c>
      <c r="I17" s="511">
        <f t="shared" ref="I17:I48" si="0">H17-G17</f>
        <v>0</v>
      </c>
      <c r="J17" s="511"/>
      <c r="K17" s="512">
        <v>1739394</v>
      </c>
      <c r="L17" s="513">
        <f t="shared" ref="L17:L48" si="1">IF(K17&lt;&gt;0,+G17-K17,0)</f>
        <v>0</v>
      </c>
      <c r="M17" s="512">
        <v>1739394</v>
      </c>
      <c r="N17" s="513">
        <f t="shared" ref="N17:N48" si="2">IF(M17&lt;&gt;0,+H17-M17,0)</f>
        <v>0</v>
      </c>
      <c r="O17" s="514">
        <f t="shared" ref="O17:O48" si="3">+N17-L17</f>
        <v>0</v>
      </c>
      <c r="P17" s="272"/>
    </row>
    <row r="18" spans="2:16" ht="12.5">
      <c r="B18" s="195" t="str">
        <f>IF(D18=F17,"","IU")</f>
        <v>IU</v>
      </c>
      <c r="C18" s="507">
        <f>IF(D11="","-",+C17+1)</f>
        <v>2010</v>
      </c>
      <c r="D18" s="515">
        <v>6292908</v>
      </c>
      <c r="E18" s="516">
        <v>171684</v>
      </c>
      <c r="F18" s="515">
        <v>6121224</v>
      </c>
      <c r="G18" s="516">
        <v>1051702</v>
      </c>
      <c r="H18" s="510">
        <v>1051702</v>
      </c>
      <c r="I18" s="511">
        <f t="shared" si="0"/>
        <v>0</v>
      </c>
      <c r="J18" s="511"/>
      <c r="K18" s="518">
        <f t="shared" ref="K18:K23" si="4">G18</f>
        <v>1051702</v>
      </c>
      <c r="L18" s="519">
        <f t="shared" si="1"/>
        <v>0</v>
      </c>
      <c r="M18" s="518">
        <f t="shared" ref="M18:M23" si="5">H18</f>
        <v>1051702</v>
      </c>
      <c r="N18" s="514">
        <f t="shared" si="2"/>
        <v>0</v>
      </c>
      <c r="O18" s="514">
        <f t="shared" si="3"/>
        <v>0</v>
      </c>
      <c r="P18" s="272"/>
    </row>
    <row r="19" spans="2:16" ht="12.5">
      <c r="B19" s="195" t="str">
        <f>IF(D19=F18,"","IU")</f>
        <v>IU</v>
      </c>
      <c r="C19" s="507">
        <f>IF(D11="","-",+C18+1)</f>
        <v>2011</v>
      </c>
      <c r="D19" s="515">
        <v>26971020</v>
      </c>
      <c r="E19" s="516">
        <v>667653.87804878049</v>
      </c>
      <c r="F19" s="515">
        <v>26303366.121951219</v>
      </c>
      <c r="G19" s="516">
        <v>4776034.0895202104</v>
      </c>
      <c r="H19" s="510">
        <v>4776034.0895202104</v>
      </c>
      <c r="I19" s="511">
        <f t="shared" si="0"/>
        <v>0</v>
      </c>
      <c r="J19" s="511"/>
      <c r="K19" s="518">
        <f t="shared" si="4"/>
        <v>4776034.0895202104</v>
      </c>
      <c r="L19" s="519">
        <f t="shared" si="1"/>
        <v>0</v>
      </c>
      <c r="M19" s="518">
        <f t="shared" si="5"/>
        <v>4776034.0895202104</v>
      </c>
      <c r="N19" s="514">
        <f t="shared" si="2"/>
        <v>0</v>
      </c>
      <c r="O19" s="514">
        <f t="shared" si="3"/>
        <v>0</v>
      </c>
      <c r="P19" s="272"/>
    </row>
    <row r="20" spans="2:16" ht="12.5">
      <c r="B20" s="195" t="str">
        <f t="shared" ref="B20:B72" si="6">IF(D20=F19,"","IU")</f>
        <v>IU</v>
      </c>
      <c r="C20" s="507">
        <f>IF(D11="","-",+C19+1)</f>
        <v>2012</v>
      </c>
      <c r="D20" s="515">
        <v>31392829.121951219</v>
      </c>
      <c r="E20" s="516">
        <v>772935.04761904757</v>
      </c>
      <c r="F20" s="515">
        <v>30619894.07433217</v>
      </c>
      <c r="G20" s="516">
        <v>5326729.983202124</v>
      </c>
      <c r="H20" s="510">
        <v>5326729.983202124</v>
      </c>
      <c r="I20" s="511">
        <f t="shared" si="0"/>
        <v>0</v>
      </c>
      <c r="J20" s="511"/>
      <c r="K20" s="518">
        <f t="shared" si="4"/>
        <v>5326729.983202124</v>
      </c>
      <c r="L20" s="519">
        <f t="shared" si="1"/>
        <v>0</v>
      </c>
      <c r="M20" s="518">
        <f t="shared" si="5"/>
        <v>5326729.983202124</v>
      </c>
      <c r="N20" s="514">
        <f t="shared" si="2"/>
        <v>0</v>
      </c>
      <c r="O20" s="514">
        <f t="shared" si="3"/>
        <v>0</v>
      </c>
      <c r="P20" s="272"/>
    </row>
    <row r="21" spans="2:16" ht="12.5">
      <c r="B21" s="195" t="str">
        <f t="shared" si="6"/>
        <v>IU</v>
      </c>
      <c r="C21" s="507">
        <f>IF(D12="","-",+C20+1)</f>
        <v>2013</v>
      </c>
      <c r="D21" s="515">
        <v>33143499.07433217</v>
      </c>
      <c r="E21" s="516">
        <v>833020.88095238095</v>
      </c>
      <c r="F21" s="515">
        <v>32310478.19337979</v>
      </c>
      <c r="G21" s="516">
        <v>5356070.4437174536</v>
      </c>
      <c r="H21" s="510">
        <v>5356070.4437174536</v>
      </c>
      <c r="I21" s="511">
        <v>0</v>
      </c>
      <c r="J21" s="511"/>
      <c r="K21" s="518">
        <f t="shared" si="4"/>
        <v>5356070.4437174536</v>
      </c>
      <c r="L21" s="519">
        <f t="shared" ref="L21:L26" si="7">IF(K21&lt;&gt;0,+G21-K21,0)</f>
        <v>0</v>
      </c>
      <c r="M21" s="518">
        <f t="shared" si="5"/>
        <v>5356070.4437174536</v>
      </c>
      <c r="N21" s="514">
        <f t="shared" ref="N21:N26" si="8">IF(M21&lt;&gt;0,+H21-M21,0)</f>
        <v>0</v>
      </c>
      <c r="O21" s="514">
        <f>+N21-L21</f>
        <v>0</v>
      </c>
      <c r="P21" s="272"/>
    </row>
    <row r="22" spans="2:16" ht="12.5">
      <c r="B22" s="195" t="str">
        <f t="shared" si="6"/>
        <v>IU</v>
      </c>
      <c r="C22" s="507">
        <f>IF(D11="","-",+C21+1)</f>
        <v>2014</v>
      </c>
      <c r="D22" s="515">
        <v>34252059.19337979</v>
      </c>
      <c r="E22" s="516">
        <v>879249</v>
      </c>
      <c r="F22" s="515">
        <v>33372810.19337979</v>
      </c>
      <c r="G22" s="516">
        <v>5381591.7849194687</v>
      </c>
      <c r="H22" s="510">
        <v>5381591.7849194687</v>
      </c>
      <c r="I22" s="511">
        <v>0</v>
      </c>
      <c r="J22" s="511"/>
      <c r="K22" s="518">
        <f t="shared" si="4"/>
        <v>5381591.7849194687</v>
      </c>
      <c r="L22" s="519">
        <f t="shared" si="7"/>
        <v>0</v>
      </c>
      <c r="M22" s="518">
        <f t="shared" si="5"/>
        <v>5381591.7849194687</v>
      </c>
      <c r="N22" s="514">
        <f t="shared" si="8"/>
        <v>0</v>
      </c>
      <c r="O22" s="514">
        <f t="shared" si="3"/>
        <v>0</v>
      </c>
      <c r="P22" s="272"/>
    </row>
    <row r="23" spans="2:16" ht="12.5">
      <c r="B23" s="195" t="str">
        <f t="shared" si="6"/>
        <v>IU</v>
      </c>
      <c r="C23" s="507">
        <f>IF(D11="","-",+C22+1)</f>
        <v>2015</v>
      </c>
      <c r="D23" s="515">
        <v>33472977.19337979</v>
      </c>
      <c r="E23" s="516">
        <v>881633.92857142852</v>
      </c>
      <c r="F23" s="515">
        <v>32591343.26480836</v>
      </c>
      <c r="G23" s="516">
        <v>5174070.3067745473</v>
      </c>
      <c r="H23" s="510">
        <v>5174070.3067745473</v>
      </c>
      <c r="I23" s="511">
        <v>0</v>
      </c>
      <c r="J23" s="511"/>
      <c r="K23" s="518">
        <f t="shared" si="4"/>
        <v>5174070.3067745473</v>
      </c>
      <c r="L23" s="519">
        <f t="shared" si="7"/>
        <v>0</v>
      </c>
      <c r="M23" s="518">
        <f t="shared" si="5"/>
        <v>5174070.3067745473</v>
      </c>
      <c r="N23" s="514">
        <f t="shared" si="8"/>
        <v>0</v>
      </c>
      <c r="O23" s="514">
        <f>+N23-L23</f>
        <v>0</v>
      </c>
      <c r="P23" s="272"/>
    </row>
    <row r="24" spans="2:16" ht="12.5">
      <c r="B24" s="195" t="str">
        <f t="shared" si="6"/>
        <v/>
      </c>
      <c r="C24" s="507">
        <f>IF(D11="","-",+C23+1)</f>
        <v>2016</v>
      </c>
      <c r="D24" s="515">
        <v>32591343.26480836</v>
      </c>
      <c r="E24" s="516">
        <v>881633.92857142852</v>
      </c>
      <c r="F24" s="515">
        <v>31709709.336236931</v>
      </c>
      <c r="G24" s="516">
        <v>5006432.1268862924</v>
      </c>
      <c r="H24" s="510">
        <v>5006432.1268862924</v>
      </c>
      <c r="I24" s="511">
        <f t="shared" si="0"/>
        <v>0</v>
      </c>
      <c r="J24" s="511"/>
      <c r="K24" s="518">
        <f t="shared" ref="K24:K29" si="9">G24</f>
        <v>5006432.1268862924</v>
      </c>
      <c r="L24" s="519">
        <f t="shared" si="7"/>
        <v>0</v>
      </c>
      <c r="M24" s="518">
        <f t="shared" ref="M24:M29" si="10">H24</f>
        <v>5006432.1268862924</v>
      </c>
      <c r="N24" s="514">
        <f t="shared" si="8"/>
        <v>0</v>
      </c>
      <c r="O24" s="514">
        <f>+N24-L24</f>
        <v>0</v>
      </c>
      <c r="P24" s="272"/>
    </row>
    <row r="25" spans="2:16" ht="12.5">
      <c r="B25" s="195" t="str">
        <f t="shared" si="6"/>
        <v/>
      </c>
      <c r="C25" s="507">
        <f>IF(D11="","-",+C24+1)</f>
        <v>2017</v>
      </c>
      <c r="D25" s="515">
        <v>31709709.336236931</v>
      </c>
      <c r="E25" s="516">
        <v>861130.81395348837</v>
      </c>
      <c r="F25" s="515">
        <v>30848578.522283442</v>
      </c>
      <c r="G25" s="516">
        <v>4736383.2047020355</v>
      </c>
      <c r="H25" s="510">
        <v>4736383.2047020355</v>
      </c>
      <c r="I25" s="511">
        <f t="shared" si="0"/>
        <v>0</v>
      </c>
      <c r="J25" s="511"/>
      <c r="K25" s="518">
        <f t="shared" si="9"/>
        <v>4736383.2047020355</v>
      </c>
      <c r="L25" s="519">
        <f t="shared" si="7"/>
        <v>0</v>
      </c>
      <c r="M25" s="518">
        <f t="shared" si="10"/>
        <v>4736383.2047020355</v>
      </c>
      <c r="N25" s="514">
        <f t="shared" si="8"/>
        <v>0</v>
      </c>
      <c r="O25" s="514">
        <f>+N25-L25</f>
        <v>0</v>
      </c>
      <c r="P25" s="272"/>
    </row>
    <row r="26" spans="2:16" ht="12.5">
      <c r="B26" s="195" t="str">
        <f t="shared" si="6"/>
        <v/>
      </c>
      <c r="C26" s="507">
        <f>IF(D11="","-",+C25+1)</f>
        <v>2018</v>
      </c>
      <c r="D26" s="515">
        <v>30848578.522283442</v>
      </c>
      <c r="E26" s="516">
        <v>903137.19512195117</v>
      </c>
      <c r="F26" s="515">
        <v>29945441.327161491</v>
      </c>
      <c r="G26" s="516">
        <v>4766417.7816179106</v>
      </c>
      <c r="H26" s="510">
        <v>4766417.7816179106</v>
      </c>
      <c r="I26" s="511">
        <f t="shared" si="0"/>
        <v>0</v>
      </c>
      <c r="J26" s="511"/>
      <c r="K26" s="518">
        <f t="shared" si="9"/>
        <v>4766417.7816179106</v>
      </c>
      <c r="L26" s="519">
        <f t="shared" si="7"/>
        <v>0</v>
      </c>
      <c r="M26" s="518">
        <f t="shared" si="10"/>
        <v>4766417.7816179106</v>
      </c>
      <c r="N26" s="514">
        <f t="shared" si="8"/>
        <v>0</v>
      </c>
      <c r="O26" s="514">
        <f>+N26-L26</f>
        <v>0</v>
      </c>
      <c r="P26" s="272"/>
    </row>
    <row r="27" spans="2:16" ht="12.5">
      <c r="B27" s="195" t="str">
        <f t="shared" si="6"/>
        <v/>
      </c>
      <c r="C27" s="507">
        <f>IF(D11="","-",+C26+1)</f>
        <v>2019</v>
      </c>
      <c r="D27" s="515">
        <v>29945441.327161491</v>
      </c>
      <c r="E27" s="516">
        <v>903137.19512195117</v>
      </c>
      <c r="F27" s="515">
        <v>29042304.13203954</v>
      </c>
      <c r="G27" s="516">
        <v>4651634.3735952908</v>
      </c>
      <c r="H27" s="510">
        <v>4651634.3735952908</v>
      </c>
      <c r="I27" s="511">
        <f t="shared" si="0"/>
        <v>0</v>
      </c>
      <c r="J27" s="511"/>
      <c r="K27" s="518">
        <f t="shared" si="9"/>
        <v>4651634.3735952908</v>
      </c>
      <c r="L27" s="519">
        <f t="shared" ref="L27" si="11">IF(K27&lt;&gt;0,+G27-K27,0)</f>
        <v>0</v>
      </c>
      <c r="M27" s="518">
        <f t="shared" si="10"/>
        <v>4651634.3735952908</v>
      </c>
      <c r="N27" s="514">
        <f t="shared" si="2"/>
        <v>0</v>
      </c>
      <c r="O27" s="514">
        <f t="shared" si="3"/>
        <v>0</v>
      </c>
      <c r="P27" s="272"/>
    </row>
    <row r="28" spans="2:16" ht="12.5">
      <c r="B28" s="195" t="str">
        <f t="shared" si="6"/>
        <v/>
      </c>
      <c r="C28" s="507">
        <f>IF(D11="","-",+C27+1)</f>
        <v>2020</v>
      </c>
      <c r="D28" s="515">
        <v>29042304.13203954</v>
      </c>
      <c r="E28" s="516">
        <v>903137.19512195117</v>
      </c>
      <c r="F28" s="515">
        <v>28139166.936917588</v>
      </c>
      <c r="G28" s="516">
        <v>3828983.1330273524</v>
      </c>
      <c r="H28" s="510">
        <v>3828983.1330273524</v>
      </c>
      <c r="I28" s="511">
        <f t="shared" si="0"/>
        <v>0</v>
      </c>
      <c r="J28" s="511"/>
      <c r="K28" s="518">
        <f t="shared" si="9"/>
        <v>3828983.1330273524</v>
      </c>
      <c r="L28" s="519">
        <f t="shared" ref="L28" si="12">IF(K28&lt;&gt;0,+G28-K28,0)</f>
        <v>0</v>
      </c>
      <c r="M28" s="518">
        <f t="shared" si="10"/>
        <v>3828983.1330273524</v>
      </c>
      <c r="N28" s="514">
        <f t="shared" si="2"/>
        <v>0</v>
      </c>
      <c r="O28" s="514">
        <f t="shared" si="3"/>
        <v>0</v>
      </c>
      <c r="P28" s="272"/>
    </row>
    <row r="29" spans="2:16" ht="12.5">
      <c r="B29" s="195" t="str">
        <f t="shared" si="6"/>
        <v>IU</v>
      </c>
      <c r="C29" s="507">
        <f>IF(D11="","-",+C28+1)</f>
        <v>2021</v>
      </c>
      <c r="D29" s="515">
        <v>28181173.318086058</v>
      </c>
      <c r="E29" s="516">
        <v>881633.92857142852</v>
      </c>
      <c r="F29" s="515">
        <v>27299539.389514629</v>
      </c>
      <c r="G29" s="516">
        <v>3822237.7831762447</v>
      </c>
      <c r="H29" s="510">
        <v>3822237.7831762447</v>
      </c>
      <c r="I29" s="511">
        <f t="shared" si="0"/>
        <v>0</v>
      </c>
      <c r="J29" s="511"/>
      <c r="K29" s="518">
        <f t="shared" si="9"/>
        <v>3822237.7831762447</v>
      </c>
      <c r="L29" s="519">
        <f t="shared" ref="L29" si="13">IF(K29&lt;&gt;0,+G29-K29,0)</f>
        <v>0</v>
      </c>
      <c r="M29" s="518">
        <f t="shared" si="10"/>
        <v>3822237.7831762447</v>
      </c>
      <c r="N29" s="514">
        <f t="shared" si="2"/>
        <v>0</v>
      </c>
      <c r="O29" s="514">
        <f t="shared" si="3"/>
        <v>0</v>
      </c>
      <c r="P29" s="272"/>
    </row>
    <row r="30" spans="2:16" ht="12.5">
      <c r="B30" s="195" t="str">
        <f t="shared" si="6"/>
        <v>IU</v>
      </c>
      <c r="C30" s="507">
        <f>IF(D11="","-",+C29+1)</f>
        <v>2022</v>
      </c>
      <c r="D30" s="515">
        <v>27257533.008346163</v>
      </c>
      <c r="E30" s="516">
        <v>881633.92857142852</v>
      </c>
      <c r="F30" s="515">
        <v>26375899.079774734</v>
      </c>
      <c r="G30" s="516">
        <v>3897015.3455155501</v>
      </c>
      <c r="H30" s="510">
        <v>3897015.3455155501</v>
      </c>
      <c r="I30" s="511">
        <f t="shared" si="0"/>
        <v>0</v>
      </c>
      <c r="J30" s="511"/>
      <c r="K30" s="518">
        <f t="shared" ref="K30" si="14">G30</f>
        <v>3897015.3455155501</v>
      </c>
      <c r="L30" s="519">
        <f t="shared" ref="L30" si="15">IF(K30&lt;&gt;0,+G30-K30,0)</f>
        <v>0</v>
      </c>
      <c r="M30" s="518">
        <f t="shared" ref="M30" si="16">H30</f>
        <v>3897015.3455155501</v>
      </c>
      <c r="N30" s="514">
        <f t="shared" si="2"/>
        <v>0</v>
      </c>
      <c r="O30" s="514">
        <f t="shared" si="3"/>
        <v>0</v>
      </c>
      <c r="P30" s="272"/>
    </row>
    <row r="31" spans="2:16" ht="12.5">
      <c r="B31" s="195" t="str">
        <f t="shared" si="6"/>
        <v/>
      </c>
      <c r="C31" s="507">
        <f>IF(D11="","-",+C30+1)</f>
        <v>2023</v>
      </c>
      <c r="D31" s="523">
        <f>IF(F30+SUM(E$17:E30)=D$10,F30,D$10-SUM(E$17:E30))</f>
        <v>26375899.079774734</v>
      </c>
      <c r="E31" s="522">
        <f>IF(+I14&lt;F30,I14,D31)</f>
        <v>881633.92857142852</v>
      </c>
      <c r="F31" s="523">
        <f t="shared" ref="F31:F48" si="17">+D31-E31</f>
        <v>25494265.151203305</v>
      </c>
      <c r="G31" s="524">
        <f t="shared" ref="G31:G72" si="18">+I$12*((D31+F31)/2)+E31</f>
        <v>4157929.5482090265</v>
      </c>
      <c r="H31" s="491">
        <f t="shared" ref="H31:H72" si="19">+I$13*((D31+F31)/2)+E31</f>
        <v>4157929.5482090265</v>
      </c>
      <c r="I31" s="511">
        <f t="shared" si="0"/>
        <v>0</v>
      </c>
      <c r="J31" s="511"/>
      <c r="K31" s="525"/>
      <c r="L31" s="514">
        <f t="shared" si="1"/>
        <v>0</v>
      </c>
      <c r="M31" s="525"/>
      <c r="N31" s="514">
        <f t="shared" si="2"/>
        <v>0</v>
      </c>
      <c r="O31" s="514">
        <f t="shared" si="3"/>
        <v>0</v>
      </c>
      <c r="P31" s="272"/>
    </row>
    <row r="32" spans="2:16" ht="12.5">
      <c r="B32" s="195" t="str">
        <f t="shared" si="6"/>
        <v/>
      </c>
      <c r="C32" s="507">
        <f>IF(D11="","-",+C31+1)</f>
        <v>2024</v>
      </c>
      <c r="D32" s="523">
        <f>IF(F31+SUM(E$17:E31)=D$10,F31,D$10-SUM(E$17:E31))</f>
        <v>25494265.151203305</v>
      </c>
      <c r="E32" s="522">
        <f>IF(+I14&lt;F31,I14,D32)</f>
        <v>881633.92857142852</v>
      </c>
      <c r="F32" s="523">
        <f t="shared" si="17"/>
        <v>24612631.222631875</v>
      </c>
      <c r="G32" s="524">
        <f t="shared" si="18"/>
        <v>4046555.5658387374</v>
      </c>
      <c r="H32" s="491">
        <f t="shared" si="19"/>
        <v>4046555.5658387374</v>
      </c>
      <c r="I32" s="511">
        <f t="shared" si="0"/>
        <v>0</v>
      </c>
      <c r="J32" s="511"/>
      <c r="K32" s="525"/>
      <c r="L32" s="514">
        <f t="shared" si="1"/>
        <v>0</v>
      </c>
      <c r="M32" s="525"/>
      <c r="N32" s="514">
        <f t="shared" si="2"/>
        <v>0</v>
      </c>
      <c r="O32" s="514">
        <f t="shared" si="3"/>
        <v>0</v>
      </c>
      <c r="P32" s="272"/>
    </row>
    <row r="33" spans="2:16" ht="12.5">
      <c r="B33" s="195" t="str">
        <f t="shared" si="6"/>
        <v/>
      </c>
      <c r="C33" s="507">
        <f>IF(D11="","-",+C32+1)</f>
        <v>2025</v>
      </c>
      <c r="D33" s="523">
        <f>IF(F32+SUM(E$17:E32)=D$10,F32,D$10-SUM(E$17:E32))</f>
        <v>24612631.222631875</v>
      </c>
      <c r="E33" s="522">
        <f>IF(+I14&lt;F32,I14,D33)</f>
        <v>881633.92857142852</v>
      </c>
      <c r="F33" s="523">
        <f t="shared" si="17"/>
        <v>23730997.294060446</v>
      </c>
      <c r="G33" s="524">
        <f t="shared" si="18"/>
        <v>3935181.5834684498</v>
      </c>
      <c r="H33" s="491">
        <f t="shared" si="19"/>
        <v>3935181.5834684498</v>
      </c>
      <c r="I33" s="511">
        <f t="shared" si="0"/>
        <v>0</v>
      </c>
      <c r="J33" s="511"/>
      <c r="K33" s="525"/>
      <c r="L33" s="514">
        <f t="shared" si="1"/>
        <v>0</v>
      </c>
      <c r="M33" s="525"/>
      <c r="N33" s="514">
        <f t="shared" si="2"/>
        <v>0</v>
      </c>
      <c r="O33" s="514">
        <f t="shared" si="3"/>
        <v>0</v>
      </c>
      <c r="P33" s="272"/>
    </row>
    <row r="34" spans="2:16" ht="12.5">
      <c r="B34" s="195" t="str">
        <f t="shared" si="6"/>
        <v/>
      </c>
      <c r="C34" s="507">
        <f>IF(D11="","-",+C33+1)</f>
        <v>2026</v>
      </c>
      <c r="D34" s="523">
        <f>IF(F33+SUM(E$17:E33)=D$10,F33,D$10-SUM(E$17:E33))</f>
        <v>23730997.294060446</v>
      </c>
      <c r="E34" s="522">
        <f>IF(+I14&lt;F33,I14,D34)</f>
        <v>881633.92857142852</v>
      </c>
      <c r="F34" s="523">
        <f t="shared" si="17"/>
        <v>22849363.365489017</v>
      </c>
      <c r="G34" s="524">
        <f t="shared" si="18"/>
        <v>3823807.6010981607</v>
      </c>
      <c r="H34" s="491">
        <f t="shared" si="19"/>
        <v>3823807.6010981607</v>
      </c>
      <c r="I34" s="511">
        <f t="shared" si="0"/>
        <v>0</v>
      </c>
      <c r="J34" s="511"/>
      <c r="K34" s="525"/>
      <c r="L34" s="514">
        <f t="shared" si="1"/>
        <v>0</v>
      </c>
      <c r="M34" s="525"/>
      <c r="N34" s="514">
        <f t="shared" si="2"/>
        <v>0</v>
      </c>
      <c r="O34" s="514">
        <f t="shared" si="3"/>
        <v>0</v>
      </c>
      <c r="P34" s="272"/>
    </row>
    <row r="35" spans="2:16" ht="12.5">
      <c r="B35" s="195" t="str">
        <f t="shared" si="6"/>
        <v/>
      </c>
      <c r="C35" s="507">
        <f>IF(D11="","-",+C34+1)</f>
        <v>2027</v>
      </c>
      <c r="D35" s="523">
        <f>IF(F34+SUM(E$17:E34)=D$10,F34,D$10-SUM(E$17:E34))</f>
        <v>22849363.365489017</v>
      </c>
      <c r="E35" s="522">
        <f>IF(+I14&lt;F34,I14,D35)</f>
        <v>881633.92857142852</v>
      </c>
      <c r="F35" s="523">
        <f t="shared" si="17"/>
        <v>21967729.436917588</v>
      </c>
      <c r="G35" s="524">
        <f t="shared" si="18"/>
        <v>3712433.6187278726</v>
      </c>
      <c r="H35" s="491">
        <f t="shared" si="19"/>
        <v>3712433.6187278726</v>
      </c>
      <c r="I35" s="511">
        <f t="shared" si="0"/>
        <v>0</v>
      </c>
      <c r="J35" s="511"/>
      <c r="K35" s="525"/>
      <c r="L35" s="514">
        <f t="shared" si="1"/>
        <v>0</v>
      </c>
      <c r="M35" s="525"/>
      <c r="N35" s="514">
        <f t="shared" si="2"/>
        <v>0</v>
      </c>
      <c r="O35" s="514">
        <f t="shared" si="3"/>
        <v>0</v>
      </c>
      <c r="P35" s="272"/>
    </row>
    <row r="36" spans="2:16" ht="12.5">
      <c r="B36" s="195" t="str">
        <f t="shared" si="6"/>
        <v/>
      </c>
      <c r="C36" s="507">
        <f>IF(D11="","-",+C35+1)</f>
        <v>2028</v>
      </c>
      <c r="D36" s="523">
        <f>IF(F35+SUM(E$17:E35)=D$10,F35,D$10-SUM(E$17:E35))</f>
        <v>21967729.436917588</v>
      </c>
      <c r="E36" s="522">
        <f>IF(+I14&lt;F35,I14,D36)</f>
        <v>881633.92857142852</v>
      </c>
      <c r="F36" s="523">
        <f t="shared" si="17"/>
        <v>21086095.508346159</v>
      </c>
      <c r="G36" s="524">
        <f t="shared" si="18"/>
        <v>3601059.6363575836</v>
      </c>
      <c r="H36" s="491">
        <f t="shared" si="19"/>
        <v>3601059.6363575836</v>
      </c>
      <c r="I36" s="511">
        <f t="shared" si="0"/>
        <v>0</v>
      </c>
      <c r="J36" s="511"/>
      <c r="K36" s="525"/>
      <c r="L36" s="514">
        <f t="shared" si="1"/>
        <v>0</v>
      </c>
      <c r="M36" s="525"/>
      <c r="N36" s="514">
        <f t="shared" si="2"/>
        <v>0</v>
      </c>
      <c r="O36" s="514">
        <f t="shared" si="3"/>
        <v>0</v>
      </c>
      <c r="P36" s="272"/>
    </row>
    <row r="37" spans="2:16" ht="12.5">
      <c r="B37" s="195" t="str">
        <f t="shared" si="6"/>
        <v/>
      </c>
      <c r="C37" s="507">
        <f>IF(D11="","-",+C36+1)</f>
        <v>2029</v>
      </c>
      <c r="D37" s="523">
        <f>IF(F36+SUM(E$17:E36)=D$10,F36,D$10-SUM(E$17:E36))</f>
        <v>21086095.508346159</v>
      </c>
      <c r="E37" s="522">
        <f>IF(+I14&lt;F36,I14,D37)</f>
        <v>881633.92857142852</v>
      </c>
      <c r="F37" s="523">
        <f t="shared" si="17"/>
        <v>20204461.57977473</v>
      </c>
      <c r="G37" s="524">
        <f t="shared" si="18"/>
        <v>3489685.6539872955</v>
      </c>
      <c r="H37" s="491">
        <f t="shared" si="19"/>
        <v>3489685.6539872955</v>
      </c>
      <c r="I37" s="511">
        <f t="shared" si="0"/>
        <v>0</v>
      </c>
      <c r="J37" s="511"/>
      <c r="K37" s="525"/>
      <c r="L37" s="514">
        <f t="shared" si="1"/>
        <v>0</v>
      </c>
      <c r="M37" s="525"/>
      <c r="N37" s="514">
        <f t="shared" si="2"/>
        <v>0</v>
      </c>
      <c r="O37" s="514">
        <f t="shared" si="3"/>
        <v>0</v>
      </c>
      <c r="P37" s="272"/>
    </row>
    <row r="38" spans="2:16" ht="12.5">
      <c r="B38" s="195" t="str">
        <f t="shared" si="6"/>
        <v/>
      </c>
      <c r="C38" s="507">
        <f>IF(D11="","-",+C37+1)</f>
        <v>2030</v>
      </c>
      <c r="D38" s="523">
        <f>IF(F37+SUM(E$17:E37)=D$10,F37,D$10-SUM(E$17:E37))</f>
        <v>20204461.57977473</v>
      </c>
      <c r="E38" s="522">
        <f>IF(+I14&lt;F37,I14,D38)</f>
        <v>881633.92857142852</v>
      </c>
      <c r="F38" s="523">
        <f t="shared" si="17"/>
        <v>19322827.651203301</v>
      </c>
      <c r="G38" s="524">
        <f t="shared" si="18"/>
        <v>3378311.6716170064</v>
      </c>
      <c r="H38" s="491">
        <f t="shared" si="19"/>
        <v>3378311.6716170064</v>
      </c>
      <c r="I38" s="511">
        <f t="shared" si="0"/>
        <v>0</v>
      </c>
      <c r="J38" s="511"/>
      <c r="K38" s="525"/>
      <c r="L38" s="514">
        <f t="shared" si="1"/>
        <v>0</v>
      </c>
      <c r="M38" s="525"/>
      <c r="N38" s="514">
        <f t="shared" si="2"/>
        <v>0</v>
      </c>
      <c r="O38" s="514">
        <f t="shared" si="3"/>
        <v>0</v>
      </c>
      <c r="P38" s="272"/>
    </row>
    <row r="39" spans="2:16" ht="12.5">
      <c r="B39" s="195" t="str">
        <f t="shared" si="6"/>
        <v/>
      </c>
      <c r="C39" s="507">
        <f>IF(D11="","-",+C38+1)</f>
        <v>2031</v>
      </c>
      <c r="D39" s="523">
        <f>IF(F38+SUM(E$17:E38)=D$10,F38,D$10-SUM(E$17:E38))</f>
        <v>19322827.651203301</v>
      </c>
      <c r="E39" s="522">
        <f>IF(+I14&lt;F38,I14,D39)</f>
        <v>881633.92857142852</v>
      </c>
      <c r="F39" s="523">
        <f t="shared" si="17"/>
        <v>18441193.722631872</v>
      </c>
      <c r="G39" s="524">
        <f t="shared" si="18"/>
        <v>3266937.6892467183</v>
      </c>
      <c r="H39" s="491">
        <f t="shared" si="19"/>
        <v>3266937.6892467183</v>
      </c>
      <c r="I39" s="511">
        <f t="shared" si="0"/>
        <v>0</v>
      </c>
      <c r="J39" s="511"/>
      <c r="K39" s="525"/>
      <c r="L39" s="514">
        <f t="shared" si="1"/>
        <v>0</v>
      </c>
      <c r="M39" s="525"/>
      <c r="N39" s="514">
        <f t="shared" si="2"/>
        <v>0</v>
      </c>
      <c r="O39" s="514">
        <f t="shared" si="3"/>
        <v>0</v>
      </c>
      <c r="P39" s="272"/>
    </row>
    <row r="40" spans="2:16" ht="12.5">
      <c r="B40" s="195" t="str">
        <f t="shared" si="6"/>
        <v/>
      </c>
      <c r="C40" s="507">
        <f>IF(D11="","-",+C39+1)</f>
        <v>2032</v>
      </c>
      <c r="D40" s="523">
        <f>IF(F39+SUM(E$17:E39)=D$10,F39,D$10-SUM(E$17:E39))</f>
        <v>18441193.722631872</v>
      </c>
      <c r="E40" s="522">
        <f>IF(+I14&lt;F39,I14,D40)</f>
        <v>881633.92857142852</v>
      </c>
      <c r="F40" s="523">
        <f t="shared" si="17"/>
        <v>17559559.794060443</v>
      </c>
      <c r="G40" s="524">
        <f t="shared" si="18"/>
        <v>3155563.7068764293</v>
      </c>
      <c r="H40" s="491">
        <f t="shared" si="19"/>
        <v>3155563.7068764293</v>
      </c>
      <c r="I40" s="511">
        <f t="shared" si="0"/>
        <v>0</v>
      </c>
      <c r="J40" s="511"/>
      <c r="K40" s="525"/>
      <c r="L40" s="514">
        <f t="shared" si="1"/>
        <v>0</v>
      </c>
      <c r="M40" s="525"/>
      <c r="N40" s="514">
        <f t="shared" si="2"/>
        <v>0</v>
      </c>
      <c r="O40" s="514">
        <f t="shared" si="3"/>
        <v>0</v>
      </c>
      <c r="P40" s="272"/>
    </row>
    <row r="41" spans="2:16" ht="12.5">
      <c r="B41" s="195" t="str">
        <f t="shared" si="6"/>
        <v/>
      </c>
      <c r="C41" s="507">
        <f>IF(D11="","-",+C40+1)</f>
        <v>2033</v>
      </c>
      <c r="D41" s="523">
        <f>IF(F40+SUM(E$17:E40)=D$10,F40,D$10-SUM(E$17:E40))</f>
        <v>17559559.794060443</v>
      </c>
      <c r="E41" s="522">
        <f>IF(+I14&lt;F40,I14,D41)</f>
        <v>881633.92857142852</v>
      </c>
      <c r="F41" s="523">
        <f t="shared" si="17"/>
        <v>16677925.865489013</v>
      </c>
      <c r="G41" s="524">
        <f t="shared" si="18"/>
        <v>3044189.7245061412</v>
      </c>
      <c r="H41" s="491">
        <f t="shared" si="19"/>
        <v>3044189.7245061412</v>
      </c>
      <c r="I41" s="511">
        <f t="shared" si="0"/>
        <v>0</v>
      </c>
      <c r="J41" s="511"/>
      <c r="K41" s="525"/>
      <c r="L41" s="514">
        <f t="shared" si="1"/>
        <v>0</v>
      </c>
      <c r="M41" s="525"/>
      <c r="N41" s="514">
        <f t="shared" si="2"/>
        <v>0</v>
      </c>
      <c r="O41" s="514">
        <f t="shared" si="3"/>
        <v>0</v>
      </c>
      <c r="P41" s="272"/>
    </row>
    <row r="42" spans="2:16" ht="12.5">
      <c r="B42" s="195" t="str">
        <f t="shared" si="6"/>
        <v/>
      </c>
      <c r="C42" s="507">
        <f>IF(D11="","-",+C41+1)</f>
        <v>2034</v>
      </c>
      <c r="D42" s="523">
        <f>IF(F41+SUM(E$17:E41)=D$10,F41,D$10-SUM(E$17:E41))</f>
        <v>16677925.865489013</v>
      </c>
      <c r="E42" s="522">
        <f>IF(+I14&lt;F41,I14,D42)</f>
        <v>881633.92857142852</v>
      </c>
      <c r="F42" s="523">
        <f t="shared" si="17"/>
        <v>15796291.936917584</v>
      </c>
      <c r="G42" s="524">
        <f t="shared" si="18"/>
        <v>2932815.7421358521</v>
      </c>
      <c r="H42" s="491">
        <f t="shared" si="19"/>
        <v>2932815.7421358521</v>
      </c>
      <c r="I42" s="511">
        <f t="shared" si="0"/>
        <v>0</v>
      </c>
      <c r="J42" s="511"/>
      <c r="K42" s="525"/>
      <c r="L42" s="514">
        <f t="shared" si="1"/>
        <v>0</v>
      </c>
      <c r="M42" s="525"/>
      <c r="N42" s="514">
        <f t="shared" si="2"/>
        <v>0</v>
      </c>
      <c r="O42" s="514">
        <f t="shared" si="3"/>
        <v>0</v>
      </c>
      <c r="P42" s="272"/>
    </row>
    <row r="43" spans="2:16" ht="12.5">
      <c r="B43" s="195" t="str">
        <f t="shared" si="6"/>
        <v/>
      </c>
      <c r="C43" s="507">
        <f>IF(D11="","-",+C42+1)</f>
        <v>2035</v>
      </c>
      <c r="D43" s="523">
        <f>IF(F42+SUM(E$17:E42)=D$10,F42,D$10-SUM(E$17:E42))</f>
        <v>15796291.936917584</v>
      </c>
      <c r="E43" s="522">
        <f>IF(+I14&lt;F42,I14,D43)</f>
        <v>881633.92857142852</v>
      </c>
      <c r="F43" s="523">
        <f t="shared" si="17"/>
        <v>14914658.008346155</v>
      </c>
      <c r="G43" s="524">
        <f t="shared" si="18"/>
        <v>2821441.7597655635</v>
      </c>
      <c r="H43" s="491">
        <f t="shared" si="19"/>
        <v>2821441.7597655635</v>
      </c>
      <c r="I43" s="511">
        <f t="shared" si="0"/>
        <v>0</v>
      </c>
      <c r="J43" s="511"/>
      <c r="K43" s="525"/>
      <c r="L43" s="514">
        <f t="shared" si="1"/>
        <v>0</v>
      </c>
      <c r="M43" s="525"/>
      <c r="N43" s="514">
        <f t="shared" si="2"/>
        <v>0</v>
      </c>
      <c r="O43" s="514">
        <f t="shared" si="3"/>
        <v>0</v>
      </c>
      <c r="P43" s="272"/>
    </row>
    <row r="44" spans="2:16" ht="12.5">
      <c r="B44" s="195" t="str">
        <f t="shared" si="6"/>
        <v/>
      </c>
      <c r="C44" s="507">
        <f>IF(D11="","-",+C43+1)</f>
        <v>2036</v>
      </c>
      <c r="D44" s="523">
        <f>IF(F43+SUM(E$17:E43)=D$10,F43,D$10-SUM(E$17:E43))</f>
        <v>14914658.008346155</v>
      </c>
      <c r="E44" s="522">
        <f>IF(+I14&lt;F43,I14,D44)</f>
        <v>881633.92857142852</v>
      </c>
      <c r="F44" s="523">
        <f t="shared" si="17"/>
        <v>14033024.079774726</v>
      </c>
      <c r="G44" s="524">
        <f t="shared" si="18"/>
        <v>2710067.777395275</v>
      </c>
      <c r="H44" s="491">
        <f t="shared" si="19"/>
        <v>2710067.777395275</v>
      </c>
      <c r="I44" s="511">
        <f t="shared" si="0"/>
        <v>0</v>
      </c>
      <c r="J44" s="511"/>
      <c r="K44" s="525"/>
      <c r="L44" s="514">
        <f t="shared" si="1"/>
        <v>0</v>
      </c>
      <c r="M44" s="525"/>
      <c r="N44" s="514">
        <f t="shared" si="2"/>
        <v>0</v>
      </c>
      <c r="O44" s="514">
        <f t="shared" si="3"/>
        <v>0</v>
      </c>
      <c r="P44" s="272"/>
    </row>
    <row r="45" spans="2:16" ht="12.5">
      <c r="B45" s="195" t="str">
        <f t="shared" si="6"/>
        <v/>
      </c>
      <c r="C45" s="507">
        <f>IF(D11="","-",+C44+1)</f>
        <v>2037</v>
      </c>
      <c r="D45" s="523">
        <f>IF(F44+SUM(E$17:E44)=D$10,F44,D$10-SUM(E$17:E44))</f>
        <v>14033024.079774726</v>
      </c>
      <c r="E45" s="522">
        <f>IF(+I14&lt;F44,I14,D45)</f>
        <v>881633.92857142852</v>
      </c>
      <c r="F45" s="523">
        <f t="shared" si="17"/>
        <v>13151390.151203297</v>
      </c>
      <c r="G45" s="524">
        <f t="shared" si="18"/>
        <v>2598693.7950249864</v>
      </c>
      <c r="H45" s="491">
        <f t="shared" si="19"/>
        <v>2598693.7950249864</v>
      </c>
      <c r="I45" s="511">
        <f t="shared" si="0"/>
        <v>0</v>
      </c>
      <c r="J45" s="511"/>
      <c r="K45" s="525"/>
      <c r="L45" s="514">
        <f t="shared" si="1"/>
        <v>0</v>
      </c>
      <c r="M45" s="525"/>
      <c r="N45" s="514">
        <f t="shared" si="2"/>
        <v>0</v>
      </c>
      <c r="O45" s="514">
        <f t="shared" si="3"/>
        <v>0</v>
      </c>
      <c r="P45" s="272"/>
    </row>
    <row r="46" spans="2:16" ht="12.5">
      <c r="B46" s="195" t="str">
        <f t="shared" si="6"/>
        <v/>
      </c>
      <c r="C46" s="507">
        <f>IF(D11="","-",+C45+1)</f>
        <v>2038</v>
      </c>
      <c r="D46" s="523">
        <f>IF(F45+SUM(E$17:E45)=D$10,F45,D$10-SUM(E$17:E45))</f>
        <v>13151390.151203297</v>
      </c>
      <c r="E46" s="522">
        <f>IF(+I14&lt;F45,I14,D46)</f>
        <v>881633.92857142852</v>
      </c>
      <c r="F46" s="523">
        <f t="shared" si="17"/>
        <v>12269756.222631868</v>
      </c>
      <c r="G46" s="524">
        <f t="shared" si="18"/>
        <v>2487319.8126546978</v>
      </c>
      <c r="H46" s="491">
        <f t="shared" si="19"/>
        <v>2487319.8126546978</v>
      </c>
      <c r="I46" s="511">
        <f t="shared" si="0"/>
        <v>0</v>
      </c>
      <c r="J46" s="511"/>
      <c r="K46" s="525"/>
      <c r="L46" s="514">
        <f t="shared" si="1"/>
        <v>0</v>
      </c>
      <c r="M46" s="525"/>
      <c r="N46" s="514">
        <f t="shared" si="2"/>
        <v>0</v>
      </c>
      <c r="O46" s="514">
        <f t="shared" si="3"/>
        <v>0</v>
      </c>
      <c r="P46" s="272"/>
    </row>
    <row r="47" spans="2:16" ht="12.5">
      <c r="B47" s="195" t="str">
        <f t="shared" si="6"/>
        <v/>
      </c>
      <c r="C47" s="507">
        <f>IF(D11="","-",+C46+1)</f>
        <v>2039</v>
      </c>
      <c r="D47" s="523">
        <f>IF(F46+SUM(E$17:E46)=D$10,F46,D$10-SUM(E$17:E46))</f>
        <v>12269756.222631868</v>
      </c>
      <c r="E47" s="522">
        <f>IF(+I14&lt;F46,I14,D47)</f>
        <v>881633.92857142852</v>
      </c>
      <c r="F47" s="523">
        <f t="shared" si="17"/>
        <v>11388122.294060439</v>
      </c>
      <c r="G47" s="524">
        <f t="shared" si="18"/>
        <v>2375945.8302844097</v>
      </c>
      <c r="H47" s="491">
        <f t="shared" si="19"/>
        <v>2375945.8302844097</v>
      </c>
      <c r="I47" s="511">
        <f t="shared" si="0"/>
        <v>0</v>
      </c>
      <c r="J47" s="511"/>
      <c r="K47" s="525"/>
      <c r="L47" s="514">
        <f t="shared" si="1"/>
        <v>0</v>
      </c>
      <c r="M47" s="525"/>
      <c r="N47" s="514">
        <f t="shared" si="2"/>
        <v>0</v>
      </c>
      <c r="O47" s="514">
        <f t="shared" si="3"/>
        <v>0</v>
      </c>
      <c r="P47" s="272"/>
    </row>
    <row r="48" spans="2:16" ht="12.5">
      <c r="B48" s="195" t="str">
        <f t="shared" si="6"/>
        <v/>
      </c>
      <c r="C48" s="507">
        <f>IF(D11="","-",+C47+1)</f>
        <v>2040</v>
      </c>
      <c r="D48" s="523">
        <f>IF(F47+SUM(E$17:E47)=D$10,F47,D$10-SUM(E$17:E47))</f>
        <v>11388122.294060439</v>
      </c>
      <c r="E48" s="522">
        <f>IF(+I14&lt;F47,I14,D48)</f>
        <v>881633.92857142852</v>
      </c>
      <c r="F48" s="523">
        <f t="shared" si="17"/>
        <v>10506488.36548901</v>
      </c>
      <c r="G48" s="524">
        <f t="shared" si="18"/>
        <v>2264571.8479141211</v>
      </c>
      <c r="H48" s="491">
        <f t="shared" si="19"/>
        <v>2264571.8479141211</v>
      </c>
      <c r="I48" s="511">
        <f t="shared" si="0"/>
        <v>0</v>
      </c>
      <c r="J48" s="511"/>
      <c r="K48" s="525"/>
      <c r="L48" s="514">
        <f t="shared" si="1"/>
        <v>0</v>
      </c>
      <c r="M48" s="525"/>
      <c r="N48" s="514">
        <f t="shared" si="2"/>
        <v>0</v>
      </c>
      <c r="O48" s="514">
        <f t="shared" si="3"/>
        <v>0</v>
      </c>
      <c r="P48" s="272"/>
    </row>
    <row r="49" spans="2:17" ht="12.5">
      <c r="B49" s="195" t="str">
        <f t="shared" si="6"/>
        <v/>
      </c>
      <c r="C49" s="507">
        <f>IF(D11="","-",+C48+1)</f>
        <v>2041</v>
      </c>
      <c r="D49" s="523">
        <f>IF(F48+SUM(E$17:E48)=D$10,F48,D$10-SUM(E$17:E48))</f>
        <v>10506488.36548901</v>
      </c>
      <c r="E49" s="522">
        <f>IF(+I14&lt;F48,I14,D49)</f>
        <v>881633.92857142852</v>
      </c>
      <c r="F49" s="523">
        <f t="shared" ref="F49:F72" si="20">+D49-E49</f>
        <v>9624854.4369175807</v>
      </c>
      <c r="G49" s="524">
        <f t="shared" si="18"/>
        <v>2153197.8655438325</v>
      </c>
      <c r="H49" s="491">
        <f t="shared" si="19"/>
        <v>2153197.8655438325</v>
      </c>
      <c r="I49" s="511">
        <f t="shared" ref="I49:I72" si="21">H49-G49</f>
        <v>0</v>
      </c>
      <c r="J49" s="511"/>
      <c r="K49" s="525"/>
      <c r="L49" s="514">
        <f t="shared" ref="L49:L72" si="22">IF(K49&lt;&gt;0,+G49-K49,0)</f>
        <v>0</v>
      </c>
      <c r="M49" s="525"/>
      <c r="N49" s="514">
        <f t="shared" ref="N49:N72" si="23">IF(M49&lt;&gt;0,+H49-M49,0)</f>
        <v>0</v>
      </c>
      <c r="O49" s="514">
        <f t="shared" ref="O49:O72" si="24">+N49-L49</f>
        <v>0</v>
      </c>
      <c r="P49" s="272"/>
    </row>
    <row r="50" spans="2:17" ht="12.5">
      <c r="B50" s="195" t="str">
        <f t="shared" si="6"/>
        <v/>
      </c>
      <c r="C50" s="507">
        <f>IF(D11="","-",+C49+1)</f>
        <v>2042</v>
      </c>
      <c r="D50" s="523">
        <f>IF(F49+SUM(E$17:E49)=D$10,F49,D$10-SUM(E$17:E49))</f>
        <v>9624854.4369175807</v>
      </c>
      <c r="E50" s="522">
        <f>IF(+I14&lt;F49,I14,D50)</f>
        <v>881633.92857142852</v>
      </c>
      <c r="F50" s="523">
        <f t="shared" si="20"/>
        <v>8743220.5083461516</v>
      </c>
      <c r="G50" s="524">
        <f t="shared" si="18"/>
        <v>2041823.883173544</v>
      </c>
      <c r="H50" s="491">
        <f t="shared" si="19"/>
        <v>2041823.883173544</v>
      </c>
      <c r="I50" s="511">
        <f t="shared" si="21"/>
        <v>0</v>
      </c>
      <c r="J50" s="511"/>
      <c r="K50" s="525"/>
      <c r="L50" s="514">
        <f t="shared" si="22"/>
        <v>0</v>
      </c>
      <c r="M50" s="525"/>
      <c r="N50" s="514">
        <f t="shared" si="23"/>
        <v>0</v>
      </c>
      <c r="O50" s="514">
        <f t="shared" si="24"/>
        <v>0</v>
      </c>
      <c r="P50" s="272"/>
    </row>
    <row r="51" spans="2:17" ht="12.5">
      <c r="B51" s="195" t="str">
        <f t="shared" si="6"/>
        <v/>
      </c>
      <c r="C51" s="507">
        <f>IF(D11="","-",+C50+1)</f>
        <v>2043</v>
      </c>
      <c r="D51" s="523">
        <f>IF(F50+SUM(E$17:E50)=D$10,F50,D$10-SUM(E$17:E50))</f>
        <v>8743220.5083461516</v>
      </c>
      <c r="E51" s="522">
        <f>IF(+I14&lt;F50,I14,D51)</f>
        <v>881633.92857142852</v>
      </c>
      <c r="F51" s="523">
        <f t="shared" si="20"/>
        <v>7861586.5797747234</v>
      </c>
      <c r="G51" s="524">
        <f t="shared" si="18"/>
        <v>1930449.9008032554</v>
      </c>
      <c r="H51" s="491">
        <f t="shared" si="19"/>
        <v>1930449.9008032554</v>
      </c>
      <c r="I51" s="511">
        <f t="shared" si="21"/>
        <v>0</v>
      </c>
      <c r="J51" s="511"/>
      <c r="K51" s="525"/>
      <c r="L51" s="514">
        <f t="shared" si="22"/>
        <v>0</v>
      </c>
      <c r="M51" s="525"/>
      <c r="N51" s="514">
        <f t="shared" si="23"/>
        <v>0</v>
      </c>
      <c r="O51" s="514">
        <f t="shared" si="24"/>
        <v>0</v>
      </c>
      <c r="P51" s="272"/>
    </row>
    <row r="52" spans="2:17" ht="12.5">
      <c r="B52" s="195" t="str">
        <f t="shared" si="6"/>
        <v/>
      </c>
      <c r="C52" s="507">
        <f>IF(D11="","-",+C51+1)</f>
        <v>2044</v>
      </c>
      <c r="D52" s="523">
        <f>IF(F51+SUM(E$17:E51)=D$10,F51,D$10-SUM(E$17:E51))</f>
        <v>7861586.5797747234</v>
      </c>
      <c r="E52" s="522">
        <f>IF(+I14&lt;F51,I14,D52)</f>
        <v>881633.92857142852</v>
      </c>
      <c r="F52" s="523">
        <f t="shared" si="20"/>
        <v>6979952.6512032952</v>
      </c>
      <c r="G52" s="524">
        <f t="shared" si="18"/>
        <v>1819075.9184329668</v>
      </c>
      <c r="H52" s="491">
        <f t="shared" si="19"/>
        <v>1819075.9184329668</v>
      </c>
      <c r="I52" s="511">
        <f t="shared" si="21"/>
        <v>0</v>
      </c>
      <c r="J52" s="511"/>
      <c r="K52" s="525"/>
      <c r="L52" s="514">
        <f t="shared" si="22"/>
        <v>0</v>
      </c>
      <c r="M52" s="525"/>
      <c r="N52" s="514">
        <f t="shared" si="23"/>
        <v>0</v>
      </c>
      <c r="O52" s="514">
        <f t="shared" si="24"/>
        <v>0</v>
      </c>
      <c r="P52" s="272"/>
    </row>
    <row r="53" spans="2:17" ht="12.5">
      <c r="B53" s="195" t="str">
        <f t="shared" si="6"/>
        <v/>
      </c>
      <c r="C53" s="507">
        <f>IF(D11="","-",+C52+1)</f>
        <v>2045</v>
      </c>
      <c r="D53" s="523">
        <f>IF(F52+SUM(E$17:E52)=D$10,F52,D$10-SUM(E$17:E52))</f>
        <v>6979952.6512032952</v>
      </c>
      <c r="E53" s="522">
        <f>IF(+I14&lt;F52,I14,D53)</f>
        <v>881633.92857142852</v>
      </c>
      <c r="F53" s="523">
        <f t="shared" si="20"/>
        <v>6098318.722631867</v>
      </c>
      <c r="G53" s="524">
        <f t="shared" si="18"/>
        <v>1707701.9360626782</v>
      </c>
      <c r="H53" s="491">
        <f t="shared" si="19"/>
        <v>1707701.9360626782</v>
      </c>
      <c r="I53" s="511">
        <f t="shared" si="21"/>
        <v>0</v>
      </c>
      <c r="J53" s="511"/>
      <c r="K53" s="525"/>
      <c r="L53" s="514">
        <f t="shared" si="22"/>
        <v>0</v>
      </c>
      <c r="M53" s="525"/>
      <c r="N53" s="514">
        <f t="shared" si="23"/>
        <v>0</v>
      </c>
      <c r="O53" s="514">
        <f t="shared" si="24"/>
        <v>0</v>
      </c>
      <c r="P53" s="272"/>
    </row>
    <row r="54" spans="2:17" ht="12.5">
      <c r="B54" s="195" t="str">
        <f t="shared" si="6"/>
        <v/>
      </c>
      <c r="C54" s="507">
        <f>IF(D11="","-",+C53+1)</f>
        <v>2046</v>
      </c>
      <c r="D54" s="523">
        <f>IF(F53+SUM(E$17:E53)=D$10,F53,D$10-SUM(E$17:E53))</f>
        <v>6098318.722631867</v>
      </c>
      <c r="E54" s="522">
        <f>IF(+I14&lt;F53,I14,D54)</f>
        <v>881633.92857142852</v>
      </c>
      <c r="F54" s="523">
        <f t="shared" si="20"/>
        <v>5216684.7940604389</v>
      </c>
      <c r="G54" s="524">
        <f t="shared" si="18"/>
        <v>1596327.9536923901</v>
      </c>
      <c r="H54" s="491">
        <f t="shared" si="19"/>
        <v>1596327.9536923901</v>
      </c>
      <c r="I54" s="511">
        <f t="shared" si="21"/>
        <v>0</v>
      </c>
      <c r="J54" s="511"/>
      <c r="K54" s="525"/>
      <c r="L54" s="514">
        <f t="shared" si="22"/>
        <v>0</v>
      </c>
      <c r="M54" s="525"/>
      <c r="N54" s="514">
        <f t="shared" si="23"/>
        <v>0</v>
      </c>
      <c r="O54" s="514">
        <f t="shared" si="24"/>
        <v>0</v>
      </c>
      <c r="P54" s="272"/>
    </row>
    <row r="55" spans="2:17" ht="12.5">
      <c r="B55" s="195" t="str">
        <f t="shared" si="6"/>
        <v/>
      </c>
      <c r="C55" s="507">
        <f>IF(D11="","-",+C54+1)</f>
        <v>2047</v>
      </c>
      <c r="D55" s="523">
        <f>IF(F54+SUM(E$17:E54)=D$10,F54,D$10-SUM(E$17:E54))</f>
        <v>5216684.7940604389</v>
      </c>
      <c r="E55" s="522">
        <f>IF(+I14&lt;F54,I14,D55)</f>
        <v>881633.92857142852</v>
      </c>
      <c r="F55" s="523">
        <f t="shared" si="20"/>
        <v>4335050.8654890107</v>
      </c>
      <c r="G55" s="524">
        <f t="shared" si="18"/>
        <v>1484953.9713221015</v>
      </c>
      <c r="H55" s="491">
        <f t="shared" si="19"/>
        <v>1484953.9713221015</v>
      </c>
      <c r="I55" s="511">
        <f t="shared" si="21"/>
        <v>0</v>
      </c>
      <c r="J55" s="511"/>
      <c r="K55" s="525"/>
      <c r="L55" s="514">
        <f t="shared" si="22"/>
        <v>0</v>
      </c>
      <c r="M55" s="525"/>
      <c r="N55" s="514">
        <f t="shared" si="23"/>
        <v>0</v>
      </c>
      <c r="O55" s="514">
        <f t="shared" si="24"/>
        <v>0</v>
      </c>
      <c r="P55" s="272"/>
    </row>
    <row r="56" spans="2:17" ht="12.5">
      <c r="B56" s="195" t="str">
        <f t="shared" si="6"/>
        <v/>
      </c>
      <c r="C56" s="507">
        <f>IF(D11="","-",+C55+1)</f>
        <v>2048</v>
      </c>
      <c r="D56" s="523">
        <f>IF(F55+SUM(E$17:E55)=D$10,F55,D$10-SUM(E$17:E55))</f>
        <v>4335050.8654890107</v>
      </c>
      <c r="E56" s="522">
        <f>IF(+I14&lt;F55,I14,D56)</f>
        <v>881633.92857142852</v>
      </c>
      <c r="F56" s="523">
        <f t="shared" si="20"/>
        <v>3453416.9369175821</v>
      </c>
      <c r="G56" s="524">
        <f t="shared" si="18"/>
        <v>1373579.988951813</v>
      </c>
      <c r="H56" s="491">
        <f t="shared" si="19"/>
        <v>1373579.988951813</v>
      </c>
      <c r="I56" s="511">
        <f t="shared" si="21"/>
        <v>0</v>
      </c>
      <c r="J56" s="511"/>
      <c r="K56" s="525"/>
      <c r="L56" s="514">
        <f t="shared" si="22"/>
        <v>0</v>
      </c>
      <c r="M56" s="525"/>
      <c r="N56" s="514">
        <f t="shared" si="23"/>
        <v>0</v>
      </c>
      <c r="O56" s="514">
        <f t="shared" si="24"/>
        <v>0</v>
      </c>
      <c r="P56" s="272"/>
    </row>
    <row r="57" spans="2:17" ht="12.5">
      <c r="B57" s="195" t="str">
        <f t="shared" si="6"/>
        <v/>
      </c>
      <c r="C57" s="507">
        <f>IF(D11="","-",+C56+1)</f>
        <v>2049</v>
      </c>
      <c r="D57" s="523">
        <f>IF(F56+SUM(E$17:E56)=D$10,F56,D$10-SUM(E$17:E56))</f>
        <v>3453416.9369175821</v>
      </c>
      <c r="E57" s="522">
        <f>IF(+I14&lt;F56,I14,D57)</f>
        <v>881633.92857142852</v>
      </c>
      <c r="F57" s="523">
        <f t="shared" si="20"/>
        <v>2571783.0083461534</v>
      </c>
      <c r="G57" s="524">
        <f t="shared" si="18"/>
        <v>1262206.0065815246</v>
      </c>
      <c r="H57" s="491">
        <f t="shared" si="19"/>
        <v>1262206.0065815246</v>
      </c>
      <c r="I57" s="511">
        <f t="shared" si="21"/>
        <v>0</v>
      </c>
      <c r="J57" s="511"/>
      <c r="K57" s="525"/>
      <c r="L57" s="514">
        <f t="shared" si="22"/>
        <v>0</v>
      </c>
      <c r="M57" s="525"/>
      <c r="N57" s="514">
        <f t="shared" si="23"/>
        <v>0</v>
      </c>
      <c r="O57" s="514">
        <f t="shared" si="24"/>
        <v>0</v>
      </c>
      <c r="P57" s="272"/>
    </row>
    <row r="58" spans="2:17" ht="12.5">
      <c r="B58" s="195" t="str">
        <f t="shared" si="6"/>
        <v/>
      </c>
      <c r="C58" s="507">
        <f>IF(D11="","-",+C57+1)</f>
        <v>2050</v>
      </c>
      <c r="D58" s="523">
        <f>IF(F57+SUM(E$17:E57)=D$10,F57,D$10-SUM(E$17:E57))</f>
        <v>2571783.0083461534</v>
      </c>
      <c r="E58" s="522">
        <f>IF(+I14&lt;F57,I14,D58)</f>
        <v>881633.92857142852</v>
      </c>
      <c r="F58" s="523">
        <f t="shared" si="20"/>
        <v>1690149.0797747248</v>
      </c>
      <c r="G58" s="524">
        <f t="shared" si="18"/>
        <v>1150832.024211236</v>
      </c>
      <c r="H58" s="491">
        <f t="shared" si="19"/>
        <v>1150832.024211236</v>
      </c>
      <c r="I58" s="511">
        <f t="shared" si="21"/>
        <v>0</v>
      </c>
      <c r="J58" s="511"/>
      <c r="K58" s="525"/>
      <c r="L58" s="514">
        <f t="shared" si="22"/>
        <v>0</v>
      </c>
      <c r="M58" s="525"/>
      <c r="N58" s="514">
        <f t="shared" si="23"/>
        <v>0</v>
      </c>
      <c r="O58" s="514">
        <f t="shared" si="24"/>
        <v>0</v>
      </c>
      <c r="P58" s="272"/>
      <c r="Q58" s="183" t="str">
        <f>IF(ROUND(Q57,0)=ROUND(SUM(Q18:Q56),0),"","Error -- check allocations above).")</f>
        <v/>
      </c>
    </row>
    <row r="59" spans="2:17" ht="12.5">
      <c r="B59" s="195" t="str">
        <f t="shared" si="6"/>
        <v/>
      </c>
      <c r="C59" s="507">
        <f>IF(D11="","-",+C58+1)</f>
        <v>2051</v>
      </c>
      <c r="D59" s="523">
        <f>IF(F58+SUM(E$17:E58)=D$10,F58,D$10-SUM(E$17:E58))</f>
        <v>1690149.0797747248</v>
      </c>
      <c r="E59" s="522">
        <f>IF(+I14&lt;F58,I14,D59)</f>
        <v>881633.92857142852</v>
      </c>
      <c r="F59" s="523">
        <f t="shared" si="20"/>
        <v>808515.15120329626</v>
      </c>
      <c r="G59" s="524">
        <f t="shared" si="18"/>
        <v>1039458.0418409477</v>
      </c>
      <c r="H59" s="491">
        <f t="shared" si="19"/>
        <v>1039458.0418409477</v>
      </c>
      <c r="I59" s="511">
        <f t="shared" si="21"/>
        <v>0</v>
      </c>
      <c r="J59" s="511"/>
      <c r="K59" s="525"/>
      <c r="L59" s="514">
        <f t="shared" si="22"/>
        <v>0</v>
      </c>
      <c r="M59" s="525"/>
      <c r="N59" s="514">
        <f t="shared" si="23"/>
        <v>0</v>
      </c>
      <c r="O59" s="514">
        <f t="shared" si="24"/>
        <v>0</v>
      </c>
      <c r="P59" s="272"/>
    </row>
    <row r="60" spans="2:17" ht="12.5">
      <c r="B60" s="195" t="str">
        <f t="shared" si="6"/>
        <v/>
      </c>
      <c r="C60" s="507">
        <f>IF(D11="","-",+C59+1)</f>
        <v>2052</v>
      </c>
      <c r="D60" s="523">
        <f>IF(F59+SUM(E$17:E59)=D$10,F59,D$10-SUM(E$17:E59))</f>
        <v>808515.15120329626</v>
      </c>
      <c r="E60" s="522">
        <f>IF(+I14&lt;F59,I14,D60)</f>
        <v>808515.15120329626</v>
      </c>
      <c r="F60" s="523">
        <f t="shared" si="20"/>
        <v>0</v>
      </c>
      <c r="G60" s="524">
        <f t="shared" si="18"/>
        <v>859583.71224548365</v>
      </c>
      <c r="H60" s="491">
        <f t="shared" si="19"/>
        <v>859583.71224548365</v>
      </c>
      <c r="I60" s="511">
        <f t="shared" si="21"/>
        <v>0</v>
      </c>
      <c r="J60" s="511"/>
      <c r="K60" s="525"/>
      <c r="L60" s="514">
        <f t="shared" si="22"/>
        <v>0</v>
      </c>
      <c r="M60" s="525"/>
      <c r="N60" s="514">
        <f t="shared" si="23"/>
        <v>0</v>
      </c>
      <c r="O60" s="514">
        <f t="shared" si="24"/>
        <v>0</v>
      </c>
      <c r="P60" s="272"/>
    </row>
    <row r="61" spans="2:17" ht="12.5">
      <c r="B61" s="195" t="str">
        <f t="shared" si="6"/>
        <v/>
      </c>
      <c r="C61" s="507">
        <f>IF(D11="","-",+C60+1)</f>
        <v>2053</v>
      </c>
      <c r="D61" s="523">
        <f>IF(F60+SUM(E$17:E60)=D$10,F60,D$10-SUM(E$17:E60))</f>
        <v>0</v>
      </c>
      <c r="E61" s="522">
        <f>IF(+I14&lt;F60,I14,D61)</f>
        <v>0</v>
      </c>
      <c r="F61" s="523">
        <f t="shared" si="20"/>
        <v>0</v>
      </c>
      <c r="G61" s="526">
        <f t="shared" si="18"/>
        <v>0</v>
      </c>
      <c r="H61" s="491">
        <f t="shared" si="19"/>
        <v>0</v>
      </c>
      <c r="I61" s="511">
        <f t="shared" si="21"/>
        <v>0</v>
      </c>
      <c r="J61" s="511"/>
      <c r="K61" s="525"/>
      <c r="L61" s="514">
        <f t="shared" si="22"/>
        <v>0</v>
      </c>
      <c r="M61" s="525"/>
      <c r="N61" s="514">
        <f t="shared" si="23"/>
        <v>0</v>
      </c>
      <c r="O61" s="514">
        <f t="shared" si="24"/>
        <v>0</v>
      </c>
      <c r="P61" s="272"/>
    </row>
    <row r="62" spans="2:17" ht="12.5">
      <c r="B62" s="195" t="str">
        <f t="shared" si="6"/>
        <v/>
      </c>
      <c r="C62" s="507">
        <f>IF(D11="","-",+C61+1)</f>
        <v>2054</v>
      </c>
      <c r="D62" s="523">
        <f>IF(F61+SUM(E$17:E61)=D$10,F61,D$10-SUM(E$17:E61))</f>
        <v>0</v>
      </c>
      <c r="E62" s="522">
        <f>IF(+I14&lt;F61,I14,D62)</f>
        <v>0</v>
      </c>
      <c r="F62" s="523">
        <f t="shared" si="20"/>
        <v>0</v>
      </c>
      <c r="G62" s="526">
        <f t="shared" si="18"/>
        <v>0</v>
      </c>
      <c r="H62" s="491">
        <f t="shared" si="19"/>
        <v>0</v>
      </c>
      <c r="I62" s="511">
        <f t="shared" si="21"/>
        <v>0</v>
      </c>
      <c r="J62" s="511"/>
      <c r="K62" s="525"/>
      <c r="L62" s="514">
        <f t="shared" si="22"/>
        <v>0</v>
      </c>
      <c r="M62" s="525"/>
      <c r="N62" s="514">
        <f t="shared" si="23"/>
        <v>0</v>
      </c>
      <c r="O62" s="514">
        <f t="shared" si="24"/>
        <v>0</v>
      </c>
      <c r="P62" s="272"/>
    </row>
    <row r="63" spans="2:17" ht="12.5">
      <c r="B63" s="195" t="str">
        <f t="shared" si="6"/>
        <v/>
      </c>
      <c r="C63" s="507">
        <f>IF(D11="","-",+C62+1)</f>
        <v>2055</v>
      </c>
      <c r="D63" s="523">
        <f>IF(F62+SUM(E$17:E62)=D$10,F62,D$10-SUM(E$17:E62))</f>
        <v>0</v>
      </c>
      <c r="E63" s="522">
        <f>IF(+I14&lt;F62,I14,D63)</f>
        <v>0</v>
      </c>
      <c r="F63" s="523">
        <f t="shared" si="20"/>
        <v>0</v>
      </c>
      <c r="G63" s="526">
        <f t="shared" si="18"/>
        <v>0</v>
      </c>
      <c r="H63" s="491">
        <f t="shared" si="19"/>
        <v>0</v>
      </c>
      <c r="I63" s="511">
        <f t="shared" si="21"/>
        <v>0</v>
      </c>
      <c r="J63" s="511"/>
      <c r="K63" s="525"/>
      <c r="L63" s="514">
        <f t="shared" si="22"/>
        <v>0</v>
      </c>
      <c r="M63" s="525"/>
      <c r="N63" s="514">
        <f t="shared" si="23"/>
        <v>0</v>
      </c>
      <c r="O63" s="514">
        <f t="shared" si="24"/>
        <v>0</v>
      </c>
      <c r="P63" s="272"/>
    </row>
    <row r="64" spans="2:17" ht="12.5">
      <c r="B64" s="195" t="str">
        <f t="shared" si="6"/>
        <v/>
      </c>
      <c r="C64" s="507">
        <f>IF(D11="","-",+C63+1)</f>
        <v>2056</v>
      </c>
      <c r="D64" s="523">
        <f>IF(F63+SUM(E$17:E63)=D$10,F63,D$10-SUM(E$17:E63))</f>
        <v>0</v>
      </c>
      <c r="E64" s="522">
        <f>IF(+I14&lt;F63,I14,D64)</f>
        <v>0</v>
      </c>
      <c r="F64" s="523">
        <f t="shared" si="20"/>
        <v>0</v>
      </c>
      <c r="G64" s="526">
        <f t="shared" si="18"/>
        <v>0</v>
      </c>
      <c r="H64" s="491">
        <f t="shared" si="19"/>
        <v>0</v>
      </c>
      <c r="I64" s="511">
        <f t="shared" si="21"/>
        <v>0</v>
      </c>
      <c r="J64" s="511"/>
      <c r="K64" s="525"/>
      <c r="L64" s="514">
        <f t="shared" si="22"/>
        <v>0</v>
      </c>
      <c r="M64" s="525"/>
      <c r="N64" s="514">
        <f t="shared" si="23"/>
        <v>0</v>
      </c>
      <c r="O64" s="514">
        <f t="shared" si="24"/>
        <v>0</v>
      </c>
      <c r="P64" s="272"/>
    </row>
    <row r="65" spans="1:16" ht="12.5">
      <c r="B65" s="195" t="str">
        <f t="shared" si="6"/>
        <v/>
      </c>
      <c r="C65" s="507">
        <f>IF(D11="","-",+C64+1)</f>
        <v>2057</v>
      </c>
      <c r="D65" s="523">
        <f>IF(F64+SUM(E$17:E64)=D$10,F64,D$10-SUM(E$17:E64))</f>
        <v>0</v>
      </c>
      <c r="E65" s="522">
        <f>IF(+I14&lt;F64,I14,D65)</f>
        <v>0</v>
      </c>
      <c r="F65" s="523">
        <f t="shared" si="20"/>
        <v>0</v>
      </c>
      <c r="G65" s="526">
        <f t="shared" si="18"/>
        <v>0</v>
      </c>
      <c r="H65" s="491">
        <f t="shared" si="19"/>
        <v>0</v>
      </c>
      <c r="I65" s="511">
        <f t="shared" si="21"/>
        <v>0</v>
      </c>
      <c r="J65" s="511"/>
      <c r="K65" s="525"/>
      <c r="L65" s="514">
        <f t="shared" si="22"/>
        <v>0</v>
      </c>
      <c r="M65" s="525"/>
      <c r="N65" s="514">
        <f t="shared" si="23"/>
        <v>0</v>
      </c>
      <c r="O65" s="514">
        <f t="shared" si="24"/>
        <v>0</v>
      </c>
      <c r="P65" s="272"/>
    </row>
    <row r="66" spans="1:16" ht="12.5">
      <c r="B66" s="195" t="str">
        <f t="shared" si="6"/>
        <v/>
      </c>
      <c r="C66" s="507">
        <f>IF(D11="","-",+C65+1)</f>
        <v>2058</v>
      </c>
      <c r="D66" s="523">
        <f>IF(F65+SUM(E$17:E65)=D$10,F65,D$10-SUM(E$17:E65))</f>
        <v>0</v>
      </c>
      <c r="E66" s="522">
        <f>IF(+I14&lt;F65,I14,D66)</f>
        <v>0</v>
      </c>
      <c r="F66" s="523">
        <f t="shared" si="20"/>
        <v>0</v>
      </c>
      <c r="G66" s="526">
        <f t="shared" si="18"/>
        <v>0</v>
      </c>
      <c r="H66" s="491">
        <f t="shared" si="19"/>
        <v>0</v>
      </c>
      <c r="I66" s="511">
        <f t="shared" si="21"/>
        <v>0</v>
      </c>
      <c r="J66" s="511"/>
      <c r="K66" s="525"/>
      <c r="L66" s="514">
        <f t="shared" si="22"/>
        <v>0</v>
      </c>
      <c r="M66" s="525"/>
      <c r="N66" s="514">
        <f t="shared" si="23"/>
        <v>0</v>
      </c>
      <c r="O66" s="514">
        <f t="shared" si="24"/>
        <v>0</v>
      </c>
      <c r="P66" s="272"/>
    </row>
    <row r="67" spans="1:16" ht="12.5">
      <c r="B67" s="195" t="str">
        <f t="shared" si="6"/>
        <v/>
      </c>
      <c r="C67" s="507">
        <f>IF(D11="","-",+C66+1)</f>
        <v>2059</v>
      </c>
      <c r="D67" s="523">
        <f>IF(F66+SUM(E$17:E66)=D$10,F66,D$10-SUM(E$17:E66))</f>
        <v>0</v>
      </c>
      <c r="E67" s="522">
        <f>IF(+I14&lt;F66,I14,D67)</f>
        <v>0</v>
      </c>
      <c r="F67" s="523">
        <f t="shared" si="20"/>
        <v>0</v>
      </c>
      <c r="G67" s="526">
        <f t="shared" si="18"/>
        <v>0</v>
      </c>
      <c r="H67" s="491">
        <f t="shared" si="19"/>
        <v>0</v>
      </c>
      <c r="I67" s="511">
        <f t="shared" si="21"/>
        <v>0</v>
      </c>
      <c r="J67" s="511"/>
      <c r="K67" s="525"/>
      <c r="L67" s="514">
        <f t="shared" si="22"/>
        <v>0</v>
      </c>
      <c r="M67" s="525"/>
      <c r="N67" s="514">
        <f t="shared" si="23"/>
        <v>0</v>
      </c>
      <c r="O67" s="514">
        <f t="shared" si="24"/>
        <v>0</v>
      </c>
      <c r="P67" s="272"/>
    </row>
    <row r="68" spans="1:16" ht="12.5">
      <c r="B68" s="195" t="str">
        <f t="shared" si="6"/>
        <v/>
      </c>
      <c r="C68" s="507">
        <f>IF(D11="","-",+C67+1)</f>
        <v>2060</v>
      </c>
      <c r="D68" s="523">
        <f>IF(F67+SUM(E$17:E67)=D$10,F67,D$10-SUM(E$17:E67))</f>
        <v>0</v>
      </c>
      <c r="E68" s="522">
        <f>IF(+I14&lt;F67,I14,D68)</f>
        <v>0</v>
      </c>
      <c r="F68" s="523">
        <f t="shared" si="20"/>
        <v>0</v>
      </c>
      <c r="G68" s="526">
        <f t="shared" si="18"/>
        <v>0</v>
      </c>
      <c r="H68" s="491">
        <f t="shared" si="19"/>
        <v>0</v>
      </c>
      <c r="I68" s="511">
        <f t="shared" si="21"/>
        <v>0</v>
      </c>
      <c r="J68" s="511"/>
      <c r="K68" s="525"/>
      <c r="L68" s="514">
        <f t="shared" si="22"/>
        <v>0</v>
      </c>
      <c r="M68" s="525"/>
      <c r="N68" s="514">
        <f t="shared" si="23"/>
        <v>0</v>
      </c>
      <c r="O68" s="514">
        <f t="shared" si="24"/>
        <v>0</v>
      </c>
      <c r="P68" s="272"/>
    </row>
    <row r="69" spans="1:16" ht="12.5">
      <c r="B69" s="195" t="str">
        <f t="shared" si="6"/>
        <v/>
      </c>
      <c r="C69" s="507">
        <f>IF(D11="","-",+C68+1)</f>
        <v>2061</v>
      </c>
      <c r="D69" s="523">
        <f>IF(F68+SUM(E$17:E68)=D$10,F68,D$10-SUM(E$17:E68))</f>
        <v>0</v>
      </c>
      <c r="E69" s="522">
        <f>IF(+I14&lt;F68,I14,D69)</f>
        <v>0</v>
      </c>
      <c r="F69" s="523">
        <f t="shared" si="20"/>
        <v>0</v>
      </c>
      <c r="G69" s="526">
        <f t="shared" si="18"/>
        <v>0</v>
      </c>
      <c r="H69" s="491">
        <f t="shared" si="19"/>
        <v>0</v>
      </c>
      <c r="I69" s="511">
        <f t="shared" si="21"/>
        <v>0</v>
      </c>
      <c r="J69" s="511"/>
      <c r="K69" s="525"/>
      <c r="L69" s="514">
        <f t="shared" si="22"/>
        <v>0</v>
      </c>
      <c r="M69" s="525"/>
      <c r="N69" s="514">
        <f t="shared" si="23"/>
        <v>0</v>
      </c>
      <c r="O69" s="514">
        <f t="shared" si="24"/>
        <v>0</v>
      </c>
      <c r="P69" s="272"/>
    </row>
    <row r="70" spans="1:16" ht="12.5">
      <c r="B70" s="195" t="str">
        <f t="shared" si="6"/>
        <v/>
      </c>
      <c r="C70" s="507">
        <f>IF(D11="","-",+C69+1)</f>
        <v>2062</v>
      </c>
      <c r="D70" s="523">
        <f>IF(F69+SUM(E$17:E69)=D$10,F69,D$10-SUM(E$17:E69))</f>
        <v>0</v>
      </c>
      <c r="E70" s="522">
        <f>IF(+I14&lt;F69,I14,D70)</f>
        <v>0</v>
      </c>
      <c r="F70" s="523">
        <f t="shared" si="20"/>
        <v>0</v>
      </c>
      <c r="G70" s="526">
        <f t="shared" si="18"/>
        <v>0</v>
      </c>
      <c r="H70" s="491">
        <f t="shared" si="19"/>
        <v>0</v>
      </c>
      <c r="I70" s="511">
        <f t="shared" si="21"/>
        <v>0</v>
      </c>
      <c r="J70" s="511"/>
      <c r="K70" s="525"/>
      <c r="L70" s="514">
        <f t="shared" si="22"/>
        <v>0</v>
      </c>
      <c r="M70" s="525"/>
      <c r="N70" s="514">
        <f t="shared" si="23"/>
        <v>0</v>
      </c>
      <c r="O70" s="514">
        <f t="shared" si="24"/>
        <v>0</v>
      </c>
      <c r="P70" s="272"/>
    </row>
    <row r="71" spans="1:16" ht="12.5">
      <c r="B71" s="195" t="str">
        <f t="shared" si="6"/>
        <v/>
      </c>
      <c r="C71" s="507">
        <f>IF(D11="","-",+C70+1)</f>
        <v>2063</v>
      </c>
      <c r="D71" s="523">
        <f>IF(F70+SUM(E$17:E70)=D$10,F70,D$10-SUM(E$17:E70))</f>
        <v>0</v>
      </c>
      <c r="E71" s="522">
        <f>IF(+I14&lt;F70,I14,D71)</f>
        <v>0</v>
      </c>
      <c r="F71" s="523">
        <f t="shared" si="20"/>
        <v>0</v>
      </c>
      <c r="G71" s="526">
        <f t="shared" si="18"/>
        <v>0</v>
      </c>
      <c r="H71" s="491">
        <f t="shared" si="19"/>
        <v>0</v>
      </c>
      <c r="I71" s="511">
        <f t="shared" si="21"/>
        <v>0</v>
      </c>
      <c r="J71" s="511"/>
      <c r="K71" s="525"/>
      <c r="L71" s="514">
        <f t="shared" si="22"/>
        <v>0</v>
      </c>
      <c r="M71" s="525"/>
      <c r="N71" s="514">
        <f t="shared" si="23"/>
        <v>0</v>
      </c>
      <c r="O71" s="514">
        <f t="shared" si="24"/>
        <v>0</v>
      </c>
      <c r="P71" s="272"/>
    </row>
    <row r="72" spans="1:16" ht="13" thickBot="1">
      <c r="B72" s="195" t="str">
        <f t="shared" si="6"/>
        <v/>
      </c>
      <c r="C72" s="527">
        <f>IF(D11="","-",+C71+1)</f>
        <v>2064</v>
      </c>
      <c r="D72" s="528">
        <f>IF(F71+SUM(E$17:E71)=D$10,F71,D$10-SUM(E$17:E71))</f>
        <v>0</v>
      </c>
      <c r="E72" s="529">
        <f>IF(+I14&lt;F71,I14,D72)</f>
        <v>0</v>
      </c>
      <c r="F72" s="528">
        <f t="shared" si="20"/>
        <v>0</v>
      </c>
      <c r="G72" s="530">
        <f t="shared" si="18"/>
        <v>0</v>
      </c>
      <c r="H72" s="471">
        <f t="shared" si="19"/>
        <v>0</v>
      </c>
      <c r="I72" s="531">
        <f t="shared" si="21"/>
        <v>0</v>
      </c>
      <c r="J72" s="511"/>
      <c r="K72" s="532"/>
      <c r="L72" s="533">
        <f t="shared" si="22"/>
        <v>0</v>
      </c>
      <c r="M72" s="532"/>
      <c r="N72" s="533">
        <f t="shared" si="23"/>
        <v>0</v>
      </c>
      <c r="O72" s="533">
        <f t="shared" si="24"/>
        <v>0</v>
      </c>
      <c r="P72" s="272"/>
    </row>
    <row r="73" spans="1:16" ht="12.5">
      <c r="C73" s="374" t="s">
        <v>78</v>
      </c>
      <c r="D73" s="375"/>
      <c r="E73" s="375">
        <f>SUM(E17:E72)</f>
        <v>37028624.999999993</v>
      </c>
      <c r="F73" s="375"/>
      <c r="G73" s="375">
        <f>SUM(G17:G72)</f>
        <v>135736400.12462461</v>
      </c>
      <c r="H73" s="375">
        <f>SUM(H17:H72)</f>
        <v>135736400.12462461</v>
      </c>
      <c r="I73" s="375">
        <f>SUM(I17:I72)</f>
        <v>0</v>
      </c>
      <c r="J73" s="375"/>
      <c r="K73" s="375"/>
      <c r="L73" s="375"/>
      <c r="M73" s="375"/>
      <c r="N73" s="375"/>
      <c r="O73" s="272"/>
      <c r="P73" s="272"/>
    </row>
    <row r="74" spans="1:16" ht="12.5">
      <c r="D74" s="270"/>
      <c r="E74" s="269"/>
      <c r="F74" s="269"/>
      <c r="G74" s="269"/>
      <c r="H74" s="271"/>
      <c r="I74" s="271"/>
      <c r="J74" s="375"/>
      <c r="K74" s="271"/>
      <c r="L74" s="271"/>
      <c r="M74" s="271"/>
      <c r="N74" s="271"/>
      <c r="O74" s="269"/>
      <c r="P74" s="269"/>
    </row>
    <row r="75" spans="1:16" ht="13">
      <c r="C75" s="534" t="s">
        <v>96</v>
      </c>
      <c r="D75" s="270"/>
      <c r="E75" s="269"/>
      <c r="F75" s="269"/>
      <c r="G75" s="269"/>
      <c r="H75" s="271"/>
      <c r="I75" s="271"/>
      <c r="J75" s="375"/>
      <c r="K75" s="271"/>
      <c r="L75" s="271"/>
      <c r="M75" s="271"/>
      <c r="N75" s="271"/>
      <c r="O75" s="269"/>
      <c r="P75" s="269"/>
    </row>
    <row r="76" spans="1:16" ht="13">
      <c r="C76" s="467" t="s">
        <v>79</v>
      </c>
      <c r="D76" s="270"/>
      <c r="E76" s="269"/>
      <c r="F76" s="269"/>
      <c r="G76" s="269"/>
      <c r="H76" s="271"/>
      <c r="I76" s="271"/>
      <c r="J76" s="375"/>
      <c r="K76" s="271"/>
      <c r="L76" s="271"/>
      <c r="M76" s="271"/>
      <c r="N76" s="271"/>
      <c r="O76" s="272"/>
      <c r="P76" s="272"/>
    </row>
    <row r="77" spans="1:16" ht="17.5">
      <c r="C77" s="467" t="s">
        <v>80</v>
      </c>
      <c r="D77" s="374"/>
      <c r="E77" s="374"/>
      <c r="F77" s="374"/>
      <c r="G77" s="375"/>
      <c r="H77" s="375"/>
      <c r="I77" s="376"/>
      <c r="J77" s="376"/>
      <c r="K77" s="376"/>
      <c r="L77" s="376"/>
      <c r="M77" s="376"/>
      <c r="N77" s="376"/>
      <c r="O77" s="535"/>
      <c r="P77" s="272"/>
    </row>
    <row r="78" spans="1:16" ht="13">
      <c r="C78" s="467"/>
      <c r="D78" s="374"/>
      <c r="E78" s="374"/>
      <c r="F78" s="374"/>
      <c r="G78" s="375"/>
      <c r="H78" s="375"/>
      <c r="I78" s="376"/>
      <c r="J78" s="376"/>
      <c r="K78" s="376"/>
      <c r="L78" s="376"/>
      <c r="M78" s="376"/>
      <c r="N78" s="376"/>
      <c r="O78" s="272"/>
      <c r="P78" s="269"/>
    </row>
    <row r="79" spans="1:16" ht="15.5">
      <c r="A79" s="536"/>
      <c r="B79" s="269"/>
      <c r="C79" s="340"/>
      <c r="D79" s="270"/>
      <c r="E79" s="269"/>
      <c r="F79" s="372"/>
      <c r="G79" s="269"/>
      <c r="H79" s="271"/>
      <c r="I79" s="269"/>
      <c r="J79" s="272"/>
      <c r="K79" s="269"/>
      <c r="L79" s="269"/>
      <c r="M79" s="269"/>
      <c r="N79" s="269"/>
    </row>
    <row r="80" spans="1:16" ht="17.5">
      <c r="B80" s="269"/>
      <c r="C80" s="537"/>
      <c r="D80" s="270"/>
      <c r="E80" s="269"/>
      <c r="F80" s="372"/>
      <c r="G80" s="269"/>
      <c r="H80" s="271"/>
      <c r="I80" s="269"/>
      <c r="J80" s="272"/>
      <c r="K80" s="269"/>
      <c r="L80" s="269"/>
      <c r="M80" s="269"/>
      <c r="N80" s="269"/>
      <c r="P80" s="538" t="s">
        <v>130</v>
      </c>
    </row>
    <row r="81" spans="1:17" ht="12.5">
      <c r="B81" s="269"/>
      <c r="C81" s="537"/>
      <c r="D81" s="270"/>
      <c r="E81" s="269"/>
      <c r="F81" s="372"/>
      <c r="G81" s="269"/>
      <c r="H81" s="271"/>
      <c r="I81" s="269"/>
      <c r="J81" s="272"/>
      <c r="K81" s="269"/>
      <c r="L81" s="269"/>
      <c r="M81" s="269"/>
      <c r="N81" s="269"/>
      <c r="O81" s="269"/>
      <c r="P81" s="269"/>
    </row>
    <row r="82" spans="1:17" ht="12.5">
      <c r="B82" s="269"/>
      <c r="C82" s="340"/>
      <c r="D82" s="270"/>
      <c r="E82" s="269"/>
      <c r="F82" s="372"/>
      <c r="G82" s="269"/>
      <c r="H82" s="271"/>
      <c r="I82" s="269"/>
      <c r="J82" s="272"/>
      <c r="K82" s="269"/>
      <c r="L82" s="269"/>
      <c r="M82" s="269"/>
      <c r="N82" s="269"/>
      <c r="O82" s="269"/>
      <c r="P82" s="269"/>
      <c r="Q82" s="269"/>
    </row>
    <row r="83" spans="1:17" ht="20">
      <c r="A83" s="450" t="s">
        <v>134</v>
      </c>
      <c r="B83" s="269"/>
      <c r="C83" s="340"/>
      <c r="D83" s="270"/>
      <c r="E83" s="269"/>
      <c r="F83" s="366"/>
      <c r="G83" s="366"/>
      <c r="H83" s="269"/>
      <c r="I83" s="271"/>
      <c r="K83" s="233"/>
      <c r="L83" s="451"/>
      <c r="M83" s="451"/>
      <c r="P83" s="535" t="str">
        <f ca="1">P1</f>
        <v>SWEPCO Project 6 of 74</v>
      </c>
      <c r="Q83" s="269"/>
    </row>
    <row r="84" spans="1:17" ht="17.5">
      <c r="B84" s="269"/>
      <c r="C84" s="269"/>
      <c r="D84" s="270"/>
      <c r="E84" s="269"/>
      <c r="F84" s="269"/>
      <c r="G84" s="269"/>
      <c r="H84" s="269"/>
      <c r="I84" s="271"/>
      <c r="J84" s="269"/>
      <c r="K84" s="272"/>
      <c r="L84" s="269"/>
      <c r="M84" s="269"/>
      <c r="P84" s="454" t="s">
        <v>128</v>
      </c>
      <c r="Q84" s="269"/>
    </row>
    <row r="85" spans="1:17" ht="17.5" thickBot="1">
      <c r="B85" s="273" t="s">
        <v>44</v>
      </c>
      <c r="C85" s="539" t="s">
        <v>83</v>
      </c>
      <c r="D85" s="270"/>
      <c r="E85" s="269"/>
      <c r="F85" s="269"/>
      <c r="G85" s="269"/>
      <c r="H85" s="269"/>
      <c r="I85" s="271"/>
      <c r="J85" s="271"/>
      <c r="K85" s="375"/>
      <c r="L85" s="271"/>
      <c r="M85" s="271"/>
      <c r="N85" s="271"/>
      <c r="O85" s="375"/>
      <c r="P85" s="269"/>
      <c r="Q85" s="269"/>
    </row>
    <row r="86" spans="1:17" ht="16" thickBot="1">
      <c r="C86" s="331"/>
      <c r="D86" s="270"/>
      <c r="E86" s="269"/>
      <c r="F86" s="269"/>
      <c r="G86" s="269"/>
      <c r="H86" s="269"/>
      <c r="I86" s="271"/>
      <c r="J86" s="271"/>
      <c r="K86" s="375"/>
      <c r="L86" s="540">
        <f>+J92</f>
        <v>2021</v>
      </c>
      <c r="M86" s="541" t="s">
        <v>9</v>
      </c>
      <c r="N86" s="542" t="s">
        <v>159</v>
      </c>
      <c r="O86" s="543" t="s">
        <v>11</v>
      </c>
      <c r="P86" s="269"/>
      <c r="Q86" s="269"/>
    </row>
    <row r="87" spans="1:17" ht="15.5">
      <c r="C87" s="267" t="s">
        <v>46</v>
      </c>
      <c r="D87" s="270"/>
      <c r="E87" s="269"/>
      <c r="F87" s="269"/>
      <c r="G87" s="269"/>
      <c r="H87" s="457"/>
      <c r="I87" s="269" t="s">
        <v>47</v>
      </c>
      <c r="J87" s="269"/>
      <c r="K87" s="544"/>
      <c r="L87" s="545" t="s">
        <v>391</v>
      </c>
      <c r="M87" s="546">
        <f>IF(J92&lt;D11,0,VLOOKUP(J92,C17:O72,9))</f>
        <v>3822237.7831762447</v>
      </c>
      <c r="N87" s="546">
        <f>IF(J92&lt;D11,0,VLOOKUP(J92,C17:O72,11))</f>
        <v>3822237.7831762447</v>
      </c>
      <c r="O87" s="547">
        <f>+N87-M87</f>
        <v>0</v>
      </c>
      <c r="P87" s="269"/>
      <c r="Q87" s="269"/>
    </row>
    <row r="88" spans="1:17" ht="15.5">
      <c r="C88" s="274"/>
      <c r="D88" s="270"/>
      <c r="E88" s="269"/>
      <c r="F88" s="269"/>
      <c r="G88" s="269"/>
      <c r="H88" s="269"/>
      <c r="I88" s="462"/>
      <c r="J88" s="462"/>
      <c r="K88" s="548"/>
      <c r="L88" s="549" t="s">
        <v>392</v>
      </c>
      <c r="M88" s="550">
        <f>IF(J92&lt;D11,0,VLOOKUP(J92,C99:P154,6))</f>
        <v>4098499.8465098133</v>
      </c>
      <c r="N88" s="550">
        <f>IF(J92&lt;D11,0,VLOOKUP(J92,C99:P154,7))</f>
        <v>4098499.8465098133</v>
      </c>
      <c r="O88" s="551">
        <f>+N88-M88</f>
        <v>0</v>
      </c>
      <c r="P88" s="269"/>
      <c r="Q88" s="269"/>
    </row>
    <row r="89" spans="1:17" ht="13.5" thickBot="1">
      <c r="C89" s="467" t="s">
        <v>84</v>
      </c>
      <c r="D89" s="552" t="str">
        <f>+D7</f>
        <v>Port Robson-Caplis Line (SW 138 kV Loop -- 2009)</v>
      </c>
      <c r="E89" s="269"/>
      <c r="F89" s="269"/>
      <c r="G89" s="269"/>
      <c r="H89" s="269"/>
      <c r="I89" s="271"/>
      <c r="J89" s="271"/>
      <c r="K89" s="553"/>
      <c r="L89" s="554" t="s">
        <v>156</v>
      </c>
      <c r="M89" s="555">
        <f>+M88-M87</f>
        <v>276262.06333356863</v>
      </c>
      <c r="N89" s="555">
        <f>+N88-N87</f>
        <v>276262.06333356863</v>
      </c>
      <c r="O89" s="556">
        <f>+O88-O87</f>
        <v>0</v>
      </c>
      <c r="P89" s="269"/>
      <c r="Q89" s="269"/>
    </row>
    <row r="90" spans="1:17" ht="13.5" thickBot="1">
      <c r="C90" s="534"/>
      <c r="D90" s="557" t="str">
        <f>D8</f>
        <v/>
      </c>
      <c r="E90" s="372"/>
      <c r="F90" s="372"/>
      <c r="G90" s="372"/>
      <c r="H90" s="474"/>
      <c r="I90" s="271"/>
      <c r="J90" s="271"/>
      <c r="K90" s="375"/>
      <c r="L90" s="271"/>
      <c r="M90" s="271"/>
      <c r="N90" s="271"/>
      <c r="O90" s="375"/>
      <c r="P90" s="269"/>
      <c r="Q90" s="269"/>
    </row>
    <row r="91" spans="1:17" ht="13.5" thickBot="1">
      <c r="A91" s="191"/>
      <c r="C91" s="558" t="s">
        <v>85</v>
      </c>
      <c r="D91" s="559" t="str">
        <f>+D9</f>
        <v>TP2007165</v>
      </c>
      <c r="E91" s="560"/>
      <c r="F91" s="560"/>
      <c r="G91" s="560"/>
      <c r="H91" s="560"/>
      <c r="I91" s="560"/>
      <c r="J91" s="561"/>
      <c r="K91" s="562"/>
      <c r="P91" s="481"/>
      <c r="Q91" s="269"/>
    </row>
    <row r="92" spans="1:17" ht="13">
      <c r="C92" s="486" t="s">
        <v>51</v>
      </c>
      <c r="D92" s="483">
        <f>D10</f>
        <v>37028625</v>
      </c>
      <c r="E92" s="340" t="s">
        <v>86</v>
      </c>
      <c r="H92" s="484"/>
      <c r="I92" s="484"/>
      <c r="J92" s="485">
        <f>+'SWE.WS.G.BPU.ATRR.True-up'!M16</f>
        <v>2021</v>
      </c>
      <c r="K92" s="480"/>
      <c r="L92" s="375" t="s">
        <v>87</v>
      </c>
      <c r="P92" s="272"/>
      <c r="Q92" s="269"/>
    </row>
    <row r="93" spans="1:17" ht="12.5">
      <c r="C93" s="486" t="s">
        <v>54</v>
      </c>
      <c r="D93" s="563">
        <f>IF(D11=I10,"",D11)</f>
        <v>2009</v>
      </c>
      <c r="E93" s="486" t="s">
        <v>55</v>
      </c>
      <c r="F93" s="484"/>
      <c r="G93" s="484"/>
      <c r="J93" s="488">
        <f>IF(H87="",0,'SWE.WS.G.BPU.ATRR.True-up'!$F$13)</f>
        <v>0</v>
      </c>
      <c r="K93" s="489"/>
      <c r="L93" s="183" t="str">
        <f>"          INPUT TRUE-UP ARR (WITH &amp; WITHOUT INCENTIVES) FROM EACH PRIOR YEAR"</f>
        <v xml:space="preserve">          INPUT TRUE-UP ARR (WITH &amp; WITHOUT INCENTIVES) FROM EACH PRIOR YEAR</v>
      </c>
      <c r="P93" s="272"/>
      <c r="Q93" s="269"/>
    </row>
    <row r="94" spans="1:17" ht="12.5">
      <c r="C94" s="486" t="s">
        <v>56</v>
      </c>
      <c r="D94" s="564">
        <f>IF(D11=I10,"",D12)</f>
        <v>6</v>
      </c>
      <c r="E94" s="486" t="s">
        <v>57</v>
      </c>
      <c r="F94" s="484"/>
      <c r="G94" s="484"/>
      <c r="J94" s="490">
        <f>'SWE.WS.G.BPU.ATRR.True-up'!$F$81</f>
        <v>0.11351422637179906</v>
      </c>
      <c r="K94" s="425"/>
      <c r="L94" s="183" t="s">
        <v>88</v>
      </c>
      <c r="P94" s="272"/>
      <c r="Q94" s="269"/>
    </row>
    <row r="95" spans="1:17" ht="12.5">
      <c r="C95" s="486" t="s">
        <v>59</v>
      </c>
      <c r="D95" s="488">
        <f>'SWE.WS.G.BPU.ATRR.True-up'!F$93</f>
        <v>41</v>
      </c>
      <c r="E95" s="486" t="s">
        <v>60</v>
      </c>
      <c r="F95" s="484"/>
      <c r="G95" s="484"/>
      <c r="J95" s="490">
        <f>IF(H87="",J94,'SWE.WS.G.BPU.ATRR.True-up'!$F$80)</f>
        <v>0.11351422637179906</v>
      </c>
      <c r="K95" s="324"/>
      <c r="L95" s="375" t="s">
        <v>61</v>
      </c>
      <c r="M95" s="324"/>
      <c r="N95" s="324"/>
      <c r="O95" s="324"/>
      <c r="P95" s="272"/>
      <c r="Q95" s="269"/>
    </row>
    <row r="96" spans="1:17" ht="13" thickBot="1">
      <c r="C96" s="486" t="s">
        <v>62</v>
      </c>
      <c r="D96" s="565" t="str">
        <f>+D14</f>
        <v>No</v>
      </c>
      <c r="E96" s="566" t="s">
        <v>64</v>
      </c>
      <c r="F96" s="567"/>
      <c r="G96" s="567"/>
      <c r="H96" s="568"/>
      <c r="I96" s="568"/>
      <c r="J96" s="471">
        <f>IF(D92=0,0,D92/D95)</f>
        <v>903137.19512195117</v>
      </c>
      <c r="K96" s="375"/>
      <c r="L96" s="375"/>
      <c r="M96" s="375"/>
      <c r="N96" s="375"/>
      <c r="O96" s="375"/>
      <c r="P96" s="272"/>
      <c r="Q96" s="269"/>
    </row>
    <row r="97" spans="1:17" ht="39">
      <c r="A97" s="402"/>
      <c r="B97" s="402"/>
      <c r="C97" s="569" t="s">
        <v>51</v>
      </c>
      <c r="D97" s="570" t="s">
        <v>65</v>
      </c>
      <c r="E97" s="499" t="s">
        <v>66</v>
      </c>
      <c r="F97" s="499" t="s">
        <v>67</v>
      </c>
      <c r="G97" s="493" t="s">
        <v>89</v>
      </c>
      <c r="H97" s="494" t="s">
        <v>388</v>
      </c>
      <c r="I97" s="495" t="s">
        <v>389</v>
      </c>
      <c r="J97" s="569" t="s">
        <v>90</v>
      </c>
      <c r="K97" s="571"/>
      <c r="L97" s="498" t="s">
        <v>228</v>
      </c>
      <c r="M97" s="499" t="s">
        <v>91</v>
      </c>
      <c r="N97" s="498" t="s">
        <v>228</v>
      </c>
      <c r="O97" s="499" t="s">
        <v>91</v>
      </c>
      <c r="P97" s="499" t="s">
        <v>70</v>
      </c>
      <c r="Q97" s="269"/>
    </row>
    <row r="98" spans="1:17" ht="13.5" thickBot="1">
      <c r="C98" s="500" t="s">
        <v>71</v>
      </c>
      <c r="D98" s="572" t="s">
        <v>72</v>
      </c>
      <c r="E98" s="500" t="s">
        <v>73</v>
      </c>
      <c r="F98" s="500" t="s">
        <v>72</v>
      </c>
      <c r="G98" s="500" t="s">
        <v>72</v>
      </c>
      <c r="H98" s="573" t="s">
        <v>74</v>
      </c>
      <c r="I98" s="502" t="s">
        <v>75</v>
      </c>
      <c r="J98" s="503" t="s">
        <v>94</v>
      </c>
      <c r="K98" s="504"/>
      <c r="L98" s="505" t="s">
        <v>77</v>
      </c>
      <c r="M98" s="505" t="s">
        <v>77</v>
      </c>
      <c r="N98" s="505" t="s">
        <v>95</v>
      </c>
      <c r="O98" s="505" t="s">
        <v>95</v>
      </c>
      <c r="P98" s="505" t="s">
        <v>95</v>
      </c>
      <c r="Q98" s="269"/>
    </row>
    <row r="99" spans="1:17" ht="12.5">
      <c r="C99" s="507">
        <f>IF(D93= "","-",D93)</f>
        <v>2009</v>
      </c>
      <c r="D99" s="508">
        <v>0</v>
      </c>
      <c r="E99" s="516">
        <v>70250</v>
      </c>
      <c r="F99" s="515">
        <v>5268768</v>
      </c>
      <c r="G99" s="574">
        <v>2634384</v>
      </c>
      <c r="H99" s="575">
        <v>451544</v>
      </c>
      <c r="I99" s="576">
        <v>451544</v>
      </c>
      <c r="J99" s="514">
        <f t="shared" ref="J99:J130" si="25">+I99-H99</f>
        <v>0</v>
      </c>
      <c r="K99" s="514"/>
      <c r="L99" s="512">
        <f t="shared" ref="L99:L104" si="26">H99</f>
        <v>451544</v>
      </c>
      <c r="M99" s="513">
        <f t="shared" ref="M99:M130" si="27">IF(L99&lt;&gt;0,+H99-L99,0)</f>
        <v>0</v>
      </c>
      <c r="N99" s="512">
        <f t="shared" ref="N99:N104" si="28">I99</f>
        <v>451544</v>
      </c>
      <c r="O99" s="513">
        <f t="shared" ref="O99:O130" si="29">IF(N99&lt;&gt;0,+I99-N99,0)</f>
        <v>0</v>
      </c>
      <c r="P99" s="513">
        <f t="shared" ref="P99:P130" si="30">+O99-M99</f>
        <v>0</v>
      </c>
      <c r="Q99" s="269"/>
    </row>
    <row r="100" spans="1:17" ht="12.5">
      <c r="B100" s="195" t="str">
        <f>IF(D100=F99,"","IU")</f>
        <v>IU</v>
      </c>
      <c r="C100" s="507">
        <f>IF(D93="","-",+C99+1)</f>
        <v>2010</v>
      </c>
      <c r="D100" s="508">
        <v>5927359</v>
      </c>
      <c r="E100" s="516">
        <v>146283.14634146341</v>
      </c>
      <c r="F100" s="515">
        <v>5781075.8536585364</v>
      </c>
      <c r="G100" s="515">
        <v>5854217.4268292682</v>
      </c>
      <c r="H100" s="516">
        <v>1112732.9651723914</v>
      </c>
      <c r="I100" s="510">
        <v>1112732.9651723914</v>
      </c>
      <c r="J100" s="514">
        <f t="shared" si="25"/>
        <v>0</v>
      </c>
      <c r="K100" s="514"/>
      <c r="L100" s="518">
        <f t="shared" si="26"/>
        <v>1112732.9651723914</v>
      </c>
      <c r="M100" s="519">
        <f t="shared" si="27"/>
        <v>0</v>
      </c>
      <c r="N100" s="518">
        <f t="shared" si="28"/>
        <v>1112732.9651723914</v>
      </c>
      <c r="O100" s="514">
        <f t="shared" si="29"/>
        <v>0</v>
      </c>
      <c r="P100" s="514">
        <f t="shared" si="30"/>
        <v>0</v>
      </c>
      <c r="Q100" s="269"/>
    </row>
    <row r="101" spans="1:17" ht="12.5">
      <c r="B101" s="195" t="str">
        <f t="shared" ref="B101:B154" si="31">IF(D101=F100,"","IU")</f>
        <v>IU</v>
      </c>
      <c r="C101" s="507">
        <f>IF(D93="","-",+C100+1)</f>
        <v>2011</v>
      </c>
      <c r="D101" s="508">
        <v>20674238.853658538</v>
      </c>
      <c r="E101" s="516">
        <v>497399.33333333331</v>
      </c>
      <c r="F101" s="515">
        <v>20176839.520325206</v>
      </c>
      <c r="G101" s="515">
        <v>20425539.18699187</v>
      </c>
      <c r="H101" s="516">
        <v>3568989.8996136081</v>
      </c>
      <c r="I101" s="510">
        <v>3568989.8996136081</v>
      </c>
      <c r="J101" s="514">
        <f t="shared" si="25"/>
        <v>0</v>
      </c>
      <c r="K101" s="514"/>
      <c r="L101" s="518">
        <f t="shared" si="26"/>
        <v>3568989.8996136081</v>
      </c>
      <c r="M101" s="519">
        <f t="shared" si="27"/>
        <v>0</v>
      </c>
      <c r="N101" s="518">
        <f t="shared" si="28"/>
        <v>3568989.8996136081</v>
      </c>
      <c r="O101" s="514">
        <f t="shared" si="29"/>
        <v>0</v>
      </c>
      <c r="P101" s="514">
        <f t="shared" si="30"/>
        <v>0</v>
      </c>
      <c r="Q101" s="269"/>
    </row>
    <row r="102" spans="1:17" ht="12.5">
      <c r="B102" s="195" t="str">
        <f t="shared" si="31"/>
        <v>IU</v>
      </c>
      <c r="C102" s="507">
        <f>IF(D93="","-",+C101+1)</f>
        <v>2012</v>
      </c>
      <c r="D102" s="508">
        <v>28853944.520325202</v>
      </c>
      <c r="E102" s="516">
        <v>703997.07142857148</v>
      </c>
      <c r="F102" s="515">
        <v>28149947.448896632</v>
      </c>
      <c r="G102" s="515">
        <v>28501945.984610915</v>
      </c>
      <c r="H102" s="516">
        <v>4898170.4869055999</v>
      </c>
      <c r="I102" s="510">
        <v>4898170.4869055999</v>
      </c>
      <c r="J102" s="514">
        <f t="shared" si="25"/>
        <v>0</v>
      </c>
      <c r="K102" s="514"/>
      <c r="L102" s="518">
        <f t="shared" si="26"/>
        <v>4898170.4869055999</v>
      </c>
      <c r="M102" s="519">
        <f t="shared" si="27"/>
        <v>0</v>
      </c>
      <c r="N102" s="518">
        <f t="shared" si="28"/>
        <v>4898170.4869055999</v>
      </c>
      <c r="O102" s="514">
        <f t="shared" si="29"/>
        <v>0</v>
      </c>
      <c r="P102" s="514">
        <f t="shared" si="30"/>
        <v>0</v>
      </c>
      <c r="Q102" s="269"/>
    </row>
    <row r="103" spans="1:17" ht="12.5">
      <c r="B103" s="195" t="str">
        <f t="shared" si="31"/>
        <v>IU</v>
      </c>
      <c r="C103" s="507">
        <f>IF(D93="","-",+C102+1)</f>
        <v>2013</v>
      </c>
      <c r="D103" s="508">
        <v>35510528.448896632</v>
      </c>
      <c r="E103" s="516">
        <v>879249</v>
      </c>
      <c r="F103" s="515">
        <v>34631279.448896632</v>
      </c>
      <c r="G103" s="515">
        <v>35070903.948896632</v>
      </c>
      <c r="H103" s="516">
        <v>5624051.2967773527</v>
      </c>
      <c r="I103" s="510">
        <v>5624051.2967773527</v>
      </c>
      <c r="J103" s="514">
        <v>0</v>
      </c>
      <c r="K103" s="514"/>
      <c r="L103" s="518">
        <f t="shared" si="26"/>
        <v>5624051.2967773527</v>
      </c>
      <c r="M103" s="519">
        <f t="shared" ref="M103:M108" si="32">IF(L103&lt;&gt;0,+H103-L103,0)</f>
        <v>0</v>
      </c>
      <c r="N103" s="518">
        <f t="shared" si="28"/>
        <v>5624051.2967773527</v>
      </c>
      <c r="O103" s="514">
        <f t="shared" ref="O103:O108" si="33">IF(N103&lt;&gt;0,+I103-N103,0)</f>
        <v>0</v>
      </c>
      <c r="P103" s="514">
        <f>+O103-M103</f>
        <v>0</v>
      </c>
      <c r="Q103" s="269"/>
    </row>
    <row r="104" spans="1:17" ht="12.5">
      <c r="B104" s="195" t="str">
        <f t="shared" si="31"/>
        <v>IU</v>
      </c>
      <c r="C104" s="507">
        <f>IF(D93="","-",+C103+1)</f>
        <v>2014</v>
      </c>
      <c r="D104" s="508">
        <v>34731446.448896632</v>
      </c>
      <c r="E104" s="516">
        <v>881633.92857142852</v>
      </c>
      <c r="F104" s="515">
        <v>33849812.520325206</v>
      </c>
      <c r="G104" s="515">
        <v>34290629.484610915</v>
      </c>
      <c r="H104" s="516">
        <v>5542534.9256215226</v>
      </c>
      <c r="I104" s="510">
        <v>5542534.9256215226</v>
      </c>
      <c r="J104" s="514">
        <v>0</v>
      </c>
      <c r="K104" s="514"/>
      <c r="L104" s="518">
        <f t="shared" si="26"/>
        <v>5542534.9256215226</v>
      </c>
      <c r="M104" s="519">
        <f t="shared" si="32"/>
        <v>0</v>
      </c>
      <c r="N104" s="518">
        <f t="shared" si="28"/>
        <v>5542534.9256215226</v>
      </c>
      <c r="O104" s="514">
        <f t="shared" si="33"/>
        <v>0</v>
      </c>
      <c r="P104" s="514">
        <f>+O104-M104</f>
        <v>0</v>
      </c>
      <c r="Q104" s="269"/>
    </row>
    <row r="105" spans="1:17" ht="12.5">
      <c r="B105" s="195" t="str">
        <f t="shared" si="31"/>
        <v/>
      </c>
      <c r="C105" s="507">
        <f>IF(D93="","-",+C104+1)</f>
        <v>2015</v>
      </c>
      <c r="D105" s="508">
        <v>33849812.520325206</v>
      </c>
      <c r="E105" s="516">
        <v>881633.92857142852</v>
      </c>
      <c r="F105" s="515">
        <v>32968178.591753777</v>
      </c>
      <c r="G105" s="515">
        <v>33408995.55603949</v>
      </c>
      <c r="H105" s="516">
        <v>5283899.7839213237</v>
      </c>
      <c r="I105" s="510">
        <v>5283899.7839213237</v>
      </c>
      <c r="J105" s="514">
        <f t="shared" si="25"/>
        <v>0</v>
      </c>
      <c r="K105" s="514"/>
      <c r="L105" s="518">
        <f t="shared" ref="L105:L110" si="34">H105</f>
        <v>5283899.7839213237</v>
      </c>
      <c r="M105" s="519">
        <f t="shared" si="32"/>
        <v>0</v>
      </c>
      <c r="N105" s="518">
        <f t="shared" ref="N105:N110" si="35">I105</f>
        <v>5283899.7839213237</v>
      </c>
      <c r="O105" s="514">
        <f t="shared" si="33"/>
        <v>0</v>
      </c>
      <c r="P105" s="514">
        <f>+O105-M105</f>
        <v>0</v>
      </c>
      <c r="Q105" s="269"/>
    </row>
    <row r="106" spans="1:17" ht="12.5">
      <c r="B106" s="195" t="str">
        <f t="shared" si="31"/>
        <v/>
      </c>
      <c r="C106" s="507">
        <f>IF(D93="","-",+C105+1)</f>
        <v>2016</v>
      </c>
      <c r="D106" s="508">
        <v>32968178.591753777</v>
      </c>
      <c r="E106" s="516">
        <v>861130.81395348837</v>
      </c>
      <c r="F106" s="515">
        <v>32107047.777800288</v>
      </c>
      <c r="G106" s="515">
        <v>32537613.184777033</v>
      </c>
      <c r="H106" s="516">
        <v>4991780.4266921831</v>
      </c>
      <c r="I106" s="510">
        <v>4991780.4266921831</v>
      </c>
      <c r="J106" s="514">
        <f t="shared" si="25"/>
        <v>0</v>
      </c>
      <c r="K106" s="514"/>
      <c r="L106" s="518">
        <f t="shared" si="34"/>
        <v>4991780.4266921831</v>
      </c>
      <c r="M106" s="519">
        <f t="shared" si="32"/>
        <v>0</v>
      </c>
      <c r="N106" s="518">
        <f t="shared" si="35"/>
        <v>4991780.4266921831</v>
      </c>
      <c r="O106" s="514">
        <f t="shared" si="33"/>
        <v>0</v>
      </c>
      <c r="P106" s="514">
        <f>+O106-M106</f>
        <v>0</v>
      </c>
      <c r="Q106" s="269"/>
    </row>
    <row r="107" spans="1:17" ht="12.5">
      <c r="B107" s="195" t="str">
        <f t="shared" si="31"/>
        <v/>
      </c>
      <c r="C107" s="507">
        <f>IF(D93="","-",+C106+1)</f>
        <v>2017</v>
      </c>
      <c r="D107" s="508">
        <v>32107047.777800288</v>
      </c>
      <c r="E107" s="516">
        <v>881633.92857142852</v>
      </c>
      <c r="F107" s="515">
        <v>31225413.849228859</v>
      </c>
      <c r="G107" s="515">
        <v>31666230.813514575</v>
      </c>
      <c r="H107" s="516">
        <v>4728177.1448464729</v>
      </c>
      <c r="I107" s="510">
        <v>4728177.1448464729</v>
      </c>
      <c r="J107" s="514">
        <f t="shared" si="25"/>
        <v>0</v>
      </c>
      <c r="K107" s="514"/>
      <c r="L107" s="518">
        <f t="shared" si="34"/>
        <v>4728177.1448464729</v>
      </c>
      <c r="M107" s="519">
        <f t="shared" si="32"/>
        <v>0</v>
      </c>
      <c r="N107" s="518">
        <f t="shared" si="35"/>
        <v>4728177.1448464729</v>
      </c>
      <c r="O107" s="514">
        <f t="shared" si="33"/>
        <v>0</v>
      </c>
      <c r="P107" s="514">
        <f>+O107-M107</f>
        <v>0</v>
      </c>
      <c r="Q107" s="269"/>
    </row>
    <row r="108" spans="1:17" ht="12.5">
      <c r="B108" s="195" t="str">
        <f t="shared" si="31"/>
        <v/>
      </c>
      <c r="C108" s="507">
        <f>IF(D93="","-",+C107+1)</f>
        <v>2018</v>
      </c>
      <c r="D108" s="508">
        <v>31225413.849228859</v>
      </c>
      <c r="E108" s="516">
        <v>881633.92857142852</v>
      </c>
      <c r="F108" s="515">
        <v>30343779.92065743</v>
      </c>
      <c r="G108" s="515">
        <v>30784596.884943143</v>
      </c>
      <c r="H108" s="516">
        <v>4132628.5322350259</v>
      </c>
      <c r="I108" s="510">
        <v>4132628.5322350259</v>
      </c>
      <c r="J108" s="514">
        <f t="shared" si="25"/>
        <v>0</v>
      </c>
      <c r="K108" s="514"/>
      <c r="L108" s="518">
        <f t="shared" si="34"/>
        <v>4132628.5322350259</v>
      </c>
      <c r="M108" s="519">
        <f t="shared" si="32"/>
        <v>0</v>
      </c>
      <c r="N108" s="518">
        <f t="shared" si="35"/>
        <v>4132628.5322350259</v>
      </c>
      <c r="O108" s="514">
        <f t="shared" si="33"/>
        <v>0</v>
      </c>
      <c r="P108" s="514">
        <f t="shared" si="30"/>
        <v>0</v>
      </c>
      <c r="Q108" s="269"/>
    </row>
    <row r="109" spans="1:17" ht="12.5">
      <c r="B109" s="195" t="str">
        <f t="shared" si="31"/>
        <v/>
      </c>
      <c r="C109" s="507">
        <f>IF(D93="","-",+C108+1)</f>
        <v>2019</v>
      </c>
      <c r="D109" s="508">
        <v>30343779.92065743</v>
      </c>
      <c r="E109" s="516">
        <v>861130.81395348837</v>
      </c>
      <c r="F109" s="515">
        <v>29482649.106703941</v>
      </c>
      <c r="G109" s="515">
        <v>29913214.513680685</v>
      </c>
      <c r="H109" s="516">
        <v>4063057.6443278007</v>
      </c>
      <c r="I109" s="510">
        <v>4063057.6443278007</v>
      </c>
      <c r="J109" s="514">
        <f t="shared" si="25"/>
        <v>0</v>
      </c>
      <c r="K109" s="514"/>
      <c r="L109" s="518">
        <f t="shared" si="34"/>
        <v>4063057.6443278007</v>
      </c>
      <c r="M109" s="519">
        <f t="shared" ref="M109:M110" si="36">IF(L109&lt;&gt;0,+H109-L109,0)</f>
        <v>0</v>
      </c>
      <c r="N109" s="518">
        <f t="shared" si="35"/>
        <v>4063057.6443278007</v>
      </c>
      <c r="O109" s="514">
        <f t="shared" si="29"/>
        <v>0</v>
      </c>
      <c r="P109" s="514">
        <f t="shared" si="30"/>
        <v>0</v>
      </c>
      <c r="Q109" s="269"/>
    </row>
    <row r="110" spans="1:17" ht="12.5">
      <c r="B110" s="195" t="str">
        <f t="shared" si="31"/>
        <v/>
      </c>
      <c r="C110" s="507">
        <f>IF(D93="","-",+C109+1)</f>
        <v>2020</v>
      </c>
      <c r="D110" s="508">
        <v>29482649.106703941</v>
      </c>
      <c r="E110" s="516">
        <v>881633.92857142852</v>
      </c>
      <c r="F110" s="515">
        <v>28601015.178132512</v>
      </c>
      <c r="G110" s="515">
        <v>29041832.142418228</v>
      </c>
      <c r="H110" s="516">
        <v>4005775.1149744629</v>
      </c>
      <c r="I110" s="510">
        <v>4005775.1149744629</v>
      </c>
      <c r="J110" s="514">
        <f t="shared" si="25"/>
        <v>0</v>
      </c>
      <c r="K110" s="514"/>
      <c r="L110" s="518">
        <f t="shared" si="34"/>
        <v>4005775.1149744629</v>
      </c>
      <c r="M110" s="519">
        <f t="shared" si="36"/>
        <v>0</v>
      </c>
      <c r="N110" s="518">
        <f t="shared" si="35"/>
        <v>4005775.1149744629</v>
      </c>
      <c r="O110" s="514">
        <f t="shared" si="29"/>
        <v>0</v>
      </c>
      <c r="P110" s="514">
        <f t="shared" si="30"/>
        <v>0</v>
      </c>
      <c r="Q110" s="269"/>
    </row>
    <row r="111" spans="1:17" ht="12.5">
      <c r="B111" s="195" t="str">
        <f t="shared" si="31"/>
        <v/>
      </c>
      <c r="C111" s="507">
        <f>IF(D93="","-",+C110+1)</f>
        <v>2021</v>
      </c>
      <c r="D111" s="374">
        <f>IF(F110+SUM(E$99:E110)=D$92,F110,D$92-SUM(E$99:E110))</f>
        <v>28601015.178132512</v>
      </c>
      <c r="E111" s="522">
        <f>IF(+J96&lt;F110,J96,D111)</f>
        <v>903137.19512195117</v>
      </c>
      <c r="F111" s="523">
        <f t="shared" ref="F111:F130" si="37">+D111-E111</f>
        <v>27697877.98301056</v>
      </c>
      <c r="G111" s="523">
        <f t="shared" ref="G111:G130" si="38">+(F111+D111)/2</f>
        <v>28149446.580571536</v>
      </c>
      <c r="H111" s="526">
        <f>+J$94*G111+E111</f>
        <v>4098499.8465098133</v>
      </c>
      <c r="I111" s="577">
        <f>+J$95*G111+E111</f>
        <v>4098499.8465098133</v>
      </c>
      <c r="J111" s="514">
        <f t="shared" si="25"/>
        <v>0</v>
      </c>
      <c r="K111" s="514"/>
      <c r="L111" s="525"/>
      <c r="M111" s="514">
        <f t="shared" si="27"/>
        <v>0</v>
      </c>
      <c r="N111" s="525"/>
      <c r="O111" s="514">
        <f t="shared" si="29"/>
        <v>0</v>
      </c>
      <c r="P111" s="514">
        <f t="shared" si="30"/>
        <v>0</v>
      </c>
      <c r="Q111" s="269"/>
    </row>
    <row r="112" spans="1:17" ht="12.5">
      <c r="B112" s="195" t="str">
        <f t="shared" si="31"/>
        <v/>
      </c>
      <c r="C112" s="507">
        <f>IF(D93="","-",+C111+1)</f>
        <v>2022</v>
      </c>
      <c r="D112" s="374">
        <f>IF(F111+SUM(E$99:E111)=D$92,F111,D$92-SUM(E$99:E111))</f>
        <v>27697877.98301056</v>
      </c>
      <c r="E112" s="522">
        <f>IF(+J96&lt;F111,J96,D112)</f>
        <v>903137.19512195117</v>
      </c>
      <c r="F112" s="523">
        <f t="shared" si="37"/>
        <v>26794740.787888609</v>
      </c>
      <c r="G112" s="523">
        <f t="shared" si="38"/>
        <v>27246309.385449585</v>
      </c>
      <c r="H112" s="526">
        <f>+J$94*G112+E112</f>
        <v>3995980.9264979484</v>
      </c>
      <c r="I112" s="577">
        <f>+J$95*G112+E112</f>
        <v>3995980.9264979484</v>
      </c>
      <c r="J112" s="514">
        <f t="shared" si="25"/>
        <v>0</v>
      </c>
      <c r="K112" s="514"/>
      <c r="L112" s="525"/>
      <c r="M112" s="514">
        <f t="shared" si="27"/>
        <v>0</v>
      </c>
      <c r="N112" s="525"/>
      <c r="O112" s="514">
        <f t="shared" si="29"/>
        <v>0</v>
      </c>
      <c r="P112" s="514">
        <f t="shared" si="30"/>
        <v>0</v>
      </c>
      <c r="Q112" s="269"/>
    </row>
    <row r="113" spans="2:17" ht="12.5">
      <c r="B113" s="195" t="str">
        <f t="shared" si="31"/>
        <v/>
      </c>
      <c r="C113" s="507">
        <f>IF(D93="","-",+C112+1)</f>
        <v>2023</v>
      </c>
      <c r="D113" s="374">
        <f>IF(F112+SUM(E$99:E112)=D$92,F112,D$92-SUM(E$99:E112))</f>
        <v>26794740.787888609</v>
      </c>
      <c r="E113" s="522">
        <f>IF(+J96&lt;F112,J96,D113)</f>
        <v>903137.19512195117</v>
      </c>
      <c r="F113" s="523">
        <f t="shared" si="37"/>
        <v>25891603.592766657</v>
      </c>
      <c r="G113" s="523">
        <f t="shared" si="38"/>
        <v>26343172.190327633</v>
      </c>
      <c r="H113" s="526">
        <f t="shared" ref="H113:H154" si="39">+J$94*G113+E113</f>
        <v>3893462.0064860834</v>
      </c>
      <c r="I113" s="577">
        <f t="shared" ref="I113:I154" si="40">+J$95*G113+E113</f>
        <v>3893462.0064860834</v>
      </c>
      <c r="J113" s="514">
        <f t="shared" si="25"/>
        <v>0</v>
      </c>
      <c r="K113" s="514"/>
      <c r="L113" s="525"/>
      <c r="M113" s="514">
        <f t="shared" si="27"/>
        <v>0</v>
      </c>
      <c r="N113" s="525"/>
      <c r="O113" s="514">
        <f t="shared" si="29"/>
        <v>0</v>
      </c>
      <c r="P113" s="514">
        <f t="shared" si="30"/>
        <v>0</v>
      </c>
      <c r="Q113" s="269"/>
    </row>
    <row r="114" spans="2:17" ht="12.5">
      <c r="B114" s="195" t="str">
        <f t="shared" si="31"/>
        <v/>
      </c>
      <c r="C114" s="507">
        <f>IF(D93="","-",+C113+1)</f>
        <v>2024</v>
      </c>
      <c r="D114" s="374">
        <f>IF(F113+SUM(E$99:E113)=D$92,F113,D$92-SUM(E$99:E113))</f>
        <v>25891603.592766657</v>
      </c>
      <c r="E114" s="522">
        <f>IF(+J96&lt;F113,J96,D114)</f>
        <v>903137.19512195117</v>
      </c>
      <c r="F114" s="523">
        <f t="shared" si="37"/>
        <v>24988466.397644706</v>
      </c>
      <c r="G114" s="523">
        <f t="shared" si="38"/>
        <v>25440034.995205682</v>
      </c>
      <c r="H114" s="526">
        <f t="shared" si="39"/>
        <v>3790943.0864742193</v>
      </c>
      <c r="I114" s="577">
        <f t="shared" si="40"/>
        <v>3790943.0864742193</v>
      </c>
      <c r="J114" s="514">
        <f t="shared" si="25"/>
        <v>0</v>
      </c>
      <c r="K114" s="514"/>
      <c r="L114" s="525"/>
      <c r="M114" s="514">
        <f t="shared" si="27"/>
        <v>0</v>
      </c>
      <c r="N114" s="525"/>
      <c r="O114" s="514">
        <f t="shared" si="29"/>
        <v>0</v>
      </c>
      <c r="P114" s="514">
        <f t="shared" si="30"/>
        <v>0</v>
      </c>
      <c r="Q114" s="269"/>
    </row>
    <row r="115" spans="2:17" ht="12.5">
      <c r="B115" s="195" t="str">
        <f t="shared" si="31"/>
        <v/>
      </c>
      <c r="C115" s="507">
        <f>IF(D93="","-",+C114+1)</f>
        <v>2025</v>
      </c>
      <c r="D115" s="374">
        <f>IF(F114+SUM(E$99:E114)=D$92,F114,D$92-SUM(E$99:E114))</f>
        <v>24988466.397644706</v>
      </c>
      <c r="E115" s="522">
        <f>IF(+J96&lt;F114,J96,D115)</f>
        <v>903137.19512195117</v>
      </c>
      <c r="F115" s="523">
        <f t="shared" si="37"/>
        <v>24085329.202522755</v>
      </c>
      <c r="G115" s="523">
        <f t="shared" si="38"/>
        <v>24536897.80008373</v>
      </c>
      <c r="H115" s="526">
        <f t="shared" si="39"/>
        <v>3688424.1664623544</v>
      </c>
      <c r="I115" s="577">
        <f t="shared" si="40"/>
        <v>3688424.1664623544</v>
      </c>
      <c r="J115" s="514">
        <f t="shared" si="25"/>
        <v>0</v>
      </c>
      <c r="K115" s="514"/>
      <c r="L115" s="525"/>
      <c r="M115" s="514">
        <f t="shared" si="27"/>
        <v>0</v>
      </c>
      <c r="N115" s="525"/>
      <c r="O115" s="514">
        <f t="shared" si="29"/>
        <v>0</v>
      </c>
      <c r="P115" s="514">
        <f t="shared" si="30"/>
        <v>0</v>
      </c>
      <c r="Q115" s="269"/>
    </row>
    <row r="116" spans="2:17" ht="12.5">
      <c r="B116" s="195" t="str">
        <f t="shared" si="31"/>
        <v/>
      </c>
      <c r="C116" s="507">
        <f>IF(D93="","-",+C115+1)</f>
        <v>2026</v>
      </c>
      <c r="D116" s="374">
        <f>IF(F115+SUM(E$99:E115)=D$92,F115,D$92-SUM(E$99:E115))</f>
        <v>24085329.202522755</v>
      </c>
      <c r="E116" s="522">
        <f>IF(+J96&lt;F115,J96,D116)</f>
        <v>903137.19512195117</v>
      </c>
      <c r="F116" s="523">
        <f t="shared" si="37"/>
        <v>23182192.007400803</v>
      </c>
      <c r="G116" s="523">
        <f t="shared" si="38"/>
        <v>23633760.604961779</v>
      </c>
      <c r="H116" s="526">
        <f t="shared" si="39"/>
        <v>3585905.2464504894</v>
      </c>
      <c r="I116" s="577">
        <f t="shared" si="40"/>
        <v>3585905.2464504894</v>
      </c>
      <c r="J116" s="514">
        <f t="shared" si="25"/>
        <v>0</v>
      </c>
      <c r="K116" s="514"/>
      <c r="L116" s="525"/>
      <c r="M116" s="514">
        <f t="shared" si="27"/>
        <v>0</v>
      </c>
      <c r="N116" s="525"/>
      <c r="O116" s="514">
        <f t="shared" si="29"/>
        <v>0</v>
      </c>
      <c r="P116" s="514">
        <f t="shared" si="30"/>
        <v>0</v>
      </c>
      <c r="Q116" s="269"/>
    </row>
    <row r="117" spans="2:17" ht="12.5">
      <c r="B117" s="195" t="str">
        <f t="shared" si="31"/>
        <v/>
      </c>
      <c r="C117" s="507">
        <f>IF(D93="","-",+C116+1)</f>
        <v>2027</v>
      </c>
      <c r="D117" s="374">
        <f>IF(F116+SUM(E$99:E116)=D$92,F116,D$92-SUM(E$99:E116))</f>
        <v>23182192.007400803</v>
      </c>
      <c r="E117" s="522">
        <f>IF(+J96&lt;F116,J96,D117)</f>
        <v>903137.19512195117</v>
      </c>
      <c r="F117" s="523">
        <f t="shared" si="37"/>
        <v>22279054.812278852</v>
      </c>
      <c r="G117" s="523">
        <f t="shared" si="38"/>
        <v>22730623.409839828</v>
      </c>
      <c r="H117" s="526">
        <f t="shared" si="39"/>
        <v>3483386.3264386244</v>
      </c>
      <c r="I117" s="577">
        <f t="shared" si="40"/>
        <v>3483386.3264386244</v>
      </c>
      <c r="J117" s="514">
        <f t="shared" si="25"/>
        <v>0</v>
      </c>
      <c r="K117" s="514"/>
      <c r="L117" s="525"/>
      <c r="M117" s="514">
        <f t="shared" si="27"/>
        <v>0</v>
      </c>
      <c r="N117" s="525"/>
      <c r="O117" s="514">
        <f t="shared" si="29"/>
        <v>0</v>
      </c>
      <c r="P117" s="514">
        <f t="shared" si="30"/>
        <v>0</v>
      </c>
      <c r="Q117" s="269"/>
    </row>
    <row r="118" spans="2:17" ht="12.5">
      <c r="B118" s="195" t="str">
        <f t="shared" si="31"/>
        <v/>
      </c>
      <c r="C118" s="507">
        <f>IF(D93="","-",+C117+1)</f>
        <v>2028</v>
      </c>
      <c r="D118" s="374">
        <f>IF(F117+SUM(E$99:E117)=D$92,F117,D$92-SUM(E$99:E117))</f>
        <v>22279054.812278852</v>
      </c>
      <c r="E118" s="522">
        <f>IF(+J96&lt;F117,J96,D118)</f>
        <v>903137.19512195117</v>
      </c>
      <c r="F118" s="523">
        <f t="shared" si="37"/>
        <v>21375917.6171569</v>
      </c>
      <c r="G118" s="523">
        <f t="shared" si="38"/>
        <v>21827486.214717876</v>
      </c>
      <c r="H118" s="526">
        <f t="shared" si="39"/>
        <v>3380867.4064267594</v>
      </c>
      <c r="I118" s="577">
        <f t="shared" si="40"/>
        <v>3380867.4064267594</v>
      </c>
      <c r="J118" s="514">
        <f t="shared" si="25"/>
        <v>0</v>
      </c>
      <c r="K118" s="514"/>
      <c r="L118" s="525"/>
      <c r="M118" s="514">
        <f t="shared" si="27"/>
        <v>0</v>
      </c>
      <c r="N118" s="525"/>
      <c r="O118" s="514">
        <f t="shared" si="29"/>
        <v>0</v>
      </c>
      <c r="P118" s="514">
        <f t="shared" si="30"/>
        <v>0</v>
      </c>
      <c r="Q118" s="269"/>
    </row>
    <row r="119" spans="2:17" ht="12.5">
      <c r="B119" s="195" t="str">
        <f t="shared" si="31"/>
        <v/>
      </c>
      <c r="C119" s="507">
        <f>IF(D93="","-",+C118+1)</f>
        <v>2029</v>
      </c>
      <c r="D119" s="374">
        <f>IF(F118+SUM(E$99:E118)=D$92,F118,D$92-SUM(E$99:E118))</f>
        <v>21375917.6171569</v>
      </c>
      <c r="E119" s="522">
        <f>IF(+J96&lt;F118,J96,D119)</f>
        <v>903137.19512195117</v>
      </c>
      <c r="F119" s="523">
        <f t="shared" si="37"/>
        <v>20472780.422034949</v>
      </c>
      <c r="G119" s="523">
        <f t="shared" si="38"/>
        <v>20924349.019595925</v>
      </c>
      <c r="H119" s="526">
        <f t="shared" si="39"/>
        <v>3278348.4864148945</v>
      </c>
      <c r="I119" s="577">
        <f t="shared" si="40"/>
        <v>3278348.4864148945</v>
      </c>
      <c r="J119" s="514">
        <f t="shared" si="25"/>
        <v>0</v>
      </c>
      <c r="K119" s="514"/>
      <c r="L119" s="525"/>
      <c r="M119" s="514">
        <f t="shared" si="27"/>
        <v>0</v>
      </c>
      <c r="N119" s="525"/>
      <c r="O119" s="514">
        <f t="shared" si="29"/>
        <v>0</v>
      </c>
      <c r="P119" s="514">
        <f t="shared" si="30"/>
        <v>0</v>
      </c>
      <c r="Q119" s="269"/>
    </row>
    <row r="120" spans="2:17" ht="12.5">
      <c r="B120" s="195" t="str">
        <f t="shared" si="31"/>
        <v/>
      </c>
      <c r="C120" s="507">
        <f>IF(D93="","-",+C119+1)</f>
        <v>2030</v>
      </c>
      <c r="D120" s="374">
        <f>IF(F119+SUM(E$99:E119)=D$92,F119,D$92-SUM(E$99:E119))</f>
        <v>20472780.422034949</v>
      </c>
      <c r="E120" s="522">
        <f>IF(+J96&lt;F119,J96,D120)</f>
        <v>903137.19512195117</v>
      </c>
      <c r="F120" s="523">
        <f t="shared" si="37"/>
        <v>19569643.226912998</v>
      </c>
      <c r="G120" s="523">
        <f t="shared" si="38"/>
        <v>20021211.824473973</v>
      </c>
      <c r="H120" s="526">
        <f t="shared" si="39"/>
        <v>3175829.5664030295</v>
      </c>
      <c r="I120" s="577">
        <f t="shared" si="40"/>
        <v>3175829.5664030295</v>
      </c>
      <c r="J120" s="514">
        <f t="shared" si="25"/>
        <v>0</v>
      </c>
      <c r="K120" s="514"/>
      <c r="L120" s="525"/>
      <c r="M120" s="514">
        <f t="shared" si="27"/>
        <v>0</v>
      </c>
      <c r="N120" s="525"/>
      <c r="O120" s="514">
        <f t="shared" si="29"/>
        <v>0</v>
      </c>
      <c r="P120" s="514">
        <f t="shared" si="30"/>
        <v>0</v>
      </c>
      <c r="Q120" s="269"/>
    </row>
    <row r="121" spans="2:17" ht="12.5">
      <c r="B121" s="195" t="str">
        <f t="shared" si="31"/>
        <v/>
      </c>
      <c r="C121" s="507">
        <f>IF(D93="","-",+C120+1)</f>
        <v>2031</v>
      </c>
      <c r="D121" s="374">
        <f>IF(F120+SUM(E$99:E120)=D$92,F120,D$92-SUM(E$99:E120))</f>
        <v>19569643.226912998</v>
      </c>
      <c r="E121" s="522">
        <f>IF(+J96&lt;F120,J96,D121)</f>
        <v>903137.19512195117</v>
      </c>
      <c r="F121" s="523">
        <f t="shared" si="37"/>
        <v>18666506.031791046</v>
      </c>
      <c r="G121" s="523">
        <f t="shared" si="38"/>
        <v>19118074.629352022</v>
      </c>
      <c r="H121" s="526">
        <f t="shared" si="39"/>
        <v>3073310.6463911654</v>
      </c>
      <c r="I121" s="577">
        <f t="shared" si="40"/>
        <v>3073310.6463911654</v>
      </c>
      <c r="J121" s="514">
        <f t="shared" si="25"/>
        <v>0</v>
      </c>
      <c r="K121" s="514"/>
      <c r="L121" s="525"/>
      <c r="M121" s="514">
        <f t="shared" si="27"/>
        <v>0</v>
      </c>
      <c r="N121" s="525"/>
      <c r="O121" s="514">
        <f t="shared" si="29"/>
        <v>0</v>
      </c>
      <c r="P121" s="514">
        <f t="shared" si="30"/>
        <v>0</v>
      </c>
      <c r="Q121" s="269"/>
    </row>
    <row r="122" spans="2:17" ht="12.5">
      <c r="B122" s="195" t="str">
        <f t="shared" si="31"/>
        <v/>
      </c>
      <c r="C122" s="507">
        <f>IF(D93="","-",+C121+1)</f>
        <v>2032</v>
      </c>
      <c r="D122" s="374">
        <f>IF(F121+SUM(E$99:E121)=D$92,F121,D$92-SUM(E$99:E121))</f>
        <v>18666506.031791046</v>
      </c>
      <c r="E122" s="522">
        <f>IF(+J96&lt;F121,J96,D122)</f>
        <v>903137.19512195117</v>
      </c>
      <c r="F122" s="523">
        <f t="shared" si="37"/>
        <v>17763368.836669095</v>
      </c>
      <c r="G122" s="523">
        <f t="shared" si="38"/>
        <v>18214937.434230071</v>
      </c>
      <c r="H122" s="526">
        <f t="shared" si="39"/>
        <v>2970791.7263793005</v>
      </c>
      <c r="I122" s="577">
        <f t="shared" si="40"/>
        <v>2970791.7263793005</v>
      </c>
      <c r="J122" s="514">
        <f t="shared" si="25"/>
        <v>0</v>
      </c>
      <c r="K122" s="514"/>
      <c r="L122" s="525"/>
      <c r="M122" s="514">
        <f t="shared" si="27"/>
        <v>0</v>
      </c>
      <c r="N122" s="525"/>
      <c r="O122" s="514">
        <f t="shared" si="29"/>
        <v>0</v>
      </c>
      <c r="P122" s="514">
        <f t="shared" si="30"/>
        <v>0</v>
      </c>
      <c r="Q122" s="269"/>
    </row>
    <row r="123" spans="2:17" ht="12.5">
      <c r="B123" s="195" t="str">
        <f t="shared" si="31"/>
        <v/>
      </c>
      <c r="C123" s="507">
        <f>IF(D93="","-",+C122+1)</f>
        <v>2033</v>
      </c>
      <c r="D123" s="374">
        <f>IF(F122+SUM(E$99:E122)=D$92,F122,D$92-SUM(E$99:E122))</f>
        <v>17763368.836669095</v>
      </c>
      <c r="E123" s="522">
        <f>IF(+J96&lt;F122,J96,D123)</f>
        <v>903137.19512195117</v>
      </c>
      <c r="F123" s="523">
        <f t="shared" si="37"/>
        <v>16860231.641547143</v>
      </c>
      <c r="G123" s="523">
        <f t="shared" si="38"/>
        <v>17311800.239108119</v>
      </c>
      <c r="H123" s="526">
        <f t="shared" si="39"/>
        <v>2868272.8063674355</v>
      </c>
      <c r="I123" s="577">
        <f t="shared" si="40"/>
        <v>2868272.8063674355</v>
      </c>
      <c r="J123" s="514">
        <f t="shared" si="25"/>
        <v>0</v>
      </c>
      <c r="K123" s="514"/>
      <c r="L123" s="525"/>
      <c r="M123" s="514">
        <f t="shared" si="27"/>
        <v>0</v>
      </c>
      <c r="N123" s="525"/>
      <c r="O123" s="514">
        <f t="shared" si="29"/>
        <v>0</v>
      </c>
      <c r="P123" s="514">
        <f t="shared" si="30"/>
        <v>0</v>
      </c>
      <c r="Q123" s="269"/>
    </row>
    <row r="124" spans="2:17" ht="12.5">
      <c r="B124" s="195" t="str">
        <f t="shared" si="31"/>
        <v/>
      </c>
      <c r="C124" s="507">
        <f>IF(D93="","-",+C123+1)</f>
        <v>2034</v>
      </c>
      <c r="D124" s="374">
        <f>IF(F123+SUM(E$99:E123)=D$92,F123,D$92-SUM(E$99:E123))</f>
        <v>16860231.641547143</v>
      </c>
      <c r="E124" s="522">
        <f>IF(+J96&lt;F123,J96,D124)</f>
        <v>903137.19512195117</v>
      </c>
      <c r="F124" s="523">
        <f t="shared" si="37"/>
        <v>15957094.446425192</v>
      </c>
      <c r="G124" s="523">
        <f t="shared" si="38"/>
        <v>16408663.043986168</v>
      </c>
      <c r="H124" s="526">
        <f t="shared" si="39"/>
        <v>2765753.8863555705</v>
      </c>
      <c r="I124" s="577">
        <f t="shared" si="40"/>
        <v>2765753.8863555705</v>
      </c>
      <c r="J124" s="514">
        <f t="shared" si="25"/>
        <v>0</v>
      </c>
      <c r="K124" s="514"/>
      <c r="L124" s="525"/>
      <c r="M124" s="514">
        <f t="shared" si="27"/>
        <v>0</v>
      </c>
      <c r="N124" s="525"/>
      <c r="O124" s="514">
        <f t="shared" si="29"/>
        <v>0</v>
      </c>
      <c r="P124" s="514">
        <f t="shared" si="30"/>
        <v>0</v>
      </c>
      <c r="Q124" s="269"/>
    </row>
    <row r="125" spans="2:17" ht="12.5">
      <c r="B125" s="195" t="str">
        <f t="shared" si="31"/>
        <v/>
      </c>
      <c r="C125" s="507">
        <f>IF(D93="","-",+C124+1)</f>
        <v>2035</v>
      </c>
      <c r="D125" s="374">
        <f>IF(F124+SUM(E$99:E124)=D$92,F124,D$92-SUM(E$99:E124))</f>
        <v>15957094.446425192</v>
      </c>
      <c r="E125" s="522">
        <f>IF(+J96&lt;F124,J96,D125)</f>
        <v>903137.19512195117</v>
      </c>
      <c r="F125" s="523">
        <f t="shared" si="37"/>
        <v>15053957.251303241</v>
      </c>
      <c r="G125" s="523">
        <f t="shared" si="38"/>
        <v>15505525.848864216</v>
      </c>
      <c r="H125" s="526">
        <f t="shared" si="39"/>
        <v>2663234.9663437055</v>
      </c>
      <c r="I125" s="577">
        <f t="shared" si="40"/>
        <v>2663234.9663437055</v>
      </c>
      <c r="J125" s="514">
        <f t="shared" si="25"/>
        <v>0</v>
      </c>
      <c r="K125" s="514"/>
      <c r="L125" s="525"/>
      <c r="M125" s="514">
        <f t="shared" si="27"/>
        <v>0</v>
      </c>
      <c r="N125" s="525"/>
      <c r="O125" s="514">
        <f t="shared" si="29"/>
        <v>0</v>
      </c>
      <c r="P125" s="514">
        <f t="shared" si="30"/>
        <v>0</v>
      </c>
      <c r="Q125" s="269"/>
    </row>
    <row r="126" spans="2:17" ht="12.5">
      <c r="B126" s="195" t="str">
        <f t="shared" si="31"/>
        <v/>
      </c>
      <c r="C126" s="507">
        <f>IF(D93="","-",+C125+1)</f>
        <v>2036</v>
      </c>
      <c r="D126" s="374">
        <f>IF(F125+SUM(E$99:E125)=D$92,F125,D$92-SUM(E$99:E125))</f>
        <v>15053957.251303241</v>
      </c>
      <c r="E126" s="522">
        <f>IF(+J96&lt;F125,J96,D126)</f>
        <v>903137.19512195117</v>
      </c>
      <c r="F126" s="523">
        <f t="shared" si="37"/>
        <v>14150820.056181289</v>
      </c>
      <c r="G126" s="523">
        <f t="shared" si="38"/>
        <v>14602388.653742265</v>
      </c>
      <c r="H126" s="526">
        <f t="shared" si="39"/>
        <v>2560716.0463318406</v>
      </c>
      <c r="I126" s="577">
        <f t="shared" si="40"/>
        <v>2560716.0463318406</v>
      </c>
      <c r="J126" s="514">
        <f t="shared" si="25"/>
        <v>0</v>
      </c>
      <c r="K126" s="514"/>
      <c r="L126" s="525"/>
      <c r="M126" s="514">
        <f t="shared" si="27"/>
        <v>0</v>
      </c>
      <c r="N126" s="525"/>
      <c r="O126" s="514">
        <f t="shared" si="29"/>
        <v>0</v>
      </c>
      <c r="P126" s="514">
        <f t="shared" si="30"/>
        <v>0</v>
      </c>
      <c r="Q126" s="269"/>
    </row>
    <row r="127" spans="2:17" ht="12.5">
      <c r="B127" s="195" t="str">
        <f t="shared" si="31"/>
        <v/>
      </c>
      <c r="C127" s="507">
        <f>IF(D93="","-",+C126+1)</f>
        <v>2037</v>
      </c>
      <c r="D127" s="374">
        <f>IF(F126+SUM(E$99:E126)=D$92,F126,D$92-SUM(E$99:E126))</f>
        <v>14150820.056181289</v>
      </c>
      <c r="E127" s="522">
        <f>IF(+J96&lt;F126,J96,D127)</f>
        <v>903137.19512195117</v>
      </c>
      <c r="F127" s="523">
        <f t="shared" si="37"/>
        <v>13247682.861059338</v>
      </c>
      <c r="G127" s="523">
        <f t="shared" si="38"/>
        <v>13699251.458620314</v>
      </c>
      <c r="H127" s="526">
        <f t="shared" si="39"/>
        <v>2458197.1263199756</v>
      </c>
      <c r="I127" s="577">
        <f t="shared" si="40"/>
        <v>2458197.1263199756</v>
      </c>
      <c r="J127" s="514">
        <f t="shared" si="25"/>
        <v>0</v>
      </c>
      <c r="K127" s="514"/>
      <c r="L127" s="525"/>
      <c r="M127" s="514">
        <f t="shared" si="27"/>
        <v>0</v>
      </c>
      <c r="N127" s="525"/>
      <c r="O127" s="514">
        <f t="shared" si="29"/>
        <v>0</v>
      </c>
      <c r="P127" s="514">
        <f t="shared" si="30"/>
        <v>0</v>
      </c>
      <c r="Q127" s="269"/>
    </row>
    <row r="128" spans="2:17" ht="12.5">
      <c r="B128" s="195" t="str">
        <f t="shared" si="31"/>
        <v/>
      </c>
      <c r="C128" s="507">
        <f>IF(D93="","-",+C127+1)</f>
        <v>2038</v>
      </c>
      <c r="D128" s="374">
        <f>IF(F127+SUM(E$99:E127)=D$92,F127,D$92-SUM(E$99:E127))</f>
        <v>13247682.861059338</v>
      </c>
      <c r="E128" s="522">
        <f>IF(+J96&lt;F127,J96,D128)</f>
        <v>903137.19512195117</v>
      </c>
      <c r="F128" s="523">
        <f t="shared" si="37"/>
        <v>12344545.665937386</v>
      </c>
      <c r="G128" s="523">
        <f t="shared" si="38"/>
        <v>12796114.263498362</v>
      </c>
      <c r="H128" s="526">
        <f t="shared" si="39"/>
        <v>2355678.2063081111</v>
      </c>
      <c r="I128" s="577">
        <f t="shared" si="40"/>
        <v>2355678.2063081111</v>
      </c>
      <c r="J128" s="514">
        <f t="shared" si="25"/>
        <v>0</v>
      </c>
      <c r="K128" s="514"/>
      <c r="L128" s="525"/>
      <c r="M128" s="514">
        <f t="shared" si="27"/>
        <v>0</v>
      </c>
      <c r="N128" s="525"/>
      <c r="O128" s="514">
        <f t="shared" si="29"/>
        <v>0</v>
      </c>
      <c r="P128" s="514">
        <f t="shared" si="30"/>
        <v>0</v>
      </c>
      <c r="Q128" s="269"/>
    </row>
    <row r="129" spans="2:17" ht="12.5">
      <c r="B129" s="195" t="str">
        <f t="shared" si="31"/>
        <v/>
      </c>
      <c r="C129" s="507">
        <f>IF(D93="","-",+C128+1)</f>
        <v>2039</v>
      </c>
      <c r="D129" s="374">
        <f>IF(F128+SUM(E$99:E128)=D$92,F128,D$92-SUM(E$99:E128))</f>
        <v>12344545.665937386</v>
      </c>
      <c r="E129" s="522">
        <f>IF(+J96&lt;F128,J96,D129)</f>
        <v>903137.19512195117</v>
      </c>
      <c r="F129" s="523">
        <f t="shared" si="37"/>
        <v>11441408.470815435</v>
      </c>
      <c r="G129" s="523">
        <f t="shared" si="38"/>
        <v>11892977.068376411</v>
      </c>
      <c r="H129" s="526">
        <f t="shared" si="39"/>
        <v>2253159.2862962461</v>
      </c>
      <c r="I129" s="577">
        <f t="shared" si="40"/>
        <v>2253159.2862962461</v>
      </c>
      <c r="J129" s="514">
        <f t="shared" si="25"/>
        <v>0</v>
      </c>
      <c r="K129" s="514"/>
      <c r="L129" s="525"/>
      <c r="M129" s="514">
        <f t="shared" si="27"/>
        <v>0</v>
      </c>
      <c r="N129" s="525"/>
      <c r="O129" s="514">
        <f t="shared" si="29"/>
        <v>0</v>
      </c>
      <c r="P129" s="514">
        <f t="shared" si="30"/>
        <v>0</v>
      </c>
      <c r="Q129" s="269"/>
    </row>
    <row r="130" spans="2:17" ht="12.5">
      <c r="B130" s="195" t="str">
        <f t="shared" si="31"/>
        <v/>
      </c>
      <c r="C130" s="507">
        <f>IF(D93="","-",+C129+1)</f>
        <v>2040</v>
      </c>
      <c r="D130" s="374">
        <f>IF(F129+SUM(E$99:E129)=D$92,F129,D$92-SUM(E$99:E129))</f>
        <v>11441408.470815435</v>
      </c>
      <c r="E130" s="522">
        <f>IF(+J96&lt;F129,J96,D130)</f>
        <v>903137.19512195117</v>
      </c>
      <c r="F130" s="523">
        <f t="shared" si="37"/>
        <v>10538271.275693484</v>
      </c>
      <c r="G130" s="523">
        <f t="shared" si="38"/>
        <v>10989839.873254459</v>
      </c>
      <c r="H130" s="526">
        <f t="shared" si="39"/>
        <v>2150640.3662843816</v>
      </c>
      <c r="I130" s="577">
        <f t="shared" si="40"/>
        <v>2150640.3662843816</v>
      </c>
      <c r="J130" s="514">
        <f t="shared" si="25"/>
        <v>0</v>
      </c>
      <c r="K130" s="514"/>
      <c r="L130" s="525"/>
      <c r="M130" s="514">
        <f t="shared" si="27"/>
        <v>0</v>
      </c>
      <c r="N130" s="525"/>
      <c r="O130" s="514">
        <f t="shared" si="29"/>
        <v>0</v>
      </c>
      <c r="P130" s="514">
        <f t="shared" si="30"/>
        <v>0</v>
      </c>
      <c r="Q130" s="269"/>
    </row>
    <row r="131" spans="2:17" ht="12.5">
      <c r="B131" s="195" t="str">
        <f t="shared" si="31"/>
        <v/>
      </c>
      <c r="C131" s="507">
        <f>IF(D93="","-",+C130+1)</f>
        <v>2041</v>
      </c>
      <c r="D131" s="374">
        <f>IF(F130+SUM(E$99:E130)=D$92,F130,D$92-SUM(E$99:E130))</f>
        <v>10538271.275693484</v>
      </c>
      <c r="E131" s="522">
        <f>IF(+J96&lt;F130,J96,D131)</f>
        <v>903137.19512195117</v>
      </c>
      <c r="F131" s="523">
        <f t="shared" ref="F131:F154" si="41">+D131-E131</f>
        <v>9635134.0805715322</v>
      </c>
      <c r="G131" s="523">
        <f t="shared" ref="G131:G154" si="42">+(F131+D131)/2</f>
        <v>10086702.678132508</v>
      </c>
      <c r="H131" s="526">
        <f t="shared" si="39"/>
        <v>2048121.4462725164</v>
      </c>
      <c r="I131" s="577">
        <f t="shared" si="40"/>
        <v>2048121.4462725164</v>
      </c>
      <c r="J131" s="514">
        <f t="shared" ref="J131:J154" si="43">+I131-H131</f>
        <v>0</v>
      </c>
      <c r="K131" s="514"/>
      <c r="L131" s="525"/>
      <c r="M131" s="514">
        <f t="shared" ref="M131:M154" si="44">IF(L131&lt;&gt;0,+H131-L131,0)</f>
        <v>0</v>
      </c>
      <c r="N131" s="525"/>
      <c r="O131" s="514">
        <f t="shared" ref="O131:O154" si="45">IF(N131&lt;&gt;0,+I131-N131,0)</f>
        <v>0</v>
      </c>
      <c r="P131" s="514">
        <f t="shared" ref="P131:P154" si="46">+O131-M131</f>
        <v>0</v>
      </c>
      <c r="Q131" s="269"/>
    </row>
    <row r="132" spans="2:17" ht="12.5">
      <c r="B132" s="195" t="str">
        <f t="shared" si="31"/>
        <v/>
      </c>
      <c r="C132" s="507">
        <f>IF(D93="","-",+C131+1)</f>
        <v>2042</v>
      </c>
      <c r="D132" s="374">
        <f>IF(F131+SUM(E$99:E131)=D$92,F131,D$92-SUM(E$99:E131))</f>
        <v>9635134.0805715322</v>
      </c>
      <c r="E132" s="522">
        <f>IF(+J96&lt;F131,J96,D132)</f>
        <v>903137.19512195117</v>
      </c>
      <c r="F132" s="523">
        <f t="shared" si="41"/>
        <v>8731996.8854495808</v>
      </c>
      <c r="G132" s="523">
        <f t="shared" si="42"/>
        <v>9183565.4830105565</v>
      </c>
      <c r="H132" s="526">
        <f t="shared" si="39"/>
        <v>1945602.5262606516</v>
      </c>
      <c r="I132" s="577">
        <f t="shared" si="40"/>
        <v>1945602.5262606516</v>
      </c>
      <c r="J132" s="514">
        <f t="shared" si="43"/>
        <v>0</v>
      </c>
      <c r="K132" s="514"/>
      <c r="L132" s="525"/>
      <c r="M132" s="514">
        <f t="shared" si="44"/>
        <v>0</v>
      </c>
      <c r="N132" s="525"/>
      <c r="O132" s="514">
        <f t="shared" si="45"/>
        <v>0</v>
      </c>
      <c r="P132" s="514">
        <f t="shared" si="46"/>
        <v>0</v>
      </c>
      <c r="Q132" s="269"/>
    </row>
    <row r="133" spans="2:17" ht="12.5">
      <c r="B133" s="195" t="str">
        <f t="shared" si="31"/>
        <v/>
      </c>
      <c r="C133" s="507">
        <f>IF(D93="","-",+C132+1)</f>
        <v>2043</v>
      </c>
      <c r="D133" s="374">
        <f>IF(F132+SUM(E$99:E132)=D$92,F132,D$92-SUM(E$99:E132))</f>
        <v>8731996.8854495808</v>
      </c>
      <c r="E133" s="522">
        <f>IF(+J96&lt;F132,J96,D133)</f>
        <v>903137.19512195117</v>
      </c>
      <c r="F133" s="523">
        <f t="shared" si="41"/>
        <v>7828859.6903276294</v>
      </c>
      <c r="G133" s="523">
        <f t="shared" si="42"/>
        <v>8280428.2878886051</v>
      </c>
      <c r="H133" s="526">
        <f t="shared" si="39"/>
        <v>1843083.6062487867</v>
      </c>
      <c r="I133" s="577">
        <f t="shared" si="40"/>
        <v>1843083.6062487867</v>
      </c>
      <c r="J133" s="514">
        <f t="shared" si="43"/>
        <v>0</v>
      </c>
      <c r="K133" s="514"/>
      <c r="L133" s="525"/>
      <c r="M133" s="514">
        <f t="shared" si="44"/>
        <v>0</v>
      </c>
      <c r="N133" s="525"/>
      <c r="O133" s="514">
        <f t="shared" si="45"/>
        <v>0</v>
      </c>
      <c r="P133" s="514">
        <f t="shared" si="46"/>
        <v>0</v>
      </c>
      <c r="Q133" s="269"/>
    </row>
    <row r="134" spans="2:17" ht="12.5">
      <c r="B134" s="195" t="str">
        <f t="shared" si="31"/>
        <v/>
      </c>
      <c r="C134" s="507">
        <f>IF(D93="","-",+C133+1)</f>
        <v>2044</v>
      </c>
      <c r="D134" s="374">
        <f>IF(F133+SUM(E$99:E133)=D$92,F133,D$92-SUM(E$99:E133))</f>
        <v>7828859.6903276294</v>
      </c>
      <c r="E134" s="522">
        <f>IF(+J96&lt;F133,J96,D134)</f>
        <v>903137.19512195117</v>
      </c>
      <c r="F134" s="523">
        <f t="shared" si="41"/>
        <v>6925722.495205678</v>
      </c>
      <c r="G134" s="523">
        <f t="shared" si="42"/>
        <v>7377291.0927666537</v>
      </c>
      <c r="H134" s="526">
        <f t="shared" si="39"/>
        <v>1740564.6862369219</v>
      </c>
      <c r="I134" s="577">
        <f t="shared" si="40"/>
        <v>1740564.6862369219</v>
      </c>
      <c r="J134" s="514">
        <f t="shared" si="43"/>
        <v>0</v>
      </c>
      <c r="K134" s="514"/>
      <c r="L134" s="525"/>
      <c r="M134" s="514">
        <f t="shared" si="44"/>
        <v>0</v>
      </c>
      <c r="N134" s="525"/>
      <c r="O134" s="514">
        <f t="shared" si="45"/>
        <v>0</v>
      </c>
      <c r="P134" s="514">
        <f t="shared" si="46"/>
        <v>0</v>
      </c>
      <c r="Q134" s="269"/>
    </row>
    <row r="135" spans="2:17" ht="12.5">
      <c r="B135" s="195" t="str">
        <f t="shared" si="31"/>
        <v/>
      </c>
      <c r="C135" s="507">
        <f>IF(D93="","-",+C134+1)</f>
        <v>2045</v>
      </c>
      <c r="D135" s="374">
        <f>IF(F134+SUM(E$99:E134)=D$92,F134,D$92-SUM(E$99:E134))</f>
        <v>6925722.495205678</v>
      </c>
      <c r="E135" s="522">
        <f>IF(+J96&lt;F134,J96,D135)</f>
        <v>903137.19512195117</v>
      </c>
      <c r="F135" s="523">
        <f t="shared" si="41"/>
        <v>6022585.3000837266</v>
      </c>
      <c r="G135" s="523">
        <f t="shared" si="42"/>
        <v>6474153.8976447023</v>
      </c>
      <c r="H135" s="526">
        <f t="shared" si="39"/>
        <v>1638045.7662250572</v>
      </c>
      <c r="I135" s="577">
        <f t="shared" si="40"/>
        <v>1638045.7662250572</v>
      </c>
      <c r="J135" s="514">
        <f t="shared" si="43"/>
        <v>0</v>
      </c>
      <c r="K135" s="514"/>
      <c r="L135" s="525"/>
      <c r="M135" s="514">
        <f t="shared" si="44"/>
        <v>0</v>
      </c>
      <c r="N135" s="525"/>
      <c r="O135" s="514">
        <f t="shared" si="45"/>
        <v>0</v>
      </c>
      <c r="P135" s="514">
        <f t="shared" si="46"/>
        <v>0</v>
      </c>
      <c r="Q135" s="269"/>
    </row>
    <row r="136" spans="2:17" ht="12.5">
      <c r="B136" s="195" t="str">
        <f t="shared" si="31"/>
        <v/>
      </c>
      <c r="C136" s="507">
        <f>IF(D93="","-",+C135+1)</f>
        <v>2046</v>
      </c>
      <c r="D136" s="374">
        <f>IF(F135+SUM(E$99:E135)=D$92,F135,D$92-SUM(E$99:E135))</f>
        <v>6022585.3000837266</v>
      </c>
      <c r="E136" s="522">
        <f>IF(+J96&lt;F135,J96,D136)</f>
        <v>903137.19512195117</v>
      </c>
      <c r="F136" s="523">
        <f t="shared" si="41"/>
        <v>5119448.1049617752</v>
      </c>
      <c r="G136" s="523">
        <f t="shared" si="42"/>
        <v>5571016.7025227509</v>
      </c>
      <c r="H136" s="526">
        <f t="shared" si="39"/>
        <v>1535526.8462131922</v>
      </c>
      <c r="I136" s="577">
        <f t="shared" si="40"/>
        <v>1535526.8462131922</v>
      </c>
      <c r="J136" s="514">
        <f t="shared" si="43"/>
        <v>0</v>
      </c>
      <c r="K136" s="514"/>
      <c r="L136" s="525"/>
      <c r="M136" s="514">
        <f t="shared" si="44"/>
        <v>0</v>
      </c>
      <c r="N136" s="525"/>
      <c r="O136" s="514">
        <f t="shared" si="45"/>
        <v>0</v>
      </c>
      <c r="P136" s="514">
        <f t="shared" si="46"/>
        <v>0</v>
      </c>
      <c r="Q136" s="269"/>
    </row>
    <row r="137" spans="2:17" ht="12.5">
      <c r="B137" s="195" t="str">
        <f t="shared" si="31"/>
        <v/>
      </c>
      <c r="C137" s="507">
        <f>IF(D93="","-",+C136+1)</f>
        <v>2047</v>
      </c>
      <c r="D137" s="374">
        <f>IF(F136+SUM(E$99:E136)=D$92,F136,D$92-SUM(E$99:E136))</f>
        <v>5119448.1049617752</v>
      </c>
      <c r="E137" s="522">
        <f>IF(+J96&lt;F136,J96,D137)</f>
        <v>903137.19512195117</v>
      </c>
      <c r="F137" s="523">
        <f t="shared" si="41"/>
        <v>4216310.9098398238</v>
      </c>
      <c r="G137" s="523">
        <f t="shared" si="42"/>
        <v>4667879.5074007995</v>
      </c>
      <c r="H137" s="526">
        <f t="shared" si="39"/>
        <v>1433007.9262013272</v>
      </c>
      <c r="I137" s="577">
        <f t="shared" si="40"/>
        <v>1433007.9262013272</v>
      </c>
      <c r="J137" s="514">
        <f t="shared" si="43"/>
        <v>0</v>
      </c>
      <c r="K137" s="514"/>
      <c r="L137" s="525"/>
      <c r="M137" s="514">
        <f t="shared" si="44"/>
        <v>0</v>
      </c>
      <c r="N137" s="525"/>
      <c r="O137" s="514">
        <f t="shared" si="45"/>
        <v>0</v>
      </c>
      <c r="P137" s="514">
        <f t="shared" si="46"/>
        <v>0</v>
      </c>
      <c r="Q137" s="269"/>
    </row>
    <row r="138" spans="2:17" ht="12.5">
      <c r="B138" s="195" t="str">
        <f t="shared" si="31"/>
        <v/>
      </c>
      <c r="C138" s="507">
        <f>IF(D93="","-",+C137+1)</f>
        <v>2048</v>
      </c>
      <c r="D138" s="374">
        <f>IF(F137+SUM(E$99:E137)=D$92,F137,D$92-SUM(E$99:E137))</f>
        <v>4216310.9098398238</v>
      </c>
      <c r="E138" s="522">
        <f>IF(+J96&lt;F137,J96,D138)</f>
        <v>903137.19512195117</v>
      </c>
      <c r="F138" s="523">
        <f t="shared" si="41"/>
        <v>3313173.7147178724</v>
      </c>
      <c r="G138" s="523">
        <f t="shared" si="42"/>
        <v>3764742.3122788481</v>
      </c>
      <c r="H138" s="526">
        <f t="shared" si="39"/>
        <v>1330489.0061894625</v>
      </c>
      <c r="I138" s="577">
        <f t="shared" si="40"/>
        <v>1330489.0061894625</v>
      </c>
      <c r="J138" s="514">
        <f t="shared" si="43"/>
        <v>0</v>
      </c>
      <c r="K138" s="514"/>
      <c r="L138" s="525"/>
      <c r="M138" s="514">
        <f t="shared" si="44"/>
        <v>0</v>
      </c>
      <c r="N138" s="525"/>
      <c r="O138" s="514">
        <f t="shared" si="45"/>
        <v>0</v>
      </c>
      <c r="P138" s="514">
        <f t="shared" si="46"/>
        <v>0</v>
      </c>
      <c r="Q138" s="269"/>
    </row>
    <row r="139" spans="2:17" ht="12.5">
      <c r="B139" s="195" t="str">
        <f t="shared" si="31"/>
        <v/>
      </c>
      <c r="C139" s="507">
        <f>IF(D93="","-",+C138+1)</f>
        <v>2049</v>
      </c>
      <c r="D139" s="374">
        <f>IF(F138+SUM(E$99:E138)=D$92,F138,D$92-SUM(E$99:E138))</f>
        <v>3313173.7147178724</v>
      </c>
      <c r="E139" s="522">
        <f>IF(+J96&lt;F138,J96,D139)</f>
        <v>903137.19512195117</v>
      </c>
      <c r="F139" s="523">
        <f t="shared" si="41"/>
        <v>2410036.519595921</v>
      </c>
      <c r="G139" s="523">
        <f t="shared" si="42"/>
        <v>2861605.1171568967</v>
      </c>
      <c r="H139" s="526">
        <f t="shared" si="39"/>
        <v>1227970.0861775978</v>
      </c>
      <c r="I139" s="577">
        <f t="shared" si="40"/>
        <v>1227970.0861775978</v>
      </c>
      <c r="J139" s="514">
        <f t="shared" si="43"/>
        <v>0</v>
      </c>
      <c r="K139" s="514"/>
      <c r="L139" s="525"/>
      <c r="M139" s="514">
        <f t="shared" si="44"/>
        <v>0</v>
      </c>
      <c r="N139" s="525"/>
      <c r="O139" s="514">
        <f t="shared" si="45"/>
        <v>0</v>
      </c>
      <c r="P139" s="514">
        <f t="shared" si="46"/>
        <v>0</v>
      </c>
      <c r="Q139" s="269"/>
    </row>
    <row r="140" spans="2:17" ht="12.5">
      <c r="B140" s="195" t="str">
        <f t="shared" si="31"/>
        <v/>
      </c>
      <c r="C140" s="507">
        <f>IF(D93="","-",+C139+1)</f>
        <v>2050</v>
      </c>
      <c r="D140" s="374">
        <f>IF(F139+SUM(E$99:E139)=D$92,F139,D$92-SUM(E$99:E139))</f>
        <v>2410036.519595921</v>
      </c>
      <c r="E140" s="522">
        <f>IF(+J96&lt;F139,J96,D140)</f>
        <v>903137.19512195117</v>
      </c>
      <c r="F140" s="523">
        <f t="shared" si="41"/>
        <v>1506899.3244739699</v>
      </c>
      <c r="G140" s="523">
        <f t="shared" si="42"/>
        <v>1958467.9220349453</v>
      </c>
      <c r="H140" s="526">
        <f t="shared" si="39"/>
        <v>1125451.1661657328</v>
      </c>
      <c r="I140" s="577">
        <f t="shared" si="40"/>
        <v>1125451.1661657328</v>
      </c>
      <c r="J140" s="514">
        <f t="shared" si="43"/>
        <v>0</v>
      </c>
      <c r="K140" s="514"/>
      <c r="L140" s="525"/>
      <c r="M140" s="514">
        <f t="shared" si="44"/>
        <v>0</v>
      </c>
      <c r="N140" s="525"/>
      <c r="O140" s="514">
        <f t="shared" si="45"/>
        <v>0</v>
      </c>
      <c r="P140" s="514">
        <f t="shared" si="46"/>
        <v>0</v>
      </c>
      <c r="Q140" s="269"/>
    </row>
    <row r="141" spans="2:17" ht="12.5">
      <c r="B141" s="195" t="str">
        <f t="shared" si="31"/>
        <v/>
      </c>
      <c r="C141" s="507">
        <f>IF(D93="","-",+C140+1)</f>
        <v>2051</v>
      </c>
      <c r="D141" s="374">
        <f>IF(F140+SUM(E$99:E140)=D$92,F140,D$92-SUM(E$99:E140))</f>
        <v>1506899.3244739699</v>
      </c>
      <c r="E141" s="522">
        <f>IF(+J96&lt;F140,J96,D141)</f>
        <v>903137.19512195117</v>
      </c>
      <c r="F141" s="523">
        <f t="shared" si="41"/>
        <v>603762.1293520187</v>
      </c>
      <c r="G141" s="523">
        <f t="shared" si="42"/>
        <v>1055330.7269129944</v>
      </c>
      <c r="H141" s="526">
        <f t="shared" si="39"/>
        <v>1022932.246153868</v>
      </c>
      <c r="I141" s="577">
        <f t="shared" si="40"/>
        <v>1022932.246153868</v>
      </c>
      <c r="J141" s="514">
        <f t="shared" si="43"/>
        <v>0</v>
      </c>
      <c r="K141" s="514"/>
      <c r="L141" s="525"/>
      <c r="M141" s="514">
        <f t="shared" si="44"/>
        <v>0</v>
      </c>
      <c r="N141" s="525"/>
      <c r="O141" s="514">
        <f t="shared" si="45"/>
        <v>0</v>
      </c>
      <c r="P141" s="514">
        <f t="shared" si="46"/>
        <v>0</v>
      </c>
      <c r="Q141" s="269"/>
    </row>
    <row r="142" spans="2:17" ht="12.5">
      <c r="B142" s="195" t="str">
        <f t="shared" si="31"/>
        <v/>
      </c>
      <c r="C142" s="507">
        <f>IF(D93="","-",+C141+1)</f>
        <v>2052</v>
      </c>
      <c r="D142" s="374">
        <f>IF(F141+SUM(E$99:E141)=D$92,F141,D$92-SUM(E$99:E141))</f>
        <v>603762.1293520187</v>
      </c>
      <c r="E142" s="522">
        <f>IF(+J96&lt;F141,J96,D142)</f>
        <v>603762.1293520187</v>
      </c>
      <c r="F142" s="523">
        <f t="shared" si="41"/>
        <v>0</v>
      </c>
      <c r="G142" s="523">
        <f t="shared" si="42"/>
        <v>301881.06467600935</v>
      </c>
      <c r="H142" s="526">
        <f t="shared" si="39"/>
        <v>638029.92486501089</v>
      </c>
      <c r="I142" s="577">
        <f t="shared" si="40"/>
        <v>638029.92486501089</v>
      </c>
      <c r="J142" s="514">
        <f t="shared" si="43"/>
        <v>0</v>
      </c>
      <c r="K142" s="514"/>
      <c r="L142" s="525"/>
      <c r="M142" s="514">
        <f t="shared" si="44"/>
        <v>0</v>
      </c>
      <c r="N142" s="525"/>
      <c r="O142" s="514">
        <f t="shared" si="45"/>
        <v>0</v>
      </c>
      <c r="P142" s="514">
        <f t="shared" si="46"/>
        <v>0</v>
      </c>
      <c r="Q142" s="269"/>
    </row>
    <row r="143" spans="2:17" ht="12.5">
      <c r="B143" s="195" t="str">
        <f t="shared" si="31"/>
        <v/>
      </c>
      <c r="C143" s="507">
        <f>IF(D93="","-",+C142+1)</f>
        <v>2053</v>
      </c>
      <c r="D143" s="374">
        <f>IF(F142+SUM(E$99:E142)=D$92,F142,D$92-SUM(E$99:E142))</f>
        <v>0</v>
      </c>
      <c r="E143" s="522">
        <f>IF(+J96&lt;F142,J96,D143)</f>
        <v>0</v>
      </c>
      <c r="F143" s="523">
        <f t="shared" si="41"/>
        <v>0</v>
      </c>
      <c r="G143" s="523">
        <f t="shared" si="42"/>
        <v>0</v>
      </c>
      <c r="H143" s="526">
        <f t="shared" si="39"/>
        <v>0</v>
      </c>
      <c r="I143" s="577">
        <f t="shared" si="40"/>
        <v>0</v>
      </c>
      <c r="J143" s="514">
        <f t="shared" si="43"/>
        <v>0</v>
      </c>
      <c r="K143" s="514"/>
      <c r="L143" s="525"/>
      <c r="M143" s="514">
        <f t="shared" si="44"/>
        <v>0</v>
      </c>
      <c r="N143" s="525"/>
      <c r="O143" s="514">
        <f t="shared" si="45"/>
        <v>0</v>
      </c>
      <c r="P143" s="514">
        <f t="shared" si="46"/>
        <v>0</v>
      </c>
      <c r="Q143" s="269"/>
    </row>
    <row r="144" spans="2:17" ht="12.5">
      <c r="B144" s="195" t="str">
        <f t="shared" si="31"/>
        <v/>
      </c>
      <c r="C144" s="507">
        <f>IF(D93="","-",+C143+1)</f>
        <v>2054</v>
      </c>
      <c r="D144" s="374">
        <f>IF(F143+SUM(E$99:E143)=D$92,F143,D$92-SUM(E$99:E143))</f>
        <v>0</v>
      </c>
      <c r="E144" s="522">
        <f>IF(+J96&lt;F143,J96,D144)</f>
        <v>0</v>
      </c>
      <c r="F144" s="523">
        <f t="shared" si="41"/>
        <v>0</v>
      </c>
      <c r="G144" s="523">
        <f t="shared" si="42"/>
        <v>0</v>
      </c>
      <c r="H144" s="526">
        <f t="shared" si="39"/>
        <v>0</v>
      </c>
      <c r="I144" s="577">
        <f t="shared" si="40"/>
        <v>0</v>
      </c>
      <c r="J144" s="514">
        <f t="shared" si="43"/>
        <v>0</v>
      </c>
      <c r="K144" s="514"/>
      <c r="L144" s="525"/>
      <c r="M144" s="514">
        <f t="shared" si="44"/>
        <v>0</v>
      </c>
      <c r="N144" s="525"/>
      <c r="O144" s="514">
        <f t="shared" si="45"/>
        <v>0</v>
      </c>
      <c r="P144" s="514">
        <f t="shared" si="46"/>
        <v>0</v>
      </c>
      <c r="Q144" s="269"/>
    </row>
    <row r="145" spans="2:17" ht="12.5">
      <c r="B145" s="195" t="str">
        <f t="shared" si="31"/>
        <v/>
      </c>
      <c r="C145" s="507">
        <f>IF(D93="","-",+C144+1)</f>
        <v>2055</v>
      </c>
      <c r="D145" s="374">
        <f>IF(F144+SUM(E$99:E144)=D$92,F144,D$92-SUM(E$99:E144))</f>
        <v>0</v>
      </c>
      <c r="E145" s="522">
        <f>IF(+J96&lt;F144,J96,D145)</f>
        <v>0</v>
      </c>
      <c r="F145" s="523">
        <f t="shared" si="41"/>
        <v>0</v>
      </c>
      <c r="G145" s="523">
        <f t="shared" si="42"/>
        <v>0</v>
      </c>
      <c r="H145" s="526">
        <f t="shared" si="39"/>
        <v>0</v>
      </c>
      <c r="I145" s="577">
        <f t="shared" si="40"/>
        <v>0</v>
      </c>
      <c r="J145" s="514">
        <f t="shared" si="43"/>
        <v>0</v>
      </c>
      <c r="K145" s="514"/>
      <c r="L145" s="525"/>
      <c r="M145" s="514">
        <f t="shared" si="44"/>
        <v>0</v>
      </c>
      <c r="N145" s="525"/>
      <c r="O145" s="514">
        <f t="shared" si="45"/>
        <v>0</v>
      </c>
      <c r="P145" s="514">
        <f t="shared" si="46"/>
        <v>0</v>
      </c>
      <c r="Q145" s="269"/>
    </row>
    <row r="146" spans="2:17" ht="12.5">
      <c r="B146" s="195" t="str">
        <f t="shared" si="31"/>
        <v/>
      </c>
      <c r="C146" s="507">
        <f>IF(D93="","-",+C145+1)</f>
        <v>2056</v>
      </c>
      <c r="D146" s="374">
        <f>IF(F145+SUM(E$99:E145)=D$92,F145,D$92-SUM(E$99:E145))</f>
        <v>0</v>
      </c>
      <c r="E146" s="522">
        <f>IF(+J96&lt;F145,J96,D146)</f>
        <v>0</v>
      </c>
      <c r="F146" s="523">
        <f t="shared" si="41"/>
        <v>0</v>
      </c>
      <c r="G146" s="523">
        <f t="shared" si="42"/>
        <v>0</v>
      </c>
      <c r="H146" s="526">
        <f t="shared" si="39"/>
        <v>0</v>
      </c>
      <c r="I146" s="577">
        <f t="shared" si="40"/>
        <v>0</v>
      </c>
      <c r="J146" s="514">
        <f t="shared" si="43"/>
        <v>0</v>
      </c>
      <c r="K146" s="514"/>
      <c r="L146" s="525"/>
      <c r="M146" s="514">
        <f t="shared" si="44"/>
        <v>0</v>
      </c>
      <c r="N146" s="525"/>
      <c r="O146" s="514">
        <f t="shared" si="45"/>
        <v>0</v>
      </c>
      <c r="P146" s="514">
        <f t="shared" si="46"/>
        <v>0</v>
      </c>
      <c r="Q146" s="269"/>
    </row>
    <row r="147" spans="2:17" ht="12.5">
      <c r="B147" s="195" t="str">
        <f t="shared" si="31"/>
        <v/>
      </c>
      <c r="C147" s="507">
        <f>IF(D93="","-",+C146+1)</f>
        <v>2057</v>
      </c>
      <c r="D147" s="374">
        <f>IF(F146+SUM(E$99:E146)=D$92,F146,D$92-SUM(E$99:E146))</f>
        <v>0</v>
      </c>
      <c r="E147" s="522">
        <f>IF(+J96&lt;F146,J96,D147)</f>
        <v>0</v>
      </c>
      <c r="F147" s="523">
        <f t="shared" si="41"/>
        <v>0</v>
      </c>
      <c r="G147" s="523">
        <f t="shared" si="42"/>
        <v>0</v>
      </c>
      <c r="H147" s="526">
        <f t="shared" si="39"/>
        <v>0</v>
      </c>
      <c r="I147" s="577">
        <f t="shared" si="40"/>
        <v>0</v>
      </c>
      <c r="J147" s="514">
        <f t="shared" si="43"/>
        <v>0</v>
      </c>
      <c r="K147" s="514"/>
      <c r="L147" s="525"/>
      <c r="M147" s="514">
        <f t="shared" si="44"/>
        <v>0</v>
      </c>
      <c r="N147" s="525"/>
      <c r="O147" s="514">
        <f t="shared" si="45"/>
        <v>0</v>
      </c>
      <c r="P147" s="514">
        <f t="shared" si="46"/>
        <v>0</v>
      </c>
      <c r="Q147" s="269"/>
    </row>
    <row r="148" spans="2:17" ht="12.5">
      <c r="B148" s="195" t="str">
        <f t="shared" si="31"/>
        <v/>
      </c>
      <c r="C148" s="507">
        <f>IF(D93="","-",+C147+1)</f>
        <v>2058</v>
      </c>
      <c r="D148" s="374">
        <f>IF(F147+SUM(E$99:E147)=D$92,F147,D$92-SUM(E$99:E147))</f>
        <v>0</v>
      </c>
      <c r="E148" s="522">
        <f>IF(+J96&lt;F147,J96,D148)</f>
        <v>0</v>
      </c>
      <c r="F148" s="523">
        <f t="shared" si="41"/>
        <v>0</v>
      </c>
      <c r="G148" s="523">
        <f t="shared" si="42"/>
        <v>0</v>
      </c>
      <c r="H148" s="526">
        <f t="shared" si="39"/>
        <v>0</v>
      </c>
      <c r="I148" s="577">
        <f t="shared" si="40"/>
        <v>0</v>
      </c>
      <c r="J148" s="514">
        <f t="shared" si="43"/>
        <v>0</v>
      </c>
      <c r="K148" s="514"/>
      <c r="L148" s="525"/>
      <c r="M148" s="514">
        <f t="shared" si="44"/>
        <v>0</v>
      </c>
      <c r="N148" s="525"/>
      <c r="O148" s="514">
        <f t="shared" si="45"/>
        <v>0</v>
      </c>
      <c r="P148" s="514">
        <f t="shared" si="46"/>
        <v>0</v>
      </c>
      <c r="Q148" s="269"/>
    </row>
    <row r="149" spans="2:17" ht="12.5">
      <c r="B149" s="195" t="str">
        <f t="shared" si="31"/>
        <v/>
      </c>
      <c r="C149" s="507">
        <f>IF(D93="","-",+C148+1)</f>
        <v>2059</v>
      </c>
      <c r="D149" s="374">
        <f>IF(F148+SUM(E$99:E148)=D$92,F148,D$92-SUM(E$99:E148))</f>
        <v>0</v>
      </c>
      <c r="E149" s="522">
        <f>IF(+J96&lt;F148,J96,D149)</f>
        <v>0</v>
      </c>
      <c r="F149" s="523">
        <f t="shared" si="41"/>
        <v>0</v>
      </c>
      <c r="G149" s="523">
        <f t="shared" si="42"/>
        <v>0</v>
      </c>
      <c r="H149" s="526">
        <f t="shared" si="39"/>
        <v>0</v>
      </c>
      <c r="I149" s="577">
        <f t="shared" si="40"/>
        <v>0</v>
      </c>
      <c r="J149" s="514">
        <f t="shared" si="43"/>
        <v>0</v>
      </c>
      <c r="K149" s="514"/>
      <c r="L149" s="525"/>
      <c r="M149" s="514">
        <f t="shared" si="44"/>
        <v>0</v>
      </c>
      <c r="N149" s="525"/>
      <c r="O149" s="514">
        <f t="shared" si="45"/>
        <v>0</v>
      </c>
      <c r="P149" s="514">
        <f t="shared" si="46"/>
        <v>0</v>
      </c>
      <c r="Q149" s="269"/>
    </row>
    <row r="150" spans="2:17" ht="12.5">
      <c r="B150" s="195" t="str">
        <f t="shared" si="31"/>
        <v/>
      </c>
      <c r="C150" s="507">
        <f>IF(D93="","-",+C149+1)</f>
        <v>2060</v>
      </c>
      <c r="D150" s="374">
        <f>IF(F149+SUM(E$99:E149)=D$92,F149,D$92-SUM(E$99:E149))</f>
        <v>0</v>
      </c>
      <c r="E150" s="522">
        <f>IF(+J96&lt;F149,J96,D150)</f>
        <v>0</v>
      </c>
      <c r="F150" s="523">
        <f t="shared" si="41"/>
        <v>0</v>
      </c>
      <c r="G150" s="523">
        <f t="shared" si="42"/>
        <v>0</v>
      </c>
      <c r="H150" s="526">
        <f t="shared" si="39"/>
        <v>0</v>
      </c>
      <c r="I150" s="577">
        <f t="shared" si="40"/>
        <v>0</v>
      </c>
      <c r="J150" s="514">
        <f t="shared" si="43"/>
        <v>0</v>
      </c>
      <c r="K150" s="514"/>
      <c r="L150" s="525"/>
      <c r="M150" s="514">
        <f t="shared" si="44"/>
        <v>0</v>
      </c>
      <c r="N150" s="525"/>
      <c r="O150" s="514">
        <f t="shared" si="45"/>
        <v>0</v>
      </c>
      <c r="P150" s="514">
        <f t="shared" si="46"/>
        <v>0</v>
      </c>
      <c r="Q150" s="269"/>
    </row>
    <row r="151" spans="2:17" ht="12.5">
      <c r="B151" s="195" t="str">
        <f t="shared" si="31"/>
        <v/>
      </c>
      <c r="C151" s="507">
        <f>IF(D93="","-",+C150+1)</f>
        <v>2061</v>
      </c>
      <c r="D151" s="374">
        <f>IF(F150+SUM(E$99:E150)=D$92,F150,D$92-SUM(E$99:E150))</f>
        <v>0</v>
      </c>
      <c r="E151" s="522">
        <f>IF(+J96&lt;F150,J96,D151)</f>
        <v>0</v>
      </c>
      <c r="F151" s="523">
        <f t="shared" si="41"/>
        <v>0</v>
      </c>
      <c r="G151" s="523">
        <f t="shared" si="42"/>
        <v>0</v>
      </c>
      <c r="H151" s="526">
        <f t="shared" si="39"/>
        <v>0</v>
      </c>
      <c r="I151" s="577">
        <f t="shared" si="40"/>
        <v>0</v>
      </c>
      <c r="J151" s="514">
        <f t="shared" si="43"/>
        <v>0</v>
      </c>
      <c r="K151" s="514"/>
      <c r="L151" s="525"/>
      <c r="M151" s="514">
        <f t="shared" si="44"/>
        <v>0</v>
      </c>
      <c r="N151" s="525"/>
      <c r="O151" s="514">
        <f t="shared" si="45"/>
        <v>0</v>
      </c>
      <c r="P151" s="514">
        <f t="shared" si="46"/>
        <v>0</v>
      </c>
      <c r="Q151" s="269"/>
    </row>
    <row r="152" spans="2:17" ht="12.5">
      <c r="B152" s="195" t="str">
        <f t="shared" si="31"/>
        <v/>
      </c>
      <c r="C152" s="507">
        <f>IF(D93="","-",+C151+1)</f>
        <v>2062</v>
      </c>
      <c r="D152" s="374">
        <f>IF(F151+SUM(E$99:E151)=D$92,F151,D$92-SUM(E$99:E151))</f>
        <v>0</v>
      </c>
      <c r="E152" s="522">
        <f>IF(+J96&lt;F151,J96,D152)</f>
        <v>0</v>
      </c>
      <c r="F152" s="523">
        <f t="shared" si="41"/>
        <v>0</v>
      </c>
      <c r="G152" s="523">
        <f t="shared" si="42"/>
        <v>0</v>
      </c>
      <c r="H152" s="526">
        <f t="shared" si="39"/>
        <v>0</v>
      </c>
      <c r="I152" s="577">
        <f t="shared" si="40"/>
        <v>0</v>
      </c>
      <c r="J152" s="514">
        <f t="shared" si="43"/>
        <v>0</v>
      </c>
      <c r="K152" s="514"/>
      <c r="L152" s="525"/>
      <c r="M152" s="514">
        <f t="shared" si="44"/>
        <v>0</v>
      </c>
      <c r="N152" s="525"/>
      <c r="O152" s="514">
        <f t="shared" si="45"/>
        <v>0</v>
      </c>
      <c r="P152" s="514">
        <f t="shared" si="46"/>
        <v>0</v>
      </c>
      <c r="Q152" s="269"/>
    </row>
    <row r="153" spans="2:17" ht="12.5">
      <c r="B153" s="195" t="str">
        <f t="shared" si="31"/>
        <v/>
      </c>
      <c r="C153" s="507">
        <f>IF(D93="","-",+C152+1)</f>
        <v>2063</v>
      </c>
      <c r="D153" s="374">
        <f>IF(F152+SUM(E$99:E152)=D$92,F152,D$92-SUM(E$99:E152))</f>
        <v>0</v>
      </c>
      <c r="E153" s="522">
        <f>IF(+J96&lt;F152,J96,D153)</f>
        <v>0</v>
      </c>
      <c r="F153" s="523">
        <f t="shared" si="41"/>
        <v>0</v>
      </c>
      <c r="G153" s="523">
        <f t="shared" si="42"/>
        <v>0</v>
      </c>
      <c r="H153" s="526">
        <f t="shared" si="39"/>
        <v>0</v>
      </c>
      <c r="I153" s="577">
        <f t="shared" si="40"/>
        <v>0</v>
      </c>
      <c r="J153" s="514">
        <f t="shared" si="43"/>
        <v>0</v>
      </c>
      <c r="K153" s="514"/>
      <c r="L153" s="525"/>
      <c r="M153" s="514">
        <f t="shared" si="44"/>
        <v>0</v>
      </c>
      <c r="N153" s="525"/>
      <c r="O153" s="514">
        <f t="shared" si="45"/>
        <v>0</v>
      </c>
      <c r="P153" s="514">
        <f t="shared" si="46"/>
        <v>0</v>
      </c>
      <c r="Q153" s="269"/>
    </row>
    <row r="154" spans="2:17" ht="13" thickBot="1">
      <c r="B154" s="195" t="str">
        <f t="shared" si="31"/>
        <v/>
      </c>
      <c r="C154" s="527">
        <f>IF(D93="","-",+C153+1)</f>
        <v>2064</v>
      </c>
      <c r="D154" s="578">
        <f>IF(F153+SUM(E$99:E153)=D$92,F153,D$92-SUM(E$99:E153))</f>
        <v>0</v>
      </c>
      <c r="E154" s="529">
        <f>IF(+J96&lt;F153,J96,D154)</f>
        <v>0</v>
      </c>
      <c r="F154" s="528">
        <f t="shared" si="41"/>
        <v>0</v>
      </c>
      <c r="G154" s="528">
        <f t="shared" si="42"/>
        <v>0</v>
      </c>
      <c r="H154" s="530">
        <f t="shared" si="39"/>
        <v>0</v>
      </c>
      <c r="I154" s="579">
        <f t="shared" si="40"/>
        <v>0</v>
      </c>
      <c r="J154" s="533">
        <f t="shared" si="43"/>
        <v>0</v>
      </c>
      <c r="K154" s="514"/>
      <c r="L154" s="532"/>
      <c r="M154" s="533">
        <f t="shared" si="44"/>
        <v>0</v>
      </c>
      <c r="N154" s="532"/>
      <c r="O154" s="533">
        <f t="shared" si="45"/>
        <v>0</v>
      </c>
      <c r="P154" s="533">
        <f t="shared" si="46"/>
        <v>0</v>
      </c>
      <c r="Q154" s="269"/>
    </row>
    <row r="155" spans="2:17" ht="12.5">
      <c r="C155" s="374" t="s">
        <v>78</v>
      </c>
      <c r="D155" s="375"/>
      <c r="E155" s="375">
        <f>SUM(E99:E154)</f>
        <v>37028624.999999993</v>
      </c>
      <c r="F155" s="375"/>
      <c r="G155" s="375"/>
      <c r="H155" s="375">
        <f>SUM(H99:H154)</f>
        <v>128423569.58223981</v>
      </c>
      <c r="I155" s="375">
        <f>SUM(I99:I154)</f>
        <v>128423569.58223981</v>
      </c>
      <c r="J155" s="375">
        <f>SUM(J99:J154)</f>
        <v>0</v>
      </c>
      <c r="K155" s="375"/>
      <c r="L155" s="375"/>
      <c r="M155" s="375"/>
      <c r="N155" s="375"/>
      <c r="O155" s="375"/>
      <c r="P155" s="269"/>
      <c r="Q155" s="269"/>
    </row>
    <row r="156" spans="2:17" ht="12.5">
      <c r="D156" s="270"/>
      <c r="E156" s="269"/>
      <c r="F156" s="269"/>
      <c r="G156" s="269"/>
      <c r="H156" s="269"/>
      <c r="I156" s="271"/>
      <c r="J156" s="271"/>
      <c r="K156" s="375"/>
      <c r="L156" s="271"/>
      <c r="M156" s="271"/>
      <c r="N156" s="271"/>
      <c r="O156" s="271"/>
      <c r="P156" s="269"/>
      <c r="Q156" s="269"/>
    </row>
    <row r="157" spans="2:17" ht="12.5">
      <c r="C157" s="580" t="s">
        <v>92</v>
      </c>
      <c r="D157" s="270"/>
      <c r="E157" s="269"/>
      <c r="F157" s="269"/>
      <c r="G157" s="269"/>
      <c r="H157" s="269"/>
      <c r="I157" s="271"/>
      <c r="J157" s="271"/>
      <c r="K157" s="375"/>
      <c r="L157" s="271"/>
      <c r="M157" s="271"/>
      <c r="N157" s="271"/>
      <c r="O157" s="271"/>
      <c r="P157" s="269"/>
      <c r="Q157" s="269"/>
    </row>
    <row r="158" spans="2:17" ht="12.5">
      <c r="D158" s="270"/>
      <c r="E158" s="269"/>
      <c r="F158" s="269"/>
      <c r="G158" s="269"/>
      <c r="H158" s="269"/>
      <c r="I158" s="271"/>
      <c r="J158" s="271"/>
      <c r="K158" s="375"/>
      <c r="L158" s="271"/>
      <c r="M158" s="271"/>
      <c r="N158" s="271"/>
      <c r="O158" s="271"/>
      <c r="P158" s="269"/>
      <c r="Q158" s="269"/>
    </row>
    <row r="159" spans="2:17" ht="13">
      <c r="C159" s="534" t="s">
        <v>97</v>
      </c>
      <c r="D159" s="374"/>
      <c r="E159" s="374"/>
      <c r="F159" s="374"/>
      <c r="G159" s="374"/>
      <c r="H159" s="375"/>
      <c r="I159" s="375"/>
      <c r="J159" s="376"/>
      <c r="K159" s="376"/>
      <c r="L159" s="376"/>
      <c r="M159" s="376"/>
      <c r="N159" s="376"/>
      <c r="O159" s="376"/>
      <c r="P159" s="269"/>
      <c r="Q159" s="269"/>
    </row>
    <row r="160" spans="2:17" ht="13">
      <c r="C160" s="581" t="s">
        <v>79</v>
      </c>
      <c r="D160" s="374"/>
      <c r="E160" s="374"/>
      <c r="F160" s="374"/>
      <c r="G160" s="374"/>
      <c r="H160" s="375"/>
      <c r="I160" s="375"/>
      <c r="J160" s="376"/>
      <c r="K160" s="376"/>
      <c r="L160" s="376"/>
      <c r="M160" s="376"/>
      <c r="N160" s="376"/>
      <c r="O160" s="376"/>
      <c r="P160" s="269"/>
      <c r="Q160" s="269"/>
    </row>
    <row r="161" spans="3:17" ht="13">
      <c r="C161" s="581" t="s">
        <v>80</v>
      </c>
      <c r="D161" s="374"/>
      <c r="E161" s="374"/>
      <c r="F161" s="374"/>
      <c r="G161" s="374"/>
      <c r="H161" s="375"/>
      <c r="I161" s="375"/>
      <c r="J161" s="376"/>
      <c r="K161" s="376"/>
      <c r="L161" s="376"/>
      <c r="M161" s="376"/>
      <c r="N161" s="376"/>
      <c r="O161" s="376"/>
      <c r="P161" s="269"/>
      <c r="Q161" s="269"/>
    </row>
    <row r="162" spans="3:17" ht="17.5">
      <c r="C162" s="581"/>
      <c r="D162" s="374"/>
      <c r="E162" s="374"/>
      <c r="F162" s="374"/>
      <c r="G162" s="374"/>
      <c r="H162" s="375"/>
      <c r="I162" s="375"/>
      <c r="J162" s="376"/>
      <c r="K162" s="376"/>
      <c r="L162" s="376"/>
      <c r="M162" s="376"/>
      <c r="N162" s="376"/>
      <c r="P162" s="454" t="s">
        <v>131</v>
      </c>
      <c r="Q162" s="269"/>
    </row>
  </sheetData>
  <phoneticPr fontId="0" type="noConversion"/>
  <conditionalFormatting sqref="C17:C72">
    <cfRule type="cellIs" dxfId="149" priority="1" stopIfTrue="1" operator="equal">
      <formula>$I$10</formula>
    </cfRule>
  </conditionalFormatting>
  <conditionalFormatting sqref="C99:C154">
    <cfRule type="cellIs" dxfId="148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SWEPCO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YXV0b1NlbGVjdGVkU3VnZ2VzdGlvbiI+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+Q09SUFxzMTk5OTg5PC9Vc2VyTmFtZT48RGF0ZVRpbWU+MTAvMTEvMjAyMiAyOjM4OjM0IFBNPC9EYXRlVGltZT48TGFiZWxTdHJpbmc+QUVQIEludGVybmFsPC9MYWJlbFN0cmluZz48L2l0ZW0+PC9sYWJlbEhpc3Rvcnk+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070833C3-BDFB-4FC2-940F-B85F813DCBD7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23C2328B-AD99-4313-BA24-C5797EB853E7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78</vt:i4>
      </vt:variant>
      <vt:variant>
        <vt:lpstr>Named Ranges</vt:lpstr>
      </vt:variant>
      <vt:variant>
        <vt:i4>74</vt:i4>
      </vt:variant>
    </vt:vector>
  </HeadingPairs>
  <TitlesOfParts>
    <vt:vector size="152" baseType="lpstr">
      <vt:lpstr>SWE.Sch.11.Rates</vt:lpstr>
      <vt:lpstr>SWE.WS.F.BPU.ATRR.Projected</vt:lpstr>
      <vt:lpstr>SWE.WS.G.BPU.ATRR.True-up</vt:lpstr>
      <vt:lpstr>S.001</vt:lpstr>
      <vt:lpstr>S.002</vt:lpstr>
      <vt:lpstr>S.003</vt:lpstr>
      <vt:lpstr>S.004</vt:lpstr>
      <vt:lpstr>S.005</vt:lpstr>
      <vt:lpstr>S.006</vt:lpstr>
      <vt:lpstr>S.007</vt:lpstr>
      <vt:lpstr>S.008</vt:lpstr>
      <vt:lpstr>S.009</vt:lpstr>
      <vt:lpstr>S.010</vt:lpstr>
      <vt:lpstr>S.011</vt:lpstr>
      <vt:lpstr>S.012</vt:lpstr>
      <vt:lpstr>S.013</vt:lpstr>
      <vt:lpstr>S.014</vt:lpstr>
      <vt:lpstr>S.015</vt:lpstr>
      <vt:lpstr>S.016</vt:lpstr>
      <vt:lpstr>S.017</vt:lpstr>
      <vt:lpstr>S.018</vt:lpstr>
      <vt:lpstr>S.019</vt:lpstr>
      <vt:lpstr>S.020</vt:lpstr>
      <vt:lpstr>S.021</vt:lpstr>
      <vt:lpstr>S.022</vt:lpstr>
      <vt:lpstr>S.023</vt:lpstr>
      <vt:lpstr>S.024</vt:lpstr>
      <vt:lpstr>S.025</vt:lpstr>
      <vt:lpstr>S.026</vt:lpstr>
      <vt:lpstr>S.027</vt:lpstr>
      <vt:lpstr>S.028</vt:lpstr>
      <vt:lpstr>S.029</vt:lpstr>
      <vt:lpstr>S.030</vt:lpstr>
      <vt:lpstr>S.031</vt:lpstr>
      <vt:lpstr>S.032</vt:lpstr>
      <vt:lpstr>S.033</vt:lpstr>
      <vt:lpstr>S.034</vt:lpstr>
      <vt:lpstr>S.035</vt:lpstr>
      <vt:lpstr>S.036</vt:lpstr>
      <vt:lpstr>S.037</vt:lpstr>
      <vt:lpstr>S.038</vt:lpstr>
      <vt:lpstr>S.039</vt:lpstr>
      <vt:lpstr>S.040</vt:lpstr>
      <vt:lpstr>S.041</vt:lpstr>
      <vt:lpstr>S.042</vt:lpstr>
      <vt:lpstr>S.043</vt:lpstr>
      <vt:lpstr>S.044</vt:lpstr>
      <vt:lpstr>S.045</vt:lpstr>
      <vt:lpstr>S.046</vt:lpstr>
      <vt:lpstr>S.047</vt:lpstr>
      <vt:lpstr>S.048</vt:lpstr>
      <vt:lpstr>S.049</vt:lpstr>
      <vt:lpstr>S.050</vt:lpstr>
      <vt:lpstr>S.051</vt:lpstr>
      <vt:lpstr>S.052</vt:lpstr>
      <vt:lpstr>S.053</vt:lpstr>
      <vt:lpstr>S.054</vt:lpstr>
      <vt:lpstr>S.055</vt:lpstr>
      <vt:lpstr>S.056</vt:lpstr>
      <vt:lpstr>S.057</vt:lpstr>
      <vt:lpstr>S.058</vt:lpstr>
      <vt:lpstr>S.059</vt:lpstr>
      <vt:lpstr>S.060</vt:lpstr>
      <vt:lpstr>S.061</vt:lpstr>
      <vt:lpstr>S.062</vt:lpstr>
      <vt:lpstr>S.063</vt:lpstr>
      <vt:lpstr>S.064</vt:lpstr>
      <vt:lpstr>S.065</vt:lpstr>
      <vt:lpstr>S.066</vt:lpstr>
      <vt:lpstr>S.067</vt:lpstr>
      <vt:lpstr>S.068</vt:lpstr>
      <vt:lpstr>S.069</vt:lpstr>
      <vt:lpstr>S.070</vt:lpstr>
      <vt:lpstr>S.071</vt:lpstr>
      <vt:lpstr>S.072</vt:lpstr>
      <vt:lpstr>S.073</vt:lpstr>
      <vt:lpstr>S.074</vt:lpstr>
      <vt:lpstr>S.xyz - blank</vt:lpstr>
      <vt:lpstr>S.001!Print_Area</vt:lpstr>
      <vt:lpstr>S.002!Print_Area</vt:lpstr>
      <vt:lpstr>S.003!Print_Area</vt:lpstr>
      <vt:lpstr>S.004!Print_Area</vt:lpstr>
      <vt:lpstr>S.005!Print_Area</vt:lpstr>
      <vt:lpstr>S.006!Print_Area</vt:lpstr>
      <vt:lpstr>S.007!Print_Area</vt:lpstr>
      <vt:lpstr>S.008!Print_Area</vt:lpstr>
      <vt:lpstr>S.009!Print_Area</vt:lpstr>
      <vt:lpstr>S.010!Print_Area</vt:lpstr>
      <vt:lpstr>S.011!Print_Area</vt:lpstr>
      <vt:lpstr>S.012!Print_Area</vt:lpstr>
      <vt:lpstr>S.013!Print_Area</vt:lpstr>
      <vt:lpstr>S.014!Print_Area</vt:lpstr>
      <vt:lpstr>S.015!Print_Area</vt:lpstr>
      <vt:lpstr>S.016!Print_Area</vt:lpstr>
      <vt:lpstr>S.017!Print_Area</vt:lpstr>
      <vt:lpstr>S.018!Print_Area</vt:lpstr>
      <vt:lpstr>S.019!Print_Area</vt:lpstr>
      <vt:lpstr>S.020!Print_Area</vt:lpstr>
      <vt:lpstr>S.021!Print_Area</vt:lpstr>
      <vt:lpstr>S.022!Print_Area</vt:lpstr>
      <vt:lpstr>S.023!Print_Area</vt:lpstr>
      <vt:lpstr>S.024!Print_Area</vt:lpstr>
      <vt:lpstr>S.025!Print_Area</vt:lpstr>
      <vt:lpstr>S.026!Print_Area</vt:lpstr>
      <vt:lpstr>S.027!Print_Area</vt:lpstr>
      <vt:lpstr>S.028!Print_Area</vt:lpstr>
      <vt:lpstr>S.029!Print_Area</vt:lpstr>
      <vt:lpstr>S.030!Print_Area</vt:lpstr>
      <vt:lpstr>S.031!Print_Area</vt:lpstr>
      <vt:lpstr>S.032!Print_Area</vt:lpstr>
      <vt:lpstr>S.033!Print_Area</vt:lpstr>
      <vt:lpstr>S.034!Print_Area</vt:lpstr>
      <vt:lpstr>S.035!Print_Area</vt:lpstr>
      <vt:lpstr>S.036!Print_Area</vt:lpstr>
      <vt:lpstr>S.037!Print_Area</vt:lpstr>
      <vt:lpstr>S.038!Print_Area</vt:lpstr>
      <vt:lpstr>S.039!Print_Area</vt:lpstr>
      <vt:lpstr>S.040!Print_Area</vt:lpstr>
      <vt:lpstr>S.041!Print_Area</vt:lpstr>
      <vt:lpstr>S.042!Print_Area</vt:lpstr>
      <vt:lpstr>S.043!Print_Area</vt:lpstr>
      <vt:lpstr>S.044!Print_Area</vt:lpstr>
      <vt:lpstr>S.045!Print_Area</vt:lpstr>
      <vt:lpstr>S.046!Print_Area</vt:lpstr>
      <vt:lpstr>S.047!Print_Area</vt:lpstr>
      <vt:lpstr>S.048!Print_Area</vt:lpstr>
      <vt:lpstr>S.049!Print_Area</vt:lpstr>
      <vt:lpstr>S.050!Print_Area</vt:lpstr>
      <vt:lpstr>S.051!Print_Area</vt:lpstr>
      <vt:lpstr>S.052!Print_Area</vt:lpstr>
      <vt:lpstr>S.053!Print_Area</vt:lpstr>
      <vt:lpstr>S.054!Print_Area</vt:lpstr>
      <vt:lpstr>S.055!Print_Area</vt:lpstr>
      <vt:lpstr>S.056!Print_Area</vt:lpstr>
      <vt:lpstr>S.057!Print_Area</vt:lpstr>
      <vt:lpstr>S.058!Print_Area</vt:lpstr>
      <vt:lpstr>S.059!Print_Area</vt:lpstr>
      <vt:lpstr>S.060!Print_Area</vt:lpstr>
      <vt:lpstr>S.061!Print_Area</vt:lpstr>
      <vt:lpstr>S.062!Print_Area</vt:lpstr>
      <vt:lpstr>S.063!Print_Area</vt:lpstr>
      <vt:lpstr>S.064!Print_Area</vt:lpstr>
      <vt:lpstr>S.065!Print_Area</vt:lpstr>
      <vt:lpstr>S.066!Print_Area</vt:lpstr>
      <vt:lpstr>S.067!Print_Area</vt:lpstr>
      <vt:lpstr>'S.xyz - blank'!Print_Area</vt:lpstr>
      <vt:lpstr>SWE.Sch.11.Rates!Print_Area</vt:lpstr>
      <vt:lpstr>SWE.WS.F.BPU.ATRR.Projected!Print_Area</vt:lpstr>
      <vt:lpstr>'SWE.WS.G.BPU.ATRR.True-up'!Print_Area</vt:lpstr>
      <vt:lpstr>SWE.Sch.11.Rates!Print_Titles</vt:lpstr>
      <vt:lpstr>SWE.WS.F.BPU.ATRR.Projected!Print_Titles</vt:lpstr>
      <vt:lpstr>'SWE.WS.G.BPU.ATRR.True-up'!Print_Titles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s349016</cp:lastModifiedBy>
  <cp:lastPrinted>2020-04-20T20:30:04Z</cp:lastPrinted>
  <dcterms:created xsi:type="dcterms:W3CDTF">2009-05-11T14:02:48Z</dcterms:created>
  <dcterms:modified xsi:type="dcterms:W3CDTF">2022-10-31T14:49:32Z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00fd5ed8-a7c5-4b24-95e2-c7db9b45f41e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bjDocumentLabelXML">
    <vt:lpwstr>&lt;?xml version="1.0" encoding="us-ascii"?&gt;&lt;sisl xmlns:xsd="http://www.w3.org/2001/XMLSchema" xmlns:xsi="http://www.w3.org/2001/XMLSchema-instance" sislVersion="0" policy="e9c0b8d7-bdb4-4fd3-b62a-f50327aaefce" origin="autoSelectedSuggestion" xmlns="http://w</vt:lpwstr>
  </property>
  <property fmtid="{D5CDD505-2E9C-101B-9397-08002B2CF9AE}" pid="7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8" name="MSIP_Label_69f43042-6bda-44b2-91eb-eca3d3d484f4_SiteId">
    <vt:lpwstr>15f3c881-6b03-4ff6-8559-77bf5177818f</vt:lpwstr>
  </property>
  <property fmtid="{D5CDD505-2E9C-101B-9397-08002B2CF9AE}" pid="9" name="MSIP_Label_69f43042-6bda-44b2-91eb-eca3d3d484f4_Name">
    <vt:lpwstr>AEP Internal</vt:lpwstr>
  </property>
  <property fmtid="{D5CDD505-2E9C-101B-9397-08002B2CF9AE}" pid="10" name="MSIP_Label_69f43042-6bda-44b2-91eb-eca3d3d484f4_Enabled">
    <vt:lpwstr>true</vt:lpwstr>
  </property>
  <property fmtid="{D5CDD505-2E9C-101B-9397-08002B2CF9AE}" pid="11" name="bjClsUserRVM">
    <vt:lpwstr>[]</vt:lpwstr>
  </property>
  <property fmtid="{D5CDD505-2E9C-101B-9397-08002B2CF9AE}" pid="12" name="bjLabelHistoryID">
    <vt:lpwstr>{070833C3-BDFB-4FC2-940F-B85F813DCBD7}</vt:lpwstr>
  </property>
</Properties>
</file>